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23"/>
  <workbookPr/>
  <mc:AlternateContent xmlns:mc="http://schemas.openxmlformats.org/markup-compatibility/2006">
    <mc:Choice Requires="x15">
      <x15ac:absPath xmlns:x15ac="http://schemas.microsoft.com/office/spreadsheetml/2010/11/ac" url="C:\Users\ARA INGENIERIA\Google Drive\INFORMES TRIM,EJECT,FINAL, CRIT TEC\ARA INGENIERÍA\JULIO - SEPTIEMBRE 2020\"/>
    </mc:Choice>
  </mc:AlternateContent>
  <xr:revisionPtr revIDLastSave="0" documentId="11_900558AB7E9AF30669EF25B9DEC6EF3A7A156E32" xr6:coauthVersionLast="47" xr6:coauthVersionMax="47" xr10:uidLastSave="{00000000-0000-0000-0000-000000000000}"/>
  <bookViews>
    <workbookView xWindow="0" yWindow="0" windowWidth="20490" windowHeight="7050" tabRatio="862" xr2:uid="{00000000-000D-0000-FFFF-FFFF00000000}"/>
  </bookViews>
  <sheets>
    <sheet name="PORTADA" sheetId="33" r:id="rId1"/>
    <sheet name="TABLA DE CONTENIDO" sheetId="2" r:id="rId2"/>
    <sheet name="GENERALIDADES " sheetId="3" r:id="rId3"/>
    <sheet name="CUMPLIMIENTO % " sheetId="6" r:id="rId4"/>
    <sheet name="ESTADO RED VIS" sheetId="27" r:id="rId5"/>
    <sheet name="SEMAFORO VIS" sheetId="50" r:id="rId6"/>
    <sheet name="TORTA EST. VIAS VIS" sheetId="12" r:id="rId7"/>
    <sheet name="ESTADO RED TEC" sheetId="43" state="hidden" r:id="rId8"/>
    <sheet name="SEMAFORO TEC" sheetId="53" state="hidden" r:id="rId9"/>
    <sheet name="TORTA EST. VIAS TEC" sheetId="41" state="hidden" r:id="rId10"/>
    <sheet name="MAPA EST RED" sheetId="51" r:id="rId11"/>
    <sheet name="NECESIDAD VIA" sheetId="7" r:id="rId12"/>
    <sheet name="NECESIDADES CRITICAS" sheetId="28" r:id="rId13"/>
    <sheet name="CANT OBRA" sheetId="13" r:id="rId14"/>
    <sheet name="INF. EMERGENCIAS" sheetId="5" r:id="rId15"/>
    <sheet name="PUENTES" sheetId="4" r:id="rId16"/>
    <sheet name="NEC PTES" sheetId="18" r:id="rId17"/>
    <sheet name="PONTONES" sheetId="21" r:id="rId18"/>
    <sheet name="NEC. PONTONES" sheetId="29" r:id="rId19"/>
    <sheet name="TUNELES" sheetId="44" r:id="rId20"/>
    <sheet name="NECESIDADES EN TÚNELES" sheetId="45" r:id="rId21"/>
    <sheet name="Señalización Vertical" sheetId="39" r:id="rId22"/>
    <sheet name="Señalización Horizontal" sheetId="40" r:id="rId23"/>
    <sheet name="ACCIDENTALIDAD" sheetId="8" r:id="rId24"/>
    <sheet name="DEFENSA VIAS" sheetId="16" r:id="rId25"/>
    <sheet name="SEGUIMIENTO" sheetId="9" r:id="rId26"/>
    <sheet name="CUANTI AMV" sheetId="38" r:id="rId27"/>
    <sheet name="CUALI AMV" sheetId="37" r:id="rId28"/>
    <sheet name="CUANTI MR" sheetId="36" r:id="rId29"/>
    <sheet name="CUALI MR" sheetId="35" r:id="rId30"/>
    <sheet name="INTERVENTORIA DE CONTRATOS" sheetId="46" r:id="rId31"/>
    <sheet name="FOTOG" sheetId="15" r:id="rId32"/>
    <sheet name="PRENSA" sheetId="32" r:id="rId33"/>
    <sheet name="COMENTARIOS" sheetId="14" r:id="rId34"/>
    <sheet name="CAPACITACION T.M. RUTINARIO" sheetId="48" r:id="rId35"/>
    <sheet name="Hoja1" sheetId="49"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s>
  <definedNames>
    <definedName name="\a" localSheetId="5">#REF!</definedName>
    <definedName name="\a">#REF!</definedName>
    <definedName name="\s" localSheetId="5">#REF!</definedName>
    <definedName name="\s">#REF!</definedName>
    <definedName name="\X">#N/A</definedName>
    <definedName name="\Z">#N/A</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PJ50" localSheetId="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5">#REF!</definedName>
    <definedName name="________MA2">#REF!</definedName>
    <definedName name="________PJ50" localSheetId="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5">#REF!</definedName>
    <definedName name="_______MA2">#REF!</definedName>
    <definedName name="_______PJ50" localSheetId="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5">#REF!</definedName>
    <definedName name="______MA2">#REF!</definedName>
    <definedName name="______PJ50" localSheetId="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5">#REF!</definedName>
    <definedName name="_____MA2">#REF!</definedName>
    <definedName name="_____PJ50" localSheetId="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5">#REF!</definedName>
    <definedName name="____MA2">#REF!</definedName>
    <definedName name="____PJ50" localSheetId="5">#REF!</definedName>
    <definedName name="____PJ50">#REF!</definedName>
    <definedName name="____pj51" localSheetId="5">#REF!</definedName>
    <definedName name="____pj51">#REF!</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MA2" localSheetId="5">#REF!</definedName>
    <definedName name="___MA2">#REF!</definedName>
    <definedName name="___PJ50" localSheetId="5">#REF!</definedName>
    <definedName name="___PJ50">#REF!</definedName>
    <definedName name="___pj51" localSheetId="5">#REF!</definedName>
    <definedName name="___pj51">#REF!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F">#N/A</definedName>
    <definedName name="__FS01">#N/A</definedName>
    <definedName name="__MA2" localSheetId="5">#REF!</definedName>
    <definedName name="__MA2">#REF!</definedName>
    <definedName name="__mun2" localSheetId="5">[2]PESOS!#REF!</definedName>
    <definedName name="__mun2">[2]PESOS!#REF!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PJ50" localSheetId="5">#REF!</definedName>
    <definedName name="__PJ50">#REF!</definedName>
    <definedName name="__pj51" localSheetId="5">#REF!</definedName>
    <definedName name="__pj51">#REF!</definedName>
    <definedName name="__ref4" localSheetId="5">#REF!</definedName>
    <definedName name="__ref4">#REF!</definedName>
    <definedName name="__SBC1">[1]INV!$A$12:$D$15</definedName>
    <definedName name="__SBC3">[1]INV!$F$12:$I$15</definedName>
    <definedName name="__SBC5">[1]INV!$K$12:$N$15</definedName>
    <definedName name="_a1" localSheetId="10" hidden="1">{"TAB1",#N/A,TRUE,"GENERAL";"TAB2",#N/A,TRUE,"GENERAL";"TAB3",#N/A,TRUE,"GENERAL";"TAB4",#N/A,TRUE,"GENERAL";"TAB5",#N/A,TRUE,"GENERAL"}</definedName>
    <definedName name="_a1" localSheetId="8"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8"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8"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8"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8"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5">#REF!</definedName>
    <definedName name="_APU221">#REF!</definedName>
    <definedName name="_APU465" localSheetId="5">[3]!absc</definedName>
    <definedName name="_APU465">[3]!absc</definedName>
    <definedName name="_b2" localSheetId="10" hidden="1">{"TAB1",#N/A,TRUE,"GENERAL";"TAB2",#N/A,TRUE,"GENERAL";"TAB3",#N/A,TRUE,"GENERAL";"TAB4",#N/A,TRUE,"GENERAL";"TAB5",#N/A,TRUE,"GENERAL"}</definedName>
    <definedName name="_b2" localSheetId="8"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8"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8"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8"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8"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8"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8"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8"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8"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#N/A</definedName>
    <definedName name="_Fill" localSheetId="5" hidden="1">#REF!</definedName>
    <definedName name="_Fill" hidden="1">#REF!</definedName>
    <definedName name="_FS01">#N/A</definedName>
    <definedName name="_g2" localSheetId="10" hidden="1">{"TAB1",#N/A,TRUE,"GENERAL";"TAB2",#N/A,TRUE,"GENERAL";"TAB3",#N/A,TRUE,"GENERAL";"TAB4",#N/A,TRUE,"GENERAL";"TAB5",#N/A,TRUE,"GENERAL"}</definedName>
    <definedName name="_g2" localSheetId="8"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8"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8"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8"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8"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8"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8"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8"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8"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8"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8"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8"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8"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8"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8"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8"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8"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8"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8"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8"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8"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8"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PC2002" localSheetId="5">#REF!</definedName>
    <definedName name="_IPC2002">#REF!</definedName>
    <definedName name="_k3" localSheetId="10" hidden="1">{"TAB1",#N/A,TRUE,"GENERAL";"TAB2",#N/A,TRUE,"GENERAL";"TAB3",#N/A,TRUE,"GENERAL";"TAB4",#N/A,TRUE,"GENERAL";"TAB5",#N/A,TRUE,"GENERAL"}</definedName>
    <definedName name="_k3" localSheetId="8"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8"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8"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8"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8"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8"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8"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jk6" localSheetId="10" hidden="1">{"TAB1",#N/A,TRUE,"GENERAL";"TAB2",#N/A,TRUE,"GENERAL";"TAB3",#N/A,TRUE,"GENERAL";"TAB4",#N/A,TRUE,"GENERAL";"TAB5",#N/A,TRUE,"GENERAL"}</definedName>
    <definedName name="_kjk6" localSheetId="8"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m3" localSheetId="10" hidden="1">{"via1",#N/A,TRUE,"general";"via2",#N/A,TRUE,"general";"via3",#N/A,TRUE,"general"}</definedName>
    <definedName name="_m3" localSheetId="8"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8"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8"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8"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8"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8"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5">#REF!</definedName>
    <definedName name="_MA2">#REF!</definedName>
    <definedName name="_mun2" localSheetId="5">[2]PESOS!#REF!</definedName>
    <definedName name="_mun2">[2]PESOS!#REF!</definedName>
    <definedName name="_n3" localSheetId="10" hidden="1">{"TAB1",#N/A,TRUE,"GENERAL";"TAB2",#N/A,TRUE,"GENERAL";"TAB3",#N/A,TRUE,"GENERAL";"TAB4",#N/A,TRUE,"GENERAL";"TAB5",#N/A,TRUE,"GENERAL"}</definedName>
    <definedName name="_n3" localSheetId="8"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8"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8"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10" hidden="1">{"via1",#N/A,TRUE,"general";"via2",#N/A,TRUE,"general";"via3",#N/A,TRUE,"general"}</definedName>
    <definedName name="_nyn7" localSheetId="8"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8"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8"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8"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8"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8"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8"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p6" localSheetId="10" hidden="1">{"via1",#N/A,TRUE,"general";"via2",#N/A,TRUE,"general";"via3",#N/A,TRUE,"general"}</definedName>
    <definedName name="_p6" localSheetId="8"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8"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8"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J50" localSheetId="5">#REF!</definedName>
    <definedName name="_PJ50">#REF!</definedName>
    <definedName name="_pj51" localSheetId="5">#REF!</definedName>
    <definedName name="_pj51">#REF!</definedName>
    <definedName name="_PRE1" localSheetId="5">#REF!</definedName>
    <definedName name="_PRE1">#REF!</definedName>
    <definedName name="_r" localSheetId="10" hidden="1">{"TAB1",#N/A,TRUE,"GENERAL";"TAB2",#N/A,TRUE,"GENERAL";"TAB3",#N/A,TRUE,"GENERAL";"TAB4",#N/A,TRUE,"GENERAL";"TAB5",#N/A,TRUE,"GENERAL"}</definedName>
    <definedName name="_r" localSheetId="8"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8"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ef4" localSheetId="5">#REF!</definedName>
    <definedName name="_ref4">#REF!</definedName>
    <definedName name="_rtu6" localSheetId="10" hidden="1">{"via1",#N/A,TRUE,"general";"via2",#N/A,TRUE,"general";"via3",#N/A,TRUE,"general"}</definedName>
    <definedName name="_rtu6" localSheetId="8"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localSheetId="8"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8"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8"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8"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8"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8"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8"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5" hidden="1">#REF!</definedName>
    <definedName name="_Sort" hidden="1">#REF!</definedName>
    <definedName name="_srn001" localSheetId="5">#REF!</definedName>
    <definedName name="_srn001">#REF!</definedName>
    <definedName name="_t3" localSheetId="10" hidden="1">{"TAB1",#N/A,TRUE,"GENERAL";"TAB2",#N/A,TRUE,"GENERAL";"TAB3",#N/A,TRUE,"GENERAL";"TAB4",#N/A,TRUE,"GENERAL";"TAB5",#N/A,TRUE,"GENERAL"}</definedName>
    <definedName name="_t3" localSheetId="8"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8"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8"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8"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8"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8"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8"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8"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8"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8"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8"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localSheetId="8"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8"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8"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8"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8"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8"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8"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8"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8"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8"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8"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8"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8"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8"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localSheetId="8"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8"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8"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8"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8"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8"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8"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8"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8"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8"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8"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8"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8"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8"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8"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8"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8"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8"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8"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8"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8"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8"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8"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5">'[4]DUB-823'!#REF!</definedName>
    <definedName name="a">'[4]DUB-823'!#REF!</definedName>
    <definedName name="A_impresión_IM" localSheetId="5">#REF!</definedName>
    <definedName name="A_impresión_IM">#REF!</definedName>
    <definedName name="a2a" localSheetId="10" hidden="1">{"TAB1",#N/A,TRUE,"GENERAL";"TAB2",#N/A,TRUE,"GENERAL";"TAB3",#N/A,TRUE,"GENERAL";"TAB4",#N/A,TRUE,"GENERAL";"TAB5",#N/A,TRUE,"GENERAL"}</definedName>
    <definedName name="a2a" localSheetId="8"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#N/A</definedName>
    <definedName name="AAA">#N/A</definedName>
    <definedName name="aaaaaa">[5]otros!$C$5</definedName>
    <definedName name="aaaaas" localSheetId="10"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0" hidden="1">{"TAB1",#N/A,TRUE,"GENERAL";"TAB2",#N/A,TRUE,"GENERAL";"TAB3",#N/A,TRUE,"GENERAL";"TAB4",#N/A,TRUE,"GENERAL";"TAB5",#N/A,TRUE,"GENERAL"}</definedName>
    <definedName name="aas" localSheetId="8"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c" localSheetId="5">#REF!</definedName>
    <definedName name="abc">#REF!</definedName>
    <definedName name="ABG">[1]AASHTO!$A$2:$F$5</definedName>
    <definedName name="absc" localSheetId="5">[6]!absc</definedName>
    <definedName name="absc">[6]!absc</definedName>
    <definedName name="absc_" localSheetId="5">[7]!absc</definedName>
    <definedName name="absc_">[7]!absc</definedName>
    <definedName name="absc_1" localSheetId="5">[7]!absc</definedName>
    <definedName name="absc_1">[7]!absc</definedName>
    <definedName name="absc1" localSheetId="5">[8]!absc</definedName>
    <definedName name="absc1">[8]!absc</definedName>
    <definedName name="AccessDatabase" hidden="1">"A:\SAIN.mdb"</definedName>
    <definedName name="ad" localSheetId="5">#REF!</definedName>
    <definedName name="ad">#REF!</definedName>
    <definedName name="ADFGSDB" localSheetId="10" hidden="1">{"via1",#N/A,TRUE,"general";"via2",#N/A,TRUE,"general";"via3",#N/A,TRUE,"general"}</definedName>
    <definedName name="ADFGSDB" localSheetId="8"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[5]otros!$C$2</definedName>
    <definedName name="administrador">[9]Informacion!$B$15</definedName>
    <definedName name="adoc1" localSheetId="5">[8]!absc</definedName>
    <definedName name="adoc1">[8]!absc</definedName>
    <definedName name="ADOC125" localSheetId="5">[10]!absc</definedName>
    <definedName name="ADOC125">[10]!absc</definedName>
    <definedName name="adoq" localSheetId="5">[11]!absc</definedName>
    <definedName name="adoq">[11]!absc</definedName>
    <definedName name="ADSAD" localSheetId="10" hidden="1">{"TAB1",#N/A,TRUE,"GENERAL";"TAB2",#N/A,TRUE,"GENERAL";"TAB3",#N/A,TRUE,"GENERAL";"TAB4",#N/A,TRUE,"GENERAL";"TAB5",#N/A,TRUE,"GENERAL"}</definedName>
    <definedName name="ADSAD" localSheetId="8"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localSheetId="8"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8"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8"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IU" localSheetId="5">#REF!</definedName>
    <definedName name="AIU">#REF!</definedName>
    <definedName name="AjustDelAIU" localSheetId="5">#REF!</definedName>
    <definedName name="AjustDelAIU">#REF!</definedName>
    <definedName name="alc" localSheetId="5">[12]!absc</definedName>
    <definedName name="alc">[12]!absc</definedName>
    <definedName name="ANCLAJE" localSheetId="5">'[13]MC SF GAVIONES'!#REF!</definedName>
    <definedName name="ANCLAJE">'[13]MC SF GAVIONES'!#REF!</definedName>
    <definedName name="Antic">[14]BASES!$B$33</definedName>
    <definedName name="ANTICIPO">[15]BASES!$B$33</definedName>
    <definedName name="AÑO">[5]PRESUPUESTO!$D$13</definedName>
    <definedName name="AÑOWUIE">'[16]Res-Accide-10'!$R$2:$R$7</definedName>
    <definedName name="APU" localSheetId="5">[17]!absc</definedName>
    <definedName name="APU">[17]!absc</definedName>
    <definedName name="APU_directos" localSheetId="5">#REF!</definedName>
    <definedName name="APU_directos">#REF!</definedName>
    <definedName name="APU221.1" localSheetId="5">#REF!</definedName>
    <definedName name="APU221.1">#REF!</definedName>
    <definedName name="APU221.2" localSheetId="5">#REF!</definedName>
    <definedName name="APU221.2">#REF!</definedName>
    <definedName name="aq">#N/A</definedName>
    <definedName name="aqaq" localSheetId="10" hidden="1">{"TAB1",#N/A,TRUE,"GENERAL";"TAB2",#N/A,TRUE,"GENERAL";"TAB3",#N/A,TRUE,"GENERAL";"TAB4",#N/A,TRUE,"GENERAL";"TAB5",#N/A,TRUE,"GENERAL"}</definedName>
    <definedName name="aqaq" localSheetId="8"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_xlnm.Print_Area" localSheetId="23">ACCIDENTALIDAD!$A$1:$J$27</definedName>
    <definedName name="_xlnm.Print_Area" localSheetId="13">'CANT OBRA'!$A$1:$H$1319</definedName>
    <definedName name="_xlnm.Print_Area" localSheetId="34">'CAPACITACION T.M. RUTINARIO'!$A$1:$G$363</definedName>
    <definedName name="_xlnm.Print_Area" localSheetId="33">COMENTARIOS!$A$1:$G$49</definedName>
    <definedName name="_xlnm.Print_Area" localSheetId="26">'CUANTI AMV'!$A$1:$K$24</definedName>
    <definedName name="_xlnm.Print_Area" localSheetId="28">'CUANTI MR'!$A$1:$M$28</definedName>
    <definedName name="_xlnm.Print_Area" localSheetId="3">'CUMPLIMIENTO % '!$A$1:$I$33</definedName>
    <definedName name="_xlnm.Print_Area" localSheetId="24">'DEFENSA VIAS'!$A$1:$I$24</definedName>
    <definedName name="_xlnm.Print_Area" localSheetId="7">'ESTADO RED TEC'!$A$1:$I$37</definedName>
    <definedName name="_xlnm.Print_Area" localSheetId="4">'ESTADO RED VIS'!$A$1:$G$46</definedName>
    <definedName name="_xlnm.Print_Area" localSheetId="31">FOTOG!$A$1:$F$52</definedName>
    <definedName name="_xlnm.Print_Area" localSheetId="2">'GENERALIDADES '!$A$1:$K$30</definedName>
    <definedName name="_xlnm.Print_Area" localSheetId="14">'INF. EMERGENCIAS'!$A$1:$I$24</definedName>
    <definedName name="_xlnm.Print_Area" localSheetId="30">'INTERVENTORIA DE CONTRATOS'!$A$1:$L$25</definedName>
    <definedName name="_xlnm.Print_Area" localSheetId="16">'NEC PTES'!$A$1:$O$30</definedName>
    <definedName name="_xlnm.Print_Area" localSheetId="18">'NEC. PONTONES'!$A$1:$G$30</definedName>
    <definedName name="_xlnm.Print_Area" localSheetId="11">'NECESIDAD VIA'!$A$1:$G$45</definedName>
    <definedName name="_xlnm.Print_Area" localSheetId="12">'NECESIDADES CRITICAS'!$A$1:$G$81</definedName>
    <definedName name="_xlnm.Print_Area" localSheetId="20">'NECESIDADES EN TÚNELES'!$A$4:$K$31</definedName>
    <definedName name="_xlnm.Print_Area" localSheetId="17">PONTONES!$A$1:$L$28</definedName>
    <definedName name="_xlnm.Print_Area" localSheetId="32">PRENSA!$A$1:$F$52</definedName>
    <definedName name="_xlnm.Print_Area" localSheetId="15">PUENTES!$A$1:$N$26</definedName>
    <definedName name="_xlnm.Print_Area" localSheetId="25">SEGUIMIENTO!$A$1:$AH$35</definedName>
    <definedName name="_xlnm.Print_Area" localSheetId="8">'SEMAFORO TEC'!$A$1:$BM$68</definedName>
    <definedName name="_xlnm.Print_Area" localSheetId="5">#REF!</definedName>
    <definedName name="_xlnm.Print_Area" localSheetId="22">'Señalización Horizontal'!$A$1:$Q$38</definedName>
    <definedName name="_xlnm.Print_Area" localSheetId="21">'Señalización Vertical'!$A$1:$AE$43</definedName>
    <definedName name="_xlnm.Print_Area" localSheetId="1">'TABLA DE CONTENIDO'!$A$1:$B$41</definedName>
    <definedName name="_xlnm.Print_Area" localSheetId="9">'TORTA EST. VIAS TEC'!$A$1:$C$31</definedName>
    <definedName name="_xlnm.Print_Area" localSheetId="6">'TORTA EST. VIAS VIS'!$A$1:$C$50</definedName>
    <definedName name="_xlnm.Print_Area" localSheetId="19">TUNELES!$A$1:$T$32</definedName>
    <definedName name="_xlnm.Print_Area">#REF!</definedName>
    <definedName name="armuve">#N/A</definedName>
    <definedName name="as">#N/A</definedName>
    <definedName name="ASB">[1]AASHTO!$A$8:$F$11</definedName>
    <definedName name="ASD" localSheetId="10" hidden="1">{"via1",#N/A,TRUE,"general";"via2",#N/A,TRUE,"general";"via3",#N/A,TRUE,"general"}</definedName>
    <definedName name="ASD" localSheetId="8"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8"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localSheetId="8"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8"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#N/A</definedName>
    <definedName name="asfasd" localSheetId="10" hidden="1">{"via1",#N/A,TRUE,"general";"via2",#N/A,TRUE,"general";"via3",#N/A,TRUE,"general"}</definedName>
    <definedName name="asfasd" localSheetId="8"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8"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10" hidden="1">{"TAB1",#N/A,TRUE,"GENERAL";"TAB2",#N/A,TRUE,"GENERAL";"TAB3",#N/A,TRUE,"GENERAL";"TAB4",#N/A,TRUE,"GENERAL";"TAB5",#N/A,TRUE,"GENERAL"}</definedName>
    <definedName name="asff" localSheetId="8"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8"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uto1" localSheetId="5">#REF!</definedName>
    <definedName name="auto1">#REF!</definedName>
    <definedName name="auto123" localSheetId="5">#REF!</definedName>
    <definedName name="auto123">#REF!</definedName>
    <definedName name="auto2" localSheetId="5">#REF!</definedName>
    <definedName name="auto2">#REF!</definedName>
    <definedName name="AW" localSheetId="5">#REF!</definedName>
    <definedName name="AW">#REF!</definedName>
    <definedName name="azaz" localSheetId="10" hidden="1">{"TAB1",#N/A,TRUE,"GENERAL";"TAB2",#N/A,TRUE,"GENERAL";"TAB3",#N/A,TRUE,"GENERAL";"TAB4",#N/A,TRUE,"GENERAL";"TAB5",#N/A,TRUE,"GENERAL"}</definedName>
    <definedName name="azaz" localSheetId="8"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localSheetId="8" hidden="1">{"via1",#N/A,TRUE,"general";"via2",#N/A,TRUE,"general";"via3",#N/A,TRUE,"general"}</definedName>
    <definedName name="B" localSheetId="5" hidden="1">{"via1",#N/A,TRUE,"general";"via2",#N/A,TRUE,"general";"via3",#N/A,TRUE,"general"}</definedName>
    <definedName name="B" hidden="1">{"via1",#N/A,TRUE,"general";"via2",#N/A,TRUE,"general";"via3",#N/A,TRUE,"general"}</definedName>
    <definedName name="_xlnm.Database" localSheetId="5">#REF!</definedName>
    <definedName name="_xlnm.Database">#REF!</definedName>
    <definedName name="BB">#N/A</definedName>
    <definedName name="bbbbbb" localSheetId="10" hidden="1">{"via1",#N/A,TRUE,"general";"via2",#N/A,TRUE,"general";"via3",#N/A,TRUE,"general"}</definedName>
    <definedName name="bbbbbb" localSheetId="8"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8"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localSheetId="8"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8"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8"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8"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8"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8"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8"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n" localSheetId="5">#REF!</definedName>
    <definedName name="bn">#REF!</definedName>
    <definedName name="br" localSheetId="10" hidden="1">{"TAB1",#N/A,TRUE,"GENERAL";"TAB2",#N/A,TRUE,"GENERAL";"TAB3",#N/A,TRUE,"GENERAL";"TAB4",#N/A,TRUE,"GENERAL";"TAB5",#N/A,TRUE,"GENERAL"}</definedName>
    <definedName name="br" localSheetId="8"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sb" localSheetId="10" hidden="1">{"via1",#N/A,TRUE,"general";"via2",#N/A,TRUE,"general";"via3",#N/A,TRUE,"general"}</definedName>
    <definedName name="bsb" localSheetId="8"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8"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8"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vbc" localSheetId="10" hidden="1">{"TAB1",#N/A,TRUE,"GENERAL";"TAB2",#N/A,TRUE,"GENERAL";"TAB3",#N/A,TRUE,"GENERAL";"TAB4",#N/A,TRUE,"GENERAL";"TAB5",#N/A,TRUE,"GENERAL"}</definedName>
    <definedName name="bvbc" localSheetId="8"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8"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8"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localSheetId="8"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 localSheetId="5">#REF!</definedName>
    <definedName name="C_">#REF!</definedName>
    <definedName name="CANT" localSheetId="5">#REF!</definedName>
    <definedName name="CANT">#REF!</definedName>
    <definedName name="ccccc" localSheetId="10" hidden="1">{"TAB1",#N/A,TRUE,"GENERAL";"TAB2",#N/A,TRUE,"GENERAL";"TAB3",#N/A,TRUE,"GENERAL";"TAB4",#N/A,TRUE,"GENERAL";"TAB5",#N/A,TRUE,"GENERAL"}</definedName>
    <definedName name="ccccc" localSheetId="8"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5">'[18]A. P. U.'!#REF!</definedName>
    <definedName name="CCCCCC">'[18]A. P. U.'!#REF!</definedName>
    <definedName name="ccto210" localSheetId="5">#REF!</definedName>
    <definedName name="ccto210">#REF!</definedName>
    <definedName name="cd">[19]Hoja1!$C$81</definedName>
    <definedName name="cdcdc" localSheetId="10" hidden="1">{"via1",#N/A,TRUE,"general";"via2",#N/A,TRUE,"general";"via3",#N/A,TRUE,"general"}</definedName>
    <definedName name="cdcdc" localSheetId="8"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[14]CDItem!$G$8</definedName>
    <definedName name="ceerf" localSheetId="10" hidden="1">{"TAB1",#N/A,TRUE,"GENERAL";"TAB2",#N/A,TRUE,"GENERAL";"TAB3",#N/A,TRUE,"GENERAL";"TAB4",#N/A,TRUE,"GENERAL";"TAB5",#N/A,TRUE,"GENERAL"}</definedName>
    <definedName name="ceerf" localSheetId="8"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[20]Insum!$A$3:$H$63</definedName>
    <definedName name="COPIA">#N/A</definedName>
    <definedName name="copiao4">#N/A</definedName>
    <definedName name="corri">#N/A</definedName>
    <definedName name="COSTODIRECTO" localSheetId="5">#REF!</definedName>
    <definedName name="COSTODIRECTO">#REF!</definedName>
    <definedName name="COSTOS">[21]TARIFAS!$A$1:$F$52</definedName>
    <definedName name="CTA" localSheetId="5">#REF!</definedName>
    <definedName name="CTA">#REF!</definedName>
    <definedName name="CUAL">#N/A</definedName>
    <definedName name="CUBS" localSheetId="5">#REF!</definedName>
    <definedName name="CUBS">#REF!</definedName>
    <definedName name="CUNET" localSheetId="10" hidden="1">{"via1",#N/A,TRUE,"general";"via2",#N/A,TRUE,"general";"via3",#N/A,TRUE,"general"}</definedName>
    <definedName name="CUNET" localSheetId="8"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v" localSheetId="10" hidden="1">{"TAB1",#N/A,TRUE,"GENERAL";"TAB2",#N/A,TRUE,"GENERAL";"TAB3",#N/A,TRUE,"GENERAL";"TAB4",#N/A,TRUE,"GENERAL";"TAB5",#N/A,TRUE,"GENERAL"}</definedName>
    <definedName name="cv" localSheetId="8" hidden="1">{"TAB1",#N/A,TRUE,"GENERAL";"TAB2",#N/A,TRUE,"GENERAL";"TAB3",#N/A,TRUE,"GENERAL";"TAB4",#N/A,TRUE,"GENERAL";"TAB5",#N/A,TRUE,"GENERAL"}</definedName>
    <definedName name="cv" localSheetId="5" hidden="1">{"TAB1",#N/A,TRUE,"GENERAL";"TAB2",#N/A,TRUE,"GENERAL";"TAB3",#N/A,TRUE,"GENERAL";"TAB4",#N/A,TRUE,"GENERAL";"TAB5",#N/A,TRUE,"GENERAL"}</definedName>
    <definedName name="cv" hidden="1">{"TAB1",#N/A,TRUE,"GENERAL";"TAB2",#N/A,TRUE,"GENERAL";"TAB3",#N/A,TRUE,"GENERAL";"TAB4",#N/A,TRUE,"GENERAL";"TAB5",#N/A,TRUE,"GENERAL"}</definedName>
    <definedName name="cvfvd" localSheetId="10" hidden="1">{"via1",#N/A,TRUE,"general";"via2",#N/A,TRUE,"general";"via3",#N/A,TRUE,"general"}</definedName>
    <definedName name="cvfvd" localSheetId="8"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8"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8"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localSheetId="8" hidden="1">{"TAB1",#N/A,TRUE,"GENERAL";"TAB2",#N/A,TRUE,"GENERAL";"TAB3",#N/A,TRUE,"GENERAL";"TAB4",#N/A,TRUE,"GENERAL";"TAB5",#N/A,TRUE,"GENERAL"}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ario" localSheetId="5">'[4]GPI 526'!#REF!</definedName>
    <definedName name="dario">'[4]GPI 526'!#REF!</definedName>
    <definedName name="DASD" localSheetId="10" hidden="1">{"TAB1",#N/A,TRUE,"GENERAL";"TAB2",#N/A,TRUE,"GENERAL";"TAB3",#N/A,TRUE,"GENERAL";"TAB4",#N/A,TRUE,"GENERAL";"TAB5",#N/A,TRUE,"GENERAL"}</definedName>
    <definedName name="DASD" localSheetId="8"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acm" localSheetId="5">#REF!</definedName>
    <definedName name="Dcacm">#REF!</definedName>
    <definedName name="DCSDCTV" localSheetId="10" hidden="1">{"via1",#N/A,TRUE,"general";"via2",#N/A,TRUE,"general";"via3",#N/A,TRUE,"general"}</definedName>
    <definedName name="DCSDCTV" localSheetId="8"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5">#REF!</definedName>
    <definedName name="dd">#REF!</definedName>
    <definedName name="ddd" localSheetId="10" hidden="1">{"via1",#N/A,TRUE,"general";"via2",#N/A,TRUE,"general";"via3",#N/A,TRUE,"general"}</definedName>
    <definedName name="ddd" localSheetId="8"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t" localSheetId="10" hidden="1">{"via1",#N/A,TRUE,"general";"via2",#N/A,TRUE,"general";"via3",#N/A,TRUE,"general"}</definedName>
    <definedName name="ddddt" localSheetId="8"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8"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8"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8"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 localSheetId="5">#REF!</definedName>
    <definedName name="demanto">#REF!</definedName>
    <definedName name="DEX" localSheetId="5">#REF!</definedName>
    <definedName name="DEX">#REF!</definedName>
    <definedName name="dfa" localSheetId="10" hidden="1">{"TAB1",#N/A,TRUE,"GENERAL";"TAB2",#N/A,TRUE,"GENERAL";"TAB3",#N/A,TRUE,"GENERAL";"TAB4",#N/A,TRUE,"GENERAL";"TAB5",#N/A,TRUE,"GENERAL"}</definedName>
    <definedName name="dfa" localSheetId="8"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8"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8"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8"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8"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8"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8"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8"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8"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8"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8"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8"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8"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8"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localSheetId="8"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8"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8"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8"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8"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8"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8"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8"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8"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8"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8"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8"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A">[5]PRESUPUESTO!$B$13</definedName>
    <definedName name="djdytj" localSheetId="10"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ry" localSheetId="10" hidden="1">{"via1",#N/A,TRUE,"general";"via2",#N/A,TRUE,"general";"via3",#N/A,TRUE,"general"}</definedName>
    <definedName name="dry" localSheetId="8"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localSheetId="8"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D" localSheetId="10" hidden="1">{"via1",#N/A,TRUE,"general";"via2",#N/A,TRUE,"general";"via3",#N/A,TRUE,"general"}</definedName>
    <definedName name="DSD" localSheetId="8"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8"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8"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8"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8"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8"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8"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3e33" localSheetId="10" hidden="1">{"via1",#N/A,TRUE,"general";"via2",#N/A,TRUE,"general";"via3",#N/A,TRUE,"general"}</definedName>
    <definedName name="e3e33" localSheetId="8"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DEDWSWQA" localSheetId="10"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8"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#N/A</definedName>
    <definedName name="eeedfr" localSheetId="10"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8"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localSheetId="8"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8"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8"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[5]PRESUPUESTO!$E$7</definedName>
    <definedName name="emanto" localSheetId="5">#REF!</definedName>
    <definedName name="emanto">#REF!</definedName>
    <definedName name="eme">#N/A</definedName>
    <definedName name="ENTRADASP" localSheetId="5">#REF!</definedName>
    <definedName name="ENTRADASP">#REF!</definedName>
    <definedName name="equipo">[22]Equipo!$A$7:$A$65536</definedName>
    <definedName name="eqw" localSheetId="10" hidden="1">{"via1",#N/A,TRUE,"general";"via2",#N/A,TRUE,"general";"via3",#N/A,TRUE,"general"}</definedName>
    <definedName name="eqw" localSheetId="8"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g" localSheetId="10" hidden="1">{"TAB1",#N/A,TRUE,"GENERAL";"TAB2",#N/A,TRUE,"GENERAL";"TAB3",#N/A,TRUE,"GENERAL";"TAB4",#N/A,TRUE,"GENERAL";"TAB5",#N/A,TRUE,"GENERAL"}</definedName>
    <definedName name="erg" localSheetId="8"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8"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8"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8"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8"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8"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8"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8"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8"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r" localSheetId="10" hidden="1">{"TAB1",#N/A,TRUE,"GENERAL";"TAB2",#N/A,TRUE,"GENERAL";"TAB3",#N/A,TRUE,"GENERAL";"TAB4",#N/A,TRUE,"GENERAL";"TAB5",#N/A,TRUE,"GENERAL"}</definedName>
    <definedName name="err" localSheetId="8"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t" localSheetId="10" hidden="1">{"via1",#N/A,TRUE,"general";"via2",#N/A,TRUE,"general";"via3",#N/A,TRUE,"general"}</definedName>
    <definedName name="ert" localSheetId="8"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8"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8"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8"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8"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8"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8"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8"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8"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8"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8"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8"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8"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8"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8"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8"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8"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8"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8"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8"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#N/A</definedName>
    <definedName name="ESPECIFICACION" localSheetId="5">#REF!</definedName>
    <definedName name="ESPECIFICACION">#REF!</definedName>
    <definedName name="Especificación" localSheetId="5">#REF!</definedName>
    <definedName name="Especificación">#REF!</definedName>
    <definedName name="etertgg" localSheetId="10" hidden="1">{"via1",#N/A,TRUE,"general";"via2",#N/A,TRUE,"general";"via3",#N/A,TRUE,"general"}</definedName>
    <definedName name="etertgg" localSheetId="8"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8"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8"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8"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8"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8"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8"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8"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8"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8"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8"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8"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8"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C" localSheetId="5">#REF!</definedName>
    <definedName name="EXC">#REF!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[4]SKJ452!#REF!</definedName>
    <definedName name="Excel_BuiltIn_Print_Titles_10">[4]SKJ452!#REF!</definedName>
    <definedName name="Excel_BuiltIn_Print_Titles_11" localSheetId="5">[4]ITA878!#REF!</definedName>
    <definedName name="Excel_BuiltIn_Print_Titles_11">[4]ITA878!#REF!</definedName>
    <definedName name="Excel_BuiltIn_Print_Titles_12" localSheetId="5">'[4]AEA-944'!#REF!</definedName>
    <definedName name="Excel_BuiltIn_Print_Titles_12">'[4]AEA-944'!#REF!</definedName>
    <definedName name="Excel_BuiltIn_Print_Titles_13" localSheetId="5">'[4]DUB-823'!#REF!</definedName>
    <definedName name="Excel_BuiltIn_Print_Titles_13">'[4]DUB-823'!#REF!</definedName>
    <definedName name="Excel_BuiltIn_Print_Titles_14" localSheetId="5">'[4]GPI 526'!#REF!</definedName>
    <definedName name="Excel_BuiltIn_Print_Titles_14">'[4]GPI 526'!#REF!</definedName>
    <definedName name="Excel_BuiltIn_Print_Titles_15" localSheetId="5">#REF!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[4]XXJ617!#REF!</definedName>
    <definedName name="Excel_BuiltIn_Print_Titles_19">[4]XXJ617!#REF!</definedName>
    <definedName name="Excel_BuiltIn_Print_Titles_20" localSheetId="5">#REF!</definedName>
    <definedName name="Excel_BuiltIn_Print_Titles_20">#REF!</definedName>
    <definedName name="Excel_BuiltIn_Print_Titles_21" localSheetId="5">[4]SNG_855!#REF!</definedName>
    <definedName name="Excel_BuiltIn_Print_Titles_21">[4]SNG_855!#REF!</definedName>
    <definedName name="Excel_BuiltIn_Print_Titles_23" localSheetId="5">#REF!</definedName>
    <definedName name="Excel_BuiltIn_Print_Titles_23">#REF!</definedName>
    <definedName name="Excel_BuiltIn_Print_Titles_3" localSheetId="5">#REF!</definedName>
    <definedName name="Excel_BuiltIn_Print_Titles_3">#REF!</definedName>
    <definedName name="Excel_BuiltIn_Print_Titles_5" localSheetId="5">'[4]VEA 374'!#REF!</definedName>
    <definedName name="Excel_BuiltIn_Print_Titles_5">'[4]VEA 374'!#REF!</definedName>
    <definedName name="Excel_BuiltIn_Print_Titles_5_XX" localSheetId="5">'[4]VEA 374'!#REF!</definedName>
    <definedName name="Excel_BuiltIn_Print_Titles_5_XX">'[4]VEA 374'!#REF!</definedName>
    <definedName name="Excel_BuiltIn_Print_Titles_6" localSheetId="5">#REF!</definedName>
    <definedName name="Excel_BuiltIn_Print_Titles_6">#REF!</definedName>
    <definedName name="Excel_BuiltIn_Print_Titles_7" localSheetId="5">[4]HFB024!#REF!</definedName>
    <definedName name="Excel_BuiltIn_Print_Titles_7">[4]HFB024!#REF!</definedName>
    <definedName name="Excel_BuiltIn_Print_Titles_8" localSheetId="5">#REF!</definedName>
    <definedName name="Excel_BuiltIn_Print_Titles_8">#REF!</definedName>
    <definedName name="Excel_BuiltIn_Print_Titles_9" localSheetId="5">[4]PAJ825!#REF!</definedName>
    <definedName name="Excel_BuiltIn_Print_Titles_9">[4]PAJ825!#REF!</definedName>
    <definedName name="EXCROC">'[23]Análisis de precios'!$H$52</definedName>
    <definedName name="FD">#N/A</definedName>
    <definedName name="fda" localSheetId="10" hidden="1">{"TAB1",#N/A,TRUE,"GENERAL";"TAB2",#N/A,TRUE,"GENERAL";"TAB3",#N/A,TRUE,"GENERAL";"TAB4",#N/A,TRUE,"GENERAL";"TAB5",#N/A,TRUE,"GENERAL"}</definedName>
    <definedName name="fda" localSheetId="8"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8"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8"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8"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8"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8"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8"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8"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8"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8"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r" localSheetId="5">'[16]Res-Accide-10'!#REF!</definedName>
    <definedName name="fer">'[16]Res-Accide-10'!#REF!</definedName>
    <definedName name="ferfer" localSheetId="10" hidden="1">{"via1",#N/A,TRUE,"general";"via2",#N/A,TRUE,"general";"via3",#N/A,TRUE,"general"}</definedName>
    <definedName name="ferfer" localSheetId="8"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f">#N/A</definedName>
    <definedName name="fff" localSheetId="10" hidden="1">{"via1",#N/A,TRUE,"general";"via2",#N/A,TRUE,"general";"via3",#N/A,TRUE,"general"}</definedName>
    <definedName name="fff" localSheetId="8"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8"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8"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8"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8"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#N/A</definedName>
    <definedName name="fgdfg" localSheetId="10" hidden="1">{"TAB1",#N/A,TRUE,"GENERAL";"TAB2",#N/A,TRUE,"GENERAL";"TAB3",#N/A,TRUE,"GENERAL";"TAB4",#N/A,TRUE,"GENERAL";"TAB5",#N/A,TRUE,"GENERAL"}</definedName>
    <definedName name="fgdfg" localSheetId="8"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8"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8"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8"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8"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8"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8"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8"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8"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8"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8"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8"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8"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h" localSheetId="10" hidden="1">{"via1",#N/A,TRUE,"general";"via2",#N/A,TRUE,"general";"via3",#N/A,TRUE,"general"}</definedName>
    <definedName name="fhgh" localSheetId="8"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8"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NANCIACION">#N/A</definedName>
    <definedName name="frbgsd" localSheetId="10"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8"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8"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8"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u">#N/A</definedName>
    <definedName name="fwff" localSheetId="10" hidden="1">{"via1",#N/A,TRUE,"general";"via2",#N/A,TRUE,"general";"via3",#N/A,TRUE,"general"}</definedName>
    <definedName name="fwff" localSheetId="8"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8"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AJ" localSheetId="5">#REF!</definedName>
    <definedName name="GAJ">#REF!</definedName>
    <definedName name="gbbfghghj" localSheetId="10"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dt" localSheetId="10" hidden="1">{"TAB1",#N/A,TRUE,"GENERAL";"TAB2",#N/A,TRUE,"GENERAL";"TAB3",#N/A,TRUE,"GENERAL";"TAB4",#N/A,TRUE,"GENERAL";"TAB5",#N/A,TRUE,"GENERAL"}</definedName>
    <definedName name="gdt" localSheetId="8"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localSheetId="8"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otex" localSheetId="5">#REF!</definedName>
    <definedName name="Geotex">#REF!</definedName>
    <definedName name="gerg" localSheetId="10" hidden="1">{"TAB1",#N/A,TRUE,"GENERAL";"TAB2",#N/A,TRUE,"GENERAL";"TAB3",#N/A,TRUE,"GENERAL";"TAB4",#N/A,TRUE,"GENERAL";"TAB5",#N/A,TRUE,"GENERAL"}</definedName>
    <definedName name="gerg" localSheetId="8"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8"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8"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8"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8"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8"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8"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8"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8"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8"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8"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8"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10" hidden="1">{"TAB1",#N/A,TRUE,"GENERAL";"TAB2",#N/A,TRUE,"GENERAL";"TAB3",#N/A,TRUE,"GENERAL";"TAB4",#N/A,TRUE,"GENERAL";"TAB5",#N/A,TRUE,"GENERAL"}</definedName>
    <definedName name="gggb" localSheetId="8"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8"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8"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8"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8"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8"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8"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8"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8"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8"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8"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8"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RAF1ANO" localSheetId="10" hidden="1">{"via1",#N/A,TRUE,"general";"via2",#N/A,TRUE,"general";"via3",#N/A,TRUE,"general"}</definedName>
    <definedName name="GRAF1ANO" localSheetId="8"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egds" localSheetId="10"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8"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SDG" localSheetId="10" hidden="1">{"TAB1",#N/A,TRUE,"GENERAL";"TAB2",#N/A,TRUE,"GENERAL";"TAB3",#N/A,TRUE,"GENERAL";"TAB4",#N/A,TRUE,"GENERAL";"TAB5",#N/A,TRUE,"GENERAL"}</definedName>
    <definedName name="GSDG" localSheetId="8"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8"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[24]BASE!$C$4:$H$255</definedName>
    <definedName name="gtgt" localSheetId="10" hidden="1">{"via1",#N/A,TRUE,"general";"via2",#N/A,TRUE,"general";"via3",#N/A,TRUE,"general"}</definedName>
    <definedName name="gtgt" localSheetId="8"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8"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8"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8"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RE" localSheetId="5">#REF!</definedName>
    <definedName name="GTRE">#REF!</definedName>
    <definedName name="h9h" localSheetId="10" hidden="1">{"via1",#N/A,TRUE,"general";"via2",#N/A,TRUE,"general";"via3",#N/A,TRUE,"general"}</definedName>
    <definedName name="h9h" localSheetId="8"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8"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8"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8"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8"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localSheetId="8"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8"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8"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8"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8"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8"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8"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8"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8"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8"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8"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#N/A</definedName>
    <definedName name="hhh" localSheetId="10" hidden="1">{"TAB1",#N/A,TRUE,"GENERAL";"TAB2",#N/A,TRUE,"GENERAL";"TAB3",#N/A,TRUE,"GENERAL";"TAB4",#N/A,TRUE,"GENERAL";"TAB5",#N/A,TRUE,"GENERAL"}</definedName>
    <definedName name="hhh" localSheetId="8"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8"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8"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8"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jfg" localSheetId="10" hidden="1">{"via1",#N/A,TRUE,"general";"via2",#N/A,TRUE,"general";"via3",#N/A,TRUE,"general"}</definedName>
    <definedName name="hjfg" localSheetId="8"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8"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8"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8"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8"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#N/A</definedName>
    <definedName name="hn" localSheetId="10" hidden="1">{"TAB1",#N/A,TRUE,"GENERAL";"TAB2",#N/A,TRUE,"GENERAL";"TAB3",#N/A,TRUE,"GENERAL";"TAB4",#N/A,TRUE,"GENERAL";"TAB5",#N/A,TRUE,"GENERAL"}</definedName>
    <definedName name="hn" localSheetId="8"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reer" localSheetId="10" hidden="1">{"TAB1",#N/A,TRUE,"GENERAL";"TAB2",#N/A,TRUE,"GENERAL";"TAB3",#N/A,TRUE,"GENERAL";"TAB4",#N/A,TRUE,"GENERAL";"TAB5",#N/A,TRUE,"GENERAL"}</definedName>
    <definedName name="hreer" localSheetId="8"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8"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8"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10" hidden="1">{"via1",#N/A,TRUE,"general";"via2",#N/A,TRUE,"general";"via3",#N/A,TRUE,"general"}</definedName>
    <definedName name="htryrt7" localSheetId="8"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8"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8"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5">#REF!</definedName>
    <definedName name="I">#REF!</definedName>
    <definedName name="i8i" localSheetId="10" hidden="1">{"TAB1",#N/A,TRUE,"GENERAL";"TAB2",#N/A,TRUE,"GENERAL";"TAB3",#N/A,TRUE,"GENERAL";"TAB4",#N/A,TRUE,"GENERAL";"TAB5",#N/A,TRUE,"GENERAL"}</definedName>
    <definedName name="i8i" localSheetId="8"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D">#N/A</definedName>
    <definedName name="IF" localSheetId="5">'[18]A. P. U.'!#REF!</definedName>
    <definedName name="IF">'[18]A. P. U.'!#REF!</definedName>
    <definedName name="ii" localSheetId="10" hidden="1">{"TAB1",#N/A,TRUE,"GENERAL";"TAB2",#N/A,TRUE,"GENERAL";"TAB3",#N/A,TRUE,"GENERAL";"TAB4",#N/A,TRUE,"GENERAL";"TAB5",#N/A,TRUE,"GENERAL"}</definedName>
    <definedName name="ii" localSheetId="8"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8"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8"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8"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[5]otros!$C$3</definedName>
    <definedName name="INDICE" localSheetId="5">#REF!</definedName>
    <definedName name="INDICE">#REF!</definedName>
    <definedName name="inf" localSheetId="5">#REF!</definedName>
    <definedName name="inf">#REF!</definedName>
    <definedName name="Inicio">[14]BASES!$E$26</definedName>
    <definedName name="Insumos_auxiliares" localSheetId="5">[25]Insumos!#REF!</definedName>
    <definedName name="Insumos_auxiliares">[25]Insumos!#REF!</definedName>
    <definedName name="Insumos_basicos" localSheetId="5">#REF!</definedName>
    <definedName name="Insumos_basicos">#REF!</definedName>
    <definedName name="INV_11">'[26]PR 1'!$A$2:$N$655</definedName>
    <definedName name="IOUHH">#N/A</definedName>
    <definedName name="ITEM">[24]BASE!$C$4:$H$255</definedName>
    <definedName name="ITEM1" localSheetId="5">#REF!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UI" localSheetId="10" hidden="1">{"TAB1",#N/A,TRUE,"GENERAL";"TAB2",#N/A,TRUE,"GENERAL";"TAB3",#N/A,TRUE,"GENERAL";"TAB4",#N/A,TRUE,"GENERAL";"TAB5",#N/A,TRUE,"GENERAL"}</definedName>
    <definedName name="IUI" localSheetId="8"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8"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8"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8"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8"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yuiuyi" localSheetId="10" hidden="1">{"via1",#N/A,TRUE,"general";"via2",#N/A,TRUE,"general";"via3",#N/A,TRUE,"general"}</definedName>
    <definedName name="iyuiuyi" localSheetId="8"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8"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8"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8"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8"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8"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8"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8"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8"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8"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8"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10" hidden="1">{"via1",#N/A,TRUE,"general";"via2",#N/A,TRUE,"general";"via3",#N/A,TRUE,"general"}</definedName>
    <definedName name="jj" localSheetId="8" hidden="1">{"via1",#N/A,TRUE,"general";"via2",#N/A,TRUE,"general";"via3",#N/A,TRUE,"general"}</definedName>
    <definedName name="jj" localSheetId="5" hidden="1">{"via1",#N/A,TRUE,"general";"via2",#N/A,TRUE,"general";"via3",#N/A,TRUE,"general"}</definedName>
    <definedName name="jj" hidden="1">{"via1",#N/A,TRUE,"general";"via2",#N/A,TRUE,"general";"via3",#N/A,TRUE,"general"}</definedName>
    <definedName name="jjfq" localSheetId="10" hidden="1">{"via1",#N/A,TRUE,"general";"via2",#N/A,TRUE,"general";"via3",#N/A,TRUE,"general"}</definedName>
    <definedName name="jjfq" localSheetId="8"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8"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8"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8"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8"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10" hidden="1">{"TAB1",#N/A,TRUE,"GENERAL";"TAB2",#N/A,TRUE,"GENERAL";"TAB3",#N/A,TRUE,"GENERAL";"TAB4",#N/A,TRUE,"GENERAL";"TAB5",#N/A,TRUE,"GENERAL"}</definedName>
    <definedName name="jkl" localSheetId="8"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OHNNY">#N/A</definedName>
    <definedName name="JRYJ" localSheetId="10" hidden="1">{"via1",#N/A,TRUE,"general";"via2",#N/A,TRUE,"general";"via3",#N/A,TRUE,"general"}</definedName>
    <definedName name="JRYJ" localSheetId="8"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localSheetId="8"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8"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localSheetId="8"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8"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8"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10" hidden="1">{"via1",#N/A,TRUE,"general";"via2",#N/A,TRUE,"general";"via3",#N/A,TRUE,"general"}</definedName>
    <definedName name="jyjt7" localSheetId="8"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8"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8"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8"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8"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HGGH" localSheetId="10" hidden="1">{"via1",#N/A,TRUE,"general";"via2",#N/A,TRUE,"general";"via3",#N/A,TRUE,"general"}</definedName>
    <definedName name="KHGGH" localSheetId="8"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8"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8"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8"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8"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8"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kki" localSheetId="10" hidden="1">{"via1",#N/A,TRUE,"general";"via2",#N/A,TRUE,"general";"via3",#N/A,TRUE,"general"}</definedName>
    <definedName name="kkkki" localSheetId="8"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#N/A</definedName>
    <definedName name="klklk" localSheetId="5">#REF!</definedName>
    <definedName name="klklk">#REF!</definedName>
    <definedName name="krtrk" localSheetId="10" hidden="1">{"via1",#N/A,TRUE,"general";"via2",#N/A,TRUE,"general";"via3",#N/A,TRUE,"general"}</definedName>
    <definedName name="krtrk" localSheetId="8"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8"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ICITACION" localSheetId="5">#REF!</definedName>
    <definedName name="LICITACION">#REF!</definedName>
    <definedName name="LINEA" localSheetId="5">[27]CONT_ADI!#REF!</definedName>
    <definedName name="LINEA">[27]CONT_ADI!#REF!</definedName>
    <definedName name="liuoo" localSheetId="10" hidden="1">{"TAB1",#N/A,TRUE,"GENERAL";"TAB2",#N/A,TRUE,"GENERAL";"TAB3",#N/A,TRUE,"GENERAL";"TAB4",#N/A,TRUE,"GENERAL";"TAB5",#N/A,TRUE,"GENERAL"}</definedName>
    <definedName name="liuoo" localSheetId="8"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8"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lllh" localSheetId="10" hidden="1">{"via1",#N/A,TRUE,"general";"via2",#N/A,TRUE,"general";"via3",#N/A,TRUE,"general"}</definedName>
    <definedName name="lllllh" localSheetId="8"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localSheetId="8"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CA" localSheetId="5">[8]!absc</definedName>
    <definedName name="LOCA">[8]!absc</definedName>
    <definedName name="LOCA1" localSheetId="5">[17]!absc</definedName>
    <definedName name="LOCA1">[17]!absc</definedName>
    <definedName name="LOCALIZACION_Y_REPLANTEO" localSheetId="5">#REF!</definedName>
    <definedName name="LOCALIZACION_Y_REPLANTEO">#REF!</definedName>
    <definedName name="LOGO">#N/A</definedName>
    <definedName name="lolol" localSheetId="10" hidden="1">{"TAB1",#N/A,TRUE,"GENERAL";"TAB2",#N/A,TRUE,"GENERAL";"TAB3",#N/A,TRUE,"GENERAL";"TAB4",#N/A,TRUE,"GENERAL";"TAB5",#N/A,TRUE,"GENERAL"}</definedName>
    <definedName name="lolol" localSheetId="8"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plpl" localSheetId="10" hidden="1">{"via1",#N/A,TRUE,"general";"via2",#N/A,TRUE,"general";"via3",#N/A,TRUE,"general"}</definedName>
    <definedName name="lplpl" localSheetId="8"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un" localSheetId="5">'[16]Res-Accide-10'!#REF!</definedName>
    <definedName name="lun">'[16]Res-Accide-10'!#REF!</definedName>
    <definedName name="MA" localSheetId="5">'[16]Res-Accide-10'!#REF!</definedName>
    <definedName name="MA">'[16]Res-Accide-10'!#REF!</definedName>
    <definedName name="mafdsf" localSheetId="10" hidden="1">{"via1",#N/A,TRUE,"general";"via2",#N/A,TRUE,"general";"via3",#N/A,TRUE,"general"}</definedName>
    <definedName name="mafdsf" localSheetId="8"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o" localSheetId="10" hidden="1">{"TAB1",#N/A,TRUE,"GENERAL";"TAB2",#N/A,TRUE,"GENERAL";"TAB3",#N/A,TRUE,"GENERAL";"TAB4",#N/A,TRUE,"GENERAL";"TAB5",#N/A,TRUE,"GENERAL"}</definedName>
    <definedName name="mao" localSheetId="8"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8"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[20]Insum!$A$68:$H$98</definedName>
    <definedName name="mar" localSheetId="5">'[16]Res-Accide-10'!#REF!</definedName>
    <definedName name="mar">'[16]Res-Accide-10'!#REF!</definedName>
    <definedName name="masor" localSheetId="10" hidden="1">{"via1",#N/A,TRUE,"general";"via2",#N/A,TRUE,"general";"via3",#N/A,TRUE,"general"}</definedName>
    <definedName name="masor" localSheetId="8"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5">#REF!</definedName>
    <definedName name="MAT">#REF!</definedName>
    <definedName name="materiales">[22]materiales!$A$7:$A$1317</definedName>
    <definedName name="mdd" localSheetId="10" hidden="1">{"via1",#N/A,TRUE,"general";"via2",#N/A,TRUE,"general";"via3",#N/A,TRUE,"general"}</definedName>
    <definedName name="mdd" localSheetId="8"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g" localSheetId="10" hidden="1">{"TAB1",#N/A,TRUE,"GENERAL";"TAB2",#N/A,TRUE,"GENERAL";"TAB3",#N/A,TRUE,"GENERAL";"TAB4",#N/A,TRUE,"GENERAL";"TAB5",#N/A,TRUE,"GENERAL"}</definedName>
    <definedName name="meg" localSheetId="8"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S">[5]PRESUPUESTO!$C$13</definedName>
    <definedName name="MESES" localSheetId="5">#REF!</definedName>
    <definedName name="MESES">#REF!</definedName>
    <definedName name="mfgjrdt" localSheetId="10"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8"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localSheetId="8"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8"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8"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mjmjh" localSheetId="10"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8"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8"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8"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8" hidden="1">{"via1",#N/A,TRUE,"general";"via2",#N/A,TRUE,"general";"via3",#N/A,TRUE,"general"}</definedName>
    <definedName name="MN" localSheetId="5" hidden="1">{"via1",#N/A,TRUE,"general";"via2",#N/A,TRUE,"general";"via3",#N/A,TRUE,"general"}</definedName>
    <definedName name="MN" hidden="1">{"via1",#N/A,TRUE,"general";"via2",#N/A,TRUE,"general";"via3",#N/A,TRUE,"general"}</definedName>
    <definedName name="n" localSheetId="10" hidden="1">{"via1",#N/A,TRUE,"general";"via2",#N/A,TRUE,"general";"via3",#N/A,TRUE,"general"}</definedName>
    <definedName name="n" localSheetId="8" hidden="1">{"via1",#N/A,TRUE,"general";"via2",#N/A,TRUE,"general";"via3",#N/A,TRUE,"general"}</definedName>
    <definedName name="n" localSheetId="5"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localSheetId="8"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8"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8"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8"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8"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8"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8"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8"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8"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localSheetId="8"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8"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8"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8"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8"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8"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8"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#N/A</definedName>
    <definedName name="NOMBRE" localSheetId="5">#REF!</definedName>
    <definedName name="NOMBRE">#REF!</definedName>
    <definedName name="NUEVO" localSheetId="5">#REF!</definedName>
    <definedName name="NUEVO">#REF!</definedName>
    <definedName name="nxn" localSheetId="10" hidden="1">{"via1",#N/A,TRUE,"general";"via2",#N/A,TRUE,"general";"via3",#N/A,TRUE,"general"}</definedName>
    <definedName name="nxn" localSheetId="8"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localSheetId="8"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10" hidden="1">{"via1",#N/A,TRUE,"general";"via2",#N/A,TRUE,"general";"via3",#N/A,TRUE,"general"}</definedName>
    <definedName name="o9o9" localSheetId="8"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[5]PRESUPUESTO!$C$10</definedName>
    <definedName name="Obra" localSheetId="5">#REF!</definedName>
    <definedName name="Obra">#REF!</definedName>
    <definedName name="oiret" localSheetId="10" hidden="1">{"TAB1",#N/A,TRUE,"GENERAL";"TAB2",#N/A,TRUE,"GENERAL";"TAB3",#N/A,TRUE,"GENERAL";"TAB4",#N/A,TRUE,"GENERAL";"TAB5",#N/A,TRUE,"GENERAL"}</definedName>
    <definedName name="oiret" localSheetId="8"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8"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oo" localSheetId="10" hidden="1">{"via1",#N/A,TRUE,"general";"via2",#N/A,TRUE,"general";"via3",#N/A,TRUE,"general"}</definedName>
    <definedName name="ooo" localSheetId="8"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8"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tros">[22]otros!$A$6:$A$1235</definedName>
    <definedName name="P" localSheetId="10" hidden="1">{"via1",#N/A,TRUE,"general";"via2",#N/A,TRUE,"general";"via3",#N/A,TRUE,"general"}</definedName>
    <definedName name="P" localSheetId="8" hidden="1">{"via1",#N/A,TRUE,"general";"via2",#N/A,TRUE,"general";"via3",#N/A,TRUE,"general"}</definedName>
    <definedName name="P" localSheetId="5" hidden="1">{"via1",#N/A,TRUE,"general";"via2",#N/A,TRUE,"general";"via3",#N/A,TRUE,"general"}</definedName>
    <definedName name="P" hidden="1">{"via1",#N/A,TRUE,"general";"via2",#N/A,TRUE,"general";"via3",#N/A,TRUE,"general"}</definedName>
    <definedName name="p0p0" localSheetId="10" hidden="1">{"via1",#N/A,TRUE,"general";"via2",#N/A,TRUE,"general";"via3",#N/A,TRUE,"general"}</definedName>
    <definedName name="p0p0" localSheetId="8"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EPE">#N/A</definedName>
    <definedName name="PKHK" localSheetId="10" hidden="1">{"TAB1",#N/A,TRUE,"GENERAL";"TAB2",#N/A,TRUE,"GENERAL";"TAB3",#N/A,TRUE,"GENERAL";"TAB4",#N/A,TRUE,"GENERAL";"TAB5",#N/A,TRUE,"GENERAL"}</definedName>
    <definedName name="PKHK" localSheetId="8"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8"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localSheetId="8"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zo">[14]BASES!$E$27</definedName>
    <definedName name="PlazoAIU" localSheetId="5">#REF!</definedName>
    <definedName name="PlazoAIU">#REF!</definedName>
    <definedName name="PLPLUNN" localSheetId="10"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OCETAS" localSheetId="5">#REF!</definedName>
    <definedName name="POCETAS">#REF!</definedName>
    <definedName name="POIUP" localSheetId="10" hidden="1">{"via1",#N/A,TRUE,"general";"via2",#N/A,TRUE,"general";"via3",#N/A,TRUE,"general"}</definedName>
    <definedName name="POIUP" localSheetId="8"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8"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8"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10"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[15]BASES!$E$26</definedName>
    <definedName name="pouig" localSheetId="10" hidden="1">{"via1",#N/A,TRUE,"general";"via2",#N/A,TRUE,"general";"via3",#N/A,TRUE,"general"}</definedName>
    <definedName name="pouig" localSheetId="8"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pppp9" localSheetId="10" hidden="1">{"via1",#N/A,TRUE,"general";"via2",#N/A,TRUE,"general";"via3",#N/A,TRUE,"general"}</definedName>
    <definedName name="ppppp9" localSheetId="8"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10" hidden="1">{"via1",#N/A,TRUE,"general";"via2",#N/A,TRUE,"general";"via3",#N/A,TRUE,"general"}</definedName>
    <definedName name="pqroj" localSheetId="8"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E" localSheetId="5">#REF!</definedName>
    <definedName name="PRE">#REF!</definedName>
    <definedName name="PREST" localSheetId="5">#REF!</definedName>
    <definedName name="PREST">#REF!</definedName>
    <definedName name="PRIMER" localSheetId="10" hidden="1">{"via1",#N/A,TRUE,"general";"via2",#N/A,TRUE,"general";"via3",#N/A,TRUE,"general"}</definedName>
    <definedName name="PRIMER" localSheetId="8"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5">#REF!</definedName>
    <definedName name="Print_Area_MI">#REF!</definedName>
    <definedName name="PRINT_TITLES">#N/A</definedName>
    <definedName name="PRINT_TITLES_MI">#N/A</definedName>
    <definedName name="PrOfic">[14]BASES!$B$31</definedName>
    <definedName name="programainv">#N/A</definedName>
    <definedName name="Proponente" localSheetId="5">#REF!</definedName>
    <definedName name="Proponente">#REF!</definedName>
    <definedName name="PRUEBA" localSheetId="5">[28]!absc</definedName>
    <definedName name="PRUEBA">[28]!absc</definedName>
    <definedName name="prueba1" localSheetId="5">[28]!absc</definedName>
    <definedName name="prueba1">[28]!absc</definedName>
    <definedName name="PRUEBA2" localSheetId="5">#REF!</definedName>
    <definedName name="PRUEBA2">#REF!</definedName>
    <definedName name="ptope" localSheetId="10" hidden="1">{"TAB1",#N/A,TRUE,"GENERAL";"TAB2",#N/A,TRUE,"GENERAL";"TAB3",#N/A,TRUE,"GENERAL";"TAB4",#N/A,TRUE,"GENERAL";"TAB5",#N/A,TRUE,"GENERAL"}</definedName>
    <definedName name="ptope" localSheetId="8"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8"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q" localSheetId="10" hidden="1">{"via1",#N/A,TRUE,"general";"via2",#N/A,TRUE,"general";"via3",#N/A,TRUE,"general"}</definedName>
    <definedName name="q" localSheetId="8" hidden="1">{"via1",#N/A,TRUE,"general";"via2",#N/A,TRUE,"general";"via3",#N/A,TRUE,"general"}</definedName>
    <definedName name="q" localSheetId="5" hidden="1">{"via1",#N/A,TRUE,"general";"via2",#N/A,TRUE,"general";"via3",#N/A,TRUE,"general"}</definedName>
    <definedName name="q" hidden="1">{"via1",#N/A,TRUE,"general";"via2",#N/A,TRUE,"general";"via3",#N/A,TRUE,"general"}</definedName>
    <definedName name="q1q1q" localSheetId="10" hidden="1">{"via1",#N/A,TRUE,"general";"via2",#N/A,TRUE,"general";"via3",#N/A,TRUE,"general"}</definedName>
    <definedName name="q1q1q" localSheetId="8"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8"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8"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8"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10" hidden="1">{"via1",#N/A,TRUE,"general";"via2",#N/A,TRUE,"general";"via3",#N/A,TRUE,"general"}</definedName>
    <definedName name="qedcd" localSheetId="8"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8"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localSheetId="8"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8"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8"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localSheetId="8"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qwqwj" localSheetId="10"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ege" localSheetId="10" hidden="1">{"TAB1",#N/A,TRUE,"GENERAL";"TAB2",#N/A,TRUE,"GENERAL";"TAB3",#N/A,TRUE,"GENERAL";"TAB4",#N/A,TRUE,"GENERAL";"TAB5",#N/A,TRUE,"GENERAL"}</definedName>
    <definedName name="rege" localSheetId="8"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#N/A</definedName>
    <definedName name="reinicio">#N/A</definedName>
    <definedName name="REJHE" localSheetId="10" hidden="1">{"via1",#N/A,TRUE,"general";"via2",#N/A,TRUE,"general";"via3",#N/A,TRUE,"general"}</definedName>
    <definedName name="REJHE" localSheetId="8"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l" localSheetId="5">#REF!</definedName>
    <definedName name="rell">#REF!</definedName>
    <definedName name="rer" localSheetId="10" hidden="1">{"via1",#N/A,TRUE,"general";"via2",#N/A,TRUE,"general";"via3",#N/A,TRUE,"general"}</definedName>
    <definedName name="rer" localSheetId="8"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8"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tenc">[14]BASES!$E$31</definedName>
    <definedName name="RETTRE" localSheetId="10" hidden="1">{"via1",#N/A,TRUE,"general";"via2",#N/A,TRUE,"general";"via3",#N/A,TRUE,"general"}</definedName>
    <definedName name="RETTRE" localSheetId="8"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8"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8"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8"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8"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8"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8"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localSheetId="8"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localSheetId="8"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8"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8"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8"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8"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j" localSheetId="10" hidden="1">{"TAB1",#N/A,TRUE,"GENERAL";"TAB2",#N/A,TRUE,"GENERAL";"TAB3",#N/A,TRUE,"GENERAL";"TAB4",#N/A,TRUE,"GENERAL";"TAB5",#N/A,TRUE,"GENERAL"}</definedName>
    <definedName name="rj" localSheetId="8"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8"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8"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8"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8"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8"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r">#N/A</definedName>
    <definedName name="rrr" localSheetId="10" hidden="1">{"via1",#N/A,TRUE,"general";"via2",#N/A,TRUE,"general";"via3",#N/A,TRUE,"general"}</definedName>
    <definedName name="rrr" localSheetId="8"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localSheetId="8"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8"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8"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8"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8"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8"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8"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8"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8"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8"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8"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8"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8"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8"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8"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8"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8"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8"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8"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8"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8"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8"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8"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8"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8"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localSheetId="8"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8"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8"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8"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#N/A</definedName>
    <definedName name="saa" localSheetId="10" hidden="1">{"via1",#N/A,TRUE,"general";"via2",#N/A,TRUE,"general";"via3",#N/A,TRUE,"general"}</definedName>
    <definedName name="saa" localSheetId="8"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8"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8"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8"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8"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8"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[14]BASES!$E$41</definedName>
    <definedName name="sbgfbgdr" localSheetId="10" hidden="1">{"via1",#N/A,TRUE,"general";"via2",#N/A,TRUE,"general";"via3",#N/A,TRUE,"general"}</definedName>
    <definedName name="sbgfbgdr" localSheetId="8"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d" localSheetId="10" hidden="1">{"TAB1",#N/A,TRUE,"GENERAL";"TAB2",#N/A,TRUE,"GENERAL";"TAB3",#N/A,TRUE,"GENERAL";"TAB4",#N/A,TRUE,"GENERAL";"TAB5",#N/A,TRUE,"GENERAL"}</definedName>
    <definedName name="sd" localSheetId="8"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8"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8"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localSheetId="8"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8"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8"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8"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8"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8"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8"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8"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8"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10" hidden="1">{"via1",#N/A,TRUE,"general";"via2",#N/A,TRUE,"general";"via3",#N/A,TRUE,"general"}</definedName>
    <definedName name="sdfsd4" localSheetId="8"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8"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8"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8"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8"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8"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8"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8"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8"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8"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ECTOR" localSheetId="5">#REF!</definedName>
    <definedName name="SECTOR">#REF!</definedName>
    <definedName name="SERO">#N/A</definedName>
    <definedName name="setrj" localSheetId="10" hidden="1">{"via1",#N/A,TRUE,"general";"via2",#N/A,TRUE,"general";"via3",#N/A,TRUE,"general"}</definedName>
    <definedName name="setrj" localSheetId="8"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8"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asf" localSheetId="10" hidden="1">{"TAB1",#N/A,TRUE,"GENERAL";"TAB2",#N/A,TRUE,"GENERAL";"TAB3",#N/A,TRUE,"GENERAL";"TAB4",#N/A,TRUE,"GENERAL";"TAB5",#N/A,TRUE,"GENERAL"}</definedName>
    <definedName name="sfasf" localSheetId="8"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8"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8"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I">#N/A</definedName>
    <definedName name="SISISIS">#N/A</definedName>
    <definedName name="srwrwr" localSheetId="10"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SS">#N/A</definedName>
    <definedName name="sssss7" localSheetId="10" hidden="1">{"via1",#N/A,TRUE,"general";"via2",#N/A,TRUE,"general";"via3",#N/A,TRUE,"general"}</definedName>
    <definedName name="sssss7" localSheetId="8"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8"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localSheetId="8"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ma">[19]Hoja1!$F$60</definedName>
    <definedName name="Summary" localSheetId="5">#REF!</definedName>
    <definedName name="Summary">#REF!</definedName>
    <definedName name="sw">#N/A</definedName>
    <definedName name="swsw" localSheetId="10" hidden="1">{"via1",#N/A,TRUE,"general";"via2",#N/A,TRUE,"general";"via3",#N/A,TRUE,"general"}</definedName>
    <definedName name="swsw" localSheetId="8"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8"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5">[3]!absc</definedName>
    <definedName name="t">[3]!absc</definedName>
    <definedName name="t5t5" localSheetId="10" hidden="1">{"TAB1",#N/A,TRUE,"GENERAL";"TAB2",#N/A,TRUE,"GENERAL";"TAB3",#N/A,TRUE,"GENERAL";"TAB4",#N/A,TRUE,"GENERAL";"TAB5",#N/A,TRUE,"GENERAL"}</definedName>
    <definedName name="t5t5" localSheetId="8"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LA" localSheetId="5">#REF!</definedName>
    <definedName name="TABLA">#REF!</definedName>
    <definedName name="TABLA_DE_CONTENIDO__A1" comment="VOLVER A TABLA DE CONTENIDO">'GENERALIDADES '!$K$27</definedName>
    <definedName name="TARIFAS">[29]TARIFAS!$A$1:$F$52</definedName>
    <definedName name="tdy" localSheetId="10" hidden="1">{"TAB1",#N/A,TRUE,"GENERAL";"TAB2",#N/A,TRUE,"GENERAL";"TAB3",#N/A,TRUE,"GENERAL";"TAB4",#N/A,TRUE,"GENERAL";"TAB5",#N/A,TRUE,"GENERAL"}</definedName>
    <definedName name="tdy" localSheetId="8"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R">#N/A</definedName>
    <definedName name="TERM">#N/A</definedName>
    <definedName name="TÉRMINOS">#N/A</definedName>
    <definedName name="TERR">[5]PRESUPUESTO!$I$7</definedName>
    <definedName name="tewst" localSheetId="10" hidden="1">{"TAB1",#N/A,TRUE,"GENERAL";"TAB2",#N/A,TRUE,"GENERAL";"TAB3",#N/A,TRUE,"GENERAL";"TAB4",#N/A,TRUE,"GENERAL";"TAB5",#N/A,TRUE,"GENERAL"}</definedName>
    <definedName name="tewst" localSheetId="8"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localSheetId="8"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hdh" localSheetId="10" hidden="1">{"TAB1",#N/A,TRUE,"GENERAL";"TAB2",#N/A,TRUE,"GENERAL";"TAB3",#N/A,TRUE,"GENERAL";"TAB4",#N/A,TRUE,"GENERAL";"TAB5",#N/A,TRUE,"GENERAL"}</definedName>
    <definedName name="thdh" localSheetId="8"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10" hidden="1">{"via1",#N/A,TRUE,"general";"via2",#N/A,TRUE,"general";"via3",#N/A,TRUE,"general"}</definedName>
    <definedName name="thtj" localSheetId="8"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[15]BASES!$E$27</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ortas" localSheetId="10"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8"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AL" localSheetId="5">#REF!</definedName>
    <definedName name="TOTAL">#REF!</definedName>
    <definedName name="tr" localSheetId="10" hidden="1">{"TAB1",#N/A,TRUE,"GENERAL";"TAB2",#N/A,TRUE,"GENERAL";"TAB3",#N/A,TRUE,"GENERAL";"TAB4",#N/A,TRUE,"GENERAL";"TAB5",#N/A,TRUE,"GENERAL"}</definedName>
    <definedName name="tr" localSheetId="8"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T">[30]desmonte!$E$48</definedName>
    <definedName name="trest" localSheetId="10" hidden="1">{"TAB1",#N/A,TRUE,"GENERAL";"TAB2",#N/A,TRUE,"GENERAL";"TAB3",#N/A,TRUE,"GENERAL";"TAB4",#N/A,TRUE,"GENERAL";"TAB5",#N/A,TRUE,"GENERAL"}</definedName>
    <definedName name="trest" localSheetId="8"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8"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8"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8"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localSheetId="8"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8"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8"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8"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8"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8"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8"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8"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8"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10" hidden="1">{"via1",#N/A,TRUE,"general";"via2",#N/A,TRUE,"general";"via3",#N/A,TRUE,"general"}</definedName>
    <definedName name="TTR" localSheetId="8"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8"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8"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8"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8"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8"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8"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r" localSheetId="10" hidden="1">{"TAB1",#N/A,TRUE,"GENERAL";"TAB2",#N/A,TRUE,"GENERAL";"TAB3",#N/A,TRUE,"GENERAL";"TAB4",#N/A,TRUE,"GENERAL";"TAB5",#N/A,TRUE,"GENERAL"}</definedName>
    <definedName name="tur" localSheetId="8"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8"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10" hidden="1">{"TAB1",#N/A,TRUE,"GENERAL";"TAB2",#N/A,TRUE,"GENERAL";"TAB3",#N/A,TRUE,"GENERAL";"TAB4",#N/A,TRUE,"GENERAL";"TAB5",#N/A,TRUE,"GENERAL"}</definedName>
    <definedName name="twer" localSheetId="8"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8"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8"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8"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8"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8"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8"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8"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8"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8"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8"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8"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8"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5">#REF!</definedName>
    <definedName name="U">#REF!</definedName>
    <definedName name="u3u" localSheetId="10" hidden="1">{"TAB1",#N/A,TRUE,"GENERAL";"TAB2",#N/A,TRUE,"GENERAL";"TAB3",#N/A,TRUE,"GENERAL";"TAB4",#N/A,TRUE,"GENERAL";"TAB5",#N/A,TRUE,"GENERAL"}</definedName>
    <definedName name="u3u" localSheetId="8"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8"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I" localSheetId="10" hidden="1">{"via1",#N/A,TRUE,"general";"via2",#N/A,TRUE,"general";"via3",#N/A,TRUE,"general"}</definedName>
    <definedName name="UI" localSheetId="8"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8"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8"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8"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8"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8"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8"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NITARIO">[31]Unitarios!$A$3:$D$13</definedName>
    <definedName name="Unitarios" localSheetId="5">#REF!</definedName>
    <definedName name="Unitarios">#REF!</definedName>
    <definedName name="uno">#N/A</definedName>
    <definedName name="UOUIV" localSheetId="10" hidden="1">{"TAB1",#N/A,TRUE,"GENERAL";"TAB2",#N/A,TRUE,"GENERAL";"TAB3",#N/A,TRUE,"GENERAL";"TAB4",#N/A,TRUE,"GENERAL";"TAB5",#N/A,TRUE,"GENERAL"}</definedName>
    <definedName name="UOUIV" localSheetId="8"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10" hidden="1">{"TAB1",#N/A,TRUE,"GENERAL";"TAB2",#N/A,TRUE,"GENERAL";"TAB3",#N/A,TRUE,"GENERAL";"TAB4",#N/A,TRUE,"GENERAL";"TAB5",#N/A,TRUE,"GENERAL"}</definedName>
    <definedName name="uryur" localSheetId="8"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TL">[5]otros!$C$4</definedName>
    <definedName name="uu" localSheetId="10" hidden="1">{"TAB1",#N/A,TRUE,"GENERAL";"TAB2",#N/A,TRUE,"GENERAL";"TAB3",#N/A,TRUE,"GENERAL";"TAB4",#N/A,TRUE,"GENERAL";"TAB5",#N/A,TRUE,"GENERAL"}</definedName>
    <definedName name="uu" localSheetId="8"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8"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8"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8"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wkap" localSheetId="10" hidden="1">{"TAB1",#N/A,TRUE,"GENERAL";"TAB2",#N/A,TRUE,"GENERAL";"TAB3",#N/A,TRUE,"GENERAL";"TAB4",#N/A,TRUE,"GENERAL";"TAB5",#N/A,TRUE,"GENERAL"}</definedName>
    <definedName name="uwkap" localSheetId="8"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8"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8"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localSheetId="8"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bvbvbvb" localSheetId="10"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dfvuio" localSheetId="10" hidden="1">{"via1",#N/A,TRUE,"general";"via2",#N/A,TRUE,"general";"via3",#N/A,TRUE,"general"}</definedName>
    <definedName name="vdfvuio" localSheetId="8"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8"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 localSheetId="5">#REF!</definedName>
    <definedName name="VentaAiu">#REF!</definedName>
    <definedName name="vfbgnhyt" localSheetId="10" hidden="1">{"via1",#N/A,TRUE,"general";"via2",#N/A,TRUE,"general";"via3",#N/A,TRUE,"general"}</definedName>
    <definedName name="vfbgnhyt" localSheetId="8"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8"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8"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k" localSheetId="10" hidden="1">{"via1",#N/A,TRUE,"general";"via2",#N/A,TRUE,"general";"via3",#N/A,TRUE,"general"}</definedName>
    <definedName name="vk" localSheetId="8"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8"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8"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sdfj" localSheetId="10" hidden="1">{"via1",#N/A,TRUE,"general";"via2",#N/A,TRUE,"general";"via3",#N/A,TRUE,"general"}</definedName>
    <definedName name="vsdfj" localSheetId="8"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8"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8"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 localSheetId="5">#REF!</definedName>
    <definedName name="VVV">#REF!</definedName>
    <definedName name="vvvvt" localSheetId="10" hidden="1">{"via1",#N/A,TRUE,"general";"via2",#N/A,TRUE,"general";"via3",#N/A,TRUE,"general"}</definedName>
    <definedName name="vvvvt" localSheetId="8"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8"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8"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8"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DFSDF" localSheetId="5">'[16]Res-Accide-10'!#REF!</definedName>
    <definedName name="WDFSDF">'[16]Res-Accide-10'!#REF!</definedName>
    <definedName name="WEFWE" localSheetId="5">'[16]Res-Accide-10'!#REF!</definedName>
    <definedName name="WEFWE">'[16]Res-Accide-10'!#REF!</definedName>
    <definedName name="WER">'[16]Res-Accide-10'!$S$2:$S$7</definedName>
    <definedName name="werew" localSheetId="10" hidden="1">{"TAB1",#N/A,TRUE,"GENERAL";"TAB2",#N/A,TRUE,"GENERAL";"TAB3",#N/A,TRUE,"GENERAL";"TAB4",#N/A,TRUE,"GENERAL";"TAB5",#N/A,TRUE,"GENERAL"}</definedName>
    <definedName name="werew" localSheetId="8"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8"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8"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8"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8"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8"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8"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8"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8"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8"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5">'[16]Res-Accide-10'!#REF!</definedName>
    <definedName name="WILSON">'[16]Res-Accide-10'!#REF!</definedName>
    <definedName name="WQEEWQ" localSheetId="10"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via." localSheetId="10" hidden="1">{"via1",#N/A,TRUE,"general";"via2",#N/A,TRUE,"general";"via3",#N/A,TRUE,"general"}</definedName>
    <definedName name="wrn.via." localSheetId="8"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10" hidden="1">{"via1",#N/A,TRUE,"general";"via2",#N/A,TRUE,"general";"via3",#N/A,TRUE,"general"}</definedName>
    <definedName name="wsnhed" localSheetId="8"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8"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8"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ded3" localSheetId="10" hidden="1">{"via1",#N/A,TRUE,"general";"via2",#N/A,TRUE,"general";"via3",#N/A,TRUE,"general"}</definedName>
    <definedName name="wwded3" localSheetId="8"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localSheetId="8"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8"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cbvbs" localSheetId="10"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sxs" localSheetId="10" hidden="1">{"TAB1",#N/A,TRUE,"GENERAL";"TAB2",#N/A,TRUE,"GENERAL";"TAB3",#N/A,TRUE,"GENERAL";"TAB4",#N/A,TRUE,"GENERAL";"TAB5",#N/A,TRUE,"GENERAL"}</definedName>
    <definedName name="xsxs" localSheetId="8"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10" hidden="1">{"via1",#N/A,TRUE,"general";"via2",#N/A,TRUE,"general";"via3",#N/A,TRUE,"general"}</definedName>
    <definedName name="xxfg" localSheetId="8"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xx" localSheetId="5">[32]!absc</definedName>
    <definedName name="xxxxx">[32]!absc</definedName>
    <definedName name="xxxxxds" localSheetId="10" hidden="1">{"via1",#N/A,TRUE,"general";"via2",#N/A,TRUE,"general";"via3",#N/A,TRUE,"general"}</definedName>
    <definedName name="xxxxxds" localSheetId="8"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XXXX" localSheetId="5">#REF!</definedName>
    <definedName name="XXXXXXXXXX">#REF!</definedName>
    <definedName name="xxxxxxxxxx29" localSheetId="10" hidden="1">{"via1",#N/A,TRUE,"general";"via2",#N/A,TRUE,"general";"via3",#N/A,TRUE,"general"}</definedName>
    <definedName name="xxxxxxxxxx29" localSheetId="8"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XZV" localSheetId="10" hidden="1">{"via1",#N/A,TRUE,"general";"via2",#N/A,TRUE,"general";"via3",#N/A,TRUE,"general"}</definedName>
    <definedName name="XZXZV" localSheetId="8"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5">[8]!absc</definedName>
    <definedName name="Y">[8]!absc</definedName>
    <definedName name="y6y6" localSheetId="10" hidden="1">{"via1",#N/A,TRUE,"general";"via2",#N/A,TRUE,"general";"via3",#N/A,TRUE,"general"}</definedName>
    <definedName name="y6y6" localSheetId="8"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5">#REF!</definedName>
    <definedName name="YA">#REF!</definedName>
    <definedName name="yery" localSheetId="10" hidden="1">{"via1",#N/A,TRUE,"general";"via2",#N/A,TRUE,"general";"via3",#N/A,TRUE,"general"}</definedName>
    <definedName name="yery" localSheetId="8"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localSheetId="8"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8"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rey" localSheetId="10" hidden="1">{"via1",#N/A,TRUE,"general";"via2",#N/A,TRUE,"general";"via3",#N/A,TRUE,"general"}</definedName>
    <definedName name="yrey" localSheetId="8"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8"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8"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8"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8"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8"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8"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8"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8"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8"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8"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8"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8"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8"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8"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8"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localSheetId="8"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8"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8"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dervr" localSheetId="10" hidden="1">{"via1",#N/A,TRUE,"general";"via2",#N/A,TRUE,"general";"via3",#N/A,TRUE,"general"}</definedName>
    <definedName name="zdervr" localSheetId="8"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5">#REF!</definedName>
    <definedName name="ZDF">#REF!</definedName>
    <definedName name="zx">#N/A</definedName>
    <definedName name="zxczds" localSheetId="10"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8"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8"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 localSheetId="5">'[18]A. P. U.'!#REF!</definedName>
    <definedName name="ZZZZZZZZZZZ">'[18]A. P. U.'!#REF!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C23" i="15" l="1"/>
  <c r="BC11" i="15"/>
  <c r="AW11" i="15"/>
  <c r="AQ45" i="15"/>
  <c r="AQ11" i="15"/>
  <c r="AK34" i="15"/>
  <c r="AK11" i="15"/>
  <c r="AE45" i="15"/>
  <c r="S23" i="15"/>
  <c r="M34" i="15"/>
  <c r="M23" i="15"/>
  <c r="G34" i="15"/>
  <c r="A45" i="15"/>
  <c r="A34" i="15"/>
  <c r="G132" i="13" l="1"/>
  <c r="H132" i="13" s="1"/>
  <c r="G133" i="13"/>
  <c r="H133" i="13" s="1"/>
  <c r="G134" i="13"/>
  <c r="H134" i="13" s="1"/>
  <c r="G135" i="13"/>
  <c r="H135" i="13" s="1"/>
  <c r="G136" i="13"/>
  <c r="H136" i="13"/>
  <c r="E136" i="13"/>
  <c r="D136" i="13"/>
  <c r="B136" i="13"/>
  <c r="E132" i="13"/>
  <c r="E133" i="13"/>
  <c r="E134" i="13"/>
  <c r="E135" i="13"/>
  <c r="D132" i="13"/>
  <c r="D133" i="13"/>
  <c r="D134" i="13"/>
  <c r="D135" i="13"/>
  <c r="B135" i="13"/>
  <c r="B134" i="13"/>
  <c r="B133" i="13"/>
  <c r="B132" i="13"/>
  <c r="G131" i="13"/>
  <c r="H131" i="13"/>
  <c r="E131" i="13"/>
  <c r="D131" i="13"/>
  <c r="B131" i="13"/>
  <c r="G130" i="13"/>
  <c r="E130" i="13"/>
  <c r="D130" i="13"/>
  <c r="B130" i="13"/>
  <c r="G129" i="13"/>
  <c r="H129" i="13" s="1"/>
  <c r="E129" i="13"/>
  <c r="D129" i="13"/>
  <c r="B129" i="13"/>
  <c r="G128" i="13"/>
  <c r="H128" i="13" s="1"/>
  <c r="E128" i="13"/>
  <c r="D128" i="13"/>
  <c r="B128" i="13"/>
  <c r="G127" i="13"/>
  <c r="H127" i="13" s="1"/>
  <c r="E127" i="13"/>
  <c r="D127" i="13"/>
  <c r="B127" i="13"/>
  <c r="G126" i="13"/>
  <c r="H126" i="13" s="1"/>
  <c r="E126" i="13"/>
  <c r="D126" i="13"/>
  <c r="B126" i="13"/>
  <c r="G490" i="13"/>
  <c r="F490" i="13"/>
  <c r="E490" i="13"/>
  <c r="D490" i="13"/>
  <c r="B490" i="13"/>
  <c r="F493" i="13"/>
  <c r="F491" i="13"/>
  <c r="F489" i="13"/>
  <c r="F488" i="13"/>
  <c r="F487" i="13"/>
  <c r="G494" i="13"/>
  <c r="F494" i="13"/>
  <c r="E494" i="13"/>
  <c r="D494" i="13"/>
  <c r="B494" i="13"/>
  <c r="G493" i="13"/>
  <c r="H493" i="13"/>
  <c r="E493" i="13"/>
  <c r="D493" i="13"/>
  <c r="B493" i="13"/>
  <c r="G492" i="13"/>
  <c r="E492" i="13"/>
  <c r="D492" i="13"/>
  <c r="B492" i="13"/>
  <c r="G491" i="13"/>
  <c r="E491" i="13"/>
  <c r="D491" i="13"/>
  <c r="B491" i="13"/>
  <c r="G489" i="13"/>
  <c r="H489" i="13" s="1"/>
  <c r="E489" i="13"/>
  <c r="D489" i="13"/>
  <c r="B489" i="13"/>
  <c r="G488" i="13"/>
  <c r="H488" i="13" s="1"/>
  <c r="E488" i="13"/>
  <c r="D488" i="13"/>
  <c r="B488" i="13"/>
  <c r="G487" i="13"/>
  <c r="E487" i="13"/>
  <c r="D487" i="13"/>
  <c r="B487" i="13"/>
  <c r="G1270" i="13"/>
  <c r="G1269" i="13"/>
  <c r="G1268" i="13"/>
  <c r="G1267" i="13"/>
  <c r="H1267" i="13" s="1"/>
  <c r="E1270" i="13"/>
  <c r="E1269" i="13"/>
  <c r="E1268" i="13"/>
  <c r="E1267" i="13"/>
  <c r="D1270" i="13"/>
  <c r="D1269" i="13"/>
  <c r="D1268" i="13"/>
  <c r="D1267" i="13"/>
  <c r="G1260" i="13"/>
  <c r="E1260" i="13"/>
  <c r="D1260" i="13"/>
  <c r="E1254" i="13"/>
  <c r="D1254" i="13"/>
  <c r="E1249" i="13"/>
  <c r="E1248" i="13"/>
  <c r="E1247" i="13"/>
  <c r="E1246" i="13"/>
  <c r="E1245" i="13"/>
  <c r="E1244" i="13"/>
  <c r="E1243" i="13"/>
  <c r="E1242" i="13"/>
  <c r="E1241" i="13"/>
  <c r="E1240" i="13"/>
  <c r="D1249" i="13"/>
  <c r="D1248" i="13"/>
  <c r="D1247" i="13"/>
  <c r="D1246" i="13"/>
  <c r="D1245" i="13"/>
  <c r="D1244" i="13"/>
  <c r="D1243" i="13"/>
  <c r="D1242" i="13"/>
  <c r="D1241" i="13"/>
  <c r="D1240" i="13"/>
  <c r="E1234" i="13"/>
  <c r="E1233" i="13"/>
  <c r="E1232" i="13"/>
  <c r="D1234" i="13"/>
  <c r="D1233" i="13"/>
  <c r="D1232" i="13"/>
  <c r="E1226" i="13"/>
  <c r="E1225" i="13"/>
  <c r="E1224" i="13"/>
  <c r="D1226" i="13"/>
  <c r="D1225" i="13"/>
  <c r="D1224" i="13"/>
  <c r="E1212" i="13"/>
  <c r="E1211" i="13"/>
  <c r="E1210" i="13"/>
  <c r="E1209" i="13"/>
  <c r="E1208" i="13"/>
  <c r="E1207" i="13"/>
  <c r="E1206" i="13"/>
  <c r="D1212" i="13"/>
  <c r="D1211" i="13"/>
  <c r="D1210" i="13"/>
  <c r="D1209" i="13"/>
  <c r="D1208" i="13"/>
  <c r="D1207" i="13"/>
  <c r="D1206" i="13"/>
  <c r="E1200" i="13"/>
  <c r="E1199" i="13"/>
  <c r="E1198" i="13"/>
  <c r="E1197" i="13"/>
  <c r="E1196" i="13"/>
  <c r="E1195" i="13"/>
  <c r="E1194" i="13"/>
  <c r="E1193" i="13"/>
  <c r="D1200" i="13"/>
  <c r="D1199" i="13"/>
  <c r="D1198" i="13"/>
  <c r="D1197" i="13"/>
  <c r="D1196" i="13"/>
  <c r="D1195" i="13"/>
  <c r="D1194" i="13"/>
  <c r="D1193" i="13"/>
  <c r="G1028" i="13"/>
  <c r="G1184" i="13"/>
  <c r="G1247" i="13"/>
  <c r="G1185" i="13"/>
  <c r="E1186" i="13"/>
  <c r="E1185" i="13"/>
  <c r="E1184" i="13"/>
  <c r="E1183" i="13"/>
  <c r="E1182" i="13"/>
  <c r="E1181" i="13"/>
  <c r="D1186" i="13"/>
  <c r="D1185" i="13"/>
  <c r="D1184" i="13"/>
  <c r="D1183" i="13"/>
  <c r="D1182" i="13"/>
  <c r="D1181" i="13"/>
  <c r="G1164" i="13"/>
  <c r="G1161" i="13"/>
  <c r="H1161" i="13" s="1"/>
  <c r="G1159" i="13"/>
  <c r="G1158" i="13"/>
  <c r="E1168" i="13"/>
  <c r="E1167" i="13"/>
  <c r="E1166" i="13"/>
  <c r="E1165" i="13"/>
  <c r="E1164" i="13"/>
  <c r="E1163" i="13"/>
  <c r="E1162" i="13"/>
  <c r="E1161" i="13"/>
  <c r="E1160" i="13"/>
  <c r="E1159" i="13"/>
  <c r="E1158" i="13"/>
  <c r="E1157" i="13"/>
  <c r="E1156" i="13"/>
  <c r="D1168" i="13"/>
  <c r="D1167" i="13"/>
  <c r="D1166" i="13"/>
  <c r="D1165" i="13"/>
  <c r="D1164" i="13"/>
  <c r="D1163" i="13"/>
  <c r="D1162" i="13"/>
  <c r="D1161" i="13"/>
  <c r="D1160" i="13"/>
  <c r="D1159" i="13"/>
  <c r="D1158" i="13"/>
  <c r="D1157" i="13"/>
  <c r="D1156" i="13"/>
  <c r="G1147" i="13"/>
  <c r="G1144" i="13"/>
  <c r="G1142" i="13"/>
  <c r="G1141" i="13"/>
  <c r="E1150" i="13"/>
  <c r="E1149" i="13"/>
  <c r="E1148" i="13"/>
  <c r="E1147" i="13"/>
  <c r="E1146" i="13"/>
  <c r="E1145" i="13"/>
  <c r="E1144" i="13"/>
  <c r="E1143" i="13"/>
  <c r="E1142" i="13"/>
  <c r="E1141" i="13"/>
  <c r="E1140" i="13"/>
  <c r="E1139" i="13"/>
  <c r="D1150" i="13"/>
  <c r="D1149" i="13"/>
  <c r="D1148" i="13"/>
  <c r="D1147" i="13"/>
  <c r="D1146" i="13"/>
  <c r="D1145" i="13"/>
  <c r="D1144" i="13"/>
  <c r="D1143" i="13"/>
  <c r="D1142" i="13"/>
  <c r="D1141" i="13"/>
  <c r="D1140" i="13"/>
  <c r="D1139" i="13"/>
  <c r="G1132" i="13"/>
  <c r="G1131" i="13"/>
  <c r="E1133" i="13"/>
  <c r="E1132" i="13"/>
  <c r="E1131" i="13"/>
  <c r="E1130" i="13"/>
  <c r="D1133" i="13"/>
  <c r="D1132" i="13"/>
  <c r="D1131" i="13"/>
  <c r="D1130" i="13"/>
  <c r="G1123" i="13"/>
  <c r="G1122" i="13"/>
  <c r="E1124" i="13"/>
  <c r="E1123" i="13"/>
  <c r="E1122" i="13"/>
  <c r="E1121" i="13"/>
  <c r="D1124" i="13"/>
  <c r="D1123" i="13"/>
  <c r="D1122" i="13"/>
  <c r="D1121" i="13"/>
  <c r="E1112" i="13"/>
  <c r="D1112" i="13"/>
  <c r="E1106" i="13"/>
  <c r="E1105" i="13"/>
  <c r="E1104" i="13"/>
  <c r="E1103" i="13"/>
  <c r="E1102" i="13"/>
  <c r="D1106" i="13"/>
  <c r="D1105" i="13"/>
  <c r="D1104" i="13"/>
  <c r="D1103" i="13"/>
  <c r="D1102" i="13"/>
  <c r="G1092" i="13"/>
  <c r="E1092" i="13"/>
  <c r="E1091" i="13"/>
  <c r="D1092" i="13"/>
  <c r="D1091" i="13"/>
  <c r="E1083" i="13"/>
  <c r="E1082" i="13"/>
  <c r="E1081" i="13"/>
  <c r="E1080" i="13"/>
  <c r="D1083" i="13"/>
  <c r="D1082" i="13"/>
  <c r="D1081" i="13"/>
  <c r="D1080" i="13"/>
  <c r="G1070" i="13"/>
  <c r="G1067" i="13"/>
  <c r="E1074" i="13"/>
  <c r="E1073" i="13"/>
  <c r="E1072" i="13"/>
  <c r="E1071" i="13"/>
  <c r="E1070" i="13"/>
  <c r="E1069" i="13"/>
  <c r="E1068" i="13"/>
  <c r="E1067" i="13"/>
  <c r="E1066" i="13"/>
  <c r="E1065" i="13"/>
  <c r="D1074" i="13"/>
  <c r="D1073" i="13"/>
  <c r="D1072" i="13"/>
  <c r="D1071" i="13"/>
  <c r="D1070" i="13"/>
  <c r="D1069" i="13"/>
  <c r="D1068" i="13"/>
  <c r="D1067" i="13"/>
  <c r="D1066" i="13"/>
  <c r="D1065" i="13"/>
  <c r="G1058" i="13"/>
  <c r="G1057" i="13"/>
  <c r="E1059" i="13"/>
  <c r="E1058" i="13"/>
  <c r="E1057" i="13"/>
  <c r="E1056" i="13"/>
  <c r="D1059" i="13"/>
  <c r="D1058" i="13"/>
  <c r="D1057" i="13"/>
  <c r="D1056" i="13"/>
  <c r="G1048" i="13"/>
  <c r="E1049" i="13"/>
  <c r="E1048" i="13"/>
  <c r="E1047" i="13"/>
  <c r="E1046" i="13"/>
  <c r="D1049" i="13"/>
  <c r="D1048" i="13"/>
  <c r="D1047" i="13"/>
  <c r="D1046" i="13"/>
  <c r="G1039" i="13"/>
  <c r="E1040" i="13"/>
  <c r="E1039" i="13"/>
  <c r="E1038" i="13"/>
  <c r="E1037" i="13"/>
  <c r="D1040" i="13"/>
  <c r="D1039" i="13"/>
  <c r="D1038" i="13"/>
  <c r="D1037" i="13"/>
  <c r="G1027" i="13"/>
  <c r="E1031" i="13"/>
  <c r="E1030" i="13"/>
  <c r="E1029" i="13"/>
  <c r="E1028" i="13"/>
  <c r="E1027" i="13"/>
  <c r="E1026" i="13"/>
  <c r="E1025" i="13"/>
  <c r="D1031" i="13"/>
  <c r="D1030" i="13"/>
  <c r="D1029" i="13"/>
  <c r="D1028" i="13"/>
  <c r="D1027" i="13"/>
  <c r="D1026" i="13"/>
  <c r="D1025" i="13"/>
  <c r="E1017" i="13"/>
  <c r="E1016" i="13"/>
  <c r="D1017" i="13"/>
  <c r="D1016" i="13"/>
  <c r="G1008" i="13"/>
  <c r="G1005" i="13"/>
  <c r="E1010" i="13"/>
  <c r="E1009" i="13"/>
  <c r="E1008" i="13"/>
  <c r="E1007" i="13"/>
  <c r="E1006" i="13"/>
  <c r="E1005" i="13"/>
  <c r="E1004" i="13"/>
  <c r="E1003" i="13"/>
  <c r="D1010" i="13"/>
  <c r="D1009" i="13"/>
  <c r="D1008" i="13"/>
  <c r="D1007" i="13"/>
  <c r="D1006" i="13"/>
  <c r="D1005" i="13"/>
  <c r="D1004" i="13"/>
  <c r="D1003" i="13"/>
  <c r="G995" i="13"/>
  <c r="G992" i="13"/>
  <c r="G988" i="13"/>
  <c r="E997" i="13"/>
  <c r="E996" i="13"/>
  <c r="E995" i="13"/>
  <c r="E994" i="13"/>
  <c r="E993" i="13"/>
  <c r="E992" i="13"/>
  <c r="E991" i="13"/>
  <c r="E990" i="13"/>
  <c r="E989" i="13"/>
  <c r="E988" i="13"/>
  <c r="E987" i="13"/>
  <c r="D997" i="13"/>
  <c r="D996" i="13"/>
  <c r="D995" i="13"/>
  <c r="D994" i="13"/>
  <c r="D993" i="13"/>
  <c r="D992" i="13"/>
  <c r="D991" i="13"/>
  <c r="D990" i="13"/>
  <c r="D989" i="13"/>
  <c r="D988" i="13"/>
  <c r="D987" i="13"/>
  <c r="G977" i="13"/>
  <c r="G973" i="13"/>
  <c r="E981" i="13"/>
  <c r="E980" i="13"/>
  <c r="E979" i="13"/>
  <c r="E978" i="13"/>
  <c r="E977" i="13"/>
  <c r="E976" i="13"/>
  <c r="E975" i="13"/>
  <c r="E974" i="13"/>
  <c r="E973" i="13"/>
  <c r="E972" i="13"/>
  <c r="E971" i="13"/>
  <c r="E970" i="13"/>
  <c r="E969" i="13"/>
  <c r="E968" i="13"/>
  <c r="E967" i="13"/>
  <c r="D981" i="13"/>
  <c r="D980" i="13"/>
  <c r="D979" i="13"/>
  <c r="D978" i="13"/>
  <c r="D977" i="13"/>
  <c r="D976" i="13"/>
  <c r="D975" i="13"/>
  <c r="D974" i="13"/>
  <c r="D973" i="13"/>
  <c r="D972" i="13"/>
  <c r="D971" i="13"/>
  <c r="D970" i="13"/>
  <c r="D969" i="13"/>
  <c r="D968" i="13"/>
  <c r="D967" i="13"/>
  <c r="G959" i="13"/>
  <c r="G956" i="13"/>
  <c r="E961" i="13"/>
  <c r="E960" i="13"/>
  <c r="E959" i="13"/>
  <c r="E958" i="13"/>
  <c r="E957" i="13"/>
  <c r="E956" i="13"/>
  <c r="E955" i="13"/>
  <c r="E954" i="13"/>
  <c r="D961" i="13"/>
  <c r="D960" i="13"/>
  <c r="D959" i="13"/>
  <c r="D958" i="13"/>
  <c r="D957" i="13"/>
  <c r="D956" i="13"/>
  <c r="D955" i="13"/>
  <c r="D954" i="13"/>
  <c r="G946" i="13"/>
  <c r="G943" i="13"/>
  <c r="E948" i="13"/>
  <c r="E947" i="13"/>
  <c r="E946" i="13"/>
  <c r="E945" i="13"/>
  <c r="E944" i="13"/>
  <c r="E943" i="13"/>
  <c r="E942" i="13"/>
  <c r="E941" i="13"/>
  <c r="D948" i="13"/>
  <c r="D947" i="13"/>
  <c r="D946" i="13"/>
  <c r="D945" i="13"/>
  <c r="D944" i="13"/>
  <c r="D943" i="13"/>
  <c r="D942" i="13"/>
  <c r="D941" i="13"/>
  <c r="D616" i="13"/>
  <c r="G930" i="13"/>
  <c r="G928" i="13"/>
  <c r="E934" i="13"/>
  <c r="E933" i="13"/>
  <c r="E932" i="13"/>
  <c r="E931" i="13"/>
  <c r="E930" i="13"/>
  <c r="E929" i="13"/>
  <c r="E928" i="13"/>
  <c r="E927" i="13"/>
  <c r="E926" i="13"/>
  <c r="E925" i="13"/>
  <c r="E924" i="13"/>
  <c r="E923" i="13"/>
  <c r="E922" i="13"/>
  <c r="D934" i="13"/>
  <c r="D933" i="13"/>
  <c r="D932" i="13"/>
  <c r="D931" i="13"/>
  <c r="D930" i="13"/>
  <c r="D929" i="13"/>
  <c r="D928" i="13"/>
  <c r="D927" i="13"/>
  <c r="D926" i="13"/>
  <c r="D925" i="13"/>
  <c r="D924" i="13"/>
  <c r="D923" i="13"/>
  <c r="D922" i="13"/>
  <c r="G914" i="13"/>
  <c r="G911" i="13"/>
  <c r="G907" i="13"/>
  <c r="E916" i="13"/>
  <c r="E915" i="13"/>
  <c r="E914" i="13"/>
  <c r="E913" i="13"/>
  <c r="E912" i="13"/>
  <c r="E911" i="13"/>
  <c r="E910" i="13"/>
  <c r="E909" i="13"/>
  <c r="E908" i="13"/>
  <c r="E907" i="13"/>
  <c r="E906" i="13"/>
  <c r="D916" i="13"/>
  <c r="D915" i="13"/>
  <c r="D914" i="13"/>
  <c r="D913" i="13"/>
  <c r="D912" i="13"/>
  <c r="D911" i="13"/>
  <c r="D910" i="13"/>
  <c r="D909" i="13"/>
  <c r="D908" i="13"/>
  <c r="D907" i="13"/>
  <c r="D906" i="13"/>
  <c r="G897" i="13"/>
  <c r="G894" i="13"/>
  <c r="E900" i="13"/>
  <c r="E899" i="13"/>
  <c r="E898" i="13"/>
  <c r="E897" i="13"/>
  <c r="E896" i="13"/>
  <c r="E895" i="13"/>
  <c r="E894" i="13"/>
  <c r="E893" i="13"/>
  <c r="E892" i="13"/>
  <c r="E891" i="13"/>
  <c r="E890" i="13"/>
  <c r="D900" i="13"/>
  <c r="D899" i="13"/>
  <c r="D898" i="13"/>
  <c r="D897" i="13"/>
  <c r="D896" i="13"/>
  <c r="D895" i="13"/>
  <c r="D894" i="13"/>
  <c r="D893" i="13"/>
  <c r="D892" i="13"/>
  <c r="D891" i="13"/>
  <c r="D890" i="13"/>
  <c r="G882" i="13"/>
  <c r="G879" i="13"/>
  <c r="E884" i="13"/>
  <c r="E883" i="13"/>
  <c r="E882" i="13"/>
  <c r="E881" i="13"/>
  <c r="E880" i="13"/>
  <c r="E879" i="13"/>
  <c r="E878" i="13"/>
  <c r="E877" i="13"/>
  <c r="D884" i="13"/>
  <c r="D883" i="13"/>
  <c r="D882" i="13"/>
  <c r="D881" i="13"/>
  <c r="D880" i="13"/>
  <c r="D879" i="13"/>
  <c r="D878" i="13"/>
  <c r="D877" i="13"/>
  <c r="G869" i="13"/>
  <c r="G866" i="13"/>
  <c r="E871" i="13"/>
  <c r="E870" i="13"/>
  <c r="E869" i="13"/>
  <c r="E868" i="13"/>
  <c r="E867" i="13"/>
  <c r="E866" i="13"/>
  <c r="E865" i="13"/>
  <c r="D871" i="13"/>
  <c r="D870" i="13"/>
  <c r="D869" i="13"/>
  <c r="D868" i="13"/>
  <c r="D867" i="13"/>
  <c r="D866" i="13"/>
  <c r="D865" i="13"/>
  <c r="G853" i="13"/>
  <c r="G850" i="13"/>
  <c r="E857" i="13"/>
  <c r="E856" i="13"/>
  <c r="E855" i="13"/>
  <c r="E854" i="13"/>
  <c r="E853" i="13"/>
  <c r="E852" i="13"/>
  <c r="E851" i="13"/>
  <c r="E850" i="13"/>
  <c r="E849" i="13"/>
  <c r="E848" i="13"/>
  <c r="E847" i="13"/>
  <c r="E846" i="13"/>
  <c r="D857" i="13"/>
  <c r="D856" i="13"/>
  <c r="D855" i="13"/>
  <c r="D854" i="13"/>
  <c r="D853" i="13"/>
  <c r="D852" i="13"/>
  <c r="D851" i="13"/>
  <c r="D850" i="13"/>
  <c r="D849" i="13"/>
  <c r="D848" i="13"/>
  <c r="D847" i="13"/>
  <c r="D846" i="13"/>
  <c r="G837" i="13"/>
  <c r="G834" i="13"/>
  <c r="E839" i="13"/>
  <c r="E838" i="13"/>
  <c r="E837" i="13"/>
  <c r="E836" i="13"/>
  <c r="E835" i="13"/>
  <c r="E834" i="13"/>
  <c r="E833" i="13"/>
  <c r="E832" i="13"/>
  <c r="D839" i="13"/>
  <c r="D838" i="13"/>
  <c r="D837" i="13"/>
  <c r="D836" i="13"/>
  <c r="D835" i="13"/>
  <c r="D834" i="13"/>
  <c r="D833" i="13"/>
  <c r="D832" i="13"/>
  <c r="G823" i="13"/>
  <c r="G820" i="13"/>
  <c r="E825" i="13"/>
  <c r="E824" i="13"/>
  <c r="E823" i="13"/>
  <c r="E822" i="13"/>
  <c r="E821" i="13"/>
  <c r="E820" i="13"/>
  <c r="E819" i="13"/>
  <c r="D825" i="13"/>
  <c r="D824" i="13"/>
  <c r="D823" i="13"/>
  <c r="D822" i="13"/>
  <c r="D821" i="13"/>
  <c r="D820" i="13"/>
  <c r="D819" i="13"/>
  <c r="G812" i="13"/>
  <c r="G808" i="13"/>
  <c r="G805" i="13"/>
  <c r="G804" i="13"/>
  <c r="G803" i="13"/>
  <c r="H803" i="13" s="1"/>
  <c r="G801" i="13"/>
  <c r="H801" i="13" s="1"/>
  <c r="E812" i="13"/>
  <c r="E811" i="13"/>
  <c r="E810" i="13"/>
  <c r="E809" i="13"/>
  <c r="E808" i="13"/>
  <c r="E807" i="13"/>
  <c r="E806" i="13"/>
  <c r="E805" i="13"/>
  <c r="E804" i="13"/>
  <c r="E803" i="13"/>
  <c r="E802" i="13"/>
  <c r="E801" i="13"/>
  <c r="D812" i="13"/>
  <c r="D811" i="13"/>
  <c r="D810" i="13"/>
  <c r="D809" i="13"/>
  <c r="D808" i="13"/>
  <c r="D807" i="13"/>
  <c r="D806" i="13"/>
  <c r="D805" i="13"/>
  <c r="D804" i="13"/>
  <c r="D803" i="13"/>
  <c r="D802" i="13"/>
  <c r="D801" i="13"/>
  <c r="G792" i="13"/>
  <c r="G791" i="13"/>
  <c r="G789" i="13"/>
  <c r="G788" i="13"/>
  <c r="G787" i="13"/>
  <c r="G785" i="13"/>
  <c r="G784" i="13"/>
  <c r="E794" i="13"/>
  <c r="E793" i="13"/>
  <c r="E792" i="13"/>
  <c r="E791" i="13"/>
  <c r="E790" i="13"/>
  <c r="E789" i="13"/>
  <c r="E788" i="13"/>
  <c r="E787" i="13"/>
  <c r="E786" i="13"/>
  <c r="E785" i="13"/>
  <c r="E784" i="13"/>
  <c r="D794" i="13"/>
  <c r="D793" i="13"/>
  <c r="D792" i="13"/>
  <c r="D791" i="13"/>
  <c r="D790" i="13"/>
  <c r="D789" i="13"/>
  <c r="D788" i="13"/>
  <c r="D787" i="13"/>
  <c r="D786" i="13"/>
  <c r="D785" i="13"/>
  <c r="D784" i="13"/>
  <c r="G777" i="13"/>
  <c r="G776" i="13"/>
  <c r="G774" i="13"/>
  <c r="G773" i="13"/>
  <c r="E778" i="13"/>
  <c r="E777" i="13"/>
  <c r="E776" i="13"/>
  <c r="E775" i="13"/>
  <c r="E774" i="13"/>
  <c r="E773" i="13"/>
  <c r="D778" i="13"/>
  <c r="D777" i="13"/>
  <c r="D776" i="13"/>
  <c r="D775" i="13"/>
  <c r="D774" i="13"/>
  <c r="D773" i="13"/>
  <c r="G767" i="13"/>
  <c r="H767" i="13" s="1"/>
  <c r="G765" i="13"/>
  <c r="G764" i="13"/>
  <c r="G762" i="13"/>
  <c r="G761" i="13"/>
  <c r="E767" i="13"/>
  <c r="E766" i="13"/>
  <c r="E765" i="13"/>
  <c r="E764" i="13"/>
  <c r="E763" i="13"/>
  <c r="E762" i="13"/>
  <c r="E761" i="13"/>
  <c r="D767" i="13"/>
  <c r="D766" i="13"/>
  <c r="D765" i="13"/>
  <c r="D764" i="13"/>
  <c r="D763" i="13"/>
  <c r="D762" i="13"/>
  <c r="D761" i="13"/>
  <c r="G753" i="13"/>
  <c r="G752" i="13"/>
  <c r="G750" i="13"/>
  <c r="G749" i="13"/>
  <c r="G748" i="13"/>
  <c r="G747" i="13"/>
  <c r="G745" i="13"/>
  <c r="E755" i="13"/>
  <c r="E754" i="13"/>
  <c r="E753" i="13"/>
  <c r="E752" i="13"/>
  <c r="E751" i="13"/>
  <c r="E750" i="13"/>
  <c r="E749" i="13"/>
  <c r="E748" i="13"/>
  <c r="E747" i="13"/>
  <c r="E746" i="13"/>
  <c r="E745" i="13"/>
  <c r="D755" i="13"/>
  <c r="D754" i="13"/>
  <c r="D753" i="13"/>
  <c r="D752" i="13"/>
  <c r="D751" i="13"/>
  <c r="D750" i="13"/>
  <c r="D749" i="13"/>
  <c r="D748" i="13"/>
  <c r="D747" i="13"/>
  <c r="D746" i="13"/>
  <c r="D745" i="13"/>
  <c r="G738" i="13"/>
  <c r="E739" i="13"/>
  <c r="E738" i="13"/>
  <c r="D739" i="13"/>
  <c r="D738" i="13"/>
  <c r="G732" i="13"/>
  <c r="G728" i="13"/>
  <c r="G727" i="13"/>
  <c r="G725" i="13"/>
  <c r="G724" i="13"/>
  <c r="G723" i="13"/>
  <c r="G722" i="13"/>
  <c r="G720" i="13"/>
  <c r="E732" i="13"/>
  <c r="E731" i="13"/>
  <c r="E730" i="13"/>
  <c r="E729" i="13"/>
  <c r="E728" i="13"/>
  <c r="E727" i="13"/>
  <c r="E726" i="13"/>
  <c r="E725" i="13"/>
  <c r="E724" i="13"/>
  <c r="E723" i="13"/>
  <c r="E722" i="13"/>
  <c r="E721" i="13"/>
  <c r="E720" i="13"/>
  <c r="D732" i="13"/>
  <c r="D731" i="13"/>
  <c r="D730" i="13"/>
  <c r="D729" i="13"/>
  <c r="D728" i="13"/>
  <c r="D727" i="13"/>
  <c r="D726" i="13"/>
  <c r="D725" i="13"/>
  <c r="D724" i="13"/>
  <c r="D723" i="13"/>
  <c r="D722" i="13"/>
  <c r="D721" i="13"/>
  <c r="D720" i="13"/>
  <c r="G714" i="13"/>
  <c r="G713" i="13"/>
  <c r="H713" i="13" s="1"/>
  <c r="G711" i="13"/>
  <c r="G710" i="13"/>
  <c r="G709" i="13"/>
  <c r="E714" i="13"/>
  <c r="E713" i="13"/>
  <c r="E712" i="13"/>
  <c r="E711" i="13"/>
  <c r="E710" i="13"/>
  <c r="E709" i="13"/>
  <c r="D714" i="13"/>
  <c r="D713" i="13"/>
  <c r="D712" i="13"/>
  <c r="D711" i="13"/>
  <c r="D710" i="13"/>
  <c r="D709" i="13"/>
  <c r="G701" i="13"/>
  <c r="G700" i="13"/>
  <c r="G698" i="13"/>
  <c r="G697" i="13"/>
  <c r="G696" i="13"/>
  <c r="G695" i="13"/>
  <c r="G693" i="13"/>
  <c r="E703" i="13"/>
  <c r="E702" i="13"/>
  <c r="E701" i="13"/>
  <c r="E700" i="13"/>
  <c r="E699" i="13"/>
  <c r="E698" i="13"/>
  <c r="E697" i="13"/>
  <c r="E696" i="13"/>
  <c r="E695" i="13"/>
  <c r="E694" i="13"/>
  <c r="E693" i="13"/>
  <c r="D703" i="13"/>
  <c r="D702" i="13"/>
  <c r="D701" i="13"/>
  <c r="D700" i="13"/>
  <c r="D699" i="13"/>
  <c r="D698" i="13"/>
  <c r="D697" i="13"/>
  <c r="D696" i="13"/>
  <c r="D695" i="13"/>
  <c r="D694" i="13"/>
  <c r="D693" i="13"/>
  <c r="G685" i="13"/>
  <c r="G684" i="13"/>
  <c r="G682" i="13"/>
  <c r="G681" i="13"/>
  <c r="G680" i="13"/>
  <c r="G679" i="13"/>
  <c r="G677" i="13"/>
  <c r="E687" i="13"/>
  <c r="E686" i="13"/>
  <c r="E685" i="13"/>
  <c r="E684" i="13"/>
  <c r="E683" i="13"/>
  <c r="E682" i="13"/>
  <c r="E681" i="13"/>
  <c r="E680" i="13"/>
  <c r="E679" i="13"/>
  <c r="E678" i="13"/>
  <c r="E677" i="13"/>
  <c r="D687" i="13"/>
  <c r="D686" i="13"/>
  <c r="D685" i="13"/>
  <c r="D684" i="13"/>
  <c r="D683" i="13"/>
  <c r="D682" i="13"/>
  <c r="D681" i="13"/>
  <c r="D680" i="13"/>
  <c r="D679" i="13"/>
  <c r="D678" i="13"/>
  <c r="D677" i="13"/>
  <c r="G669" i="13"/>
  <c r="G668" i="13"/>
  <c r="G666" i="13"/>
  <c r="G665" i="13"/>
  <c r="G664" i="13"/>
  <c r="G663" i="13"/>
  <c r="G662" i="13"/>
  <c r="E671" i="13"/>
  <c r="E670" i="13"/>
  <c r="E669" i="13"/>
  <c r="E668" i="13"/>
  <c r="E667" i="13"/>
  <c r="E666" i="13"/>
  <c r="E665" i="13"/>
  <c r="E664" i="13"/>
  <c r="E663" i="13"/>
  <c r="E662" i="13"/>
  <c r="E661" i="13"/>
  <c r="D671" i="13"/>
  <c r="D670" i="13"/>
  <c r="D669" i="13"/>
  <c r="D668" i="13"/>
  <c r="D667" i="13"/>
  <c r="D666" i="13"/>
  <c r="D665" i="13"/>
  <c r="D664" i="13"/>
  <c r="D663" i="13"/>
  <c r="D662" i="13"/>
  <c r="D661" i="13"/>
  <c r="G652" i="13"/>
  <c r="G649" i="13"/>
  <c r="H649" i="13" s="1"/>
  <c r="G646" i="13"/>
  <c r="G645" i="13"/>
  <c r="G644" i="13"/>
  <c r="H644" i="13" s="1"/>
  <c r="G642" i="13"/>
  <c r="E652" i="13"/>
  <c r="E651" i="13"/>
  <c r="E650" i="13"/>
  <c r="E649" i="13"/>
  <c r="E648" i="13"/>
  <c r="E647" i="13"/>
  <c r="E646" i="13"/>
  <c r="E645" i="13"/>
  <c r="E644" i="13"/>
  <c r="E643" i="13"/>
  <c r="E642" i="13"/>
  <c r="D652" i="13"/>
  <c r="D651" i="13"/>
  <c r="D650" i="13"/>
  <c r="D649" i="13"/>
  <c r="D648" i="13"/>
  <c r="D647" i="13"/>
  <c r="D646" i="13"/>
  <c r="D645" i="13"/>
  <c r="D644" i="13"/>
  <c r="D643" i="13"/>
  <c r="D642" i="13"/>
  <c r="G635" i="13"/>
  <c r="G634" i="13"/>
  <c r="G631" i="13"/>
  <c r="G630" i="13"/>
  <c r="G627" i="13"/>
  <c r="G626" i="13"/>
  <c r="E636" i="13"/>
  <c r="E635" i="13"/>
  <c r="E634" i="13"/>
  <c r="E633" i="13"/>
  <c r="E632" i="13"/>
  <c r="E631" i="13"/>
  <c r="E630" i="13"/>
  <c r="E629" i="13"/>
  <c r="E628" i="13"/>
  <c r="E627" i="13"/>
  <c r="E626" i="13"/>
  <c r="E625" i="13"/>
  <c r="D636" i="13"/>
  <c r="D635" i="13"/>
  <c r="D634" i="13"/>
  <c r="D633" i="13"/>
  <c r="D632" i="13"/>
  <c r="D631" i="13"/>
  <c r="D630" i="13"/>
  <c r="D629" i="13"/>
  <c r="D628" i="13"/>
  <c r="D627" i="13"/>
  <c r="D626" i="13"/>
  <c r="D625" i="13"/>
  <c r="D619" i="13"/>
  <c r="D618" i="13"/>
  <c r="D617" i="13"/>
  <c r="D615" i="13"/>
  <c r="D614" i="13"/>
  <c r="D613" i="13"/>
  <c r="D612" i="13"/>
  <c r="D611" i="13"/>
  <c r="D610" i="13"/>
  <c r="D609" i="13"/>
  <c r="D608" i="13"/>
  <c r="E619" i="13"/>
  <c r="E618" i="13"/>
  <c r="E617" i="13"/>
  <c r="E616" i="13"/>
  <c r="E615" i="13"/>
  <c r="E614" i="13"/>
  <c r="E613" i="13"/>
  <c r="E612" i="13"/>
  <c r="E611" i="13"/>
  <c r="E610" i="13"/>
  <c r="E609" i="13"/>
  <c r="E608" i="13"/>
  <c r="E601" i="13"/>
  <c r="G619" i="13"/>
  <c r="G618" i="13"/>
  <c r="G616" i="13"/>
  <c r="H616" i="13" s="1"/>
  <c r="G613" i="13"/>
  <c r="G610" i="13"/>
  <c r="G609" i="13"/>
  <c r="G608" i="13"/>
  <c r="H608" i="13"/>
  <c r="E600" i="13"/>
  <c r="D601" i="13"/>
  <c r="D600" i="13"/>
  <c r="G594" i="13"/>
  <c r="G593" i="13"/>
  <c r="G591" i="13"/>
  <c r="G590" i="13"/>
  <c r="G588" i="13"/>
  <c r="G586" i="13"/>
  <c r="G583" i="13"/>
  <c r="G582" i="13"/>
  <c r="G580" i="13"/>
  <c r="G579" i="13"/>
  <c r="E594" i="13"/>
  <c r="E593" i="13"/>
  <c r="E592" i="13"/>
  <c r="E591" i="13"/>
  <c r="E590" i="13"/>
  <c r="E589" i="13"/>
  <c r="E588" i="13"/>
  <c r="E587" i="13"/>
  <c r="E586" i="13"/>
  <c r="E585" i="13"/>
  <c r="E584" i="13"/>
  <c r="E583" i="13"/>
  <c r="E582" i="13"/>
  <c r="E581" i="13"/>
  <c r="E580" i="13"/>
  <c r="E579" i="13"/>
  <c r="D594" i="13"/>
  <c r="D593" i="13"/>
  <c r="D592" i="13"/>
  <c r="D591" i="13"/>
  <c r="D590" i="13"/>
  <c r="D589" i="13"/>
  <c r="D588" i="13"/>
  <c r="D587" i="13"/>
  <c r="D586" i="13"/>
  <c r="D585" i="13"/>
  <c r="D584" i="13"/>
  <c r="D583" i="13"/>
  <c r="D582" i="13"/>
  <c r="D581" i="13"/>
  <c r="D580" i="13"/>
  <c r="D579" i="13"/>
  <c r="G571" i="13"/>
  <c r="H571" i="13" s="1"/>
  <c r="G569" i="13"/>
  <c r="G568" i="13"/>
  <c r="H568" i="13" s="1"/>
  <c r="H572" i="13" s="1"/>
  <c r="H573" i="13" s="1"/>
  <c r="H574" i="13" s="1"/>
  <c r="F34" i="7" s="1"/>
  <c r="G567" i="13"/>
  <c r="G566" i="13"/>
  <c r="H566" i="13"/>
  <c r="E571" i="13"/>
  <c r="E570" i="13"/>
  <c r="E569" i="13"/>
  <c r="E568" i="13"/>
  <c r="E567" i="13"/>
  <c r="E566" i="13"/>
  <c r="D571" i="13"/>
  <c r="D570" i="13"/>
  <c r="D569" i="13"/>
  <c r="D568" i="13"/>
  <c r="D567" i="13"/>
  <c r="D566" i="13"/>
  <c r="G560" i="13"/>
  <c r="H560" i="13" s="1"/>
  <c r="G557" i="13"/>
  <c r="G555" i="13"/>
  <c r="G554" i="13"/>
  <c r="E560" i="13"/>
  <c r="E559" i="13"/>
  <c r="E558" i="13"/>
  <c r="E557" i="13"/>
  <c r="E556" i="13"/>
  <c r="E555" i="13"/>
  <c r="E554" i="13"/>
  <c r="E553" i="13"/>
  <c r="E552" i="13"/>
  <c r="E551" i="13"/>
  <c r="D560" i="13"/>
  <c r="D559" i="13"/>
  <c r="D558" i="13"/>
  <c r="D557" i="13"/>
  <c r="D556" i="13"/>
  <c r="D555" i="13"/>
  <c r="D554" i="13"/>
  <c r="D553" i="13"/>
  <c r="D552" i="13"/>
  <c r="D551" i="13"/>
  <c r="G545" i="13"/>
  <c r="G544" i="13"/>
  <c r="G541" i="13"/>
  <c r="G538" i="13"/>
  <c r="G537" i="13"/>
  <c r="G533" i="13"/>
  <c r="E545" i="13"/>
  <c r="E544" i="13"/>
  <c r="E543" i="13"/>
  <c r="E542" i="13"/>
  <c r="E541" i="13"/>
  <c r="E540" i="13"/>
  <c r="E539" i="13"/>
  <c r="E538" i="13"/>
  <c r="E537" i="13"/>
  <c r="E536" i="13"/>
  <c r="E535" i="13"/>
  <c r="E534" i="13"/>
  <c r="E533" i="13"/>
  <c r="D545" i="13"/>
  <c r="D544" i="13"/>
  <c r="D543" i="13"/>
  <c r="D542" i="13"/>
  <c r="D541" i="13"/>
  <c r="D540" i="13"/>
  <c r="D539" i="13"/>
  <c r="D538" i="13"/>
  <c r="D537" i="13"/>
  <c r="D536" i="13"/>
  <c r="D535" i="13"/>
  <c r="D534" i="13"/>
  <c r="D533" i="13"/>
  <c r="G527" i="13"/>
  <c r="H527" i="13"/>
  <c r="G526" i="13"/>
  <c r="G523" i="13"/>
  <c r="G520" i="13"/>
  <c r="H520" i="13" s="1"/>
  <c r="G519" i="13"/>
  <c r="G515" i="13"/>
  <c r="H515" i="13" s="1"/>
  <c r="E527" i="13"/>
  <c r="E526" i="13"/>
  <c r="E525" i="13"/>
  <c r="E524" i="13"/>
  <c r="E523" i="13"/>
  <c r="E522" i="13"/>
  <c r="E521" i="13"/>
  <c r="E520" i="13"/>
  <c r="E519" i="13"/>
  <c r="E518" i="13"/>
  <c r="E517" i="13"/>
  <c r="E516" i="13"/>
  <c r="E515" i="13"/>
  <c r="D527" i="13"/>
  <c r="D526" i="13"/>
  <c r="D525" i="13"/>
  <c r="D524" i="13"/>
  <c r="D523" i="13"/>
  <c r="D522" i="13"/>
  <c r="D521" i="13"/>
  <c r="D520" i="13"/>
  <c r="D519" i="13"/>
  <c r="D518" i="13"/>
  <c r="D517" i="13"/>
  <c r="D516" i="13"/>
  <c r="D515" i="13"/>
  <c r="G509" i="13"/>
  <c r="G508" i="13"/>
  <c r="G503" i="13"/>
  <c r="G502" i="13"/>
  <c r="G500" i="13"/>
  <c r="H500" i="13" s="1"/>
  <c r="E509" i="13"/>
  <c r="E508" i="13"/>
  <c r="E507" i="13"/>
  <c r="E506" i="13"/>
  <c r="E505" i="13"/>
  <c r="E504" i="13"/>
  <c r="E503" i="13"/>
  <c r="E502" i="13"/>
  <c r="E501" i="13"/>
  <c r="E500" i="13"/>
  <c r="D509" i="13"/>
  <c r="D508" i="13"/>
  <c r="D507" i="13"/>
  <c r="D506" i="13"/>
  <c r="D505" i="13"/>
  <c r="D504" i="13"/>
  <c r="D503" i="13"/>
  <c r="D502" i="13"/>
  <c r="D501" i="13"/>
  <c r="D500" i="13"/>
  <c r="G481" i="13"/>
  <c r="H481" i="13"/>
  <c r="G480" i="13"/>
  <c r="G478" i="13"/>
  <c r="H478" i="13" s="1"/>
  <c r="G474" i="13"/>
  <c r="G471" i="13"/>
  <c r="G470" i="13"/>
  <c r="H470" i="13" s="1"/>
  <c r="G466" i="13"/>
  <c r="H466" i="13" s="1"/>
  <c r="E481" i="13"/>
  <c r="E480" i="13"/>
  <c r="E479" i="13"/>
  <c r="E478" i="13"/>
  <c r="E477" i="13"/>
  <c r="E476" i="13"/>
  <c r="E475" i="13"/>
  <c r="E474" i="13"/>
  <c r="E473" i="13"/>
  <c r="E472" i="13"/>
  <c r="E471" i="13"/>
  <c r="E470" i="13"/>
  <c r="E469" i="13"/>
  <c r="E468" i="13"/>
  <c r="E467" i="13"/>
  <c r="E466" i="13"/>
  <c r="D481" i="13"/>
  <c r="D480" i="13"/>
  <c r="D479" i="13"/>
  <c r="D478" i="13"/>
  <c r="D477" i="13"/>
  <c r="D476" i="13"/>
  <c r="D475" i="13"/>
  <c r="D474" i="13"/>
  <c r="D473" i="13"/>
  <c r="D472" i="13"/>
  <c r="D471" i="13"/>
  <c r="D470" i="13"/>
  <c r="D469" i="13"/>
  <c r="D468" i="13"/>
  <c r="D467" i="13"/>
  <c r="D466" i="13"/>
  <c r="G459" i="13"/>
  <c r="H459" i="13" s="1"/>
  <c r="G457" i="13"/>
  <c r="H457" i="13"/>
  <c r="G456" i="13"/>
  <c r="G455" i="13"/>
  <c r="H455" i="13" s="1"/>
  <c r="E459" i="13"/>
  <c r="E458" i="13"/>
  <c r="E457" i="13"/>
  <c r="E456" i="13"/>
  <c r="E455" i="13"/>
  <c r="D459" i="13"/>
  <c r="D458" i="13"/>
  <c r="D457" i="13"/>
  <c r="D456" i="13"/>
  <c r="D455" i="13"/>
  <c r="G448" i="13"/>
  <c r="G446" i="13"/>
  <c r="H446" i="13" s="1"/>
  <c r="G445" i="13"/>
  <c r="H445" i="13" s="1"/>
  <c r="E448" i="13"/>
  <c r="E447" i="13"/>
  <c r="E446" i="13"/>
  <c r="E445" i="13"/>
  <c r="D448" i="13"/>
  <c r="D447" i="13"/>
  <c r="D446" i="13"/>
  <c r="D445" i="13"/>
  <c r="G439" i="13"/>
  <c r="H439" i="13" s="1"/>
  <c r="G437" i="13"/>
  <c r="G434" i="13"/>
  <c r="H434" i="13" s="1"/>
  <c r="G433" i="13"/>
  <c r="H433" i="13" s="1"/>
  <c r="E439" i="13"/>
  <c r="E438" i="13"/>
  <c r="E437" i="13"/>
  <c r="E436" i="13"/>
  <c r="E435" i="13"/>
  <c r="E434" i="13"/>
  <c r="E433" i="13"/>
  <c r="D439" i="13"/>
  <c r="D438" i="13"/>
  <c r="D437" i="13"/>
  <c r="D436" i="13"/>
  <c r="D435" i="13"/>
  <c r="D434" i="13"/>
  <c r="D433" i="13"/>
  <c r="G426" i="13"/>
  <c r="H426" i="13" s="1"/>
  <c r="G424" i="13"/>
  <c r="G423" i="13"/>
  <c r="H423" i="13" s="1"/>
  <c r="E427" i="13"/>
  <c r="E426" i="13"/>
  <c r="E425" i="13"/>
  <c r="E424" i="13"/>
  <c r="E423" i="13"/>
  <c r="D427" i="13"/>
  <c r="D426" i="13"/>
  <c r="D425" i="13"/>
  <c r="D424" i="13"/>
  <c r="D423" i="13"/>
  <c r="G417" i="13"/>
  <c r="G415" i="13"/>
  <c r="G414" i="13"/>
  <c r="G413" i="13"/>
  <c r="G412" i="13"/>
  <c r="E417" i="13"/>
  <c r="E416" i="13"/>
  <c r="E415" i="13"/>
  <c r="E414" i="13"/>
  <c r="E413" i="13"/>
  <c r="E412" i="13"/>
  <c r="D417" i="13"/>
  <c r="D416" i="13"/>
  <c r="D415" i="13"/>
  <c r="D414" i="13"/>
  <c r="D413" i="13"/>
  <c r="D412" i="13"/>
  <c r="G406" i="13"/>
  <c r="H406" i="13" s="1"/>
  <c r="G403" i="13"/>
  <c r="H403" i="13" s="1"/>
  <c r="G401" i="13"/>
  <c r="G400" i="13"/>
  <c r="G399" i="13"/>
  <c r="H399" i="13" s="1"/>
  <c r="E406" i="13"/>
  <c r="E405" i="13"/>
  <c r="E404" i="13"/>
  <c r="E403" i="13"/>
  <c r="E402" i="13"/>
  <c r="E401" i="13"/>
  <c r="E400" i="13"/>
  <c r="E399" i="13"/>
  <c r="D406" i="13"/>
  <c r="D405" i="13"/>
  <c r="D404" i="13"/>
  <c r="D403" i="13"/>
  <c r="D402" i="13"/>
  <c r="D401" i="13"/>
  <c r="D400" i="13"/>
  <c r="D399" i="13"/>
  <c r="G393" i="13"/>
  <c r="H393" i="13" s="1"/>
  <c r="G390" i="13"/>
  <c r="H390" i="13"/>
  <c r="G387" i="13"/>
  <c r="H387" i="13" s="1"/>
  <c r="G386" i="13"/>
  <c r="E393" i="13"/>
  <c r="E392" i="13"/>
  <c r="E391" i="13"/>
  <c r="E390" i="13"/>
  <c r="E389" i="13"/>
  <c r="E388" i="13"/>
  <c r="E387" i="13"/>
  <c r="E386" i="13"/>
  <c r="D393" i="13"/>
  <c r="D392" i="13"/>
  <c r="D391" i="13"/>
  <c r="D390" i="13"/>
  <c r="D389" i="13"/>
  <c r="D388" i="13"/>
  <c r="D387" i="13"/>
  <c r="D386" i="13"/>
  <c r="G380" i="13"/>
  <c r="H380" i="13" s="1"/>
  <c r="G379" i="13"/>
  <c r="H379" i="13" s="1"/>
  <c r="G376" i="13"/>
  <c r="G373" i="13"/>
  <c r="H373" i="13" s="1"/>
  <c r="G372" i="13"/>
  <c r="H372" i="13" s="1"/>
  <c r="G371" i="13"/>
  <c r="H371" i="13"/>
  <c r="E380" i="13"/>
  <c r="E379" i="13"/>
  <c r="E378" i="13"/>
  <c r="E377" i="13"/>
  <c r="E376" i="13"/>
  <c r="E375" i="13"/>
  <c r="E374" i="13"/>
  <c r="E373" i="13"/>
  <c r="E372" i="13"/>
  <c r="E371" i="13"/>
  <c r="D380" i="13"/>
  <c r="D379" i="13"/>
  <c r="D378" i="13"/>
  <c r="D377" i="13"/>
  <c r="D376" i="13"/>
  <c r="D375" i="13"/>
  <c r="D374" i="13"/>
  <c r="D373" i="13"/>
  <c r="D372" i="13"/>
  <c r="D371" i="13"/>
  <c r="G364" i="13"/>
  <c r="H364" i="13" s="1"/>
  <c r="G360" i="13"/>
  <c r="H360" i="13" s="1"/>
  <c r="G359" i="13"/>
  <c r="H359" i="13" s="1"/>
  <c r="E365" i="13"/>
  <c r="E364" i="13"/>
  <c r="E363" i="13"/>
  <c r="E362" i="13"/>
  <c r="E361" i="13"/>
  <c r="E360" i="13"/>
  <c r="E359" i="13"/>
  <c r="D365" i="13"/>
  <c r="D364" i="13"/>
  <c r="D363" i="13"/>
  <c r="D362" i="13"/>
  <c r="D361" i="13"/>
  <c r="D360" i="13"/>
  <c r="D359" i="13"/>
  <c r="G353" i="13"/>
  <c r="G350" i="13"/>
  <c r="H350" i="13" s="1"/>
  <c r="G348" i="13"/>
  <c r="G347" i="13"/>
  <c r="H347" i="13" s="1"/>
  <c r="G346" i="13"/>
  <c r="H346" i="13"/>
  <c r="E353" i="13"/>
  <c r="E352" i="13"/>
  <c r="E351" i="13"/>
  <c r="E350" i="13"/>
  <c r="E349" i="13"/>
  <c r="E348" i="13"/>
  <c r="E347" i="13"/>
  <c r="E346" i="13"/>
  <c r="D353" i="13"/>
  <c r="D352" i="13"/>
  <c r="D351" i="13"/>
  <c r="D350" i="13"/>
  <c r="D349" i="13"/>
  <c r="D348" i="13"/>
  <c r="D347" i="13"/>
  <c r="D346" i="13"/>
  <c r="G340" i="13"/>
  <c r="H340" i="13" s="1"/>
  <c r="G338" i="13"/>
  <c r="H338" i="13" s="1"/>
  <c r="G337" i="13"/>
  <c r="H337" i="13" s="1"/>
  <c r="E340" i="13"/>
  <c r="E339" i="13"/>
  <c r="E338" i="13"/>
  <c r="E337" i="13"/>
  <c r="D340" i="13"/>
  <c r="D339" i="13"/>
  <c r="D338" i="13"/>
  <c r="D337" i="13"/>
  <c r="G329" i="13"/>
  <c r="E331" i="13"/>
  <c r="E330" i="13"/>
  <c r="E329" i="13"/>
  <c r="D331" i="13"/>
  <c r="D330" i="13"/>
  <c r="D329" i="13"/>
  <c r="G323" i="13"/>
  <c r="H323" i="13" s="1"/>
  <c r="G320" i="13"/>
  <c r="H320" i="13" s="1"/>
  <c r="G319" i="13"/>
  <c r="H319" i="13"/>
  <c r="E323" i="13"/>
  <c r="E322" i="13"/>
  <c r="E321" i="13"/>
  <c r="E320" i="13"/>
  <c r="E319" i="13"/>
  <c r="D323" i="13"/>
  <c r="D322" i="13"/>
  <c r="D321" i="13"/>
  <c r="D320" i="13"/>
  <c r="D319" i="13"/>
  <c r="G313" i="13"/>
  <c r="H313" i="13"/>
  <c r="G311" i="13"/>
  <c r="H311" i="13" s="1"/>
  <c r="G308" i="13"/>
  <c r="H308" i="13" s="1"/>
  <c r="G307" i="13"/>
  <c r="H307" i="13" s="1"/>
  <c r="E313" i="13"/>
  <c r="E312" i="13"/>
  <c r="E311" i="13"/>
  <c r="E310" i="13"/>
  <c r="E309" i="13"/>
  <c r="E308" i="13"/>
  <c r="E307" i="13"/>
  <c r="D313" i="13"/>
  <c r="D312" i="13"/>
  <c r="D311" i="13"/>
  <c r="D310" i="13"/>
  <c r="D309" i="13"/>
  <c r="D308" i="13"/>
  <c r="D307" i="13"/>
  <c r="G301" i="13"/>
  <c r="G298" i="13"/>
  <c r="G297" i="13"/>
  <c r="H297" i="13"/>
  <c r="G295" i="13"/>
  <c r="H295" i="13" s="1"/>
  <c r="G294" i="13"/>
  <c r="G293" i="13"/>
  <c r="H293" i="13"/>
  <c r="E301" i="13"/>
  <c r="E300" i="13"/>
  <c r="E299" i="13"/>
  <c r="E298" i="13"/>
  <c r="E297" i="13"/>
  <c r="E296" i="13"/>
  <c r="E295" i="13"/>
  <c r="E294" i="13"/>
  <c r="E293" i="13"/>
  <c r="D301" i="13"/>
  <c r="D300" i="13"/>
  <c r="D299" i="13"/>
  <c r="D298" i="13"/>
  <c r="D297" i="13"/>
  <c r="D296" i="13"/>
  <c r="D295" i="13"/>
  <c r="D294" i="13"/>
  <c r="D293" i="13"/>
  <c r="G287" i="13"/>
  <c r="H287" i="13"/>
  <c r="G286" i="13"/>
  <c r="H286" i="13"/>
  <c r="G284" i="13"/>
  <c r="H284" i="13" s="1"/>
  <c r="G283" i="13"/>
  <c r="H283" i="13" s="1"/>
  <c r="E287" i="13"/>
  <c r="E286" i="13"/>
  <c r="E285" i="13"/>
  <c r="E284" i="13"/>
  <c r="E283" i="13"/>
  <c r="D287" i="13"/>
  <c r="D286" i="13"/>
  <c r="D285" i="13"/>
  <c r="D284" i="13"/>
  <c r="D283" i="13"/>
  <c r="G277" i="13"/>
  <c r="H277" i="13" s="1"/>
  <c r="G276" i="13"/>
  <c r="G273" i="13"/>
  <c r="H273" i="13"/>
  <c r="G271" i="13"/>
  <c r="H271" i="13" s="1"/>
  <c r="G270" i="13"/>
  <c r="G269" i="13"/>
  <c r="H269" i="13"/>
  <c r="G268" i="13"/>
  <c r="H268" i="13" s="1"/>
  <c r="E277" i="13"/>
  <c r="E276" i="13"/>
  <c r="E275" i="13"/>
  <c r="E274" i="13"/>
  <c r="E273" i="13"/>
  <c r="E272" i="13"/>
  <c r="E271" i="13"/>
  <c r="E270" i="13"/>
  <c r="E269" i="13"/>
  <c r="E268" i="13"/>
  <c r="D277" i="13"/>
  <c r="D276" i="13"/>
  <c r="D275" i="13"/>
  <c r="D274" i="13"/>
  <c r="D273" i="13"/>
  <c r="D272" i="13"/>
  <c r="D271" i="13"/>
  <c r="D270" i="13"/>
  <c r="D269" i="13"/>
  <c r="D268" i="13"/>
  <c r="G262" i="13"/>
  <c r="H262" i="13" s="1"/>
  <c r="G259" i="13"/>
  <c r="H259" i="13" s="1"/>
  <c r="G258" i="13"/>
  <c r="H258" i="13" s="1"/>
  <c r="E262" i="13"/>
  <c r="E261" i="13"/>
  <c r="E260" i="13"/>
  <c r="E259" i="13"/>
  <c r="E258" i="13"/>
  <c r="D262" i="13"/>
  <c r="D261" i="13"/>
  <c r="D260" i="13"/>
  <c r="D259" i="13"/>
  <c r="D258" i="13"/>
  <c r="G251" i="13"/>
  <c r="H251" i="13" s="1"/>
  <c r="G250" i="13"/>
  <c r="H250" i="13" s="1"/>
  <c r="E252" i="13"/>
  <c r="E251" i="13"/>
  <c r="E250" i="13"/>
  <c r="D252" i="13"/>
  <c r="D251" i="13"/>
  <c r="D250" i="13"/>
  <c r="G243" i="13"/>
  <c r="H243" i="13" s="1"/>
  <c r="G242" i="13"/>
  <c r="H242" i="13"/>
  <c r="G238" i="13"/>
  <c r="H238" i="13" s="1"/>
  <c r="G237" i="13"/>
  <c r="H237" i="13" s="1"/>
  <c r="E243" i="13"/>
  <c r="E242" i="13"/>
  <c r="E241" i="13"/>
  <c r="E240" i="13"/>
  <c r="E239" i="13"/>
  <c r="E238" i="13"/>
  <c r="E237" i="13"/>
  <c r="D243" i="13"/>
  <c r="D242" i="13"/>
  <c r="D241" i="13"/>
  <c r="D240" i="13"/>
  <c r="D239" i="13"/>
  <c r="D238" i="13"/>
  <c r="D237" i="13"/>
  <c r="G231" i="13"/>
  <c r="H231" i="13" s="1"/>
  <c r="G227" i="13"/>
  <c r="H227" i="13" s="1"/>
  <c r="G226" i="13"/>
  <c r="H226" i="13"/>
  <c r="E231" i="13"/>
  <c r="E230" i="13"/>
  <c r="E229" i="13"/>
  <c r="E228" i="13"/>
  <c r="E227" i="13"/>
  <c r="E226" i="13"/>
  <c r="D231" i="13"/>
  <c r="D230" i="13"/>
  <c r="D229" i="13"/>
  <c r="D228" i="13"/>
  <c r="D227" i="13"/>
  <c r="D226" i="13"/>
  <c r="G220" i="13"/>
  <c r="G217" i="13"/>
  <c r="H217" i="13" s="1"/>
  <c r="G215" i="13"/>
  <c r="G214" i="13"/>
  <c r="H214" i="13" s="1"/>
  <c r="G213" i="13"/>
  <c r="H213" i="13" s="1"/>
  <c r="E220" i="13"/>
  <c r="E219" i="13"/>
  <c r="E218" i="13"/>
  <c r="E217" i="13"/>
  <c r="E216" i="13"/>
  <c r="E215" i="13"/>
  <c r="E214" i="13"/>
  <c r="E213" i="13"/>
  <c r="D220" i="13"/>
  <c r="D219" i="13"/>
  <c r="D218" i="13"/>
  <c r="D217" i="13"/>
  <c r="D216" i="13"/>
  <c r="D215" i="13"/>
  <c r="D214" i="13"/>
  <c r="D213" i="13"/>
  <c r="D198" i="13"/>
  <c r="B198" i="13"/>
  <c r="G207" i="13"/>
  <c r="H207" i="13" s="1"/>
  <c r="G206" i="13"/>
  <c r="G203" i="13"/>
  <c r="G200" i="13"/>
  <c r="H200" i="13" s="1"/>
  <c r="G199" i="13"/>
  <c r="G197" i="13"/>
  <c r="G196" i="13"/>
  <c r="E207" i="13"/>
  <c r="E206" i="13"/>
  <c r="E205" i="13"/>
  <c r="E204" i="13"/>
  <c r="E203" i="13"/>
  <c r="E202" i="13"/>
  <c r="E201" i="13"/>
  <c r="E200" i="13"/>
  <c r="E199" i="13"/>
  <c r="E198" i="13"/>
  <c r="E197" i="13"/>
  <c r="E196" i="13"/>
  <c r="D207" i="13"/>
  <c r="D206" i="13"/>
  <c r="D205" i="13"/>
  <c r="D204" i="13"/>
  <c r="D203" i="13"/>
  <c r="D202" i="13"/>
  <c r="D201" i="13"/>
  <c r="D200" i="13"/>
  <c r="D199" i="13"/>
  <c r="D197" i="13"/>
  <c r="D196" i="13"/>
  <c r="E190" i="13"/>
  <c r="E189" i="13"/>
  <c r="E188" i="13"/>
  <c r="E187" i="13"/>
  <c r="E186" i="13"/>
  <c r="E185" i="13"/>
  <c r="E184" i="13"/>
  <c r="E183" i="13"/>
  <c r="D190" i="13"/>
  <c r="D189" i="13"/>
  <c r="D188" i="13"/>
  <c r="D187" i="13"/>
  <c r="D186" i="13"/>
  <c r="D185" i="13"/>
  <c r="D184" i="13"/>
  <c r="D183" i="13"/>
  <c r="E177" i="13"/>
  <c r="E176" i="13"/>
  <c r="E175" i="13"/>
  <c r="E174" i="13"/>
  <c r="E173" i="13"/>
  <c r="E172" i="13"/>
  <c r="E171" i="13"/>
  <c r="D177" i="13"/>
  <c r="D176" i="13"/>
  <c r="D175" i="13"/>
  <c r="D174" i="13"/>
  <c r="D173" i="13"/>
  <c r="D172" i="13"/>
  <c r="D171" i="13"/>
  <c r="E165" i="13"/>
  <c r="E164" i="13"/>
  <c r="E163" i="13"/>
  <c r="E162" i="13"/>
  <c r="E161" i="13"/>
  <c r="E160" i="13"/>
  <c r="E159" i="13"/>
  <c r="E158" i="13"/>
  <c r="E157" i="13"/>
  <c r="D165" i="13"/>
  <c r="D164" i="13"/>
  <c r="D163" i="13"/>
  <c r="D162" i="13"/>
  <c r="D161" i="13"/>
  <c r="D160" i="13"/>
  <c r="D159" i="13"/>
  <c r="D158" i="13"/>
  <c r="D157" i="13"/>
  <c r="E150" i="13"/>
  <c r="E149" i="13"/>
  <c r="E148" i="13"/>
  <c r="E147" i="13"/>
  <c r="E146" i="13"/>
  <c r="E145" i="13"/>
  <c r="E144" i="13"/>
  <c r="E143" i="13"/>
  <c r="E142" i="13"/>
  <c r="D150" i="13"/>
  <c r="D149" i="13"/>
  <c r="D148" i="13"/>
  <c r="D147" i="13"/>
  <c r="D146" i="13"/>
  <c r="D145" i="13"/>
  <c r="D144" i="13"/>
  <c r="D143" i="13"/>
  <c r="D142" i="13"/>
  <c r="E121" i="13"/>
  <c r="E120" i="13"/>
  <c r="E119" i="13"/>
  <c r="E118" i="13"/>
  <c r="E117" i="13"/>
  <c r="E116" i="13"/>
  <c r="E115" i="13"/>
  <c r="D121" i="13"/>
  <c r="D120" i="13"/>
  <c r="D119" i="13"/>
  <c r="D118" i="13"/>
  <c r="D117" i="13"/>
  <c r="D116" i="13"/>
  <c r="D115" i="13"/>
  <c r="E109" i="13"/>
  <c r="E108" i="13"/>
  <c r="E107" i="13"/>
  <c r="E106" i="13"/>
  <c r="E105" i="13"/>
  <c r="E104" i="13"/>
  <c r="E103" i="13"/>
  <c r="E102" i="13"/>
  <c r="D109" i="13"/>
  <c r="D108" i="13"/>
  <c r="D107" i="13"/>
  <c r="D106" i="13"/>
  <c r="D105" i="13"/>
  <c r="D104" i="13"/>
  <c r="D103" i="13"/>
  <c r="D102" i="13"/>
  <c r="E96" i="13"/>
  <c r="E95" i="13"/>
  <c r="E94" i="13"/>
  <c r="E93" i="13"/>
  <c r="E92" i="13"/>
  <c r="E91" i="13"/>
  <c r="D96" i="13"/>
  <c r="D95" i="13"/>
  <c r="D94" i="13"/>
  <c r="D93" i="13"/>
  <c r="D92" i="13"/>
  <c r="D91" i="13"/>
  <c r="E84" i="13"/>
  <c r="E83" i="13"/>
  <c r="E82" i="13"/>
  <c r="E81" i="13"/>
  <c r="E80" i="13"/>
  <c r="D84" i="13"/>
  <c r="D83" i="13"/>
  <c r="D82" i="13"/>
  <c r="D81" i="13"/>
  <c r="D80" i="13"/>
  <c r="E71" i="13"/>
  <c r="E70" i="13"/>
  <c r="E69" i="13"/>
  <c r="E68" i="13"/>
  <c r="E67" i="13"/>
  <c r="E66" i="13"/>
  <c r="E65" i="13"/>
  <c r="E58" i="13"/>
  <c r="D71" i="13"/>
  <c r="D70" i="13"/>
  <c r="D69" i="13"/>
  <c r="D68" i="13"/>
  <c r="D67" i="13"/>
  <c r="D66" i="13"/>
  <c r="D65" i="13"/>
  <c r="E57" i="13"/>
  <c r="D57" i="13"/>
  <c r="B57" i="13"/>
  <c r="D58" i="13"/>
  <c r="B58" i="13"/>
  <c r="F59" i="13"/>
  <c r="E54" i="13"/>
  <c r="D54" i="13"/>
  <c r="E53" i="13"/>
  <c r="D53" i="13"/>
  <c r="F53" i="13"/>
  <c r="E52" i="13"/>
  <c r="D52" i="13"/>
  <c r="B52" i="13"/>
  <c r="E51" i="13"/>
  <c r="D51" i="13"/>
  <c r="B51" i="13"/>
  <c r="B50" i="13"/>
  <c r="E50" i="13"/>
  <c r="D50" i="13"/>
  <c r="B49" i="13"/>
  <c r="E59" i="13"/>
  <c r="E56" i="13"/>
  <c r="E55" i="13"/>
  <c r="E49" i="13"/>
  <c r="E48" i="13"/>
  <c r="D59" i="13"/>
  <c r="D56" i="13"/>
  <c r="D55" i="13"/>
  <c r="D49" i="13"/>
  <c r="D48" i="13"/>
  <c r="E42" i="13"/>
  <c r="E41" i="13"/>
  <c r="E40" i="13"/>
  <c r="E39" i="13"/>
  <c r="E38" i="13"/>
  <c r="E37" i="13"/>
  <c r="E36" i="13"/>
  <c r="D42" i="13"/>
  <c r="D41" i="13"/>
  <c r="D40" i="13"/>
  <c r="D39" i="13"/>
  <c r="D38" i="13"/>
  <c r="D37" i="13"/>
  <c r="D36" i="13"/>
  <c r="E29" i="13"/>
  <c r="E28" i="13"/>
  <c r="E27" i="13"/>
  <c r="E26" i="13"/>
  <c r="E25" i="13"/>
  <c r="E24" i="13"/>
  <c r="E23" i="13"/>
  <c r="E22" i="13"/>
  <c r="E16" i="13"/>
  <c r="D29" i="13"/>
  <c r="D28" i="13"/>
  <c r="D27" i="13"/>
  <c r="D26" i="13"/>
  <c r="D25" i="13"/>
  <c r="D24" i="13"/>
  <c r="D23" i="13"/>
  <c r="D22" i="13"/>
  <c r="D16" i="13"/>
  <c r="B16" i="13"/>
  <c r="H11" i="5"/>
  <c r="E77" i="43"/>
  <c r="B71" i="43"/>
  <c r="B72" i="43"/>
  <c r="B73" i="43"/>
  <c r="B74" i="43"/>
  <c r="B75" i="43"/>
  <c r="B76" i="43"/>
  <c r="B36" i="43"/>
  <c r="B37" i="43"/>
  <c r="B38" i="43"/>
  <c r="B39" i="43"/>
  <c r="B40" i="43"/>
  <c r="B41" i="43"/>
  <c r="B42" i="43"/>
  <c r="B43" i="43"/>
  <c r="B44" i="43"/>
  <c r="B45" i="43"/>
  <c r="B46" i="43"/>
  <c r="B47" i="43"/>
  <c r="B48" i="43"/>
  <c r="B49" i="43"/>
  <c r="B50" i="43"/>
  <c r="B51" i="43"/>
  <c r="B52" i="43"/>
  <c r="B53" i="43"/>
  <c r="B54" i="43"/>
  <c r="B55" i="43"/>
  <c r="B56" i="43"/>
  <c r="B57" i="43"/>
  <c r="B58" i="43"/>
  <c r="B59" i="43"/>
  <c r="B60" i="43"/>
  <c r="B61" i="43"/>
  <c r="B62" i="43"/>
  <c r="B63" i="43"/>
  <c r="B64" i="43"/>
  <c r="B65" i="43"/>
  <c r="B66" i="43"/>
  <c r="B67" i="43"/>
  <c r="B68" i="43"/>
  <c r="B69" i="43"/>
  <c r="B70" i="43"/>
  <c r="B19" i="43"/>
  <c r="B20" i="43"/>
  <c r="B21" i="43"/>
  <c r="B22" i="43"/>
  <c r="B23" i="43"/>
  <c r="B24" i="43"/>
  <c r="B25" i="43"/>
  <c r="B26" i="43"/>
  <c r="B27" i="43"/>
  <c r="B28" i="43"/>
  <c r="B29" i="43"/>
  <c r="B30" i="43"/>
  <c r="B31" i="43"/>
  <c r="B32" i="43"/>
  <c r="B33" i="43"/>
  <c r="B34" i="43"/>
  <c r="B35" i="43"/>
  <c r="B18" i="43"/>
  <c r="B17" i="43"/>
  <c r="C14" i="43"/>
  <c r="B16" i="43"/>
  <c r="B14" i="43"/>
  <c r="B13" i="43"/>
  <c r="K16" i="43"/>
  <c r="G19" i="41"/>
  <c r="K15" i="43"/>
  <c r="G18" i="41"/>
  <c r="K14" i="43"/>
  <c r="BH45" i="53"/>
  <c r="BI45" i="53"/>
  <c r="K12" i="43"/>
  <c r="K13" i="43"/>
  <c r="G16" i="41"/>
  <c r="A13" i="43"/>
  <c r="A14" i="43"/>
  <c r="A15" i="43"/>
  <c r="A16" i="43"/>
  <c r="A17" i="43"/>
  <c r="A18" i="43"/>
  <c r="A19" i="43"/>
  <c r="A20" i="43"/>
  <c r="A21" i="43"/>
  <c r="A22" i="43"/>
  <c r="A23" i="43"/>
  <c r="A24" i="43"/>
  <c r="A25" i="43"/>
  <c r="A26" i="43"/>
  <c r="A27" i="43"/>
  <c r="A28" i="43"/>
  <c r="A29" i="43"/>
  <c r="A30" i="43"/>
  <c r="A31" i="43"/>
  <c r="A32" i="43"/>
  <c r="A33" i="43"/>
  <c r="A34" i="43"/>
  <c r="A35" i="43"/>
  <c r="A36" i="43"/>
  <c r="A37" i="43"/>
  <c r="A38" i="43"/>
  <c r="A39" i="43"/>
  <c r="A40" i="43"/>
  <c r="A41" i="43"/>
  <c r="A42" i="43"/>
  <c r="A43" i="43"/>
  <c r="A44" i="43"/>
  <c r="A45" i="43"/>
  <c r="A46" i="43"/>
  <c r="A47" i="43"/>
  <c r="A48" i="43"/>
  <c r="A49" i="43"/>
  <c r="A50" i="43"/>
  <c r="A51" i="43"/>
  <c r="A52" i="43"/>
  <c r="A53" i="43"/>
  <c r="A54" i="43"/>
  <c r="A55" i="43"/>
  <c r="A56" i="43"/>
  <c r="A57" i="43"/>
  <c r="A58" i="43"/>
  <c r="A59" i="43"/>
  <c r="A60" i="43"/>
  <c r="A61" i="43"/>
  <c r="A62" i="43"/>
  <c r="A63" i="43"/>
  <c r="A64" i="43"/>
  <c r="A65" i="43"/>
  <c r="A66" i="43"/>
  <c r="A67" i="43"/>
  <c r="A68" i="43"/>
  <c r="A69" i="43"/>
  <c r="A70" i="43"/>
  <c r="A71" i="43"/>
  <c r="A72" i="43"/>
  <c r="A73" i="43"/>
  <c r="A74" i="43"/>
  <c r="A75" i="43"/>
  <c r="A76" i="43"/>
  <c r="BL61" i="53"/>
  <c r="BM61" i="53"/>
  <c r="BJ61" i="53"/>
  <c r="BK61" i="53"/>
  <c r="BH61" i="53"/>
  <c r="BI61" i="53"/>
  <c r="BF61" i="53"/>
  <c r="BG61" i="53"/>
  <c r="BN61" i="53"/>
  <c r="BD61" i="53"/>
  <c r="BE61" i="53"/>
  <c r="BL59" i="53"/>
  <c r="BM59" i="53"/>
  <c r="BJ59" i="53"/>
  <c r="BK59" i="53"/>
  <c r="BH59" i="53"/>
  <c r="BI59" i="53"/>
  <c r="BF59" i="53"/>
  <c r="BG59" i="53"/>
  <c r="BD59" i="53"/>
  <c r="BE59" i="53"/>
  <c r="BL57" i="53"/>
  <c r="BM57" i="53"/>
  <c r="BJ57" i="53"/>
  <c r="BK57" i="53"/>
  <c r="BH57" i="53"/>
  <c r="BI57" i="53"/>
  <c r="BF57" i="53"/>
  <c r="BG57" i="53"/>
  <c r="BD57" i="53"/>
  <c r="BE57" i="53"/>
  <c r="BL55" i="53"/>
  <c r="BM55" i="53"/>
  <c r="BJ55" i="53"/>
  <c r="BK55" i="53"/>
  <c r="BH55" i="53"/>
  <c r="BI55" i="53"/>
  <c r="BF55" i="53"/>
  <c r="BG55" i="53"/>
  <c r="BD55" i="53"/>
  <c r="BE55" i="53"/>
  <c r="BL53" i="53"/>
  <c r="BM53" i="53"/>
  <c r="BJ53" i="53"/>
  <c r="BK53" i="53"/>
  <c r="BH53" i="53"/>
  <c r="BI53" i="53"/>
  <c r="BF53" i="53"/>
  <c r="BG53" i="53"/>
  <c r="BN53" i="53"/>
  <c r="BD53" i="53"/>
  <c r="BE53" i="53"/>
  <c r="BL51" i="53"/>
  <c r="BM51" i="53"/>
  <c r="BJ51" i="53"/>
  <c r="BK51" i="53"/>
  <c r="BH51" i="53"/>
  <c r="BI51" i="53"/>
  <c r="BF51" i="53"/>
  <c r="BG51" i="53"/>
  <c r="BD51" i="53"/>
  <c r="BE51" i="53"/>
  <c r="BL49" i="53"/>
  <c r="BM49" i="53"/>
  <c r="BJ49" i="53"/>
  <c r="BK49" i="53"/>
  <c r="BH49" i="53"/>
  <c r="BI49" i="53"/>
  <c r="BF49" i="53"/>
  <c r="BG49" i="53"/>
  <c r="BD49" i="53"/>
  <c r="BE49" i="53"/>
  <c r="BL47" i="53"/>
  <c r="BM47" i="53"/>
  <c r="BJ47" i="53"/>
  <c r="BK47" i="53"/>
  <c r="BH47" i="53"/>
  <c r="BI47" i="53"/>
  <c r="BF47" i="53"/>
  <c r="BG47" i="53"/>
  <c r="BD47" i="53"/>
  <c r="BE47" i="53"/>
  <c r="BN47" i="53"/>
  <c r="H10" i="14"/>
  <c r="S34" i="15"/>
  <c r="G11" i="15"/>
  <c r="M11" i="15"/>
  <c r="S11" i="15" s="1"/>
  <c r="Y11" i="15" s="1"/>
  <c r="AE11" i="15" s="1"/>
  <c r="G11" i="32"/>
  <c r="M11" i="32"/>
  <c r="H545" i="13"/>
  <c r="B560" i="13"/>
  <c r="F559" i="13"/>
  <c r="B559" i="13"/>
  <c r="B558" i="13"/>
  <c r="F557" i="13"/>
  <c r="H557" i="13"/>
  <c r="B557" i="13"/>
  <c r="B556" i="13"/>
  <c r="F555" i="13"/>
  <c r="H555" i="13"/>
  <c r="B555" i="13"/>
  <c r="F554" i="13"/>
  <c r="B554" i="13"/>
  <c r="B553" i="13"/>
  <c r="B552" i="13"/>
  <c r="B551" i="13"/>
  <c r="B545" i="13"/>
  <c r="F544" i="13"/>
  <c r="H544" i="13"/>
  <c r="B544" i="13"/>
  <c r="F543" i="13"/>
  <c r="B543" i="13"/>
  <c r="B542" i="13"/>
  <c r="F541" i="13"/>
  <c r="B541" i="13"/>
  <c r="B540" i="13"/>
  <c r="B539" i="13"/>
  <c r="B538" i="13"/>
  <c r="F537" i="13"/>
  <c r="F538" i="13"/>
  <c r="H538" i="13"/>
  <c r="B537" i="13"/>
  <c r="F536" i="13"/>
  <c r="F535" i="13"/>
  <c r="B536" i="13"/>
  <c r="B535" i="13"/>
  <c r="B534" i="13"/>
  <c r="F533" i="13"/>
  <c r="B533" i="13"/>
  <c r="F417" i="13"/>
  <c r="B417" i="13"/>
  <c r="B416" i="13"/>
  <c r="F415" i="13"/>
  <c r="B415" i="13"/>
  <c r="B414" i="13"/>
  <c r="F413" i="13"/>
  <c r="F414" i="13"/>
  <c r="H414" i="13"/>
  <c r="B413" i="13"/>
  <c r="F412" i="13"/>
  <c r="B412" i="13"/>
  <c r="H894" i="13"/>
  <c r="B900" i="13"/>
  <c r="F899" i="13"/>
  <c r="B899" i="13"/>
  <c r="B898" i="13"/>
  <c r="F897" i="13"/>
  <c r="H897" i="13"/>
  <c r="B897" i="13"/>
  <c r="B896" i="13"/>
  <c r="F895" i="13"/>
  <c r="B895" i="13"/>
  <c r="B894" i="13"/>
  <c r="F893" i="13"/>
  <c r="B893" i="13"/>
  <c r="B892" i="13"/>
  <c r="B891" i="13"/>
  <c r="B890" i="13"/>
  <c r="H652" i="13"/>
  <c r="H642" i="13"/>
  <c r="H635" i="13"/>
  <c r="H630" i="13"/>
  <c r="B652" i="13"/>
  <c r="F651" i="13"/>
  <c r="B651" i="13"/>
  <c r="B650" i="13"/>
  <c r="B649" i="13"/>
  <c r="F648" i="13"/>
  <c r="B648" i="13"/>
  <c r="F647" i="13"/>
  <c r="B647" i="13"/>
  <c r="F646" i="13"/>
  <c r="H646" i="13"/>
  <c r="B646" i="13"/>
  <c r="F645" i="13"/>
  <c r="H645" i="13"/>
  <c r="B645" i="13"/>
  <c r="B644" i="13"/>
  <c r="B643" i="13"/>
  <c r="B642" i="13"/>
  <c r="B636" i="13"/>
  <c r="B635" i="13"/>
  <c r="J634" i="13"/>
  <c r="F625" i="13"/>
  <c r="F636" i="13"/>
  <c r="B634" i="13"/>
  <c r="B633" i="13"/>
  <c r="B632" i="13"/>
  <c r="F631" i="13"/>
  <c r="H631" i="13"/>
  <c r="B631" i="13"/>
  <c r="B630" i="13"/>
  <c r="B629" i="13"/>
  <c r="B628" i="13"/>
  <c r="F627" i="13"/>
  <c r="H627" i="13"/>
  <c r="B627" i="13"/>
  <c r="F626" i="13"/>
  <c r="B626" i="13"/>
  <c r="B625" i="13"/>
  <c r="B661" i="13"/>
  <c r="F661" i="13"/>
  <c r="B662" i="13"/>
  <c r="F662" i="13"/>
  <c r="H662" i="13"/>
  <c r="B663" i="13"/>
  <c r="F663" i="13"/>
  <c r="H663" i="13"/>
  <c r="B664" i="13"/>
  <c r="F664" i="13"/>
  <c r="H664" i="13"/>
  <c r="B665" i="13"/>
  <c r="F665" i="13"/>
  <c r="H665" i="13"/>
  <c r="B666" i="13"/>
  <c r="F666" i="13"/>
  <c r="H666" i="13"/>
  <c r="B667" i="13"/>
  <c r="F667" i="13"/>
  <c r="B668" i="13"/>
  <c r="F668" i="13"/>
  <c r="H668" i="13"/>
  <c r="B669" i="13"/>
  <c r="B670" i="13"/>
  <c r="B671" i="13"/>
  <c r="F671" i="13"/>
  <c r="B677" i="13"/>
  <c r="F677" i="13"/>
  <c r="H677" i="13"/>
  <c r="B678" i="13"/>
  <c r="F678" i="13"/>
  <c r="B679" i="13"/>
  <c r="F679" i="13"/>
  <c r="H679" i="13"/>
  <c r="B680" i="13"/>
  <c r="F680" i="13"/>
  <c r="H680" i="13"/>
  <c r="B681" i="13"/>
  <c r="F681" i="13"/>
  <c r="B682" i="13"/>
  <c r="F682" i="13"/>
  <c r="H682" i="13"/>
  <c r="B683" i="13"/>
  <c r="F683" i="13"/>
  <c r="B684" i="13"/>
  <c r="F684" i="13"/>
  <c r="H684" i="13"/>
  <c r="B685" i="13"/>
  <c r="B686" i="13"/>
  <c r="B687" i="13"/>
  <c r="F687" i="13"/>
  <c r="B380" i="13"/>
  <c r="B379" i="13"/>
  <c r="F378" i="13"/>
  <c r="B378" i="13"/>
  <c r="B377" i="13"/>
  <c r="B376" i="13"/>
  <c r="F375" i="13"/>
  <c r="F376" i="13"/>
  <c r="H376" i="13"/>
  <c r="B375" i="13"/>
  <c r="F374" i="13"/>
  <c r="B374" i="13"/>
  <c r="B373" i="13"/>
  <c r="B372" i="13"/>
  <c r="B371" i="13"/>
  <c r="A43" i="28"/>
  <c r="H619" i="13"/>
  <c r="H618" i="13"/>
  <c r="H609" i="13"/>
  <c r="B619" i="13"/>
  <c r="B618" i="13"/>
  <c r="B617" i="13"/>
  <c r="B616" i="13"/>
  <c r="F615" i="13"/>
  <c r="B615" i="13"/>
  <c r="B614" i="13"/>
  <c r="B613" i="13"/>
  <c r="B612" i="13"/>
  <c r="F613" i="13"/>
  <c r="H613" i="13"/>
  <c r="B611" i="13"/>
  <c r="F610" i="13"/>
  <c r="B610" i="13"/>
  <c r="B609" i="13"/>
  <c r="B608" i="13"/>
  <c r="F331" i="13"/>
  <c r="B331" i="13"/>
  <c r="B330" i="13"/>
  <c r="F329" i="13"/>
  <c r="B329" i="13"/>
  <c r="F301" i="13"/>
  <c r="H301" i="13"/>
  <c r="B301" i="13"/>
  <c r="F300" i="13"/>
  <c r="B300" i="13"/>
  <c r="B299" i="13"/>
  <c r="B298" i="13"/>
  <c r="B297" i="13"/>
  <c r="B296" i="13"/>
  <c r="B295" i="13"/>
  <c r="F294" i="13"/>
  <c r="B294" i="13"/>
  <c r="B293" i="13"/>
  <c r="B277" i="13"/>
  <c r="F276" i="13"/>
  <c r="B276" i="13"/>
  <c r="B275" i="13"/>
  <c r="B274" i="13"/>
  <c r="B273" i="13"/>
  <c r="B272" i="13"/>
  <c r="B271" i="13"/>
  <c r="F270" i="13"/>
  <c r="H270" i="13"/>
  <c r="B270" i="13"/>
  <c r="B269" i="13"/>
  <c r="B268" i="13"/>
  <c r="F220" i="13"/>
  <c r="B220" i="13"/>
  <c r="F219" i="13"/>
  <c r="B219" i="13"/>
  <c r="F218" i="13"/>
  <c r="B218" i="13"/>
  <c r="B217" i="13"/>
  <c r="B216" i="13"/>
  <c r="F215" i="13"/>
  <c r="H215" i="13"/>
  <c r="B215" i="13"/>
  <c r="B214" i="13"/>
  <c r="B213" i="13"/>
  <c r="B207" i="13"/>
  <c r="F206" i="13"/>
  <c r="B206" i="13"/>
  <c r="F205" i="13"/>
  <c r="B205" i="13"/>
  <c r="F204" i="13"/>
  <c r="B204" i="13"/>
  <c r="F203" i="13"/>
  <c r="B203" i="13"/>
  <c r="F202" i="13"/>
  <c r="B202" i="13"/>
  <c r="F201" i="13"/>
  <c r="B201" i="13"/>
  <c r="F200" i="13"/>
  <c r="B200" i="13"/>
  <c r="F199" i="13"/>
  <c r="B199" i="13"/>
  <c r="F198" i="13"/>
  <c r="F197" i="13"/>
  <c r="B197" i="13"/>
  <c r="F196" i="13"/>
  <c r="B196" i="13"/>
  <c r="F177" i="13"/>
  <c r="B177" i="13"/>
  <c r="B176" i="13"/>
  <c r="B175" i="13"/>
  <c r="B174" i="13"/>
  <c r="F173" i="13"/>
  <c r="F175" i="13"/>
  <c r="B173" i="13"/>
  <c r="F172" i="13"/>
  <c r="B172" i="13"/>
  <c r="F171" i="13"/>
  <c r="B171" i="13"/>
  <c r="B165" i="13"/>
  <c r="F164" i="13"/>
  <c r="B164" i="13"/>
  <c r="B163" i="13"/>
  <c r="B162" i="13"/>
  <c r="B161" i="13"/>
  <c r="B160" i="13"/>
  <c r="F159" i="13"/>
  <c r="B159" i="13"/>
  <c r="F158" i="13"/>
  <c r="B158" i="13"/>
  <c r="B157" i="13"/>
  <c r="B150" i="13"/>
  <c r="B149" i="13"/>
  <c r="B148" i="13"/>
  <c r="B147" i="13"/>
  <c r="B146" i="13"/>
  <c r="B145" i="13"/>
  <c r="F144" i="13"/>
  <c r="B144" i="13"/>
  <c r="B143" i="13"/>
  <c r="B142" i="13"/>
  <c r="H634" i="13"/>
  <c r="F298" i="13"/>
  <c r="H298" i="13"/>
  <c r="F121" i="13"/>
  <c r="B121" i="13"/>
  <c r="B120" i="13"/>
  <c r="B119" i="13"/>
  <c r="B118" i="13"/>
  <c r="F119" i="13"/>
  <c r="B117" i="13"/>
  <c r="B116" i="13"/>
  <c r="F115" i="13"/>
  <c r="B115" i="13"/>
  <c r="F109" i="13"/>
  <c r="B109" i="13"/>
  <c r="F108" i="13"/>
  <c r="B108" i="13"/>
  <c r="B107" i="13"/>
  <c r="B106" i="13"/>
  <c r="B105" i="13"/>
  <c r="F104" i="13"/>
  <c r="B104" i="13"/>
  <c r="B103" i="13"/>
  <c r="B102" i="13"/>
  <c r="F29" i="13"/>
  <c r="B29" i="13"/>
  <c r="F28" i="13"/>
  <c r="B28" i="13"/>
  <c r="F27" i="13"/>
  <c r="B27" i="13"/>
  <c r="B26" i="13"/>
  <c r="F25" i="13"/>
  <c r="B25" i="13"/>
  <c r="B24" i="13"/>
  <c r="B23" i="13"/>
  <c r="F22" i="13"/>
  <c r="B22" i="13"/>
  <c r="B262" i="13"/>
  <c r="B261" i="13"/>
  <c r="B260" i="13"/>
  <c r="B259" i="13"/>
  <c r="B258" i="13"/>
  <c r="B28" i="28"/>
  <c r="A27" i="28"/>
  <c r="A28" i="28"/>
  <c r="A29" i="28"/>
  <c r="A30" i="28"/>
  <c r="A22" i="28"/>
  <c r="I11" i="36"/>
  <c r="G11" i="36"/>
  <c r="P14" i="40"/>
  <c r="Q14" i="40"/>
  <c r="O14" i="40"/>
  <c r="L14" i="40"/>
  <c r="N14" i="40"/>
  <c r="F14" i="40"/>
  <c r="U14" i="40"/>
  <c r="AE13" i="39"/>
  <c r="W13" i="39"/>
  <c r="S13" i="39"/>
  <c r="F1112" i="13"/>
  <c r="H569" i="13"/>
  <c r="H567" i="13"/>
  <c r="B459" i="13"/>
  <c r="B458" i="13"/>
  <c r="B457" i="13"/>
  <c r="F456" i="13"/>
  <c r="H456" i="13"/>
  <c r="B456" i="13"/>
  <c r="B455" i="13"/>
  <c r="B406" i="13"/>
  <c r="F405" i="13"/>
  <c r="B405" i="13"/>
  <c r="F404" i="13"/>
  <c r="B404" i="13"/>
  <c r="B403" i="13"/>
  <c r="F402" i="13"/>
  <c r="B402" i="13"/>
  <c r="B401" i="13"/>
  <c r="F400" i="13"/>
  <c r="B400" i="13"/>
  <c r="B399" i="13"/>
  <c r="F353" i="13"/>
  <c r="B353" i="13"/>
  <c r="F352" i="13"/>
  <c r="B352" i="13"/>
  <c r="F351" i="13"/>
  <c r="B351" i="13"/>
  <c r="B350" i="13"/>
  <c r="B349" i="13"/>
  <c r="F348" i="13"/>
  <c r="B348" i="13"/>
  <c r="B347" i="13"/>
  <c r="B346" i="13"/>
  <c r="F84" i="13"/>
  <c r="B84" i="13"/>
  <c r="F83" i="13"/>
  <c r="B83" i="13"/>
  <c r="B82" i="13"/>
  <c r="F81" i="13"/>
  <c r="B81" i="13"/>
  <c r="F80" i="13"/>
  <c r="B80" i="13"/>
  <c r="F42" i="13"/>
  <c r="B42" i="13"/>
  <c r="F41" i="13"/>
  <c r="B41" i="13"/>
  <c r="B40" i="13"/>
  <c r="F39" i="13"/>
  <c r="B39" i="13"/>
  <c r="B38" i="13"/>
  <c r="B37" i="13"/>
  <c r="F36" i="13"/>
  <c r="F37" i="13"/>
  <c r="B36" i="13"/>
  <c r="H812" i="13"/>
  <c r="B784" i="13"/>
  <c r="H776" i="13"/>
  <c r="H774" i="13"/>
  <c r="H773" i="13"/>
  <c r="B778" i="13"/>
  <c r="B777" i="13"/>
  <c r="B776" i="13"/>
  <c r="B775" i="13"/>
  <c r="B774" i="13"/>
  <c r="B773" i="13"/>
  <c r="H764" i="13"/>
  <c r="B767" i="13"/>
  <c r="B766" i="13"/>
  <c r="B765" i="13"/>
  <c r="B764" i="13"/>
  <c r="B763" i="13"/>
  <c r="B762" i="13"/>
  <c r="B761" i="13"/>
  <c r="B755" i="13"/>
  <c r="B754" i="13"/>
  <c r="B753" i="13"/>
  <c r="B752" i="13"/>
  <c r="B751" i="13"/>
  <c r="B750" i="13"/>
  <c r="B749" i="13"/>
  <c r="B748" i="13"/>
  <c r="B747" i="13"/>
  <c r="B746" i="13"/>
  <c r="B745" i="13"/>
  <c r="B739" i="13"/>
  <c r="B738" i="13"/>
  <c r="H732" i="13"/>
  <c r="B732" i="13"/>
  <c r="B731" i="13"/>
  <c r="B730" i="13"/>
  <c r="B729" i="13"/>
  <c r="B728" i="13"/>
  <c r="B727" i="13"/>
  <c r="B726" i="13"/>
  <c r="B725" i="13"/>
  <c r="B724" i="13"/>
  <c r="B723" i="13"/>
  <c r="B722" i="13"/>
  <c r="B721" i="13"/>
  <c r="B720" i="13"/>
  <c r="H709" i="13"/>
  <c r="B703" i="13"/>
  <c r="B702" i="13"/>
  <c r="B701" i="13"/>
  <c r="B700" i="13"/>
  <c r="B699" i="13"/>
  <c r="B698" i="13"/>
  <c r="B697" i="13"/>
  <c r="B696" i="13"/>
  <c r="B695" i="13"/>
  <c r="B694" i="13"/>
  <c r="B693" i="13"/>
  <c r="B1010" i="13"/>
  <c r="B1009" i="13"/>
  <c r="B1008" i="13"/>
  <c r="B1007" i="13"/>
  <c r="F1006" i="13"/>
  <c r="F1008" i="13"/>
  <c r="H1008" i="13"/>
  <c r="B1006" i="13"/>
  <c r="F1005" i="13"/>
  <c r="H1005" i="13"/>
  <c r="B1005" i="13"/>
  <c r="F1004" i="13"/>
  <c r="B1004" i="13"/>
  <c r="B1003" i="13"/>
  <c r="F997" i="13"/>
  <c r="B997" i="13"/>
  <c r="B996" i="13"/>
  <c r="B995" i="13"/>
  <c r="F994" i="13"/>
  <c r="B994" i="13"/>
  <c r="F993" i="13"/>
  <c r="F995" i="13"/>
  <c r="H995" i="13"/>
  <c r="B993" i="13"/>
  <c r="F992" i="13"/>
  <c r="H992" i="13"/>
  <c r="B992" i="13"/>
  <c r="F991" i="13"/>
  <c r="B991" i="13"/>
  <c r="F990" i="13"/>
  <c r="B990" i="13"/>
  <c r="F989" i="13"/>
  <c r="B989" i="13"/>
  <c r="F988" i="13"/>
  <c r="H988" i="13"/>
  <c r="B988" i="13"/>
  <c r="F987" i="13"/>
  <c r="B987" i="13"/>
  <c r="B981" i="13"/>
  <c r="F980" i="13"/>
  <c r="B980" i="13"/>
  <c r="F979" i="13"/>
  <c r="B979" i="13"/>
  <c r="F978" i="13"/>
  <c r="B978" i="13"/>
  <c r="B977" i="13"/>
  <c r="B976" i="13"/>
  <c r="F975" i="13"/>
  <c r="B975" i="13"/>
  <c r="F974" i="13"/>
  <c r="B974" i="13"/>
  <c r="B973" i="13"/>
  <c r="B972" i="13"/>
  <c r="F971" i="13"/>
  <c r="B971" i="13"/>
  <c r="F970" i="13"/>
  <c r="F969" i="13"/>
  <c r="B970" i="13"/>
  <c r="B969" i="13"/>
  <c r="F968" i="13"/>
  <c r="B968" i="13"/>
  <c r="B967" i="13"/>
  <c r="B961" i="13"/>
  <c r="B960" i="13"/>
  <c r="B959" i="13"/>
  <c r="B958" i="13"/>
  <c r="F957" i="13"/>
  <c r="F959" i="13"/>
  <c r="H959" i="13"/>
  <c r="B957" i="13"/>
  <c r="F956" i="13"/>
  <c r="H956" i="13"/>
  <c r="B956" i="13"/>
  <c r="F955" i="13"/>
  <c r="B955" i="13"/>
  <c r="B954" i="13"/>
  <c r="B948" i="13"/>
  <c r="B947" i="13"/>
  <c r="B946" i="13"/>
  <c r="B945" i="13"/>
  <c r="F944" i="13"/>
  <c r="B944" i="13"/>
  <c r="F943" i="13"/>
  <c r="H943" i="13"/>
  <c r="B943" i="13"/>
  <c r="F942" i="13"/>
  <c r="B942" i="13"/>
  <c r="B941" i="13"/>
  <c r="B934" i="13"/>
  <c r="F933" i="13"/>
  <c r="B933" i="13"/>
  <c r="F932" i="13"/>
  <c r="B932" i="13"/>
  <c r="F931" i="13"/>
  <c r="B931" i="13"/>
  <c r="B930" i="13"/>
  <c r="F929" i="13"/>
  <c r="B929" i="13"/>
  <c r="B928" i="13"/>
  <c r="F927" i="13"/>
  <c r="B927" i="13"/>
  <c r="F926" i="13"/>
  <c r="F925" i="13"/>
  <c r="B926" i="13"/>
  <c r="B925" i="13"/>
  <c r="F924" i="13"/>
  <c r="B924" i="13"/>
  <c r="F923" i="13"/>
  <c r="B923" i="13"/>
  <c r="B922" i="13"/>
  <c r="F916" i="13"/>
  <c r="B916" i="13"/>
  <c r="B915" i="13"/>
  <c r="B914" i="13"/>
  <c r="F913" i="13"/>
  <c r="B913" i="13"/>
  <c r="F912" i="13"/>
  <c r="F914" i="13"/>
  <c r="H914" i="13"/>
  <c r="B912" i="13"/>
  <c r="F911" i="13"/>
  <c r="H911" i="13"/>
  <c r="B911" i="13"/>
  <c r="F910" i="13"/>
  <c r="B910" i="13"/>
  <c r="F909" i="13"/>
  <c r="B909" i="13"/>
  <c r="F908" i="13"/>
  <c r="B908" i="13"/>
  <c r="F907" i="13"/>
  <c r="H907" i="13"/>
  <c r="B907" i="13"/>
  <c r="F906" i="13"/>
  <c r="B906" i="13"/>
  <c r="B884" i="13"/>
  <c r="B883" i="13"/>
  <c r="B882" i="13"/>
  <c r="B881" i="13"/>
  <c r="F880" i="13"/>
  <c r="F882" i="13"/>
  <c r="H882" i="13"/>
  <c r="B880" i="13"/>
  <c r="F879" i="13"/>
  <c r="H879" i="13"/>
  <c r="B879" i="13"/>
  <c r="F878" i="13"/>
  <c r="B878" i="13"/>
  <c r="F877" i="13"/>
  <c r="B877" i="13"/>
  <c r="B871" i="13"/>
  <c r="B870" i="13"/>
  <c r="B869" i="13"/>
  <c r="B868" i="13"/>
  <c r="F867" i="13"/>
  <c r="F869" i="13"/>
  <c r="H869" i="13"/>
  <c r="B867" i="13"/>
  <c r="F866" i="13"/>
  <c r="H866" i="13"/>
  <c r="B866" i="13"/>
  <c r="F865" i="13"/>
  <c r="B865" i="13"/>
  <c r="B857" i="13"/>
  <c r="F856" i="13"/>
  <c r="B856" i="13"/>
  <c r="F855" i="13"/>
  <c r="B855" i="13"/>
  <c r="F854" i="13"/>
  <c r="B854" i="13"/>
  <c r="B853" i="13"/>
  <c r="F852" i="13"/>
  <c r="F853" i="13"/>
  <c r="B852" i="13"/>
  <c r="B851" i="13"/>
  <c r="B850" i="13"/>
  <c r="F849" i="13"/>
  <c r="F850" i="13"/>
  <c r="H850" i="13"/>
  <c r="B849" i="13"/>
  <c r="F848" i="13"/>
  <c r="F851" i="13"/>
  <c r="B848" i="13"/>
  <c r="F847" i="13"/>
  <c r="B847" i="13"/>
  <c r="F846" i="13"/>
  <c r="B846" i="13"/>
  <c r="B839" i="13"/>
  <c r="B838" i="13"/>
  <c r="B837" i="13"/>
  <c r="B836" i="13"/>
  <c r="F835" i="13"/>
  <c r="F837" i="13"/>
  <c r="B835" i="13"/>
  <c r="F834" i="13"/>
  <c r="H834" i="13"/>
  <c r="B834" i="13"/>
  <c r="F833" i="13"/>
  <c r="B833" i="13"/>
  <c r="B832" i="13"/>
  <c r="B825" i="13"/>
  <c r="B824" i="13"/>
  <c r="F823" i="13"/>
  <c r="H823" i="13"/>
  <c r="B823" i="13"/>
  <c r="B822" i="13"/>
  <c r="B821" i="13"/>
  <c r="F820" i="13"/>
  <c r="H820" i="13"/>
  <c r="B820" i="13"/>
  <c r="F819" i="13"/>
  <c r="B819" i="13"/>
  <c r="B812" i="13"/>
  <c r="F811" i="13"/>
  <c r="B811" i="13"/>
  <c r="F810" i="13"/>
  <c r="B810" i="13"/>
  <c r="B809" i="13"/>
  <c r="B808" i="13"/>
  <c r="F808" i="13"/>
  <c r="H808" i="13"/>
  <c r="B807" i="13"/>
  <c r="B806" i="13"/>
  <c r="B805" i="13"/>
  <c r="F804" i="13"/>
  <c r="H804" i="13"/>
  <c r="B804" i="13"/>
  <c r="F806" i="13"/>
  <c r="B803" i="13"/>
  <c r="B802" i="13"/>
  <c r="B801" i="13"/>
  <c r="F794" i="13"/>
  <c r="B794" i="13"/>
  <c r="B793" i="13"/>
  <c r="B792" i="13"/>
  <c r="F791" i="13"/>
  <c r="H791" i="13"/>
  <c r="B791" i="13"/>
  <c r="F790" i="13"/>
  <c r="F792" i="13"/>
  <c r="H792" i="13"/>
  <c r="B790" i="13"/>
  <c r="F789" i="13"/>
  <c r="H789" i="13"/>
  <c r="B789" i="13"/>
  <c r="F788" i="13"/>
  <c r="H788" i="13"/>
  <c r="B788" i="13"/>
  <c r="F787" i="13"/>
  <c r="H787" i="13"/>
  <c r="B787" i="13"/>
  <c r="F786" i="13"/>
  <c r="B786" i="13"/>
  <c r="F785" i="13"/>
  <c r="H785" i="13"/>
  <c r="B785" i="13"/>
  <c r="F784" i="13"/>
  <c r="H784" i="13"/>
  <c r="F778" i="13"/>
  <c r="F775" i="13"/>
  <c r="F777" i="13"/>
  <c r="F763" i="13"/>
  <c r="F765" i="13"/>
  <c r="H765" i="13"/>
  <c r="F762" i="13"/>
  <c r="H762" i="13"/>
  <c r="F761" i="13"/>
  <c r="H761" i="13"/>
  <c r="F755" i="13"/>
  <c r="F752" i="13"/>
  <c r="F751" i="13"/>
  <c r="F753" i="13"/>
  <c r="H753" i="13"/>
  <c r="F750" i="13"/>
  <c r="H750" i="13"/>
  <c r="F749" i="13"/>
  <c r="H749" i="13"/>
  <c r="F748" i="13"/>
  <c r="H748" i="13"/>
  <c r="F747" i="13"/>
  <c r="H747" i="13"/>
  <c r="F746" i="13"/>
  <c r="F745" i="13"/>
  <c r="H745" i="13"/>
  <c r="F738" i="13"/>
  <c r="H738" i="13"/>
  <c r="F730" i="13"/>
  <c r="F727" i="13"/>
  <c r="H727" i="13"/>
  <c r="F726" i="13"/>
  <c r="F728" i="13"/>
  <c r="H728" i="13"/>
  <c r="F725" i="13"/>
  <c r="H725" i="13"/>
  <c r="F724" i="13"/>
  <c r="H724" i="13"/>
  <c r="F723" i="13"/>
  <c r="H723" i="13"/>
  <c r="F722" i="13"/>
  <c r="F721" i="13"/>
  <c r="F720" i="13"/>
  <c r="B714" i="13"/>
  <c r="B713" i="13"/>
  <c r="F712" i="13"/>
  <c r="F714" i="13"/>
  <c r="H714" i="13"/>
  <c r="B712" i="13"/>
  <c r="F711" i="13"/>
  <c r="H711" i="13"/>
  <c r="B711" i="13"/>
  <c r="F710" i="13"/>
  <c r="H710" i="13"/>
  <c r="B710" i="13"/>
  <c r="B709" i="13"/>
  <c r="F703" i="13"/>
  <c r="F700" i="13"/>
  <c r="H700" i="13"/>
  <c r="F699" i="13"/>
  <c r="F701" i="13"/>
  <c r="H701" i="13"/>
  <c r="F698" i="13"/>
  <c r="H698" i="13"/>
  <c r="F697" i="13"/>
  <c r="H697" i="13"/>
  <c r="F696" i="13"/>
  <c r="F695" i="13"/>
  <c r="H695" i="13"/>
  <c r="F694" i="13"/>
  <c r="F693" i="13"/>
  <c r="H693" i="13"/>
  <c r="I1300" i="13"/>
  <c r="I1299" i="13"/>
  <c r="I1297" i="13"/>
  <c r="I1295" i="13"/>
  <c r="E1284" i="13"/>
  <c r="I1284" i="13"/>
  <c r="E1283" i="13"/>
  <c r="I1283" i="13"/>
  <c r="I1282" i="13"/>
  <c r="I1281" i="13"/>
  <c r="Q1273" i="13"/>
  <c r="P1273" i="13"/>
  <c r="O1273" i="13"/>
  <c r="M1273" i="13"/>
  <c r="H1270" i="13"/>
  <c r="B1270" i="13"/>
  <c r="F1269" i="13"/>
  <c r="H1269" i="13"/>
  <c r="B1269" i="13"/>
  <c r="H1268" i="13"/>
  <c r="B1268" i="13"/>
  <c r="B1267" i="13"/>
  <c r="H1260" i="13"/>
  <c r="H1261" i="13" s="1"/>
  <c r="B1260" i="13"/>
  <c r="F1254" i="13"/>
  <c r="B1254" i="13"/>
  <c r="F1249" i="13"/>
  <c r="B1249" i="13"/>
  <c r="F1248" i="13"/>
  <c r="B1248" i="13"/>
  <c r="B1247" i="13"/>
  <c r="F1246" i="13"/>
  <c r="B1246" i="13"/>
  <c r="F1245" i="13"/>
  <c r="B1245" i="13"/>
  <c r="F1244" i="13"/>
  <c r="F1247" i="13"/>
  <c r="B1244" i="13"/>
  <c r="F1243" i="13"/>
  <c r="B1243" i="13"/>
  <c r="B1242" i="13"/>
  <c r="B1241" i="13"/>
  <c r="F1240" i="13"/>
  <c r="B1240" i="13"/>
  <c r="B1234" i="13"/>
  <c r="F1233" i="13"/>
  <c r="B1233" i="13"/>
  <c r="F1232" i="13"/>
  <c r="B1232" i="13"/>
  <c r="B1226" i="13"/>
  <c r="F1225" i="13"/>
  <c r="B1225" i="13"/>
  <c r="F1224" i="13"/>
  <c r="B1224" i="13"/>
  <c r="G1218" i="13"/>
  <c r="H1218" i="13"/>
  <c r="H1219" i="13"/>
  <c r="E1218" i="13"/>
  <c r="D1218" i="13"/>
  <c r="F1212" i="13"/>
  <c r="B1212" i="13"/>
  <c r="F1211" i="13"/>
  <c r="B1211" i="13"/>
  <c r="J1210" i="13"/>
  <c r="B1210" i="13"/>
  <c r="F1209" i="13"/>
  <c r="B1209" i="13"/>
  <c r="F1208" i="13"/>
  <c r="B1208" i="13"/>
  <c r="B1207" i="13"/>
  <c r="F1206" i="13"/>
  <c r="F1207" i="13"/>
  <c r="B1206" i="13"/>
  <c r="F1200" i="13"/>
  <c r="B1200" i="13"/>
  <c r="F1199" i="13"/>
  <c r="B1199" i="13"/>
  <c r="B1198" i="13"/>
  <c r="B1197" i="13"/>
  <c r="F1196" i="13"/>
  <c r="B1196" i="13"/>
  <c r="F1195" i="13"/>
  <c r="B1195" i="13"/>
  <c r="B1194" i="13"/>
  <c r="F1193" i="13"/>
  <c r="B1193" i="13"/>
  <c r="B1186" i="13"/>
  <c r="H1185" i="13"/>
  <c r="B1185" i="13"/>
  <c r="B1184" i="13"/>
  <c r="B1183" i="13"/>
  <c r="B1182" i="13"/>
  <c r="B1181" i="13"/>
  <c r="F1174" i="13"/>
  <c r="H1174" i="13"/>
  <c r="H1175" i="13"/>
  <c r="B1168" i="13"/>
  <c r="F1167" i="13"/>
  <c r="B1167" i="13"/>
  <c r="F1166" i="13"/>
  <c r="B1166" i="13"/>
  <c r="F1165" i="13"/>
  <c r="B1165" i="13"/>
  <c r="F1164" i="13"/>
  <c r="H1164" i="13"/>
  <c r="B1164" i="13"/>
  <c r="B1163" i="13"/>
  <c r="B1162" i="13"/>
  <c r="B1161" i="13"/>
  <c r="F1160" i="13"/>
  <c r="B1160" i="13"/>
  <c r="F1159" i="13"/>
  <c r="H1159" i="13"/>
  <c r="B1159" i="13"/>
  <c r="F1158" i="13"/>
  <c r="H1158" i="13"/>
  <c r="B1158" i="13"/>
  <c r="F1157" i="13"/>
  <c r="B1157" i="13"/>
  <c r="F1156" i="13"/>
  <c r="B1156" i="13"/>
  <c r="B1150" i="13"/>
  <c r="B1149" i="13"/>
  <c r="F1148" i="13"/>
  <c r="B1148" i="13"/>
  <c r="F1147" i="13"/>
  <c r="H1147" i="13"/>
  <c r="B1147" i="13"/>
  <c r="B1146" i="13"/>
  <c r="B1145" i="13"/>
  <c r="H1144" i="13"/>
  <c r="B1144" i="13"/>
  <c r="F1143" i="13"/>
  <c r="B1143" i="13"/>
  <c r="F1142" i="13"/>
  <c r="H1142" i="13"/>
  <c r="B1142" i="13"/>
  <c r="F1141" i="13"/>
  <c r="B1141" i="13"/>
  <c r="F1140" i="13"/>
  <c r="B1140" i="13"/>
  <c r="F1139" i="13"/>
  <c r="B1139" i="13"/>
  <c r="F1133" i="13"/>
  <c r="B1133" i="13"/>
  <c r="F1132" i="13"/>
  <c r="H1132" i="13"/>
  <c r="B1132" i="13"/>
  <c r="F1131" i="13"/>
  <c r="H1131" i="13"/>
  <c r="B1131" i="13"/>
  <c r="F1130" i="13"/>
  <c r="B1130" i="13"/>
  <c r="F1124" i="13"/>
  <c r="B1124" i="13"/>
  <c r="F1123" i="13"/>
  <c r="H1123" i="13"/>
  <c r="B1123" i="13"/>
  <c r="F1122" i="13"/>
  <c r="H1122" i="13"/>
  <c r="B1122" i="13"/>
  <c r="F1121" i="13"/>
  <c r="B1121" i="13"/>
  <c r="B1112" i="13"/>
  <c r="B1106" i="13"/>
  <c r="B1105" i="13"/>
  <c r="F1104" i="13"/>
  <c r="B1104" i="13"/>
  <c r="F1103" i="13"/>
  <c r="F1105" i="13"/>
  <c r="B1103" i="13"/>
  <c r="F1102" i="13"/>
  <c r="B1102" i="13"/>
  <c r="H1092" i="13"/>
  <c r="B1092" i="13"/>
  <c r="B1091" i="13"/>
  <c r="B1083" i="13"/>
  <c r="F1082" i="13"/>
  <c r="B1082" i="13"/>
  <c r="F1081" i="13"/>
  <c r="B1081" i="13"/>
  <c r="F1080" i="13"/>
  <c r="B1080" i="13"/>
  <c r="B1074" i="13"/>
  <c r="B1073" i="13"/>
  <c r="F1072" i="13"/>
  <c r="B1072" i="13"/>
  <c r="B1071" i="13"/>
  <c r="B1070" i="13"/>
  <c r="B1069" i="13"/>
  <c r="F1068" i="13"/>
  <c r="B1068" i="13"/>
  <c r="F1067" i="13"/>
  <c r="H1067" i="13"/>
  <c r="B1067" i="13"/>
  <c r="F1066" i="13"/>
  <c r="B1066" i="13"/>
  <c r="B1065" i="13"/>
  <c r="F1059" i="13"/>
  <c r="B1059" i="13"/>
  <c r="F1058" i="13"/>
  <c r="B1058" i="13"/>
  <c r="F1057" i="13"/>
  <c r="H1057" i="13"/>
  <c r="B1057" i="13"/>
  <c r="F1056" i="13"/>
  <c r="B1056" i="13"/>
  <c r="F1049" i="13"/>
  <c r="B1049" i="13"/>
  <c r="H1048" i="13"/>
  <c r="B1048" i="13"/>
  <c r="B1047" i="13"/>
  <c r="F1046" i="13"/>
  <c r="B1046" i="13"/>
  <c r="F1040" i="13"/>
  <c r="B1040" i="13"/>
  <c r="H1039" i="13"/>
  <c r="B1039" i="13"/>
  <c r="B1038" i="13"/>
  <c r="F1037" i="13"/>
  <c r="B1037" i="13"/>
  <c r="F1031" i="13"/>
  <c r="B1031" i="13"/>
  <c r="F1030" i="13"/>
  <c r="B1030" i="13"/>
  <c r="F1029" i="13"/>
  <c r="B1029" i="13"/>
  <c r="H1028" i="13"/>
  <c r="B1028" i="13"/>
  <c r="F1027" i="13"/>
  <c r="H1027" i="13"/>
  <c r="B1027" i="13"/>
  <c r="F1026" i="13"/>
  <c r="B1026" i="13"/>
  <c r="F1025" i="13"/>
  <c r="B1025" i="13"/>
  <c r="B1017" i="13"/>
  <c r="F1016" i="13"/>
  <c r="B1016" i="13"/>
  <c r="J601" i="13"/>
  <c r="F601" i="13"/>
  <c r="B601" i="13"/>
  <c r="B600" i="13"/>
  <c r="B594" i="13"/>
  <c r="B593" i="13"/>
  <c r="B592" i="13"/>
  <c r="F591" i="13"/>
  <c r="F587" i="13"/>
  <c r="B591" i="13"/>
  <c r="B590" i="13"/>
  <c r="B589" i="13"/>
  <c r="F588" i="13"/>
  <c r="H588" i="13"/>
  <c r="B588" i="13"/>
  <c r="B587" i="13"/>
  <c r="F586" i="13"/>
  <c r="B586" i="13"/>
  <c r="F585" i="13"/>
  <c r="B585" i="13"/>
  <c r="B584" i="13"/>
  <c r="B583" i="13"/>
  <c r="F582" i="13"/>
  <c r="F583" i="13"/>
  <c r="H583" i="13"/>
  <c r="B582" i="13"/>
  <c r="J581" i="13"/>
  <c r="F590" i="13"/>
  <c r="H590" i="13"/>
  <c r="B581" i="13"/>
  <c r="F580" i="13"/>
  <c r="B580" i="13"/>
  <c r="H579" i="13"/>
  <c r="B579" i="13"/>
  <c r="B527" i="13"/>
  <c r="F526" i="13"/>
  <c r="B526" i="13"/>
  <c r="F525" i="13"/>
  <c r="B525" i="13"/>
  <c r="F524" i="13"/>
  <c r="B524" i="13"/>
  <c r="B523" i="13"/>
  <c r="B522" i="13"/>
  <c r="F521" i="13"/>
  <c r="F523" i="13"/>
  <c r="B521" i="13"/>
  <c r="B520" i="13"/>
  <c r="F519" i="13"/>
  <c r="B519" i="13"/>
  <c r="B518" i="13"/>
  <c r="F517" i="13"/>
  <c r="F518" i="13"/>
  <c r="B517" i="13"/>
  <c r="F516" i="13"/>
  <c r="B516" i="13"/>
  <c r="B515" i="13"/>
  <c r="F509" i="13"/>
  <c r="B509" i="13"/>
  <c r="F508" i="13"/>
  <c r="B508" i="13"/>
  <c r="F507" i="13"/>
  <c r="B507" i="13"/>
  <c r="F506" i="13"/>
  <c r="B506" i="13"/>
  <c r="B505" i="13"/>
  <c r="B504" i="13"/>
  <c r="F503" i="13"/>
  <c r="B503" i="13"/>
  <c r="F502" i="13"/>
  <c r="B502" i="13"/>
  <c r="F501" i="13"/>
  <c r="B501" i="13"/>
  <c r="B500" i="13"/>
  <c r="B481" i="13"/>
  <c r="F480" i="13"/>
  <c r="H480" i="13"/>
  <c r="B480" i="13"/>
  <c r="F479" i="13"/>
  <c r="B479" i="13"/>
  <c r="B478" i="13"/>
  <c r="B477" i="13"/>
  <c r="B476" i="13"/>
  <c r="B475" i="13"/>
  <c r="F474" i="13"/>
  <c r="H474" i="13"/>
  <c r="B474" i="13"/>
  <c r="B473" i="13"/>
  <c r="B472" i="13"/>
  <c r="F471" i="13"/>
  <c r="H471" i="13"/>
  <c r="B471" i="13"/>
  <c r="B470" i="13"/>
  <c r="B469" i="13"/>
  <c r="B468" i="13"/>
  <c r="B467" i="13"/>
  <c r="B466" i="13"/>
  <c r="H448" i="13"/>
  <c r="B448" i="13"/>
  <c r="B447" i="13"/>
  <c r="B446" i="13"/>
  <c r="B445" i="13"/>
  <c r="B439" i="13"/>
  <c r="B438" i="13"/>
  <c r="H437" i="13"/>
  <c r="B437" i="13"/>
  <c r="B436" i="13"/>
  <c r="B435" i="13"/>
  <c r="B434" i="13"/>
  <c r="B433" i="13"/>
  <c r="B427" i="13"/>
  <c r="B426" i="13"/>
  <c r="B425" i="13"/>
  <c r="H424" i="13"/>
  <c r="B424" i="13"/>
  <c r="B423" i="13"/>
  <c r="B393" i="13"/>
  <c r="B392" i="13"/>
  <c r="B391" i="13"/>
  <c r="B390" i="13"/>
  <c r="B389" i="13"/>
  <c r="B388" i="13"/>
  <c r="B387" i="13"/>
  <c r="H386" i="13"/>
  <c r="B386" i="13"/>
  <c r="B365" i="13"/>
  <c r="B364" i="13"/>
  <c r="B363" i="13"/>
  <c r="B362" i="13"/>
  <c r="B361" i="13"/>
  <c r="B360" i="13"/>
  <c r="B359" i="13"/>
  <c r="B340" i="13"/>
  <c r="B339" i="13"/>
  <c r="B338" i="13"/>
  <c r="B337" i="13"/>
  <c r="B323" i="13"/>
  <c r="B322" i="13"/>
  <c r="B321" i="13"/>
  <c r="B320" i="13"/>
  <c r="B319" i="13"/>
  <c r="B313" i="13"/>
  <c r="B312" i="13"/>
  <c r="B311" i="13"/>
  <c r="B310" i="13"/>
  <c r="B309" i="13"/>
  <c r="B308" i="13"/>
  <c r="B307" i="13"/>
  <c r="B287" i="13"/>
  <c r="B286" i="13"/>
  <c r="B285" i="13"/>
  <c r="B284" i="13"/>
  <c r="B283" i="13"/>
  <c r="B252" i="13"/>
  <c r="B251" i="13"/>
  <c r="B250" i="13"/>
  <c r="B243" i="13"/>
  <c r="B242" i="13"/>
  <c r="B241" i="13"/>
  <c r="B240" i="13"/>
  <c r="B239" i="13"/>
  <c r="B238" i="13"/>
  <c r="B237" i="13"/>
  <c r="B231" i="13"/>
  <c r="B230" i="13"/>
  <c r="B229" i="13"/>
  <c r="B228" i="13"/>
  <c r="B227" i="13"/>
  <c r="B226" i="13"/>
  <c r="B190" i="13"/>
  <c r="B189" i="13"/>
  <c r="B188" i="13"/>
  <c r="B187" i="13"/>
  <c r="B186" i="13"/>
  <c r="B185" i="13"/>
  <c r="B184" i="13"/>
  <c r="B183" i="13"/>
  <c r="B96" i="13"/>
  <c r="B95" i="13"/>
  <c r="B94" i="13"/>
  <c r="B93" i="13"/>
  <c r="B92" i="13"/>
  <c r="B91" i="13"/>
  <c r="B71" i="13"/>
  <c r="B70" i="13"/>
  <c r="B69" i="13"/>
  <c r="B68" i="13"/>
  <c r="B67" i="13"/>
  <c r="B66" i="13"/>
  <c r="B65" i="13"/>
  <c r="B59" i="13"/>
  <c r="B56" i="13"/>
  <c r="B55" i="13"/>
  <c r="B54" i="13"/>
  <c r="B53" i="13"/>
  <c r="B48" i="13"/>
  <c r="BG12" i="50"/>
  <c r="BI62" i="50"/>
  <c r="BJ62" i="50"/>
  <c r="BM62" i="50"/>
  <c r="BG62" i="50"/>
  <c r="BH62" i="50"/>
  <c r="BE62" i="50"/>
  <c r="BF62" i="50"/>
  <c r="BI60" i="50"/>
  <c r="BJ60" i="50"/>
  <c r="BM60" i="50"/>
  <c r="BG60" i="50"/>
  <c r="BH60" i="50"/>
  <c r="BE60" i="50"/>
  <c r="BF60" i="50"/>
  <c r="BI58" i="50"/>
  <c r="BJ58" i="50"/>
  <c r="BM58" i="50"/>
  <c r="BG58" i="50"/>
  <c r="BH58" i="50"/>
  <c r="BE58" i="50"/>
  <c r="BF58" i="50"/>
  <c r="BI56" i="50"/>
  <c r="BJ56" i="50"/>
  <c r="BG56" i="50"/>
  <c r="BH56" i="50"/>
  <c r="BE56" i="50"/>
  <c r="BF56" i="50"/>
  <c r="BI54" i="50"/>
  <c r="BJ54" i="50"/>
  <c r="BM54" i="50"/>
  <c r="BG54" i="50"/>
  <c r="BH54" i="50"/>
  <c r="BE54" i="50"/>
  <c r="BF54" i="50"/>
  <c r="BI52" i="50"/>
  <c r="BJ52" i="50"/>
  <c r="BG52" i="50"/>
  <c r="BH52" i="50"/>
  <c r="BE52" i="50"/>
  <c r="BF52" i="50"/>
  <c r="BI50" i="50"/>
  <c r="BJ50" i="50"/>
  <c r="BG50" i="50"/>
  <c r="BH50" i="50"/>
  <c r="BE50" i="50"/>
  <c r="BF50" i="50"/>
  <c r="BI48" i="50"/>
  <c r="BJ48" i="50"/>
  <c r="BG48" i="50"/>
  <c r="BH48" i="50"/>
  <c r="BE48" i="50"/>
  <c r="BF48" i="50"/>
  <c r="E35" i="27"/>
  <c r="B35" i="27"/>
  <c r="E33" i="27"/>
  <c r="J15" i="27"/>
  <c r="B33" i="27"/>
  <c r="E31" i="27"/>
  <c r="B31" i="27"/>
  <c r="E29" i="27"/>
  <c r="B29" i="27"/>
  <c r="E27" i="27"/>
  <c r="B27" i="27"/>
  <c r="E25" i="27"/>
  <c r="J16" i="27"/>
  <c r="H23" i="27"/>
  <c r="E23" i="27"/>
  <c r="B23" i="27"/>
  <c r="H21" i="27"/>
  <c r="E21" i="27"/>
  <c r="B21" i="27"/>
  <c r="H19" i="27"/>
  <c r="E19" i="27"/>
  <c r="J14" i="27"/>
  <c r="B19" i="27"/>
  <c r="H17" i="27"/>
  <c r="E17" i="27"/>
  <c r="B17" i="27"/>
  <c r="H15" i="27"/>
  <c r="E15" i="27"/>
  <c r="B15" i="27"/>
  <c r="H13" i="27"/>
  <c r="E13" i="27"/>
  <c r="D24" i="3"/>
  <c r="F19" i="3"/>
  <c r="F24" i="3"/>
  <c r="I26" i="36"/>
  <c r="D26" i="36"/>
  <c r="E26" i="36"/>
  <c r="F26" i="36"/>
  <c r="G26" i="36"/>
  <c r="H26" i="36"/>
  <c r="J26" i="36"/>
  <c r="C26" i="36"/>
  <c r="H722" i="13"/>
  <c r="H591" i="13"/>
  <c r="H1058" i="13"/>
  <c r="H1141" i="13"/>
  <c r="H1184" i="13"/>
  <c r="F589" i="13"/>
  <c r="K17" i="43"/>
  <c r="BD45" i="53"/>
  <c r="BE45" i="53"/>
  <c r="BL45" i="53"/>
  <c r="G17" i="41"/>
  <c r="E36" i="27"/>
  <c r="BF45" i="53"/>
  <c r="G15" i="41"/>
  <c r="B15" i="43"/>
  <c r="BJ45" i="53"/>
  <c r="BK45" i="53"/>
  <c r="BG45" i="53"/>
  <c r="BM45" i="53"/>
  <c r="G53" i="13"/>
  <c r="G172" i="13"/>
  <c r="G145" i="13"/>
  <c r="H145" i="13" s="1"/>
  <c r="G104" i="13"/>
  <c r="G81" i="13"/>
  <c r="G184" i="13"/>
  <c r="H184" i="13" s="1"/>
  <c r="G160" i="13"/>
  <c r="H160" i="13"/>
  <c r="G66" i="13"/>
  <c r="H66" i="13" s="1"/>
  <c r="G92" i="13"/>
  <c r="H92" i="13" s="1"/>
  <c r="G116" i="13"/>
  <c r="H116" i="13" s="1"/>
  <c r="G190" i="13"/>
  <c r="H190" i="13"/>
  <c r="G24" i="13"/>
  <c r="H24" i="13" s="1"/>
  <c r="G38" i="13"/>
  <c r="H38" i="13"/>
  <c r="G165" i="13"/>
  <c r="H165" i="13" s="1"/>
  <c r="G121" i="13"/>
  <c r="H121" i="13"/>
  <c r="G150" i="13"/>
  <c r="H150" i="13" s="1"/>
  <c r="G51" i="13"/>
  <c r="H51" i="13" s="1"/>
  <c r="G119" i="13"/>
  <c r="H119" i="13" s="1"/>
  <c r="G175" i="13"/>
  <c r="G187" i="13"/>
  <c r="H187" i="13" s="1"/>
  <c r="G147" i="13"/>
  <c r="H147" i="13"/>
  <c r="G69" i="13"/>
  <c r="H69" i="13" s="1"/>
  <c r="G162" i="13"/>
  <c r="H162" i="13" s="1"/>
  <c r="G118" i="13"/>
  <c r="H118" i="13" s="1"/>
  <c r="G174" i="13"/>
  <c r="H174" i="13"/>
  <c r="G106" i="13"/>
  <c r="H106" i="13" s="1"/>
  <c r="G82" i="13"/>
  <c r="H82" i="13"/>
  <c r="G59" i="13"/>
  <c r="H59" i="13" s="1"/>
  <c r="G189" i="13"/>
  <c r="H189" i="13"/>
  <c r="G71" i="13"/>
  <c r="H71" i="13" s="1"/>
  <c r="G96" i="13"/>
  <c r="H96" i="13" s="1"/>
  <c r="G115" i="13"/>
  <c r="H115" i="13" s="1"/>
  <c r="G91" i="13"/>
  <c r="H91" i="13" s="1"/>
  <c r="G171" i="13"/>
  <c r="H171" i="13" s="1"/>
  <c r="G144" i="13"/>
  <c r="H144" i="13" s="1"/>
  <c r="G103" i="13"/>
  <c r="H103" i="13"/>
  <c r="G80" i="13"/>
  <c r="H80" i="13" s="1"/>
  <c r="G183" i="13"/>
  <c r="H183" i="13" s="1"/>
  <c r="G159" i="13"/>
  <c r="H159" i="13" s="1"/>
  <c r="G65" i="13"/>
  <c r="H65" i="13" s="1"/>
  <c r="G84" i="13"/>
  <c r="H84" i="13" s="1"/>
  <c r="G177" i="13"/>
  <c r="G109" i="13"/>
  <c r="H109" i="13" s="1"/>
  <c r="G49" i="13"/>
  <c r="H49" i="13" s="1"/>
  <c r="G157" i="13"/>
  <c r="H157" i="13" s="1"/>
  <c r="G102" i="13"/>
  <c r="H102" i="13" s="1"/>
  <c r="G142" i="13"/>
  <c r="H142" i="13" s="1"/>
  <c r="G48" i="13"/>
  <c r="H48" i="13" s="1"/>
  <c r="G36" i="13"/>
  <c r="H36" i="13" s="1"/>
  <c r="G22" i="13"/>
  <c r="H22" i="13"/>
  <c r="G40" i="13"/>
  <c r="H40" i="13"/>
  <c r="G26" i="13"/>
  <c r="H26" i="13" s="1"/>
  <c r="G29" i="13"/>
  <c r="H29" i="13" s="1"/>
  <c r="G42" i="13"/>
  <c r="H42" i="13" s="1"/>
  <c r="G143" i="13"/>
  <c r="H143" i="13" s="1"/>
  <c r="G158" i="13"/>
  <c r="H158" i="13"/>
  <c r="G57" i="13"/>
  <c r="H57" i="13" s="1"/>
  <c r="G518" i="13"/>
  <c r="H518" i="13" s="1"/>
  <c r="G536" i="13"/>
  <c r="G553" i="13"/>
  <c r="H553" i="13" s="1"/>
  <c r="G469" i="13"/>
  <c r="H469" i="13"/>
  <c r="G516" i="13"/>
  <c r="H516" i="13" s="1"/>
  <c r="H528" i="13" s="1"/>
  <c r="G467" i="13"/>
  <c r="H467" i="13"/>
  <c r="G551" i="13"/>
  <c r="H551" i="13" s="1"/>
  <c r="G534" i="13"/>
  <c r="H172" i="13"/>
  <c r="H853" i="13"/>
  <c r="F928" i="13"/>
  <c r="H928" i="13"/>
  <c r="H837" i="13"/>
  <c r="G1105" i="13"/>
  <c r="H1105" i="13" s="1"/>
  <c r="G1082" i="13"/>
  <c r="H1082" i="13" s="1"/>
  <c r="H53" i="13"/>
  <c r="F600" i="13"/>
  <c r="H130" i="13"/>
  <c r="F581" i="13"/>
  <c r="F592" i="13"/>
  <c r="H329" i="13"/>
  <c r="H412" i="13"/>
  <c r="H509" i="13"/>
  <c r="H519" i="13"/>
  <c r="H491" i="13"/>
  <c r="H490" i="13"/>
  <c r="F534" i="13"/>
  <c r="H534" i="13"/>
  <c r="H1247" i="13"/>
  <c r="H177" i="13"/>
  <c r="H537" i="13"/>
  <c r="F584" i="13"/>
  <c r="I1301" i="13"/>
  <c r="H81" i="13"/>
  <c r="I1286" i="13"/>
  <c r="I1288" i="13"/>
  <c r="H503" i="13"/>
  <c r="H720" i="13"/>
  <c r="H752" i="13"/>
  <c r="H417" i="13"/>
  <c r="H492" i="13"/>
  <c r="H494" i="13"/>
  <c r="H487" i="13"/>
  <c r="H1220" i="13"/>
  <c r="H1221" i="13"/>
  <c r="H696" i="13"/>
  <c r="H348" i="13"/>
  <c r="H610" i="13"/>
  <c r="H523" i="13"/>
  <c r="H197" i="13"/>
  <c r="H681" i="13"/>
  <c r="H626" i="13"/>
  <c r="H777" i="13"/>
  <c r="H502" i="13"/>
  <c r="H276" i="13"/>
  <c r="H554" i="13"/>
  <c r="H203" i="13"/>
  <c r="H508" i="13"/>
  <c r="H199" i="13"/>
  <c r="H294" i="13"/>
  <c r="H415" i="13"/>
  <c r="H541" i="13"/>
  <c r="H586" i="13"/>
  <c r="H353" i="13"/>
  <c r="H220" i="13"/>
  <c r="H526" i="13"/>
  <c r="H533" i="13"/>
  <c r="H175" i="13"/>
  <c r="H104" i="13"/>
  <c r="H196" i="13"/>
  <c r="H413" i="13"/>
  <c r="F38" i="13"/>
  <c r="H206" i="13"/>
  <c r="F17" i="12"/>
  <c r="J17" i="27"/>
  <c r="BE46" i="50"/>
  <c r="BF46" i="50"/>
  <c r="BM48" i="50"/>
  <c r="BM50" i="50"/>
  <c r="BM52" i="50"/>
  <c r="BN51" i="53"/>
  <c r="BN57" i="53"/>
  <c r="BI46" i="50"/>
  <c r="BJ46" i="50"/>
  <c r="F19" i="12"/>
  <c r="BN45" i="53"/>
  <c r="BG46" i="50"/>
  <c r="BH46" i="50"/>
  <c r="F18" i="12"/>
  <c r="BM56" i="50"/>
  <c r="BN49" i="53"/>
  <c r="BN59" i="53"/>
  <c r="H18" i="41"/>
  <c r="H1176" i="13"/>
  <c r="H1177" i="13"/>
  <c r="BN55" i="53"/>
  <c r="G20" i="41"/>
  <c r="H16" i="41"/>
  <c r="H19" i="41"/>
  <c r="G1241" i="13"/>
  <c r="H1241" i="13" s="1"/>
  <c r="G1206" i="13"/>
  <c r="H1206" i="13" s="1"/>
  <c r="G1193" i="13"/>
  <c r="H1193" i="13" s="1"/>
  <c r="G1143" i="13"/>
  <c r="H1143" i="13" s="1"/>
  <c r="G1066" i="13"/>
  <c r="H1066" i="13" s="1"/>
  <c r="G1047" i="13"/>
  <c r="H1047" i="13" s="1"/>
  <c r="G1038" i="13"/>
  <c r="H1038" i="13" s="1"/>
  <c r="G971" i="13"/>
  <c r="H971" i="13" s="1"/>
  <c r="G927" i="13"/>
  <c r="H927" i="13" s="1"/>
  <c r="G893" i="13"/>
  <c r="H893" i="13" s="1"/>
  <c r="G849" i="13"/>
  <c r="H849" i="13" s="1"/>
  <c r="G1133" i="13"/>
  <c r="H1133" i="13" s="1"/>
  <c r="G1124" i="13"/>
  <c r="H1124" i="13" s="1"/>
  <c r="G955" i="13"/>
  <c r="H955" i="13" s="1"/>
  <c r="G878" i="13"/>
  <c r="H878" i="13"/>
  <c r="G865" i="13"/>
  <c r="H865" i="13"/>
  <c r="G1160" i="13"/>
  <c r="H1160" i="13"/>
  <c r="G1059" i="13"/>
  <c r="H1059" i="13"/>
  <c r="G942" i="13"/>
  <c r="H942" i="13"/>
  <c r="G910" i="13"/>
  <c r="H910" i="13"/>
  <c r="G833" i="13"/>
  <c r="H833" i="13"/>
  <c r="G1026" i="13"/>
  <c r="H1026" i="13" s="1"/>
  <c r="G1004" i="13"/>
  <c r="H1004" i="13" s="1"/>
  <c r="G991" i="13"/>
  <c r="H991" i="13" s="1"/>
  <c r="G819" i="13"/>
  <c r="H819" i="13"/>
  <c r="G1249" i="13"/>
  <c r="H1249" i="13" s="1"/>
  <c r="G1212" i="13"/>
  <c r="H1212" i="13"/>
  <c r="G1200" i="13"/>
  <c r="H1200" i="13" s="1"/>
  <c r="G948" i="13"/>
  <c r="H948" i="13"/>
  <c r="G857" i="13"/>
  <c r="H857" i="13" s="1"/>
  <c r="G839" i="13"/>
  <c r="H839" i="13" s="1"/>
  <c r="H840" i="13" s="1"/>
  <c r="H841" i="13" s="1"/>
  <c r="G1150" i="13"/>
  <c r="H1150" i="13" s="1"/>
  <c r="G934" i="13"/>
  <c r="H934" i="13"/>
  <c r="G825" i="13"/>
  <c r="H825" i="13" s="1"/>
  <c r="G1168" i="13"/>
  <c r="H1168" i="13"/>
  <c r="G981" i="13"/>
  <c r="H981" i="13" s="1"/>
  <c r="G884" i="13"/>
  <c r="H884" i="13"/>
  <c r="G1074" i="13"/>
  <c r="H1074" i="13" s="1"/>
  <c r="G961" i="13"/>
  <c r="H961" i="13" s="1"/>
  <c r="G871" i="13"/>
  <c r="H871" i="13" s="1"/>
  <c r="G1240" i="13"/>
  <c r="H1240" i="13"/>
  <c r="G1139" i="13"/>
  <c r="H1139" i="13" s="1"/>
  <c r="G1025" i="13"/>
  <c r="H1025" i="13"/>
  <c r="G1016" i="13"/>
  <c r="H1016" i="13" s="1"/>
  <c r="G1003" i="13"/>
  <c r="H1003" i="13"/>
  <c r="G967" i="13"/>
  <c r="H967" i="13" s="1"/>
  <c r="G1065" i="13"/>
  <c r="H1065" i="13" s="1"/>
  <c r="G1046" i="13"/>
  <c r="H1046" i="13" s="1"/>
  <c r="G1037" i="13"/>
  <c r="H1037" i="13"/>
  <c r="G922" i="13"/>
  <c r="H922" i="13" s="1"/>
  <c r="G1156" i="13"/>
  <c r="H1156" i="13"/>
  <c r="G954" i="13"/>
  <c r="H954" i="13" s="1"/>
  <c r="G906" i="13"/>
  <c r="H906" i="13"/>
  <c r="G877" i="13"/>
  <c r="H877" i="13" s="1"/>
  <c r="G987" i="13"/>
  <c r="H987" i="13" s="1"/>
  <c r="G941" i="13"/>
  <c r="H941" i="13" s="1"/>
  <c r="G846" i="13"/>
  <c r="H846" i="13"/>
  <c r="G832" i="13"/>
  <c r="H832" i="13" s="1"/>
  <c r="G802" i="13"/>
  <c r="H802" i="13"/>
  <c r="G1080" i="13"/>
  <c r="H1080" i="13" s="1"/>
  <c r="G847" i="13"/>
  <c r="H847" i="13"/>
  <c r="G1102" i="13"/>
  <c r="H1102" i="13" s="1"/>
  <c r="G968" i="13"/>
  <c r="H968" i="13" s="1"/>
  <c r="G924" i="13"/>
  <c r="H924" i="13" s="1"/>
  <c r="G890" i="13"/>
  <c r="H890" i="13"/>
  <c r="G1106" i="13"/>
  <c r="H1106" i="13" s="1"/>
  <c r="G1083" i="13"/>
  <c r="H1083" i="13"/>
  <c r="G990" i="13"/>
  <c r="H990" i="13" s="1"/>
  <c r="G970" i="13"/>
  <c r="H970" i="13"/>
  <c r="G926" i="13"/>
  <c r="H926" i="13" s="1"/>
  <c r="G892" i="13"/>
  <c r="H892" i="13" s="1"/>
  <c r="G848" i="13"/>
  <c r="H848" i="13" s="1"/>
  <c r="G909" i="13"/>
  <c r="H909" i="13"/>
  <c r="G1234" i="13"/>
  <c r="H1234" i="13"/>
  <c r="G1226" i="13"/>
  <c r="H1226" i="13" s="1"/>
  <c r="G1197" i="13"/>
  <c r="H1197" i="13"/>
  <c r="G1007" i="13"/>
  <c r="H1007" i="13"/>
  <c r="G994" i="13"/>
  <c r="H994" i="13" s="1"/>
  <c r="G822" i="13"/>
  <c r="H822" i="13"/>
  <c r="G1146" i="13"/>
  <c r="H1146" i="13" s="1"/>
  <c r="G1069" i="13"/>
  <c r="H1069" i="13"/>
  <c r="G881" i="13"/>
  <c r="H881" i="13" s="1"/>
  <c r="G958" i="13"/>
  <c r="H958" i="13" s="1"/>
  <c r="G868" i="13"/>
  <c r="H868" i="13" s="1"/>
  <c r="G1163" i="13"/>
  <c r="H1163" i="13" s="1"/>
  <c r="G976" i="13"/>
  <c r="H976" i="13" s="1"/>
  <c r="G945" i="13"/>
  <c r="H945" i="13" s="1"/>
  <c r="G913" i="13"/>
  <c r="H913" i="13"/>
  <c r="G836" i="13"/>
  <c r="H836" i="13" s="1"/>
  <c r="G1211" i="13"/>
  <c r="H1211" i="13"/>
  <c r="G900" i="13"/>
  <c r="H900" i="13" s="1"/>
  <c r="G856" i="13"/>
  <c r="H856" i="13"/>
  <c r="G1031" i="13"/>
  <c r="H1031" i="13" s="1"/>
  <c r="G933" i="13"/>
  <c r="H933" i="13" s="1"/>
  <c r="G1167" i="13"/>
  <c r="H1167" i="13" s="1"/>
  <c r="G980" i="13"/>
  <c r="H980" i="13"/>
  <c r="G811" i="13"/>
  <c r="H811" i="13" s="1"/>
  <c r="G1181" i="13"/>
  <c r="H1181" i="13" s="1"/>
  <c r="G1207" i="13"/>
  <c r="H1207" i="13" s="1"/>
  <c r="G1243" i="13"/>
  <c r="H1243" i="13" s="1"/>
  <c r="G1195" i="13"/>
  <c r="H1195" i="13"/>
  <c r="G1186" i="13"/>
  <c r="H1186" i="13"/>
  <c r="G1182" i="13"/>
  <c r="H1182" i="13"/>
  <c r="G1183" i="13"/>
  <c r="H1183" i="13"/>
  <c r="G923" i="13"/>
  <c r="H923" i="13"/>
  <c r="F973" i="13"/>
  <c r="H973" i="13"/>
  <c r="F977" i="13"/>
  <c r="H977" i="13"/>
  <c r="F594" i="13"/>
  <c r="H580" i="13"/>
  <c r="F685" i="13"/>
  <c r="H685" i="13"/>
  <c r="F1070" i="13"/>
  <c r="H1070" i="13"/>
  <c r="H582" i="13"/>
  <c r="F946" i="13"/>
  <c r="H946" i="13"/>
  <c r="F669" i="13"/>
  <c r="H669" i="13"/>
  <c r="F930" i="13"/>
  <c r="H930" i="13"/>
  <c r="F401" i="13"/>
  <c r="H401" i="13"/>
  <c r="H400" i="13"/>
  <c r="F330" i="13"/>
  <c r="I1302" i="13"/>
  <c r="G589" i="13"/>
  <c r="H589" i="13"/>
  <c r="G633" i="13"/>
  <c r="H633" i="13"/>
  <c r="G617" i="13"/>
  <c r="H617" i="13" s="1"/>
  <c r="G479" i="13"/>
  <c r="H479" i="13"/>
  <c r="G895" i="13"/>
  <c r="H895" i="13" s="1"/>
  <c r="G647" i="13"/>
  <c r="H647" i="13"/>
  <c r="G374" i="13"/>
  <c r="H374" i="13" s="1"/>
  <c r="G539" i="13"/>
  <c r="H539" i="13" s="1"/>
  <c r="G628" i="13"/>
  <c r="H628" i="13" s="1"/>
  <c r="G584" i="13"/>
  <c r="H584" i="13"/>
  <c r="G54" i="13"/>
  <c r="H54" i="13" s="1"/>
  <c r="G16" i="13"/>
  <c r="H16" i="13"/>
  <c r="H17" i="13" s="1"/>
  <c r="G1233" i="13"/>
  <c r="H1233" i="13" s="1"/>
  <c r="G1245" i="13"/>
  <c r="H1245" i="13" s="1"/>
  <c r="G1225" i="13"/>
  <c r="H1225" i="13"/>
  <c r="H1227" i="13" s="1"/>
  <c r="G1196" i="13"/>
  <c r="H1196" i="13" s="1"/>
  <c r="G1208" i="13"/>
  <c r="H1208" i="13"/>
  <c r="G1162" i="13"/>
  <c r="H1162" i="13" s="1"/>
  <c r="G975" i="13"/>
  <c r="H975" i="13"/>
  <c r="G944" i="13"/>
  <c r="H944" i="13" s="1"/>
  <c r="G912" i="13"/>
  <c r="H912" i="13" s="1"/>
  <c r="G835" i="13"/>
  <c r="H835" i="13" s="1"/>
  <c r="G1006" i="13"/>
  <c r="H1006" i="13"/>
  <c r="G993" i="13"/>
  <c r="H993" i="13"/>
  <c r="G821" i="13"/>
  <c r="H821" i="13" s="1"/>
  <c r="G1145" i="13"/>
  <c r="H1145" i="13" s="1"/>
  <c r="G1068" i="13"/>
  <c r="H1068" i="13"/>
  <c r="G1017" i="13"/>
  <c r="H1017" i="13" s="1"/>
  <c r="G957" i="13"/>
  <c r="H957" i="13" s="1"/>
  <c r="G880" i="13"/>
  <c r="H880" i="13"/>
  <c r="G867" i="13"/>
  <c r="H867" i="13" s="1"/>
  <c r="G739" i="13"/>
  <c r="H739" i="13" s="1"/>
  <c r="H740" i="13" s="1"/>
  <c r="G712" i="13"/>
  <c r="H712" i="13"/>
  <c r="G699" i="13"/>
  <c r="H699" i="13" s="1"/>
  <c r="G612" i="13"/>
  <c r="H612" i="13"/>
  <c r="G585" i="13"/>
  <c r="H585" i="13" s="1"/>
  <c r="G105" i="13"/>
  <c r="H105" i="13" s="1"/>
  <c r="G726" i="13"/>
  <c r="H726" i="13" s="1"/>
  <c r="G683" i="13"/>
  <c r="H683" i="13"/>
  <c r="G473" i="13"/>
  <c r="H473" i="13" s="1"/>
  <c r="G402" i="13"/>
  <c r="H402" i="13"/>
  <c r="G349" i="13"/>
  <c r="H349" i="13" s="1"/>
  <c r="G322" i="13"/>
  <c r="H322" i="13"/>
  <c r="G25" i="13"/>
  <c r="H25" i="13" s="1"/>
  <c r="G117" i="13"/>
  <c r="H117" i="13" s="1"/>
  <c r="H122" i="13" s="1"/>
  <c r="G763" i="13"/>
  <c r="H763" i="13" s="1"/>
  <c r="G667" i="13"/>
  <c r="H667" i="13"/>
  <c r="G216" i="13"/>
  <c r="H216" i="13" s="1"/>
  <c r="G39" i="13"/>
  <c r="H39" i="13"/>
  <c r="G790" i="13"/>
  <c r="H790" i="13" s="1"/>
  <c r="H795" i="13" s="1"/>
  <c r="H796" i="13" s="1"/>
  <c r="H797" i="13" s="1"/>
  <c r="F29" i="7" s="1"/>
  <c r="G775" i="13"/>
  <c r="H775" i="13" s="1"/>
  <c r="G751" i="13"/>
  <c r="H751" i="13" s="1"/>
  <c r="G629" i="13"/>
  <c r="H629" i="13"/>
  <c r="G522" i="13"/>
  <c r="H522" i="13" s="1"/>
  <c r="G505" i="13"/>
  <c r="H505" i="13" s="1"/>
  <c r="G296" i="13"/>
  <c r="H296" i="13" s="1"/>
  <c r="G173" i="13"/>
  <c r="H173" i="13" s="1"/>
  <c r="H178" i="13" s="1"/>
  <c r="G1224" i="13"/>
  <c r="H1224" i="13" s="1"/>
  <c r="G1242" i="13"/>
  <c r="H1242" i="13" s="1"/>
  <c r="G1194" i="13"/>
  <c r="H1194" i="13"/>
  <c r="G1232" i="13"/>
  <c r="H1232" i="13" s="1"/>
  <c r="H1235" i="13" s="1"/>
  <c r="G37" i="13"/>
  <c r="H37" i="13"/>
  <c r="G330" i="13"/>
  <c r="H330" i="13" s="1"/>
  <c r="G23" i="13"/>
  <c r="H23" i="13"/>
  <c r="G52" i="13"/>
  <c r="H52" i="13" s="1"/>
  <c r="G1010" i="13"/>
  <c r="H1010" i="13"/>
  <c r="BM46" i="50"/>
  <c r="I1303" i="13"/>
  <c r="I1304" i="13"/>
  <c r="M17" i="18"/>
  <c r="M24" i="18"/>
  <c r="H15" i="41"/>
  <c r="H20" i="41"/>
  <c r="H17" i="41"/>
  <c r="F20" i="12"/>
  <c r="G18" i="12"/>
  <c r="G17" i="12"/>
  <c r="F593" i="13"/>
  <c r="H593" i="13"/>
  <c r="H594" i="13"/>
  <c r="G915" i="13"/>
  <c r="H915" i="13"/>
  <c r="G1071" i="13"/>
  <c r="H1071" i="13" s="1"/>
  <c r="G996" i="13"/>
  <c r="H996" i="13"/>
  <c r="G793" i="13"/>
  <c r="H793" i="13" s="1"/>
  <c r="G754" i="13"/>
  <c r="H754" i="13"/>
  <c r="G729" i="13"/>
  <c r="H729" i="13" s="1"/>
  <c r="G702" i="13"/>
  <c r="H702" i="13" s="1"/>
  <c r="G686" i="13"/>
  <c r="H686" i="13"/>
  <c r="G670" i="13"/>
  <c r="H670" i="13" s="1"/>
  <c r="G475" i="13"/>
  <c r="H475" i="13"/>
  <c r="G1244" i="13"/>
  <c r="H1244" i="13" s="1"/>
  <c r="G974" i="13"/>
  <c r="H974" i="13"/>
  <c r="G896" i="13"/>
  <c r="H896" i="13" s="1"/>
  <c r="G852" i="13"/>
  <c r="H852" i="13" s="1"/>
  <c r="G929" i="13"/>
  <c r="H929" i="13" s="1"/>
  <c r="G521" i="13"/>
  <c r="H521" i="13"/>
  <c r="G504" i="13"/>
  <c r="H504" i="13" s="1"/>
  <c r="G375" i="13"/>
  <c r="H375" i="13" s="1"/>
  <c r="G309" i="13"/>
  <c r="H309" i="13" s="1"/>
  <c r="G285" i="13"/>
  <c r="H285" i="13" s="1"/>
  <c r="G161" i="13"/>
  <c r="H161" i="13" s="1"/>
  <c r="G807" i="13"/>
  <c r="H807" i="13" s="1"/>
  <c r="G425" i="13"/>
  <c r="H425" i="13" s="1"/>
  <c r="G201" i="13"/>
  <c r="H201" i="13" s="1"/>
  <c r="G50" i="13"/>
  <c r="H50" i="13" s="1"/>
  <c r="G146" i="13"/>
  <c r="H146" i="13" s="1"/>
  <c r="G611" i="13"/>
  <c r="H611" i="13" s="1"/>
  <c r="G556" i="13"/>
  <c r="H556" i="13" s="1"/>
  <c r="G472" i="13"/>
  <c r="H472" i="13" s="1"/>
  <c r="G435" i="13"/>
  <c r="H435" i="13" s="1"/>
  <c r="G388" i="13"/>
  <c r="H388" i="13" s="1"/>
  <c r="G321" i="13"/>
  <c r="H321" i="13" s="1"/>
  <c r="H324" i="13" s="1"/>
  <c r="G272" i="13"/>
  <c r="H272" i="13"/>
  <c r="G185" i="13"/>
  <c r="H185" i="13"/>
  <c r="G648" i="13"/>
  <c r="H648" i="13"/>
  <c r="G540" i="13"/>
  <c r="H540" i="13"/>
  <c r="G362" i="13"/>
  <c r="H362" i="13"/>
  <c r="G252" i="13"/>
  <c r="H252" i="13"/>
  <c r="G239" i="13"/>
  <c r="H239" i="13"/>
  <c r="G67" i="13"/>
  <c r="H67" i="13"/>
  <c r="G1091" i="13"/>
  <c r="H1091" i="13"/>
  <c r="H1093" i="13" s="1"/>
  <c r="H1094" i="13" s="1"/>
  <c r="G1248" i="13"/>
  <c r="H1248" i="13"/>
  <c r="G1210" i="13"/>
  <c r="H1210" i="13"/>
  <c r="G1199" i="13"/>
  <c r="H1199" i="13"/>
  <c r="G1166" i="13"/>
  <c r="H1166" i="13"/>
  <c r="G1073" i="13"/>
  <c r="H1073" i="13"/>
  <c r="G979" i="13"/>
  <c r="H979" i="13"/>
  <c r="G960" i="13"/>
  <c r="H960" i="13"/>
  <c r="G870" i="13"/>
  <c r="H870" i="13"/>
  <c r="G810" i="13"/>
  <c r="H810" i="13"/>
  <c r="G947" i="13"/>
  <c r="H947" i="13"/>
  <c r="H949" i="13" s="1"/>
  <c r="H950" i="13" s="1"/>
  <c r="G838" i="13"/>
  <c r="H838" i="13" s="1"/>
  <c r="G1149" i="13"/>
  <c r="H1149" i="13" s="1"/>
  <c r="G1009" i="13"/>
  <c r="H1009" i="13" s="1"/>
  <c r="G899" i="13"/>
  <c r="H899" i="13" s="1"/>
  <c r="G855" i="13"/>
  <c r="H855" i="13" s="1"/>
  <c r="G1030" i="13"/>
  <c r="H1030" i="13" s="1"/>
  <c r="G932" i="13"/>
  <c r="H932" i="13" s="1"/>
  <c r="G883" i="13"/>
  <c r="H883" i="13" s="1"/>
  <c r="H885" i="13" s="1"/>
  <c r="G651" i="13"/>
  <c r="H651" i="13" s="1"/>
  <c r="G632" i="13"/>
  <c r="H632" i="13" s="1"/>
  <c r="G570" i="13"/>
  <c r="H570" i="13" s="1"/>
  <c r="G543" i="13"/>
  <c r="H543" i="13" s="1"/>
  <c r="G525" i="13"/>
  <c r="H525" i="13" s="1"/>
  <c r="G447" i="13"/>
  <c r="H447" i="13" s="1"/>
  <c r="G365" i="13"/>
  <c r="H365" i="13"/>
  <c r="G339" i="13"/>
  <c r="H339" i="13"/>
  <c r="G188" i="13"/>
  <c r="H188" i="13"/>
  <c r="G70" i="13"/>
  <c r="H70" i="13"/>
  <c r="G824" i="13"/>
  <c r="H824" i="13"/>
  <c r="G615" i="13"/>
  <c r="H615" i="13"/>
  <c r="G507" i="13"/>
  <c r="H507" i="13"/>
  <c r="G477" i="13"/>
  <c r="H477" i="13"/>
  <c r="G458" i="13"/>
  <c r="H458" i="13"/>
  <c r="G405" i="13"/>
  <c r="H405" i="13"/>
  <c r="G378" i="13"/>
  <c r="H378" i="13"/>
  <c r="G352" i="13"/>
  <c r="H352" i="13"/>
  <c r="G312" i="13"/>
  <c r="H312" i="13"/>
  <c r="G205" i="13"/>
  <c r="H205" i="13"/>
  <c r="G108" i="13"/>
  <c r="H108" i="13"/>
  <c r="G164" i="13"/>
  <c r="H164" i="13"/>
  <c r="G56" i="13"/>
  <c r="H56" i="13"/>
  <c r="G587" i="13"/>
  <c r="H587" i="13"/>
  <c r="G438" i="13"/>
  <c r="H438" i="13"/>
  <c r="G392" i="13"/>
  <c r="H392" i="13"/>
  <c r="G261" i="13"/>
  <c r="H261" i="13"/>
  <c r="G219" i="13"/>
  <c r="H219" i="13"/>
  <c r="G176" i="13"/>
  <c r="H176" i="13"/>
  <c r="G95" i="13"/>
  <c r="H95" i="13"/>
  <c r="G120" i="13"/>
  <c r="H120" i="13"/>
  <c r="G41" i="13"/>
  <c r="H41" i="13"/>
  <c r="G149" i="13"/>
  <c r="H149" i="13"/>
  <c r="G83" i="13"/>
  <c r="H83" i="13" s="1"/>
  <c r="G28" i="13"/>
  <c r="H28" i="13" s="1"/>
  <c r="G766" i="13"/>
  <c r="H766" i="13" s="1"/>
  <c r="G731" i="13"/>
  <c r="H731" i="13" s="1"/>
  <c r="G559" i="13"/>
  <c r="H559" i="13" s="1"/>
  <c r="G416" i="13"/>
  <c r="H416" i="13" s="1"/>
  <c r="H418" i="13" s="1"/>
  <c r="H419" i="13" s="1"/>
  <c r="G300" i="13"/>
  <c r="H300" i="13"/>
  <c r="H302" i="13" s="1"/>
  <c r="H303" i="13" s="1"/>
  <c r="G275" i="13"/>
  <c r="H275" i="13"/>
  <c r="G241" i="13"/>
  <c r="H241" i="13"/>
  <c r="G230" i="13"/>
  <c r="H230" i="13" s="1"/>
  <c r="G19" i="12"/>
  <c r="G20" i="12"/>
  <c r="G1112" i="13"/>
  <c r="H1112" i="13" s="1"/>
  <c r="H1113" i="13" s="1"/>
  <c r="G361" i="13"/>
  <c r="H361" i="13" s="1"/>
  <c r="G625" i="13"/>
  <c r="H625" i="13" s="1"/>
  <c r="H637" i="13" s="1"/>
  <c r="G581" i="13"/>
  <c r="H581" i="13" s="1"/>
  <c r="G600" i="13"/>
  <c r="H600" i="13" s="1"/>
  <c r="G1029" i="13"/>
  <c r="H1029" i="13" s="1"/>
  <c r="G931" i="13"/>
  <c r="H931" i="13" s="1"/>
  <c r="G916" i="13"/>
  <c r="H916" i="13" s="1"/>
  <c r="G1165" i="13"/>
  <c r="H1165" i="13" s="1"/>
  <c r="G1072" i="13"/>
  <c r="H1072" i="13" s="1"/>
  <c r="G997" i="13"/>
  <c r="H997" i="13" s="1"/>
  <c r="G978" i="13"/>
  <c r="H978" i="13"/>
  <c r="G1049" i="13"/>
  <c r="H1049" i="13"/>
  <c r="H1050" i="13" s="1"/>
  <c r="G1040" i="13"/>
  <c r="H1040" i="13" s="1"/>
  <c r="G1148" i="13"/>
  <c r="H1148" i="13" s="1"/>
  <c r="G898" i="13"/>
  <c r="H898" i="13" s="1"/>
  <c r="G854" i="13"/>
  <c r="H854" i="13" s="1"/>
  <c r="G778" i="13"/>
  <c r="H778" i="13" s="1"/>
  <c r="G730" i="13"/>
  <c r="H730" i="13" s="1"/>
  <c r="G703" i="13"/>
  <c r="H703" i="13" s="1"/>
  <c r="G558" i="13"/>
  <c r="H558" i="13" s="1"/>
  <c r="G299" i="13"/>
  <c r="H299" i="13" s="1"/>
  <c r="G274" i="13"/>
  <c r="H274" i="13" s="1"/>
  <c r="G687" i="13"/>
  <c r="H687" i="13" s="1"/>
  <c r="G650" i="13"/>
  <c r="H650" i="13" s="1"/>
  <c r="G542" i="13"/>
  <c r="H542" i="13"/>
  <c r="G524" i="13"/>
  <c r="H524" i="13"/>
  <c r="G229" i="13"/>
  <c r="H229" i="13"/>
  <c r="G107" i="13"/>
  <c r="H107" i="13"/>
  <c r="H110" i="13" s="1"/>
  <c r="H111" i="13" s="1"/>
  <c r="H112" i="13" s="1"/>
  <c r="F17" i="28" s="1"/>
  <c r="G163" i="13"/>
  <c r="H163" i="13" s="1"/>
  <c r="G671" i="13"/>
  <c r="H671" i="13" s="1"/>
  <c r="G614" i="13"/>
  <c r="H614" i="13" s="1"/>
  <c r="G506" i="13"/>
  <c r="H506" i="13" s="1"/>
  <c r="G476" i="13"/>
  <c r="H476" i="13"/>
  <c r="G404" i="13"/>
  <c r="H404" i="13" s="1"/>
  <c r="G377" i="13"/>
  <c r="H377" i="13" s="1"/>
  <c r="G351" i="13"/>
  <c r="H351" i="13" s="1"/>
  <c r="G204" i="13"/>
  <c r="H204" i="13" s="1"/>
  <c r="G148" i="13"/>
  <c r="H148" i="13" s="1"/>
  <c r="G94" i="13"/>
  <c r="H94" i="13" s="1"/>
  <c r="G58" i="13"/>
  <c r="H58" i="13" s="1"/>
  <c r="G809" i="13"/>
  <c r="H809" i="13" s="1"/>
  <c r="G794" i="13"/>
  <c r="H794" i="13" s="1"/>
  <c r="G755" i="13"/>
  <c r="H755" i="13" s="1"/>
  <c r="G427" i="13"/>
  <c r="H427" i="13" s="1"/>
  <c r="H428" i="13" s="1"/>
  <c r="H429" i="13" s="1"/>
  <c r="G391" i="13"/>
  <c r="H391" i="13" s="1"/>
  <c r="G218" i="13"/>
  <c r="H218" i="13" s="1"/>
  <c r="G1254" i="13"/>
  <c r="H1254" i="13" s="1"/>
  <c r="H1255" i="13" s="1"/>
  <c r="G908" i="13"/>
  <c r="H908" i="13"/>
  <c r="H917" i="13" s="1"/>
  <c r="H918" i="13" s="1"/>
  <c r="G806" i="13"/>
  <c r="H806" i="13"/>
  <c r="G1104" i="13"/>
  <c r="H1104" i="13"/>
  <c r="G1081" i="13"/>
  <c r="H1081" i="13"/>
  <c r="G989" i="13"/>
  <c r="H989" i="13"/>
  <c r="H998" i="13" s="1"/>
  <c r="H999" i="13" s="1"/>
  <c r="H1000" i="13" s="1"/>
  <c r="F61" i="28" s="1"/>
  <c r="G1103" i="13"/>
  <c r="H1103" i="13"/>
  <c r="G969" i="13"/>
  <c r="H969" i="13"/>
  <c r="G925" i="13"/>
  <c r="H925" i="13"/>
  <c r="G891" i="13"/>
  <c r="H891" i="13" s="1"/>
  <c r="H901" i="13" s="1"/>
  <c r="H902" i="13" s="1"/>
  <c r="H903" i="13" s="1"/>
  <c r="F47" i="28" s="1"/>
  <c r="G851" i="13"/>
  <c r="H851" i="13" s="1"/>
  <c r="G643" i="13"/>
  <c r="H643" i="13" s="1"/>
  <c r="G198" i="13"/>
  <c r="H198" i="13" s="1"/>
  <c r="G552" i="13"/>
  <c r="H552" i="13"/>
  <c r="G535" i="13"/>
  <c r="H535" i="13"/>
  <c r="G468" i="13"/>
  <c r="H468" i="13"/>
  <c r="H482" i="13" s="1"/>
  <c r="H483" i="13" s="1"/>
  <c r="H484" i="13" s="1"/>
  <c r="F50" i="28" s="1"/>
  <c r="G786" i="13"/>
  <c r="H786" i="13" s="1"/>
  <c r="G517" i="13"/>
  <c r="H517" i="13" s="1"/>
  <c r="G501" i="13"/>
  <c r="H501" i="13" s="1"/>
  <c r="G972" i="13"/>
  <c r="H972" i="13" s="1"/>
  <c r="G636" i="13"/>
  <c r="H636" i="13" s="1"/>
  <c r="G592" i="13"/>
  <c r="H592" i="13" s="1"/>
  <c r="G601" i="13"/>
  <c r="H601" i="13" s="1"/>
  <c r="H602" i="13" s="1"/>
  <c r="G436" i="13"/>
  <c r="H436" i="13"/>
  <c r="G68" i="13"/>
  <c r="H68" i="13"/>
  <c r="G389" i="13"/>
  <c r="H389" i="13"/>
  <c r="G240" i="13"/>
  <c r="H240" i="13" s="1"/>
  <c r="G93" i="13"/>
  <c r="H93" i="13" s="1"/>
  <c r="G363" i="13"/>
  <c r="H363" i="13"/>
  <c r="G186" i="13"/>
  <c r="H186" i="13" s="1"/>
  <c r="H191" i="13" s="1"/>
  <c r="G310" i="13"/>
  <c r="H310" i="13"/>
  <c r="G260" i="13"/>
  <c r="H260" i="13" s="1"/>
  <c r="G228" i="13"/>
  <c r="H228" i="13"/>
  <c r="G55" i="13"/>
  <c r="H55" i="13" s="1"/>
  <c r="H60" i="13" s="1"/>
  <c r="G1246" i="13"/>
  <c r="H1246" i="13" s="1"/>
  <c r="G1209" i="13"/>
  <c r="H1209" i="13"/>
  <c r="G1198" i="13"/>
  <c r="H1198" i="13" s="1"/>
  <c r="G331" i="13"/>
  <c r="H331" i="13" s="1"/>
  <c r="G202" i="13"/>
  <c r="H202" i="13"/>
  <c r="G27" i="13"/>
  <c r="H27" i="13" s="1"/>
  <c r="H30" i="13" s="1"/>
  <c r="G1130" i="13"/>
  <c r="H1130" i="13" s="1"/>
  <c r="H1134" i="13" s="1"/>
  <c r="G1121" i="13"/>
  <c r="H1121" i="13"/>
  <c r="H1125" i="13" s="1"/>
  <c r="G1157" i="13"/>
  <c r="H1157" i="13" s="1"/>
  <c r="H1169" i="13" s="1"/>
  <c r="G1056" i="13"/>
  <c r="H1056" i="13" s="1"/>
  <c r="H1060" i="13" s="1"/>
  <c r="G1140" i="13"/>
  <c r="H1140" i="13" s="1"/>
  <c r="G746" i="13"/>
  <c r="H746" i="13" s="1"/>
  <c r="H756" i="13" s="1"/>
  <c r="G661" i="13"/>
  <c r="H661" i="13" s="1"/>
  <c r="H672" i="13" s="1"/>
  <c r="G694" i="13"/>
  <c r="H694" i="13"/>
  <c r="G721" i="13"/>
  <c r="H721" i="13" s="1"/>
  <c r="H733" i="13" s="1"/>
  <c r="G678" i="13"/>
  <c r="H678" i="13" s="1"/>
  <c r="H1114" i="13"/>
  <c r="H1095" i="13"/>
  <c r="F38" i="7" s="1"/>
  <c r="H1051" i="13"/>
  <c r="H1052" i="13" s="1"/>
  <c r="F18" i="7" s="1"/>
  <c r="H951" i="13"/>
  <c r="H1236" i="13"/>
  <c r="H18" i="13"/>
  <c r="H19" i="13" s="1"/>
  <c r="F13" i="28"/>
  <c r="H123" i="13"/>
  <c r="H124" i="13"/>
  <c r="F19" i="28" s="1"/>
  <c r="H1187" i="13"/>
  <c r="H1188" i="13" s="1"/>
  <c r="H768" i="13"/>
  <c r="H769" i="13" s="1"/>
  <c r="H770" i="13" s="1"/>
  <c r="F27" i="7" s="1"/>
  <c r="H536" i="13"/>
  <c r="H546" i="13"/>
  <c r="F805" i="13"/>
  <c r="H805" i="13"/>
  <c r="H886" i="13"/>
  <c r="H887" i="13" s="1"/>
  <c r="F49" i="28" s="1"/>
  <c r="H1228" i="13"/>
  <c r="H1229" i="13" s="1"/>
  <c r="N15" i="18" s="1"/>
  <c r="H1213" i="13"/>
  <c r="H1214" i="13" s="1"/>
  <c r="H232" i="13"/>
  <c r="H233" i="13" s="1"/>
  <c r="H234" i="13" s="1"/>
  <c r="H366" i="13"/>
  <c r="H367" i="13" s="1"/>
  <c r="H368" i="13" s="1"/>
  <c r="F43" i="28" s="1"/>
  <c r="H304" i="13"/>
  <c r="F33" i="28" s="1"/>
  <c r="H1256" i="13"/>
  <c r="H1107" i="13"/>
  <c r="H1108" i="13" s="1"/>
  <c r="H278" i="13"/>
  <c r="H279" i="13" s="1"/>
  <c r="H561" i="13"/>
  <c r="H779" i="13"/>
  <c r="H780" i="13" s="1"/>
  <c r="H1262" i="13"/>
  <c r="H1263" i="13" s="1"/>
  <c r="N19" i="18" s="1"/>
  <c r="H638" i="13"/>
  <c r="H639" i="13" s="1"/>
  <c r="F45" i="28" s="1"/>
  <c r="F27" i="28"/>
  <c r="H1109" i="13"/>
  <c r="F40" i="7" s="1"/>
  <c r="H179" i="13" l="1"/>
  <c r="H180" i="13" s="1"/>
  <c r="F23" i="28" s="1"/>
  <c r="H734" i="13"/>
  <c r="H735" i="13" s="1"/>
  <c r="F16" i="7" s="1"/>
  <c r="H61" i="13"/>
  <c r="H62" i="13"/>
  <c r="F15" i="28" s="1"/>
  <c r="H858" i="13"/>
  <c r="H1084" i="13"/>
  <c r="H325" i="13"/>
  <c r="H326" i="13"/>
  <c r="F38" i="28" s="1"/>
  <c r="H562" i="13"/>
  <c r="H563" i="13"/>
  <c r="F63" i="28" s="1"/>
  <c r="H529" i="13"/>
  <c r="H530" i="13"/>
  <c r="F60" i="28" s="1"/>
  <c r="H741" i="13"/>
  <c r="H742" i="13" s="1"/>
  <c r="F20" i="7" s="1"/>
  <c r="H547" i="13"/>
  <c r="H548" i="13"/>
  <c r="F62" i="28" s="1"/>
  <c r="H449" i="13"/>
  <c r="H430" i="13"/>
  <c r="F55" i="28" s="1"/>
  <c r="H332" i="13"/>
  <c r="H407" i="13"/>
  <c r="H1237" i="13"/>
  <c r="N16" i="18" s="1"/>
  <c r="H166" i="13"/>
  <c r="H167" i="13" s="1"/>
  <c r="H244" i="13"/>
  <c r="H510" i="13"/>
  <c r="H511" i="13" s="1"/>
  <c r="H620" i="13"/>
  <c r="H85" i="13"/>
  <c r="H935" i="13"/>
  <c r="H936" i="13" s="1"/>
  <c r="H937" i="13" s="1"/>
  <c r="F51" i="28" s="1"/>
  <c r="H1215" i="13"/>
  <c r="N14" i="18" s="1"/>
  <c r="H813" i="13"/>
  <c r="H688" i="13"/>
  <c r="H653" i="13"/>
  <c r="H654" i="13" s="1"/>
  <c r="H1041" i="13"/>
  <c r="H1042" i="13" s="1"/>
  <c r="H1271" i="13"/>
  <c r="H715" i="13"/>
  <c r="H495" i="13"/>
  <c r="H496" i="13" s="1"/>
  <c r="H497" i="13" s="1"/>
  <c r="F54" i="28" s="1"/>
  <c r="H354" i="13"/>
  <c r="H595" i="13"/>
  <c r="H704" i="13"/>
  <c r="H1151" i="13"/>
  <c r="H440" i="13"/>
  <c r="H1061" i="13"/>
  <c r="H1062" i="13" s="1"/>
  <c r="F21" i="7" s="1"/>
  <c r="H192" i="13"/>
  <c r="H193" i="13" s="1"/>
  <c r="F22" i="28" s="1"/>
  <c r="H689" i="13"/>
  <c r="H690" i="13" s="1"/>
  <c r="F13" i="7" s="1"/>
  <c r="H673" i="13"/>
  <c r="H674" i="13" s="1"/>
  <c r="F12" i="7" s="1"/>
  <c r="H1135" i="13"/>
  <c r="H1136" i="13" s="1"/>
  <c r="F24" i="7" s="1"/>
  <c r="H859" i="13"/>
  <c r="H860" i="13" s="1"/>
  <c r="F40" i="28" s="1"/>
  <c r="H1170" i="13"/>
  <c r="H1171" i="13" s="1"/>
  <c r="F26" i="7" s="1"/>
  <c r="H333" i="13"/>
  <c r="H334" i="13"/>
  <c r="F39" i="28" s="1"/>
  <c r="H603" i="13"/>
  <c r="H604" i="13" s="1"/>
  <c r="F41" i="28" s="1"/>
  <c r="H280" i="13"/>
  <c r="F31" i="28" s="1"/>
  <c r="H655" i="13"/>
  <c r="F46" i="28" s="1"/>
  <c r="H757" i="13"/>
  <c r="H758" i="13" s="1"/>
  <c r="F22" i="7" s="1"/>
  <c r="H31" i="13"/>
  <c r="H32" i="13" s="1"/>
  <c r="F14" i="28" s="1"/>
  <c r="H245" i="13"/>
  <c r="H246" i="13" s="1"/>
  <c r="F28" i="28" s="1"/>
  <c r="H596" i="13"/>
  <c r="H597" i="13"/>
  <c r="F64" i="28" s="1"/>
  <c r="H512" i="13"/>
  <c r="F57" i="28" s="1"/>
  <c r="H621" i="13"/>
  <c r="H622" i="13" s="1"/>
  <c r="F42" i="28" s="1"/>
  <c r="H814" i="13"/>
  <c r="H815" i="13" s="1"/>
  <c r="F34" i="28" s="1"/>
  <c r="H842" i="13"/>
  <c r="F37" i="28" s="1"/>
  <c r="H705" i="13"/>
  <c r="H706" i="13" s="1"/>
  <c r="F14" i="7" s="1"/>
  <c r="H1152" i="13"/>
  <c r="H1153" i="13"/>
  <c r="F25" i="7" s="1"/>
  <c r="H1126" i="13"/>
  <c r="H1127" i="13" s="1"/>
  <c r="F37" i="7" s="1"/>
  <c r="H208" i="13"/>
  <c r="H1257" i="13"/>
  <c r="N18" i="18" s="1"/>
  <c r="H781" i="13"/>
  <c r="F28" i="7" s="1"/>
  <c r="H168" i="13"/>
  <c r="F21" i="28" s="1"/>
  <c r="H982" i="13"/>
  <c r="H1043" i="13"/>
  <c r="F17" i="7" s="1"/>
  <c r="H1075" i="13"/>
  <c r="H1250" i="13"/>
  <c r="H420" i="13"/>
  <c r="F53" i="28" s="1"/>
  <c r="H1189" i="13"/>
  <c r="N1273" i="13" s="1"/>
  <c r="R1273" i="13" s="1"/>
  <c r="H919" i="13"/>
  <c r="F32" i="7" s="1"/>
  <c r="H1032" i="13"/>
  <c r="H394" i="13"/>
  <c r="H314" i="13"/>
  <c r="H1115" i="13"/>
  <c r="F36" i="7" s="1"/>
  <c r="H826" i="13"/>
  <c r="H1201" i="13"/>
  <c r="H962" i="13"/>
  <c r="H1018" i="13"/>
  <c r="H341" i="13"/>
  <c r="H381" i="13"/>
  <c r="H872" i="13"/>
  <c r="H72" i="13"/>
  <c r="H460" i="13"/>
  <c r="H221" i="13"/>
  <c r="H253" i="13"/>
  <c r="H263" i="13"/>
  <c r="H288" i="13"/>
  <c r="H1011" i="13"/>
  <c r="H43" i="13"/>
  <c r="H151" i="13"/>
  <c r="H97" i="13"/>
  <c r="H137" i="13"/>
  <c r="H716" i="13" l="1"/>
  <c r="H717" i="13" s="1"/>
  <c r="F15" i="7" s="1"/>
  <c r="H86" i="13"/>
  <c r="H87" i="13"/>
  <c r="F23" i="7" s="1"/>
  <c r="H1085" i="13"/>
  <c r="H1086" i="13" s="1"/>
  <c r="F39" i="7" s="1"/>
  <c r="H1272" i="13"/>
  <c r="H1273" i="13" s="1"/>
  <c r="F12" i="29" s="1"/>
  <c r="H450" i="13"/>
  <c r="H451" i="13" s="1"/>
  <c r="F58" i="28" s="1"/>
  <c r="H441" i="13"/>
  <c r="H442" i="13"/>
  <c r="F56" i="28" s="1"/>
  <c r="H355" i="13"/>
  <c r="H356" i="13" s="1"/>
  <c r="F30" i="7" s="1"/>
  <c r="H408" i="13"/>
  <c r="H409" i="13" s="1"/>
  <c r="F31" i="7" s="1"/>
  <c r="H264" i="13"/>
  <c r="H265" i="13"/>
  <c r="F30" i="28" s="1"/>
  <c r="H1019" i="13"/>
  <c r="H1020" i="13"/>
  <c r="H73" i="13"/>
  <c r="H74" i="13"/>
  <c r="H1076" i="13"/>
  <c r="H1077" i="13"/>
  <c r="F25" i="28" s="1"/>
  <c r="H44" i="13"/>
  <c r="H45" i="13" s="1"/>
  <c r="F19" i="7" s="1"/>
  <c r="H873" i="13"/>
  <c r="H874" i="13" s="1"/>
  <c r="F48" i="28" s="1"/>
  <c r="H138" i="13"/>
  <c r="H139" i="13"/>
  <c r="F18" i="28" s="1"/>
  <c r="H382" i="13"/>
  <c r="H383" i="13" s="1"/>
  <c r="F44" i="28" s="1"/>
  <c r="H209" i="13"/>
  <c r="H210" i="13" s="1"/>
  <c r="F24" i="28" s="1"/>
  <c r="J1271" i="13"/>
  <c r="H152" i="13"/>
  <c r="H153" i="13" s="1"/>
  <c r="F20" i="28" s="1"/>
  <c r="H254" i="13"/>
  <c r="H255" i="13" s="1"/>
  <c r="F29" i="28" s="1"/>
  <c r="H963" i="13"/>
  <c r="H964" i="13" s="1"/>
  <c r="H315" i="13"/>
  <c r="H316" i="13" s="1"/>
  <c r="F35" i="28" s="1"/>
  <c r="H1012" i="13"/>
  <c r="H1013" i="13" s="1"/>
  <c r="F35" i="7" s="1"/>
  <c r="H222" i="13"/>
  <c r="H223" i="13" s="1"/>
  <c r="F26" i="28" s="1"/>
  <c r="H1202" i="13"/>
  <c r="H1203" i="13" s="1"/>
  <c r="N13" i="18" s="1"/>
  <c r="H395" i="13"/>
  <c r="H396" i="13" s="1"/>
  <c r="F52" i="28" s="1"/>
  <c r="H983" i="13"/>
  <c r="H984" i="13" s="1"/>
  <c r="F59" i="28" s="1"/>
  <c r="H98" i="13"/>
  <c r="H99" i="13" s="1"/>
  <c r="F16" i="28" s="1"/>
  <c r="H289" i="13"/>
  <c r="H290" i="13" s="1"/>
  <c r="F32" i="28" s="1"/>
  <c r="H461" i="13"/>
  <c r="H462" i="13" s="1"/>
  <c r="F33" i="7" s="1"/>
  <c r="H342" i="13"/>
  <c r="H343" i="13"/>
  <c r="H827" i="13"/>
  <c r="H828" i="13"/>
  <c r="F36" i="28" s="1"/>
  <c r="H1033" i="13"/>
  <c r="H1034" i="13"/>
  <c r="F41" i="7" s="1"/>
  <c r="H1251" i="13"/>
  <c r="H1252" i="13"/>
  <c r="N17" i="18" s="1"/>
  <c r="F42" i="7" l="1"/>
  <c r="N24" i="18"/>
  <c r="J1273" i="13"/>
  <c r="N26" i="18" l="1"/>
  <c r="N28" i="18"/>
</calcChain>
</file>

<file path=xl/sharedStrings.xml><?xml version="1.0" encoding="utf-8"?>
<sst xmlns="http://schemas.openxmlformats.org/spreadsheetml/2006/main" count="4198" uniqueCount="1262">
  <si>
    <t>MINISTERIO DE TRANSPORTE</t>
  </si>
  <si>
    <t>INSTITUTO NACIONAL DE VIAS</t>
  </si>
  <si>
    <t>SUBDIRECCION RED NACIONAL DE CARRETERAS</t>
  </si>
  <si>
    <t>INFORME TRIMESTRAL</t>
  </si>
  <si>
    <r>
      <t>DEL ADMINISTRADOR VIAL GRUPO No.__</t>
    </r>
    <r>
      <rPr>
        <b/>
        <u/>
        <sz val="16"/>
        <rFont val="Arial"/>
        <family val="2"/>
      </rPr>
      <t>02</t>
    </r>
    <r>
      <rPr>
        <b/>
        <sz val="16"/>
        <rFont val="Arial"/>
        <family val="2"/>
      </rPr>
      <t>_____</t>
    </r>
  </si>
  <si>
    <r>
      <t>VERSIÓN No. _</t>
    </r>
    <r>
      <rPr>
        <b/>
        <u/>
        <sz val="12"/>
        <rFont val="Arial"/>
        <family val="2"/>
      </rPr>
      <t>01</t>
    </r>
    <r>
      <rPr>
        <b/>
        <sz val="12"/>
        <rFont val="Arial"/>
        <family val="2"/>
      </rPr>
      <t>__ DE FECHA: 01</t>
    </r>
    <r>
      <rPr>
        <b/>
        <u/>
        <sz val="12"/>
        <rFont val="Arial"/>
        <family val="2"/>
      </rPr>
      <t>/10/2020</t>
    </r>
  </si>
  <si>
    <t>ARA INGENIERIA S.A.S</t>
  </si>
  <si>
    <t>TERRITORIAL ANTIOQUIA</t>
  </si>
  <si>
    <t>CARRETERAS:</t>
  </si>
  <si>
    <t xml:space="preserve">TRAMO 5601 </t>
  </si>
  <si>
    <t>PR49+0000 AL PR103+0000</t>
  </si>
  <si>
    <r>
      <t xml:space="preserve">TRIMESTRE: </t>
    </r>
    <r>
      <rPr>
        <b/>
        <u/>
        <sz val="12"/>
        <rFont val="Arial"/>
        <family val="2"/>
      </rPr>
      <t>(JULIO - SEPTIEMPRE / 2020)</t>
    </r>
  </si>
  <si>
    <t>LA UNION, OCTUBRE, 2020</t>
  </si>
  <si>
    <t>“La movilidad es de todos”</t>
  </si>
  <si>
    <r>
      <t>INFORME TRIMESTRAL PERIODO     JULIO - SEPTIEMBRE</t>
    </r>
    <r>
      <rPr>
        <b/>
        <i/>
        <sz val="11"/>
        <rFont val="Arial"/>
        <family val="2"/>
      </rPr>
      <t xml:space="preserve"> de 2020</t>
    </r>
    <r>
      <rPr>
        <b/>
        <sz val="11"/>
        <rFont val="Arial"/>
        <family val="2"/>
      </rPr>
      <t xml:space="preserve">   </t>
    </r>
  </si>
  <si>
    <t xml:space="preserve">            ADMINISTRACION VIAL GRUPO _02__ TERRITORIAL __ANTIOQUIA___________</t>
  </si>
  <si>
    <t>TABLA DE CONTENIDO</t>
  </si>
  <si>
    <t>ITEM</t>
  </si>
  <si>
    <t>DESCRIPCION</t>
  </si>
  <si>
    <t>Cuadro No. 1</t>
  </si>
  <si>
    <t>Generalidades</t>
  </si>
  <si>
    <t>Cuadro No. 2</t>
  </si>
  <si>
    <t>Cumplimiento indicadores de mantenimiento rutinario</t>
  </si>
  <si>
    <t>Cuadro No. 3</t>
  </si>
  <si>
    <t>Relación estado de la red criterio de transitabilidad (visual)</t>
  </si>
  <si>
    <t>Gráfico No. 1</t>
  </si>
  <si>
    <t>Estado de la red criterio de transitabilidad - visual (Semáforo)</t>
  </si>
  <si>
    <t>Gráfico No. 2</t>
  </si>
  <si>
    <t>Estado de la red en torta-criterio de transitabilidad (visual)</t>
  </si>
  <si>
    <t>Cuadro No. 4</t>
  </si>
  <si>
    <t>Relación estado de la red criterio Técnico</t>
  </si>
  <si>
    <t>Gráfico No. 3</t>
  </si>
  <si>
    <t>Estado de la red criterio Técnico</t>
  </si>
  <si>
    <t>Gráfico No. 4</t>
  </si>
  <si>
    <t>Estado de la red en torta criterio Técnico</t>
  </si>
  <si>
    <t>Mapa  No.  1</t>
  </si>
  <si>
    <t>Estado de la red y sitios críticos de inestabilidad</t>
  </si>
  <si>
    <t>Cuadro No. 5</t>
  </si>
  <si>
    <t>Necesidades preventivas de las vías</t>
  </si>
  <si>
    <t>Cuadro No. 6</t>
  </si>
  <si>
    <t>Necesidades críticas de las vías</t>
  </si>
  <si>
    <t>Cuadro No. 7</t>
  </si>
  <si>
    <t>Cálculo de cantidades y costos estimados para las necesidades de las vías</t>
  </si>
  <si>
    <t>Cuadro No. 8</t>
  </si>
  <si>
    <t>Información sobre emergencias</t>
  </si>
  <si>
    <t>Cuadro No. 9</t>
  </si>
  <si>
    <t>Estado general de los puentes</t>
  </si>
  <si>
    <t>Cuadro No. 10</t>
  </si>
  <si>
    <t>Priorización de puentes que requieren atención - rehabilitación y conservación</t>
  </si>
  <si>
    <t>Cuadro No. 11</t>
  </si>
  <si>
    <t>Estado general de los pontones</t>
  </si>
  <si>
    <t>Cuadro No. 12</t>
  </si>
  <si>
    <t>Necesidades de los pontones</t>
  </si>
  <si>
    <t>Cuadro No. 13</t>
  </si>
  <si>
    <t>Estado General de los Túneles</t>
  </si>
  <si>
    <t>Cuadro No. 14</t>
  </si>
  <si>
    <t>Necesidades en los Túneles</t>
  </si>
  <si>
    <t>Cuadro No. 15</t>
  </si>
  <si>
    <t>Estado de la señalización vertical y señalización vertical faltante</t>
  </si>
  <si>
    <t>Cuadro No. 16</t>
  </si>
  <si>
    <t>Estado de la señalización horizontal y señalización horizontal faltante</t>
  </si>
  <si>
    <t>Cuadro No. 17</t>
  </si>
  <si>
    <t>Informe de accidentalidad</t>
  </si>
  <si>
    <t>Cuadro No. 18</t>
  </si>
  <si>
    <t>Resumen de actividades para el buen uso y defensa de las vías</t>
  </si>
  <si>
    <t>Cuadro No. 19</t>
  </si>
  <si>
    <t>Seguimiento de funciones técnicas y administrativas 2020 - 2020</t>
  </si>
  <si>
    <t>Cuadro No. 20</t>
  </si>
  <si>
    <t>Ficha cuantitativa Administradores de Mantenimiento Vial</t>
  </si>
  <si>
    <t>Cuadro No. 21</t>
  </si>
  <si>
    <t>Ficha cualitativa Administradores de Mantenimiento Vial</t>
  </si>
  <si>
    <t>Cuadro No. 22</t>
  </si>
  <si>
    <t>Ficha cuantitativa Microempresas</t>
  </si>
  <si>
    <t>Cuadro No. 23</t>
  </si>
  <si>
    <t>Ficha cualitativa Microempresas</t>
  </si>
  <si>
    <t>Cuadro No. 24</t>
  </si>
  <si>
    <t>Información de interventorías a contratos de obra</t>
  </si>
  <si>
    <t>Reseña 1</t>
  </si>
  <si>
    <t>Fotográfica</t>
  </si>
  <si>
    <t>Reseña 2</t>
  </si>
  <si>
    <t>De prensa</t>
  </si>
  <si>
    <t>Comentarios</t>
  </si>
  <si>
    <t>Comentarios generales</t>
  </si>
  <si>
    <t>Capacitación Microempresas</t>
  </si>
  <si>
    <t>DIRECCION TERRITORIAL ANTIOQUIA</t>
  </si>
  <si>
    <t>CUADRO No. 1</t>
  </si>
  <si>
    <t>GENERALIDADES</t>
  </si>
  <si>
    <t>NOMBRE DEL INGENIERO RESIDENTE:</t>
  </si>
  <si>
    <t>CARLOS MARIO MORENO IDÁRRAGA</t>
  </si>
  <si>
    <t>NOMBRE DEL INGENIERO AUXILIAR:</t>
  </si>
  <si>
    <t>N/A</t>
  </si>
  <si>
    <t>SECTOR ADMINISTRADO:</t>
  </si>
  <si>
    <t>LA UNION - LA FRONTERA - SONSÓN, CÓDIGO 5601</t>
  </si>
  <si>
    <t>DIRECCION OFICINA:</t>
  </si>
  <si>
    <t>CALLE 7 No 10-46</t>
  </si>
  <si>
    <t>TELEFONOS :</t>
  </si>
  <si>
    <t>OFICINA:</t>
  </si>
  <si>
    <t>(4) 556 22 90</t>
  </si>
  <si>
    <t>FAX:</t>
  </si>
  <si>
    <t>CELULARES:</t>
  </si>
  <si>
    <t>311 210 04 53</t>
  </si>
  <si>
    <t>CORREO ELECTRONICO:</t>
  </si>
  <si>
    <t>amvantioquia02@gmail.com</t>
  </si>
  <si>
    <t>CARRETERAS A CARGO</t>
  </si>
  <si>
    <t>CARRETERA</t>
  </si>
  <si>
    <t>CODIGO</t>
  </si>
  <si>
    <t>LONGITUD (km)</t>
  </si>
  <si>
    <t>PRi</t>
  </si>
  <si>
    <t>PRf</t>
  </si>
  <si>
    <t>No. DE PUENTES</t>
  </si>
  <si>
    <t>MICROEMPRESA</t>
  </si>
  <si>
    <t>OBSERVACIONES</t>
  </si>
  <si>
    <t>P</t>
  </si>
  <si>
    <t>A</t>
  </si>
  <si>
    <t>T</t>
  </si>
  <si>
    <t>La Unión - Sonsón</t>
  </si>
  <si>
    <t>49+0000</t>
  </si>
  <si>
    <t>103+0000</t>
  </si>
  <si>
    <t>8</t>
  </si>
  <si>
    <t>VIAS DE ORIENTE S.A.S</t>
  </si>
  <si>
    <t>TOTALES</t>
  </si>
  <si>
    <t>=SUMA(I19:I23)</t>
  </si>
  <si>
    <t xml:space="preserve">   P: Pavimento</t>
  </si>
  <si>
    <t>A: Afirmado</t>
  </si>
  <si>
    <t>T. Total</t>
  </si>
  <si>
    <t>VOLVER A TABLA DE CONTENIDO</t>
  </si>
  <si>
    <t>NOTA:  CUALQUIER CAMBIO DE DIRECCION, CORREO ELECTRONICO O TELEFONO SE DEBE INFORMAR</t>
  </si>
  <si>
    <t>CUADRO No. 2</t>
  </si>
  <si>
    <t>CUMPLIMIENTO INDICADORES  DE MANTENIMIENTO RUTINARIO</t>
  </si>
  <si>
    <t>INGENIERO RESIDENTE:</t>
  </si>
  <si>
    <t>FECHA: JUL - SEP 2020</t>
  </si>
  <si>
    <t xml:space="preserve">              MICROEMPRESA</t>
  </si>
  <si>
    <t>VIAS DE ORIENTE</t>
  </si>
  <si>
    <t>INDICADOR</t>
  </si>
  <si>
    <t>%</t>
  </si>
  <si>
    <t>ROCERIA Y DESM. MANUAL</t>
  </si>
  <si>
    <t>LIMPIEZA MANUAL CUNETAS</t>
  </si>
  <si>
    <t>LIMPIEZA ENCOLES Y DESCOLES</t>
  </si>
  <si>
    <t>LIMPIEZA OBRAS DE ARTE</t>
  </si>
  <si>
    <t>MANTENIMIENTO PUENTES</t>
  </si>
  <si>
    <t>LIMPIEZA SEÑALES Y MOJONES</t>
  </si>
  <si>
    <t>DESPEJE DE DERRUMBES</t>
  </si>
  <si>
    <t>PINTURA, RENOVACIÓN DE INDICACIONES EN EL MOJON</t>
  </si>
  <si>
    <t>BACHEO CARRETERA PAV.</t>
  </si>
  <si>
    <t>PARCHEO CARRETERA PAV.</t>
  </si>
  <si>
    <t>LIMPIEZA DE LA CALZADA</t>
  </si>
  <si>
    <t>ARBORIZACION (SIEMBRA)</t>
  </si>
  <si>
    <t>PODA, CORTE Y RETIRO DE ARBOLES</t>
  </si>
  <si>
    <t>ATENCION DE EMERGENCIAS</t>
  </si>
  <si>
    <t xml:space="preserve">    BUENO</t>
  </si>
  <si>
    <t xml:space="preserve">        REGULAR</t>
  </si>
  <si>
    <t xml:space="preserve">    MALO</t>
  </si>
  <si>
    <t xml:space="preserve">      NO HUBO</t>
  </si>
  <si>
    <r>
      <t xml:space="preserve">OBSERVACIONES : </t>
    </r>
    <r>
      <rPr>
        <sz val="9"/>
        <rFont val="Arial"/>
        <family val="2"/>
      </rPr>
      <t>LA CANTIDADES DE TRABAJADORES HABILITADOS A TRABAJAR DE ACUERDO AL INVIAS SON 11 POR LA CUARENTENA DEL COVIC-19 , EL DIA 21 DE AGOSTO SE DA AUTORIZACION PARA ENTRAR TODO EL PERSONAL, IGUALMENTE LOS RETRASOS EN EL LOS TRABAJOS SUMADOS A LA EMERGENCIA SE VIO MUY AFECTADA POR LA FALTA DE PERSONAL QUE TUVIMOS INICIALMENTE A COMIENZOS DEL AÑO. SE PRESENTO EMERGENCIA EL 04 JULIO DE 2020. LA MICROEMPRESA ESTA REALIZANDO TRABAJOS ADICIONALES COMO ANILLADAS DE ALCANTARILLAS, SELLAMIENTO DE GRIETAS EN TALUDES EN SITIOS CRITICOS PR59+0260, PR94+0260, TRABAJOS DE MITIGACION DE EROSIONES.</t>
    </r>
  </si>
  <si>
    <r>
      <t>*</t>
    </r>
    <r>
      <rPr>
        <sz val="9"/>
        <rFont val="Arial"/>
        <family val="2"/>
      </rPr>
      <t xml:space="preserve">  Indicar nombre de cada microempresa a la que se le aplica el indicador. Resolución N°</t>
    </r>
  </si>
  <si>
    <t>En caso de no cumplir totalmente con el indicador, informar la razón.</t>
  </si>
  <si>
    <t>Indicar el Porcentaje de cumplimiento mensual para cada microempresa</t>
  </si>
  <si>
    <t>CUADRO No 3</t>
  </si>
  <si>
    <t>RELACION ESTADO DE LA RED CRITERIO DE TRANSITABILIDAD (VISUAL)</t>
  </si>
  <si>
    <t>TRIMESTRE EVALUADO:</t>
  </si>
  <si>
    <t>JUL-SEP 2020</t>
  </si>
  <si>
    <t>CODIGO VIA</t>
  </si>
  <si>
    <t>PR INICIAL</t>
  </si>
  <si>
    <t>PR FINAL</t>
  </si>
  <si>
    <t>Kms.</t>
  </si>
  <si>
    <t>TIPO DE</t>
  </si>
  <si>
    <t>ESTADO</t>
  </si>
  <si>
    <t>SUPERFICIE</t>
  </si>
  <si>
    <t>LA UNIÓN  -  SONSÓN</t>
  </si>
  <si>
    <t>R</t>
  </si>
  <si>
    <t>BUENO</t>
  </si>
  <si>
    <t>B</t>
  </si>
  <si>
    <t>REGULAR</t>
  </si>
  <si>
    <t>MALO</t>
  </si>
  <si>
    <t>M</t>
  </si>
  <si>
    <t>TOTAL</t>
  </si>
  <si>
    <t>Nota: La información contenida es un ejemplo sobre la forma de diligenciar este cuadro.Debe presentarse a color.</t>
  </si>
  <si>
    <t>CONVENCIONES</t>
  </si>
  <si>
    <t>INSTITUTO  NACIONAL DE VÍAS</t>
  </si>
  <si>
    <t>DIRECCIÓN TERRITORIAL ANTIOQUIA</t>
  </si>
  <si>
    <t>GRAFICO No. 1</t>
  </si>
  <si>
    <t>ESTADO DE LAS VÍAS CRITERIO DE TRANSITABILIDAD (VISUAL)</t>
  </si>
  <si>
    <t>NOMBRE DE LA VIA:</t>
  </si>
  <si>
    <t>LA UNION - LA FRONTERA - SONSÓN</t>
  </si>
  <si>
    <t>Codigo de la vía:</t>
  </si>
  <si>
    <t>SECTOR</t>
  </si>
  <si>
    <t>01</t>
  </si>
  <si>
    <t>LA UNIÓN - LA FRONTERA</t>
  </si>
  <si>
    <t>PR49+0000   A    PR67+0700</t>
  </si>
  <si>
    <t>02</t>
  </si>
  <si>
    <t>LA FRONTERA - SONSÓN</t>
  </si>
  <si>
    <t>PR67+0700   A    PR103+0000</t>
  </si>
  <si>
    <t>CARLOS MARIO MORENO IDARRAGA</t>
  </si>
  <si>
    <t>PERÍODO  EVALUADO:</t>
  </si>
  <si>
    <t>CÓDIGO</t>
  </si>
  <si>
    <t xml:space="preserve">  Longitud y  Porcentaje</t>
  </si>
  <si>
    <t xml:space="preserve">sobre el total de la vía </t>
  </si>
  <si>
    <t xml:space="preserve">               PR</t>
  </si>
  <si>
    <t>o del ítem</t>
  </si>
  <si>
    <t xml:space="preserve">    ÍTEM</t>
  </si>
  <si>
    <t>km</t>
  </si>
  <si>
    <t>Pavimento</t>
  </si>
  <si>
    <t>r</t>
  </si>
  <si>
    <t>b</t>
  </si>
  <si>
    <t>m</t>
  </si>
  <si>
    <t>Afirmado</t>
  </si>
  <si>
    <t>NO APLICA</t>
  </si>
  <si>
    <t xml:space="preserve">Puentes (Son:  8 ) </t>
  </si>
  <si>
    <t>Cunetas</t>
  </si>
  <si>
    <t>Señalización Vertical</t>
  </si>
  <si>
    <t>Señalización horizontal</t>
  </si>
  <si>
    <t>Rocería</t>
  </si>
  <si>
    <t>Alcantarillas</t>
  </si>
  <si>
    <t>Limpiezas de bermas</t>
  </si>
  <si>
    <t>NOTA: Indicar en el mapa los PRs de cada uno de los sitios importantes</t>
  </si>
  <si>
    <t>GRAFICO No. 2</t>
  </si>
  <si>
    <t>ESTADO DE LAS VIAS EN TORTA-CRITERIO DE TRANSITABILIDAD (VISUAL)</t>
  </si>
  <si>
    <t>JULIO - SEPTIEMBRE 2020</t>
  </si>
  <si>
    <t>TRIMESTRE ANTERIOR</t>
  </si>
  <si>
    <t>TRIMESTRE  EVALUADO</t>
  </si>
  <si>
    <t xml:space="preserve">TRAMO </t>
  </si>
  <si>
    <t>LA UNION-LA FRONTERA-SONSON</t>
  </si>
  <si>
    <t>CUADRO No 4</t>
  </si>
  <si>
    <t>RELACION ESTADO DE LA RED CRITERIO TECNICO</t>
  </si>
  <si>
    <t>PERIODO EVALUADO:</t>
  </si>
  <si>
    <t>ENERO-JUNIO/2020</t>
  </si>
  <si>
    <t>49+0885</t>
  </si>
  <si>
    <t>P-1</t>
  </si>
  <si>
    <t>MB</t>
  </si>
  <si>
    <t>50+0040</t>
  </si>
  <si>
    <t>P-6</t>
  </si>
  <si>
    <t>50+0240</t>
  </si>
  <si>
    <t>MM</t>
  </si>
  <si>
    <t>51+0000</t>
  </si>
  <si>
    <t>52+0000</t>
  </si>
  <si>
    <t>53+0000</t>
  </si>
  <si>
    <t>54+0000</t>
  </si>
  <si>
    <t>55+0000</t>
  </si>
  <si>
    <t>56+0000</t>
  </si>
  <si>
    <t>57+0000</t>
  </si>
  <si>
    <t>58+0000</t>
  </si>
  <si>
    <t>59+0000</t>
  </si>
  <si>
    <t>60+0000</t>
  </si>
  <si>
    <t>61+0000</t>
  </si>
  <si>
    <t>62+0000</t>
  </si>
  <si>
    <t>63+0000</t>
  </si>
  <si>
    <t>64+0000</t>
  </si>
  <si>
    <t>65+0000</t>
  </si>
  <si>
    <t>66+0000</t>
  </si>
  <si>
    <t>67+0000</t>
  </si>
  <si>
    <t>68+0000</t>
  </si>
  <si>
    <t>68+0601</t>
  </si>
  <si>
    <t>69+0000</t>
  </si>
  <si>
    <t>70+0000</t>
  </si>
  <si>
    <t>71+0000</t>
  </si>
  <si>
    <t>71+0318</t>
  </si>
  <si>
    <t>72+0000</t>
  </si>
  <si>
    <t>72+0688</t>
  </si>
  <si>
    <t>73+0000</t>
  </si>
  <si>
    <t>74+0000</t>
  </si>
  <si>
    <t>75+0000</t>
  </si>
  <si>
    <t>76+0000</t>
  </si>
  <si>
    <t>77+0000</t>
  </si>
  <si>
    <t>78+0000</t>
  </si>
  <si>
    <t>79+0000</t>
  </si>
  <si>
    <t>80+0000</t>
  </si>
  <si>
    <t>81+0000</t>
  </si>
  <si>
    <t>82+0000</t>
  </si>
  <si>
    <t>83+0000</t>
  </si>
  <si>
    <t>84+0000</t>
  </si>
  <si>
    <t>85+0000</t>
  </si>
  <si>
    <t>86+0000</t>
  </si>
  <si>
    <t>87+0000</t>
  </si>
  <si>
    <t>88+0000</t>
  </si>
  <si>
    <t>89+0000</t>
  </si>
  <si>
    <t>90+0000</t>
  </si>
  <si>
    <t>91+0000</t>
  </si>
  <si>
    <t>92+0000</t>
  </si>
  <si>
    <t>93+0000</t>
  </si>
  <si>
    <t>94+0000</t>
  </si>
  <si>
    <t>95+0000</t>
  </si>
  <si>
    <t>96+0000</t>
  </si>
  <si>
    <t>97+0000</t>
  </si>
  <si>
    <t>98+0000</t>
  </si>
  <si>
    <t>99+0000</t>
  </si>
  <si>
    <t>100+0000</t>
  </si>
  <si>
    <t>101+0000</t>
  </si>
  <si>
    <t>101+0910</t>
  </si>
  <si>
    <t>102+0000</t>
  </si>
  <si>
    <t>102+0950</t>
  </si>
  <si>
    <t>MUY BUENO</t>
  </si>
  <si>
    <t>MUY MALO</t>
  </si>
  <si>
    <t>GRAFICO No. 3</t>
  </si>
  <si>
    <t>ESTADO DE LA RED CRITERIO TÉCNICO</t>
  </si>
  <si>
    <t>NOMBRE DE LA VÍA:</t>
  </si>
  <si>
    <t>LA UNIÓN - LA FRONTERA - SONSÓN</t>
  </si>
  <si>
    <t>Código de la vía:</t>
  </si>
  <si>
    <t>LA UNIÓN - SONSÓN</t>
  </si>
  <si>
    <t>PR 49+0000   A    PR 103+0000</t>
  </si>
  <si>
    <t>CARLOS MARIO MORENO I.</t>
  </si>
  <si>
    <t>PERIODO  EVALUADO:</t>
  </si>
  <si>
    <t>ENERO - JUNIO / 2020</t>
  </si>
  <si>
    <t>Hacer montaje del mapa de la red vial sobre cartografía o mapas aerofotogramétricos</t>
  </si>
  <si>
    <t>OBSERVACIONES:</t>
  </si>
  <si>
    <t>GRAFICO No. 4</t>
  </si>
  <si>
    <t>ESTADO DE LA RED EN TORTA - CRITERIO TECNICO</t>
  </si>
  <si>
    <t>ENERO - JUNIO/2020</t>
  </si>
  <si>
    <t>SEMESTRE ANTERIOR</t>
  </si>
  <si>
    <t>SEMESTRE  EVALUADO</t>
  </si>
  <si>
    <t>SEMESTRE EVALUADO</t>
  </si>
  <si>
    <t>LA UNION - SONSON</t>
  </si>
  <si>
    <t>RUTA 5601</t>
  </si>
  <si>
    <t>INSTITUTO NACIONAL DE VÍAS</t>
  </si>
  <si>
    <t>MAPA No. 1</t>
  </si>
  <si>
    <t>ESTADO DE LA RED Y SITIOS CRÍTICOS DE INESTABILIDAD</t>
  </si>
  <si>
    <t xml:space="preserve">INCLUIR AQUÍ EL MAPA CON EL ESTADO GENERAL DE LA RED VIAL A CARGO (CON COLORES </t>
  </si>
  <si>
    <t>DEL CRITERIO TÉCNICO) Y LA UBICACIÓN CON PR DE LOS SITIOS CRÍTICOS DE INESTABILIDAD</t>
  </si>
  <si>
    <t xml:space="preserve">NOTA: </t>
  </si>
  <si>
    <t xml:space="preserve">Ubicar en el mapa municipios,  PRs de sitios importantes y lugares donde hay </t>
  </si>
  <si>
    <t>cambios en el estado de la red y sitios críticos de inestabilidad.</t>
  </si>
  <si>
    <t>RELACIÓN SITIOS CRÍTICOS DE INESTABILIDAD</t>
  </si>
  <si>
    <t>No</t>
  </si>
  <si>
    <t>CÓDIGO VÍA</t>
  </si>
  <si>
    <t>PR</t>
  </si>
  <si>
    <t>DESCRIPCIÓN DEL PROBLEMA</t>
  </si>
  <si>
    <t>ALTO SAN JUAN</t>
  </si>
  <si>
    <t>59+0260</t>
  </si>
  <si>
    <t>Asentamiento borde de vía que afecta muro de concreto existente, cuneta y placas de pavimento de concreto, calzada en el aire</t>
  </si>
  <si>
    <t>18+000</t>
  </si>
  <si>
    <t>LA FRONTERA</t>
  </si>
  <si>
    <t>67+0600</t>
  </si>
  <si>
    <t>Erosion de talud inferior, daño severo en filtro, calzada en el aire, costado izquierdo</t>
  </si>
  <si>
    <t>EL CARDAL</t>
  </si>
  <si>
    <t>70+0080</t>
  </si>
  <si>
    <t>Socavación y erosión pata del talud inferior.</t>
  </si>
  <si>
    <t>19+500</t>
  </si>
  <si>
    <t>AURES</t>
  </si>
  <si>
    <t>80+0460</t>
  </si>
  <si>
    <t>Erosión en descole de obra de drenaje, formación de gran cárcava en talud inferior</t>
  </si>
  <si>
    <t>24+700</t>
  </si>
  <si>
    <t>81+0820</t>
  </si>
  <si>
    <t>Reactivación inestabilidad talud superior, con caídas de suelo e invasión de calzada.</t>
  </si>
  <si>
    <t>AURES CARTAGENA</t>
  </si>
  <si>
    <t>83+0012</t>
  </si>
  <si>
    <t>Daño en losa de puente "Cartagena", fisuras en vigas, socavación en estribos y aletas y disipador de energía.</t>
  </si>
  <si>
    <t>LA MORELIA</t>
  </si>
  <si>
    <t>85+0660</t>
  </si>
  <si>
    <t>Asentamiento carril derecho. Talud  inferior inestable lado derecho.</t>
  </si>
  <si>
    <t>61+100 a 61+600</t>
  </si>
  <si>
    <t>MANANTIALES</t>
  </si>
  <si>
    <t>91+0840 - 92+0010</t>
  </si>
  <si>
    <t>Deformación de la calzada, deslizamiento lento masivo.</t>
  </si>
  <si>
    <t>TASAJO</t>
  </si>
  <si>
    <t>93+0750</t>
  </si>
  <si>
    <t>Desprendimiento del talud inferior, lado izquierdo de la vía por acción erosiva del río "Tasajo".</t>
  </si>
  <si>
    <t>94+0260</t>
  </si>
  <si>
    <t>Fuerte Erosion en descole causado por incremento de caudal de quebrada.</t>
  </si>
  <si>
    <t>94+0450</t>
  </si>
  <si>
    <t>Carcava descole obra y desconfinamiento de banca.</t>
  </si>
  <si>
    <t>94+0820 - 94+0875</t>
  </si>
  <si>
    <t>Hundimiento de banca en longitud de 65 metros.  Ya es notorio el desnivel tanto a la entrada como a la salida de sector afectado.</t>
  </si>
  <si>
    <t>44+500 a 45+500</t>
  </si>
  <si>
    <t>95+0390</t>
  </si>
  <si>
    <t>Obra de drenaje deteriorada e insuficiente hidráulicamente, se observan cárcavas en terraplén aledaño.</t>
  </si>
  <si>
    <t>50+650</t>
  </si>
  <si>
    <t>95+0750 - 95+0840</t>
  </si>
  <si>
    <t>Hundimiento de banca en longitud de 100 metros.  El paso continua estable luego de  aplicación en 2013 de capa de renivelación de MSC-1, como medida de mitigación.</t>
  </si>
  <si>
    <t>LA HONDA</t>
  </si>
  <si>
    <t>97+0300</t>
  </si>
  <si>
    <t>VOLVER A LA TABLA DE CONTENIDO</t>
  </si>
  <si>
    <t>CUADRO No. 5</t>
  </si>
  <si>
    <t>NECESIDADES PREVENTIVAS DE LA VIA</t>
  </si>
  <si>
    <t>MANTENIMIENTO PERIODICO</t>
  </si>
  <si>
    <t>TRIMESTRE EVALUADO: JULIO - SEPTIEMBRE 2020</t>
  </si>
  <si>
    <t>PR inicial</t>
  </si>
  <si>
    <t>PR final</t>
  </si>
  <si>
    <t>DESCRIPCION DE LA NECESIDAD</t>
  </si>
  <si>
    <t>COSTO ESTIMADO ($)</t>
  </si>
  <si>
    <t>52+200</t>
  </si>
  <si>
    <t>REEMPLAZO DE OBRA DE DRENAJE INSUFICIENTE HIDRÁULICAMENTE</t>
  </si>
  <si>
    <t>52+530</t>
  </si>
  <si>
    <t>REEMPLAZO DE OBRA DE DRENAJE COLAPSADA</t>
  </si>
  <si>
    <t>53+475</t>
  </si>
  <si>
    <t>55+850</t>
  </si>
  <si>
    <t>CONSTRUCCIÓN DE DISIPADOR DE CUNETAS PARA EVITAR EROSIÓN EN DESCOLE</t>
  </si>
  <si>
    <t>56+0210</t>
  </si>
  <si>
    <t xml:space="preserve">REEMPLAZO DE ALCANTARILLA, ENCAUCE DE AGUAS DE ENCOLE HACIA OBRA DE DRENAJE Y PROTECCIÓN DEL MISMO </t>
  </si>
  <si>
    <t>56+0563</t>
  </si>
  <si>
    <t>RECONSTRUCCIÓN DE CUNETAS DETERIORADAS</t>
  </si>
  <si>
    <t>57+0784</t>
  </si>
  <si>
    <t>58+0790</t>
  </si>
  <si>
    <t>PROTECCIÓN BANCA DE ACCIÓN EROSIVA DE QUEBRADA</t>
  </si>
  <si>
    <t>60+0125</t>
  </si>
  <si>
    <t>DEMOLICIÓN DE CABEZOTE VOLCADO QUE OBSTRUYE SALIDA DE OBRA DE DRENAJE</t>
  </si>
  <si>
    <t>60+0820</t>
  </si>
  <si>
    <t>DEMOLICIÓN Y RECONSTRUCCIÓN DE PLACAS DE PAVIMENTO DE CONCRETO</t>
  </si>
  <si>
    <t>61+0585</t>
  </si>
  <si>
    <t>63+0110</t>
  </si>
  <si>
    <t>CONSTRUCCIÓN DE MURO EN GAVIONES PARA ESTABILIZACIÓN BANCA, MARGEN DERECHA VÍA</t>
  </si>
  <si>
    <t>66+0270</t>
  </si>
  <si>
    <t>66+0285</t>
  </si>
  <si>
    <t>DEMOLICIÓN, RENIVELACIÓN Y RECONSTRUCCIÓN DE PLACAS DE PAVIMENTO DE CONCRETO</t>
  </si>
  <si>
    <t>66+0340</t>
  </si>
  <si>
    <t>68+0812</t>
  </si>
  <si>
    <t>CONSTRUCCIÓN DE DISIPADOR DE OBRA DE DRENAJE PARA EVITAR MAYOR EROSIÓN DE DESCOLE</t>
  </si>
  <si>
    <t>68+0910</t>
  </si>
  <si>
    <t>CONSTRUCCIÓN DE ALETA DE OBRA DE DRENAJE</t>
  </si>
  <si>
    <t>68+0980</t>
  </si>
  <si>
    <t>REEMPLAZO DE OBRA DE DRENAJE INSUFICIENTE</t>
  </si>
  <si>
    <t>82+0904</t>
  </si>
  <si>
    <t>RECONSTRUCCIÓN DE MURO EN GAVIONES</t>
  </si>
  <si>
    <t>89+0890</t>
  </si>
  <si>
    <t>92+0087</t>
  </si>
  <si>
    <t>REEMPLAZO DE OBRA DE DRENAJE DETERIORADA</t>
  </si>
  <si>
    <t>96+0015</t>
  </si>
  <si>
    <t>CONSTRUCCIÓN DE GAVIONES PARA ESTABILIZACIÓN DE BANCA</t>
  </si>
  <si>
    <t>97+0720</t>
  </si>
  <si>
    <t>98+0790</t>
  </si>
  <si>
    <t>CONSTRUCCIÓN DE DISIPADOR DE CUNETA</t>
  </si>
  <si>
    <t>72+0700 - 85+0130 y 101+0905 - 103+0000</t>
  </si>
  <si>
    <t>SELLO DE FISURAS PAVIMENTO FLEXIBLE</t>
  </si>
  <si>
    <t>72+688</t>
  </si>
  <si>
    <t>REPARACIÓN DE PLACAS DE PAVIMENTO RÍGIDO</t>
  </si>
  <si>
    <t>REMOCIÓN DE DERRUMBES TRAMO 5601</t>
  </si>
  <si>
    <t>85+0160</t>
  </si>
  <si>
    <t>101+906</t>
  </si>
  <si>
    <t>PARCHEO CON MEZCLA ASFÁLTICA PR´S 85+0150 AL PR 101+0906</t>
  </si>
  <si>
    <t>49+0000-49+0885, 68+0601-71+0318, 85+0103-101+0900</t>
  </si>
  <si>
    <t>PARCHEO CON MEZCLA ASFÁLTICA Y REFORZAMIENTO DE LA ESTRUCTURA DEL PAVIMENTO PR´S 49+000-49+885, 68+601-71+318, 85+103-101+900</t>
  </si>
  <si>
    <t>RECONSTRUCCIÓN DE CUNETAS Y FILTROS TRAMO 5601</t>
  </si>
  <si>
    <t>LOS VALORES REGISTRADOS EN LA COLUMNA COSTO ESTIMADO, DEBEN ESTAR ENLAZADOS CON EL HIPERVINCULO DEL CUADRO No. 7 "CALCULO DE CANTIDADES Y COSTOS ESTIMADOS DE NECESIDADES DE LAS VIAS", RESPECTIVO.</t>
  </si>
  <si>
    <t>NOTA (1): El costo debe incluir AIU e IVA (16% sobre utilidades)</t>
  </si>
  <si>
    <t>CUADRO No. 6</t>
  </si>
  <si>
    <t>NECESIDADES CRITICAS DE LAS VIAS</t>
  </si>
  <si>
    <t>ADMINISTRADOR (ING. RESIDENTE):</t>
  </si>
  <si>
    <t>ABRIL - JUNIO 2020</t>
  </si>
  <si>
    <t>57+0950</t>
  </si>
  <si>
    <t>CONSTRUCCIÓN DE MURO SOBRE CAISSONS Y REPARACIÓN DE CUNETAS</t>
  </si>
  <si>
    <t>58+0045</t>
  </si>
  <si>
    <t>PROTECCIÓN BANCA Y ESTRUCTURA DE CONTENCIÓN DE ACCIÓN EROSIVA DE QUEBRADA</t>
  </si>
  <si>
    <t>ESTABILIZACIÓN DEFINITIVA DE TERRENO CON CAISSONS, VIGA CABEZAL Y REPARACIÓN DE CUNETAS</t>
  </si>
  <si>
    <t>65+0970</t>
  </si>
  <si>
    <t>CONSTRUCCIÓN DE MURO DE PATA EN GAVIONES Y DE DISIPADOR DE ENERGÍA</t>
  </si>
  <si>
    <t>66+0200</t>
  </si>
  <si>
    <t>CONSTRUCCIÓN DE MURO EN GAVIONES</t>
  </si>
  <si>
    <t>CONSTRUCCIÓN DE MURO EN CONCRETO REFORZADO Y PILAS DE 10M</t>
  </si>
  <si>
    <t>67+0990</t>
  </si>
  <si>
    <t>68+030</t>
  </si>
  <si>
    <t>CONSTRUCCIÓN DE BORDILLO (INCLUYE CONTRAFUERTES PARA EVITAR VOLCAMIENTO), PARA EVITAR EROSIÓN EN TALUD INFERIOR</t>
  </si>
  <si>
    <t>68+0500</t>
  </si>
  <si>
    <t>CONSTRUCCIÓN DE MURO EN CONCRETO (CIMENTACIÓN SUPERFICIAL), H=3,5 M, L=35 M</t>
  </si>
  <si>
    <t>68+0600</t>
  </si>
  <si>
    <t>CONSTRUCCIÓN DE MURO EN CONCRETO (CIMENTACIÓN SUPERFICIAL), H=3,5 M, L=20M</t>
  </si>
  <si>
    <t>69+0090</t>
  </si>
  <si>
    <t>CONSTRUCCIÓN DE MURO EN GAVIONES, PROTECCIÓN DE TALUD INFERIOR Y DESCOLE DE CUNETA.</t>
  </si>
  <si>
    <t>68+0773</t>
  </si>
  <si>
    <t>REEMPLAZO DE MURO EN GAVIONES DETERIORADOS Y CONSTRUCCIÓN DE DISIPADOR DE OBRA DE DRENAJE PARA EVITAR MAYOR EROSIÓN DE DESCOLE</t>
  </si>
  <si>
    <t>CONSTRUCCIÓN DE MURO EN CONCRETO (CIMENTACIÓN SUPERFICIAL) Y PROTECCIÓN DE CAUCE QUEBRADA</t>
  </si>
  <si>
    <t>70+0775</t>
  </si>
  <si>
    <t>72+0900</t>
  </si>
  <si>
    <t>76+0400</t>
  </si>
  <si>
    <t>REPARACIÓN DE CUNETA Y CONSTRUCCIÓN MURO EN GAVIONES</t>
  </si>
  <si>
    <t>76+0515</t>
  </si>
  <si>
    <t>76+0880</t>
  </si>
  <si>
    <t>RECONSTRUCCIÓN DE BORDILLO</t>
  </si>
  <si>
    <t>76+0900</t>
  </si>
  <si>
    <t>CONSTRUCCIÓN DE MURO PATERO</t>
  </si>
  <si>
    <t>77+0010</t>
  </si>
  <si>
    <t>CONSTRUCCIÓN DE MURO EN CONCRETO (CIMENTACIÓN SUPERFICIAL), H=3,5 M, L=25 M</t>
  </si>
  <si>
    <t>77+0160</t>
  </si>
  <si>
    <t>CONSTRUCCIÓN DE DISIPADOR PARA EVITAR MAYOR EROSIÓN EN DESCOLE Y DAÑO GRAVE PARCIAL EN LA BANCA</t>
  </si>
  <si>
    <t>77+0930</t>
  </si>
  <si>
    <t>78+0030</t>
  </si>
  <si>
    <t>REEMPLAZO DE CAJA DE DRENAJE INSUFICIENTE POR BOX COULVERT DE 2X2</t>
  </si>
  <si>
    <t>78+0540</t>
  </si>
  <si>
    <t>CONSTRUCCIÓN DE GAVIONES Y DISIPADOR DE OBRA DE DRENAJE PARA RECUPERAR ESTABILIDAD BANCA</t>
  </si>
  <si>
    <t>78+0580</t>
  </si>
  <si>
    <t>CONSTRUCCIÓN DE DISIPADOR DE OBRA DE DRENAJE PARA RECUPERACIÓN CÁRCAVA</t>
  </si>
  <si>
    <t>80+0060</t>
  </si>
  <si>
    <t>CONSTRUCCIÓN DE DISIPADOR DE OBRA DE DRENAJE Y RECUPERACIÓN CÁRCAVA</t>
  </si>
  <si>
    <t xml:space="preserve">CONSTRUCCIÓN DE DISIPADOR DE OBRA DE DRENAJE </t>
  </si>
  <si>
    <t>80+0640</t>
  </si>
  <si>
    <t>PROTECCIÓN TALUD INFERIOR Y CAUCE QUEBRADA DE ACCIÓN EROSIVA</t>
  </si>
  <si>
    <t>80+0720</t>
  </si>
  <si>
    <t>80+0750</t>
  </si>
  <si>
    <t>PROTECCIÓN DE TALUD CON REVEGETALIZACIÓN Y MANTO DE REFUERZO</t>
  </si>
  <si>
    <t>OBRAS DE ESTABILIZACIÓN TALUD SUPERIOR (MURO CIMENTACIÓN SUPERFICIAL PARA CONTENER MASA, H=2,0 M., L=30 M.), DRENAJE Y SUBDRENAJE</t>
  </si>
  <si>
    <t>CONSTRUCCION DE MURO DE CONTENCIÓN EN PUENTE CARTAGENA</t>
  </si>
  <si>
    <t>83+0440</t>
  </si>
  <si>
    <t>CONSTRUCCIÓN MURO CONCRETO SOBRE CAISSONS PARA ESTABILIZACIÓN DE LA BANCA, L=25,0 m.</t>
  </si>
  <si>
    <t>OBRAS DE ESTABILIZACIÓN, PROTECCIÓN Y REVEGETALIZACIÓN DE TALUD INFERIOR, DRENAJE Y SUBDRENAJE PARA EVITAR MAYOR EROSIÓN</t>
  </si>
  <si>
    <t>ESTABILIZACIÓN DE TERRENO CON CAISSONS, VIGA CABEZAL Y OBRAS COMPLEMENTARIAS</t>
  </si>
  <si>
    <t>87+0220</t>
  </si>
  <si>
    <t>CONSTRUCCIÓN DE MURO DE CONCRETO REFORZADO DE CIMENTACIÓN SUPERFICIAL, H=3,5 M., L=15,0 M.</t>
  </si>
  <si>
    <t>87+0396</t>
  </si>
  <si>
    <t>88+0190</t>
  </si>
  <si>
    <t>RECONSTRUCCIÓN ALETAS DE SALIDA OBRA DRENAJE Y CONSTRUCCIÓN DE DISIPADOR PARA EVITAR EROSIÓN EN DESCOLE Y FORMACIÓN DE CÁRCAVA</t>
  </si>
  <si>
    <t>91+0840</t>
  </si>
  <si>
    <t>OBRAS DE ESTABILIZACIÓN DE TERRENO Y BANCA PARA MANTENER EL TRÁNSITO POR EL SECTOR</t>
  </si>
  <si>
    <t>92+0360</t>
  </si>
  <si>
    <t>RECONSTRUCCIÓN TERRAPLÉN Y REEMPLAZO DE CAJA DE DRENAJE INSUFICIENTE POR BOX COULVERT DE 2X2</t>
  </si>
  <si>
    <t>93+0770</t>
  </si>
  <si>
    <t>OBRAS DE PROTECCIÓN DEL TALUD INFERIOR POR ACCIÓN EROSIVA DEL RÍO "TASAJO" MARGEN IZQUIERDA</t>
  </si>
  <si>
    <t>94+0015</t>
  </si>
  <si>
    <t>CONSTRUCCIÓN DE MURO EN GAVIONES PARA EVITAR INESTABILIDAD EN BANCA Y RECUPERAR BORDE VÍA, MARGEN IZQUIERDA VÍA</t>
  </si>
  <si>
    <t>CONSTRUCCION DE DESCOLE, HIDROSIEMBRA Y MUERTO EN ROCA DE GRAN TAMAÑO</t>
  </si>
  <si>
    <t>94+0380</t>
  </si>
  <si>
    <t>CONSTRUCCIÓN DE DISIPADOR DE DESCOLE DE CUNETAS PARA PROTECCIÓN DE MURO EXISTENTE Y ESTABILIZAR BANCA</t>
  </si>
  <si>
    <t>94+0820</t>
  </si>
  <si>
    <t>OBRAS DE ESTABILIZACIÓN DE TERRENO Y BANCA (MURO CONFINAMIENTO EN GAVIONES TALUD INFERIOR, DRENAJE, SUBDRENAJE)</t>
  </si>
  <si>
    <t>REEMPLAZO DE OBRA DE DRENAJE DETERIORADA POR BOX COULVERT DE 2X2 "ESCUELA TASAJO"</t>
  </si>
  <si>
    <t>95+0750</t>
  </si>
  <si>
    <t>95+840</t>
  </si>
  <si>
    <t>OBRAS DE ESTABILIZACIÓN DE TERRENO Y BANCA</t>
  </si>
  <si>
    <t>95+0870</t>
  </si>
  <si>
    <t>96+0125</t>
  </si>
  <si>
    <t>CONSTRUCCIÓN DE MURO EN CONCRETO SOBRE CAISSONS Y DISIPADOR OBRA DE DRENAJE PARA ESTABILIZACIÓN DE LA BANCA</t>
  </si>
  <si>
    <t>CONSTRUCCIÓN DE MURO DE CONCRETO REFORZADO DE CIMENTACIÓN SUPERFICIAL, H=3,5 M., L=25,0 M.</t>
  </si>
  <si>
    <t>ESTABILIZACIÓN Y PROTECCIÓN DE TALUDES A LO LARGO DEL TRAMO 5601</t>
  </si>
  <si>
    <t>CUADRO No. 7</t>
  </si>
  <si>
    <t>CALCULO DE CANTIDADES Y COSTOS ESTIMADOS DE  NECESIDADES</t>
  </si>
  <si>
    <t>DE LAS VIAS (PREVENTIVAS Ó CRITICAS Ó PUENTES Ó PONTONES)</t>
  </si>
  <si>
    <t xml:space="preserve">CARRETERA: </t>
  </si>
  <si>
    <t>LA UNION - LA FRONTERA - SONSÓN (PR49+0000 - PR103+0000)</t>
  </si>
  <si>
    <t>SECTOR:</t>
  </si>
  <si>
    <t>ITEM DE PAGO</t>
  </si>
  <si>
    <t>ESPECIFICACIONES</t>
  </si>
  <si>
    <t>GENERAL</t>
  </si>
  <si>
    <t>PARTICULAR</t>
  </si>
  <si>
    <t>UND.</t>
  </si>
  <si>
    <t>CANTIDAD</t>
  </si>
  <si>
    <t>VALOR UNITARIO           ( $ )</t>
  </si>
  <si>
    <t>VALOR TOTAL         ( $ )</t>
  </si>
  <si>
    <t>1.  Descripción de la actividad : OBRAS DE PROTECCIÓN Y RECUPERACIÓN DE BANCA</t>
  </si>
  <si>
    <t>PR57+0950 CONSTRUCCIÓN DE MURO SOBRE CAISSONS Y REPARACIÓN DE CUNETAS l=23,60 ML</t>
  </si>
  <si>
    <t>623.1</t>
  </si>
  <si>
    <t>VALOR BÁSICO</t>
  </si>
  <si>
    <t>VALOR IVA (19% SOBRE UTILIDADES)</t>
  </si>
  <si>
    <t>VALOR TOTAL DE LA OBRA</t>
  </si>
  <si>
    <t>PR 58+0045 PROTECCIÓN BANCA Y ESTRUCTURA DE CONTENCIÓN DE ACCIÓN EROSIVA DE QUEBRADA</t>
  </si>
  <si>
    <t>600.1.1</t>
  </si>
  <si>
    <t>600,1,1</t>
  </si>
  <si>
    <t>600.2.4</t>
  </si>
  <si>
    <t>600,2,4</t>
  </si>
  <si>
    <t>610.1</t>
  </si>
  <si>
    <t>630.5</t>
  </si>
  <si>
    <t>630.7</t>
  </si>
  <si>
    <t>630P</t>
  </si>
  <si>
    <t>673.1.2</t>
  </si>
  <si>
    <t>681.1</t>
  </si>
  <si>
    <t>PR 58+0790 PROTECCIÓN BANCA DE ACCIÓN EROSIVA DE QUEBRADA</t>
  </si>
  <si>
    <t>PR 59+0260 RECONSTRUCCION DE MURO DE CONTENCION Y RECUPERACION DE CUNETA DE 27ML</t>
  </si>
  <si>
    <t>201.7</t>
  </si>
  <si>
    <t>630.4</t>
  </si>
  <si>
    <t>640.1</t>
  </si>
  <si>
    <t>621.1.3P</t>
  </si>
  <si>
    <t>630.6</t>
  </si>
  <si>
    <t xml:space="preserve"> </t>
  </si>
  <si>
    <t>330.1</t>
  </si>
  <si>
    <t>671.3</t>
  </si>
  <si>
    <t>673.2</t>
  </si>
  <si>
    <t>PR 62+0260 EROSIÓN SEVERO POR DESCOLE</t>
  </si>
  <si>
    <t>681.3</t>
  </si>
  <si>
    <t>PR 63+0110 CONSTRUCCIÓN DE MURO EN GAVIONES PARA ESTABILIZACIÓN BANCA, MARGEN DERECHA VÍA, L=15m</t>
  </si>
  <si>
    <t>PR 65+0970 CONSTRUCCIÓN DE MURO DE PATA EN GAVIONES Y CUNETA</t>
  </si>
  <si>
    <t>PR 66+0200 CONSTRUCCIÓN DE MURO EN GAVIONES, 6 ML</t>
  </si>
  <si>
    <t>PR 67+0990 AL PR 68+0030 CONSTRUCCIÓN DE BORDILLO (INCLUYE CONTRAFUERTES PARA EVITAR VOLCAMIENTO), PARA EVITAR EROSIÓN EN TALUD INFERIOR</t>
  </si>
  <si>
    <t xml:space="preserve">PR 67+0660 CONSTRUCCION DE MURO DE CONTENCION, BANCA EN EL AIRE </t>
  </si>
  <si>
    <t>PR 68+0500 CONSTRUCCIÓN DE MURO EN CONCRETO (CIMENTACIÓN SUPERFICIAL), H=3,5 M, L=35 M</t>
  </si>
  <si>
    <t>PR 68+0600 CONSTRUCCIÓN DE MURO EN CONCRETO (CIMENTACIÓN SUPERFICIAL), H=3,5 M, L=20M</t>
  </si>
  <si>
    <t>PR 68+0773 REEMPLAZO DE MURO EN GAVIONES DETERIORADOS Y CONSTRUCCIÓN DE DISIPADOR DE OBRA DE DRENAJE PARA EVITAR MAYOR EROSIÓN DE DESCOLE 60 ML</t>
  </si>
  <si>
    <t>PR 69+0090 CONSTRUCCIÓN DE GAVIONES Y TRABAMIENTO DE TALUD INFERIOR.</t>
  </si>
  <si>
    <t>810.3</t>
  </si>
  <si>
    <t>PR 70+0080 CONSTRUCCIÓN DE MURO EN CONCRETO (CIMENTACIÓN SUPERFICIAL) Y PROTECCIÓN DE CAUCE QUEBRADA 20 ML</t>
  </si>
  <si>
    <t>450.2P</t>
  </si>
  <si>
    <t>450.2 P</t>
  </si>
  <si>
    <t>SEGÚN DISEÑO CTO 597 DE 2012 L=17 M.</t>
  </si>
  <si>
    <t>PR 72+0900 RECONSTRUCCIÓN DE MURO EN GAVIONES, 25 ML</t>
  </si>
  <si>
    <t>PR76+0400. EROSION POR DAÑO EN CUNETA</t>
  </si>
  <si>
    <t>PR76+0515 EROSION POR AGUAS DE DESCOLE SIN RECUBRIMIENTO</t>
  </si>
  <si>
    <t>PR76+0880. DAÑO EN BORDILLO</t>
  </si>
  <si>
    <t>PR 76+0900. EROSIÓN DE TALUD INFERIOR CAUSADO POR QUEBRADA ALEDAÑA</t>
  </si>
  <si>
    <t>PR 77+0010 CONSTRUCCIÓN DE MURO EN CONCRETO (CIMENTACIÓN SUPERFICIAL), H=3,5 M, L=25 M</t>
  </si>
  <si>
    <t>PR 77+0160. EROSION POR DESCOLE EN ZAPATA DE MURO</t>
  </si>
  <si>
    <t>PR 77+0930 RECONSTRUCCIÓN DE MURO EN GAVIONES 8 ML</t>
  </si>
  <si>
    <t>PR 78+0540 EROSIÓN EN TALUD INFERIOR</t>
  </si>
  <si>
    <t>PR80+0460 EROSION DE DESCOLE</t>
  </si>
  <si>
    <t>PR 80+0640 PROTECCIÓN TALUD INFERIOR Y CAUCE QUEBRADA DE ACCIÓN EROSIVA 20 ML</t>
  </si>
  <si>
    <t>PR81+085 RESTAURACIÓN DE MURO DE GAVIONES</t>
  </si>
  <si>
    <t>PR 82+0904 RECONSTRUCCIÓN DE MURO EN GAVIONES, 26 ML</t>
  </si>
  <si>
    <t>PR83+0000. PROYECCIÓN DE ALETA DE PUENTE CARTAGENA</t>
  </si>
  <si>
    <t>610.5</t>
  </si>
  <si>
    <t>PR 83+0440 CONSTRUCCIÓN MURO CONCRETO SOBRE CAISSONS PARA ESTABILIZACIÓN DE LA BANCA, L=25,0 m.</t>
  </si>
  <si>
    <t>621.1.1</t>
  </si>
  <si>
    <t>PR93+0770. EROSION CAUSADA POR RIO TASAJO</t>
  </si>
  <si>
    <t>PR 89+0890 RECONSTRUCCIÓN DE MURO EN GAVIONES, 20 ML</t>
  </si>
  <si>
    <t>PR 94+0015 CONSTRUCCIÓN DE MURO EN GAVIONES PARA EVITAR INESTABILIDAD EN BANCA Y RECUPERAR BORDE VÍA, MARGEN IZQUIERDA VÍA,20 ML</t>
  </si>
  <si>
    <t>PR94+0380 EROSION PARTE ANTERIOR MURO DE CONTENCIÓN</t>
  </si>
  <si>
    <t>PR94+0450. EROSIÓN EN EL DESCOLE DE UNA ALCANTARILLADO</t>
  </si>
  <si>
    <t>PR95+0000. RESTAURACIÓN MURO DE GAVIONES</t>
  </si>
  <si>
    <t>PR 96+0015 CONSTRUCCIÓN DE GAVIONES PARA ESTABILIZACIÓN DE BANCA, 10 ML</t>
  </si>
  <si>
    <t>PR 91+0840 AL PR 92+0010 OBRAS DE ESTABILIZACIÓN DE TERRENO Y BANCA PARA MANTENER EL TRÁNSITO POR EL SECTOR</t>
  </si>
  <si>
    <t>SEGÚN RECOMENDACIÓN CTO 597 DE 2012</t>
  </si>
  <si>
    <t>330.4</t>
  </si>
  <si>
    <t>465.1</t>
  </si>
  <si>
    <t>661.1</t>
  </si>
  <si>
    <t>674.1</t>
  </si>
  <si>
    <t>674.2</t>
  </si>
  <si>
    <t>PR 94+0260 OBRAS DE ESTABILIZACIÓN DE TERRENO Y BANCA (CONSTRUCCION DE DESCOLE), 100 ML</t>
  </si>
  <si>
    <t>811.2</t>
  </si>
  <si>
    <t>PR 94+0820 OBRAS DE ESTABILIZACIÓN DE TERRENO Y BANCA (MURO CONFINAMIENTO EN GAVIONES TALUD INFERIOR, DRENAJE, SUBDRENAJE), 60 ML</t>
  </si>
  <si>
    <t>PR 95+0750 - PR95+0840 OBRAS DE ESTABILIZACIÓN DE TERRENO Y BANCA, 50 ML</t>
  </si>
  <si>
    <t>SEGÚN DISEÑO CTO 597 DE 2012 L=50 M.</t>
  </si>
  <si>
    <t>PR 96+0125 CONSTRUCCIÓN DE MURO EN CONCRETO SOBRE CAISSONS Y DISIPADOR OBRA DE DRENAJE PARA ESTABILIZACIÓN DE LA BANCA, H=4,5 M., L=40,0 M.</t>
  </si>
  <si>
    <t>PR 97+0300 CONSTRUCCIÓN DE MURO DE CONCRETO REFORZADO DE CIMENTACIÓN SUPERFICIAL, H=3,5 M., L=25,0 M.</t>
  </si>
  <si>
    <t>PR 97+720 RECONSTRUCCIÓN DE MURO EN GAVIONES</t>
  </si>
  <si>
    <t>201-13</t>
  </si>
  <si>
    <t>600-13</t>
  </si>
  <si>
    <t>610-13</t>
  </si>
  <si>
    <t>630-13</t>
  </si>
  <si>
    <t>673-13</t>
  </si>
  <si>
    <t>681-13</t>
  </si>
  <si>
    <t>2. Descripción de la actividad : TRATAMIENTO Y  OBRAS DE PROTECCIÓN DE TALUDES</t>
  </si>
  <si>
    <t>PR49+0000-PR103+0000 ESTABILIZACIÓN Y PROTECCIÓN DE TALUDES A LO LARGO DEL TRAMO 5601</t>
  </si>
  <si>
    <t>L</t>
  </si>
  <si>
    <t>210.2.1</t>
  </si>
  <si>
    <t>210.2.2</t>
  </si>
  <si>
    <t>234.1</t>
  </si>
  <si>
    <t>812.1</t>
  </si>
  <si>
    <t>900.1</t>
  </si>
  <si>
    <t>900.2</t>
  </si>
  <si>
    <t>PR 80+0750 PROTECCIÓN DE TALUD CON REVEGETALIZACIÓN Y MANTO DE REFUERZO</t>
  </si>
  <si>
    <t>H</t>
  </si>
  <si>
    <t>PR 81+0820 OBRAS DE ESTABILIZACIÓN TALUD SUPERIOR (MURO CIMENTACIÓN SUPERFICIAL PARA CONTENER MASA, H=2,0 M., L=30 M.), DRENAJE Y SUBDRENAJE</t>
  </si>
  <si>
    <t>PR 85+0000 OBRAS DE ESTABILIZACIÓN, PROTECCIÓN Y REVEGETALIZACIÓN DE TALUD INFERIOR, DRENAJE Y SUBDRENAJE PARA EVITAR MAYOR EROSIÓN, 25 ML,1750 M2</t>
  </si>
  <si>
    <t>PR 85+0660 ESTABILIZACIÓN DE TERRENO CON CAISSONS, VIGA CABEZAL Y OBRAS COMPLEMENTARIAS,h=3 m L=20 ML</t>
  </si>
  <si>
    <t>3. Descripción de la actividad :  Reposición de obras de drenaje</t>
  </si>
  <si>
    <t>PR 52+0200, REEMPLAZO DE OBRA DE DRENAJE INSUFICIENTE HIDRÁULICAMENTE</t>
  </si>
  <si>
    <t>201.8</t>
  </si>
  <si>
    <t>500.1</t>
  </si>
  <si>
    <t xml:space="preserve">PR 52+0530 REEMPLAZO DE OBRA DE DRENAJE COLAPSADA </t>
  </si>
  <si>
    <t>PR 53+0475 REEMPLAZO DE OBRA DE DRENAJE COLAPSADA</t>
  </si>
  <si>
    <t>PR 55+0850 CONSTRUCCIÓN DE DISIPADOR DE CUNETAS PARA EVITAR EROSIÓN EN DESCOLE, 8 ML</t>
  </si>
  <si>
    <t xml:space="preserve">PR 56+0210 REEMPLAZO DE ALCANTARILLA, ENCAUCE DE AGUAS DE ENCOLE HACIA OBRA DE DRENAJE Y PROTECCIÓN DEL MISMO </t>
  </si>
  <si>
    <t>PR 60+0125 DEMOLICIÓN DE CABEZOTE VOLCADO QUE OBSTRUYE SALIDA DE OBRA DE DRENAJE</t>
  </si>
  <si>
    <t>PR 61+0585 REEMPLAZO DE OBRA DE DRENAJE INSUFICIENTE HIDRÁULICAMENTE</t>
  </si>
  <si>
    <t>PR 68+0812 CONSTRUCCIÓN DE DISIPADOR DE OBRA DE DRENAJE PARA EVITAR MAYOR EROSIÓN DE DESCOLE 70 ML</t>
  </si>
  <si>
    <t>PR 68+0910 CONSTRUCCIÓN DE ALETA DE OBRA DE DRENAJE</t>
  </si>
  <si>
    <t>PR 68+0980 REEMPLAZO DE OBRA DE DRENAJE INSUFICIENTE</t>
  </si>
  <si>
    <t>PR 78+0030 REEMPLAZO DE CAJA DE DRENAJE INSUFICIENTE POR BOX COULVERT DE 2X2</t>
  </si>
  <si>
    <t>PR 78+0580 CONSTRUCCIÓN DE DISIPADOR DE OBRA DE DRENAJE PARA RECUPERACIÓN CÁRCAVA 50 ML</t>
  </si>
  <si>
    <t>PR 80+0060 CONSTRUCCIÓN DE DISIPADOR DE OBRA DE DRENAJE Y RECUPERACIÓN CÁRCAVA 60 ML</t>
  </si>
  <si>
    <t>PR 80+0720 REEMPLAZO DE CAJA DE DRENAJE INSUFICIENTE POR BOX COULVERT DE 2X2</t>
  </si>
  <si>
    <t>PR 87+0396 CONSTRUCCIÓN DE DISIPADOR DE OBRA DE DRENAJE PARA EVITAR MAYOR EROSIÓN DE DESCOLE, 120 ML</t>
  </si>
  <si>
    <t>PR 88+0190 RECONSTRUCCIÓN ALETAS DE SALIDA OBRA DRENAJE Y CONSTRUCCIÓN DE DISIPADOR PARA EVITAR EROSIÓN EN DESCOLE Y FORMACIÓN DE CÁRCAVA, 40 ML</t>
  </si>
  <si>
    <t>PR 87+0220 CONSTRUCCIÓN DE MURO DE CONCRETO REFORZADO DE CIMENTACIÓN SUPERFICIAL, H=3,5 M., L=15,0 M.</t>
  </si>
  <si>
    <t>PR 92+0087 REEMPLAZO DE OBRA DE DRENAJE DETERIORADA</t>
  </si>
  <si>
    <t>PR 92+0360 RECONSTRUCCIÓN TERRAPLÉN Y REEMPLAZO DE CAJA DE DRENAJE INSUFICIENTE POR BOX COULVERT DE 2X2</t>
  </si>
  <si>
    <t>220.1</t>
  </si>
  <si>
    <t>PR 94+0388 CONSTRUCCIÓN DE DISIPADOR DE DESCOLE DE CUNETAS PARA PROTECCIÓN DE MURO EXISTENTE Y ESTABILIZAR BANCA, 12 ML</t>
  </si>
  <si>
    <t>PR 94+0450 CONSTRUCCIÓN DE DISIPADOR DE OBRA DE DRENAJE Y RECUPERACIÓN CÁRCAVA, 40 ML</t>
  </si>
  <si>
    <t>PR 95+0390 REEMPLAZO DE OBRA DE DRENAJE DETERIORADA POR BOX COULVERT DE 2X2 "ESCUELA TASAJO", 20 ML</t>
  </si>
  <si>
    <t>600.2.1</t>
  </si>
  <si>
    <t>600,2,1</t>
  </si>
  <si>
    <t>PR 95+0870 REEMPLAZO DE OBRA DE DRENAJE DETERIORADA</t>
  </si>
  <si>
    <t>PR 98+0790 CONSTRUCCIÓN DE DISIPADOR DE CUNETA, 10 ML</t>
  </si>
  <si>
    <t>681.2</t>
  </si>
  <si>
    <t>4. Descripción de la actividad :  Construcción cunetas y filtros</t>
  </si>
  <si>
    <t>PR49+0000-PR103+0000 RECONSTRUCCIÓN DE CUNETAS Y FILTROS TRAMO 5601, 10.600 ML</t>
  </si>
  <si>
    <t>663.1</t>
  </si>
  <si>
    <t>PR 56+0563 RECONSTRUCCIÓN DE CUNETAS DETERIORADAS 14 ML</t>
  </si>
  <si>
    <t>PR 57+0784 RECONSTRUCCIÓN DE CUNETAS DETERIORADAS 10 ML</t>
  </si>
  <si>
    <t>PR 60+0820 DEMOLICIÓN Y RECONSTRUCCIÓN DE PLACAS DE PAVIMENTO DE CONCRETO</t>
  </si>
  <si>
    <t>VALOR IVA (19%)</t>
  </si>
  <si>
    <t>PR 70+0775 CONSTRUCCIÓN DE DISIPADOR DE CUNETA 15 ML</t>
  </si>
  <si>
    <t>5. Descripción de la actividad : Parcheo, fresados  y nivelaciones</t>
  </si>
  <si>
    <t>PR 49+000-PR49+885, PR68+601-PR71+318, PR85+PR103-PR101+900 PARCHEO CON MEZCLA ASFÁLTICA</t>
  </si>
  <si>
    <t>460.1</t>
  </si>
  <si>
    <t>6. Descripción de la actividad : Remoción de Derrumbes</t>
  </si>
  <si>
    <t>PR49+0000-PR103+0000 REMOCIÓN DE DERRUMBES TRAMO 5601</t>
  </si>
  <si>
    <t>211.1</t>
  </si>
  <si>
    <t>900.3</t>
  </si>
  <si>
    <t xml:space="preserve">7. Descripción de la actividad :  Rehabilitación </t>
  </si>
  <si>
    <t>7.1. Rehabilitación carpeta asfáltica</t>
  </si>
  <si>
    <t>PR 49+0000-PR 49+0885, PR 68+0601-PR 71+0318, PR85+0103-PR 101+900 PARCHEO CON MEZCLA ASFÁLTICA Y REFORZAMIENTO DE LA ESTRUCTURA DEL PAVIMENTO</t>
  </si>
  <si>
    <t>PR 72+0700 - PR 85+0130 y PR 101+0905 - PR 103+0000 SELLO DE FISURAS PAVIMENTO FLEXIBLE, 20.000 ML</t>
  </si>
  <si>
    <t>466.2</t>
  </si>
  <si>
    <t>7.2 Rehabilitación carpeta Concreto Hidráulico</t>
  </si>
  <si>
    <t>PR 49+885-PR 72+688 REPARACIÓN DE PLACAS DE PAVIMENTO RÍGIDO, 20.000 ML</t>
  </si>
  <si>
    <t>PR 66+0270 DEMOLICIÓN Y RECONSTRUCCIÓN DE PLACAS DE PAVIMENTO DE CONCRETO</t>
  </si>
  <si>
    <t>PR 66+0285 DEMOLICIÓN, RENIVELACIÓN Y RECONSTRUCCIÓN DE PLACAS DE PAVIMENTO DE CONCRETO</t>
  </si>
  <si>
    <t>PR 66+0340 DEMOLICIÓN, RENIVELACIÓN Y RECONSTRUCCIÓN DE PLACAS DE PAVIMENTO DE CONCRETO</t>
  </si>
  <si>
    <t>PR 55+500-PR 72+688 REEMPLAZO DE SELLO DE JUNTAS DE LOSAS DE PAVIMENTO RÍGIDO, 20 ML</t>
  </si>
  <si>
    <t>500 P</t>
  </si>
  <si>
    <t>MANTENIMIENTO DE JUNTAS DE PAVIMENTO DE CONCRETO HIDRÁULICO, INCLUYE REMOCIÓN DE ELEMENTOS DE SELLO DE JUNTA DETERIORADA, LIMPIEZA, PREPARACIÓN DE SUPERFICIES Y REEMPLAZO DE ELEMENTOS DE SELLO</t>
  </si>
  <si>
    <t>ML</t>
  </si>
  <si>
    <t>8. Descripción de la actividad : Señalización</t>
  </si>
  <si>
    <t>PR49+0000-PR103+0000 SEÑALIZACIÓN Y ELEMENTOS DE SEGURIDAD VIAL TRAMO 5601</t>
  </si>
  <si>
    <t>700.1</t>
  </si>
  <si>
    <t>700.3</t>
  </si>
  <si>
    <t>701.1</t>
  </si>
  <si>
    <t>710.1</t>
  </si>
  <si>
    <t>710.2</t>
  </si>
  <si>
    <t>730.1</t>
  </si>
  <si>
    <t>9. Necesidades Puentes</t>
  </si>
  <si>
    <t>PR 57+0597 PROTECCIÓN DE ALETA SUPERIOR DERECHA DE PUENTE "PIEDRAS" Y RECINTE ESTRIBO ES2</t>
  </si>
  <si>
    <t>PR 61+0400 PROTECCIÓN DE TALUD INFERIOR Y PROTECCIÓN DE ACCIÓN EROSIVA DE QUEBRADA "SAN MIGUEL"</t>
  </si>
  <si>
    <t>PR 68+0435   PUENTE "EL CARDAL"</t>
  </si>
  <si>
    <t>6P</t>
  </si>
  <si>
    <t>PR 72+0724 RECINTE ESTRIBO DE ENTRADA Y ALETA DE PUENTE "EL BUEY"</t>
  </si>
  <si>
    <t>PR 82+0184 RECINTE ALETA INFERIOR IZQUIERDA DE PUENTE "AURES"</t>
  </si>
  <si>
    <t>PR 83+0012 REPARACIÓN DE LOSA, OBRAS DE PROTECCIÓN DE ALETAS INFERIORES, DISIPADORES Y BANCA, PUENTE "CARTAGENA"</t>
  </si>
  <si>
    <t>PR 93+0709 REPARACIÓN DE SUPERFICIE DE LA LOSA CON ACERO EXPUESTO, PUENTE QUEBRADA NEGRA</t>
  </si>
  <si>
    <t>450.2p</t>
  </si>
  <si>
    <t>PR 93+0709 REEMPLAZO DE TRAMO DE BARANDAS METÁLICAS DETERIORADAS, PUENTE "TASAJO"</t>
  </si>
  <si>
    <t>632P</t>
  </si>
  <si>
    <t>10.- Necesidades Pontones</t>
  </si>
  <si>
    <t>PR 58+0240 RECINTE ESTRIBO DE SALIDA DE PONTÓN</t>
  </si>
  <si>
    <t>TOTAL OBRA</t>
  </si>
  <si>
    <t>PUENTES</t>
  </si>
  <si>
    <t>SEÑALIZACIÓN</t>
  </si>
  <si>
    <t>PONTONES</t>
  </si>
  <si>
    <t>NECESIDADES VIA</t>
  </si>
  <si>
    <t>NEC CRITICAS</t>
  </si>
  <si>
    <t>TOTAL POR HOJA</t>
  </si>
  <si>
    <t>DESGLOSE ESTUDIOS PUENTES</t>
  </si>
  <si>
    <t>SUELDO Y/O</t>
  </si>
  <si>
    <t>PRIMA</t>
  </si>
  <si>
    <t>PARTICIPACIÓN</t>
  </si>
  <si>
    <t>VALOR</t>
  </si>
  <si>
    <t>CANT.</t>
  </si>
  <si>
    <t>CARGO / OFICIO</t>
  </si>
  <si>
    <t>JORNAL MENSUAL</t>
  </si>
  <si>
    <t>REGIONAL</t>
  </si>
  <si>
    <t>TOTAL (h-mes)</t>
  </si>
  <si>
    <t>PARCIAL ($)</t>
  </si>
  <si>
    <t>(1)</t>
  </si>
  <si>
    <t>(2)</t>
  </si>
  <si>
    <t>(3)</t>
  </si>
  <si>
    <t>((1)+(2))*(3) = (4)</t>
  </si>
  <si>
    <t>COSTOS DIRECTOS DE PERSONAL</t>
  </si>
  <si>
    <t>PERSONAL PROFESIONAL</t>
  </si>
  <si>
    <t>Director de estudio</t>
  </si>
  <si>
    <t>Ingeniero de Campo</t>
  </si>
  <si>
    <t>Especialista en Geotecnia</t>
  </si>
  <si>
    <t>Especialista en estructuras</t>
  </si>
  <si>
    <t>PERSONAL AUXILIAR</t>
  </si>
  <si>
    <t>SUBTOTAL COSTOS DE PERSONAL = SUMATORIA DE (4) = (5)</t>
  </si>
  <si>
    <t>FACTOR MULTIPLICADOR (6)</t>
  </si>
  <si>
    <t xml:space="preserve">TOTAL COSTOS DE PERSONAL = (5) * (6) = (A) </t>
  </si>
  <si>
    <t>COSTO</t>
  </si>
  <si>
    <t>TIEMPO DE</t>
  </si>
  <si>
    <t>CONCEPTO</t>
  </si>
  <si>
    <t>UNIDAD</t>
  </si>
  <si>
    <t>($)</t>
  </si>
  <si>
    <t>UTILIZACIÓN</t>
  </si>
  <si>
    <t>(7)</t>
  </si>
  <si>
    <t>TOTAL (8)</t>
  </si>
  <si>
    <t>(7) * (8) = (9)</t>
  </si>
  <si>
    <t>OTROS COSTOS DIRECTOS</t>
  </si>
  <si>
    <t>COSTOS DE ALQUILER DE EQUIPOS</t>
  </si>
  <si>
    <t xml:space="preserve">Vehículo&gt;2000cc </t>
  </si>
  <si>
    <t>mes</t>
  </si>
  <si>
    <t>OTROS COSTOS</t>
  </si>
  <si>
    <t>Topografía (incluye 5 secciones transversales)</t>
  </si>
  <si>
    <t>GL</t>
  </si>
  <si>
    <t>Ensayos de laboratorio (2 sondeos a 10m -15 m, pruebas de resistencia en roca o suelo y demás para definir estrato de cimentación)</t>
  </si>
  <si>
    <t>GL (según comprobante)</t>
  </si>
  <si>
    <t>Informe, recomendaciones y planos. (incluye solución propuesta y diseño estructural)</t>
  </si>
  <si>
    <t>TOTAL OTROS COSTOS DIRECTOS (B)</t>
  </si>
  <si>
    <t xml:space="preserve">COSTO BÁSICO = (A) + (B) = (C) </t>
  </si>
  <si>
    <t>IVA = 19% * (C) = (D)</t>
  </si>
  <si>
    <t>COSTO TOTAL = (D) + (C) = (E)</t>
  </si>
  <si>
    <t>Administrador Vial</t>
  </si>
  <si>
    <t xml:space="preserve"> Vo.Bo.  DirectorTerritorial</t>
  </si>
  <si>
    <r>
      <rPr>
        <b/>
        <sz val="9"/>
        <rFont val="Arial"/>
        <family val="2"/>
      </rPr>
      <t xml:space="preserve">NOTA : </t>
    </r>
    <r>
      <rPr>
        <sz val="9"/>
        <rFont val="Arial"/>
        <family val="2"/>
      </rPr>
      <t>Se deben presentar cuadros No. 7 del cálculo de cantidades y costos cantidades por separado para necesidades preventivas, para necesidades criticas, para necesidades de puentes, para necesidades de pontones, siendo los soportes de cada uno de estos cuadros. Las necesidades de señalización se deben indicar sólo en los cuadros No.15 y 16. Los precios unitarios deben coincidir con los del programa de APU. En caso de encontrar precios no reportados o de requerirse actualización, se debe enviar el respectivo análisis de precios unitarios.</t>
    </r>
  </si>
  <si>
    <t>DIRECCION TERRITORIAL  ANTIOQUIA</t>
  </si>
  <si>
    <t>CUADRO No.8</t>
  </si>
  <si>
    <t>INFORMACION SOBRE EMERGENCIAS</t>
  </si>
  <si>
    <t>JUL - SEP 2020</t>
  </si>
  <si>
    <t>FECHA</t>
  </si>
  <si>
    <t>TIPO DE EMERGENCIA</t>
  </si>
  <si>
    <t>SOLUCION</t>
  </si>
  <si>
    <t>52+0240</t>
  </si>
  <si>
    <t>80+0200</t>
  </si>
  <si>
    <t>MULTIPLES DERRUMBES Y CAIDA DE MULTIPLES DE ARBOLES</t>
  </si>
  <si>
    <t>ACORDONACION Y POSTERIOR RETIRO</t>
  </si>
  <si>
    <t>La emergencia fue atendida por: La microempresa Vias de Oriente, Alcaldia del Municipio de Sonson y la Administracion Vial Grupo 02</t>
  </si>
  <si>
    <t>CUADRO No. 9</t>
  </si>
  <si>
    <t>ESTADO GENERAL DE LOS PUENTES</t>
  </si>
  <si>
    <t>No.</t>
  </si>
  <si>
    <t>NOMBRE DEL PUENTE</t>
  </si>
  <si>
    <t>Longitud  (m)</t>
  </si>
  <si>
    <t>CODIGO DE LA VIA</t>
  </si>
  <si>
    <t>TRANSITO</t>
  </si>
  <si>
    <t>ESTADO GENERAL</t>
  </si>
  <si>
    <t>Normal</t>
  </si>
  <si>
    <t>Restringido</t>
  </si>
  <si>
    <t>Estribos Aletas</t>
  </si>
  <si>
    <t>Vigas Losas</t>
  </si>
  <si>
    <t>Barandas</t>
  </si>
  <si>
    <t>Estado crítico inmediato</t>
  </si>
  <si>
    <t>Piedras</t>
  </si>
  <si>
    <t>57+0597</t>
  </si>
  <si>
    <t>57+0611</t>
  </si>
  <si>
    <t>X</t>
  </si>
  <si>
    <t>Se requiere obras para protección de aleta AL3, socavación de estribos E1 y  E2.  Algunos desprendimientos superficie y hormigoneos en la parte inferior de la losa, hormigoneos en VL3 y hormigoneos y hierro expuesto en VL4, riostra RI2 con fisuras.</t>
  </si>
  <si>
    <t>San Miguel</t>
  </si>
  <si>
    <t>61+0449</t>
  </si>
  <si>
    <t>61+0463</t>
  </si>
  <si>
    <t>Daños tipo bache y desprendimientos en superficie de rodadura y  vigas VL3, con hierro expuesto y humedad y VL4, con hierro expuesto.</t>
  </si>
  <si>
    <t>El Cardal</t>
  </si>
  <si>
    <t>68+0435</t>
  </si>
  <si>
    <t>68+0445</t>
  </si>
  <si>
    <t>Desgaste superficie de rodadura y hormigoneos en losa inferior.</t>
  </si>
  <si>
    <t>El Buey</t>
  </si>
  <si>
    <t>72+0724</t>
  </si>
  <si>
    <t>72+0733</t>
  </si>
  <si>
    <t>Superficie de rodadura con piel de cocodrilo y bache en el acceso AC2, socavación estribo ES1 y aleta AL1.</t>
  </si>
  <si>
    <t>Aures</t>
  </si>
  <si>
    <t>82+0184</t>
  </si>
  <si>
    <t>82+0195</t>
  </si>
  <si>
    <t>Desgaste superficie de rodadura( fisuras en bloque), hormigoneos losa inferior entre VL1 y VL2. Vigas VL1, VL2 y VL3 con hormigoneos y hierro expuesto en VL2. Socavación aleta VL4.</t>
  </si>
  <si>
    <t>Cartagena</t>
  </si>
  <si>
    <t>83+0023</t>
  </si>
  <si>
    <t>Desgaste superficie de rodadura con fisuras en bloque, daño en losa, fisuras en vigas VL1, VL2, VL3 y VL4, socavación estibo ES1, socavación en aletas VL1 Y VL2 y disipador de concreto, hasta el momento no se ha realizado inspección especial solicitada por las fisuras que presenta en vigas principales.</t>
  </si>
  <si>
    <t>Quebrada Negra</t>
  </si>
  <si>
    <t>86+0920</t>
  </si>
  <si>
    <t>86+0932</t>
  </si>
  <si>
    <t>Desgaste en superficie de rodadura con exposición de acero. Las vigas VL1, VL2, VL3, y VL4. presentan fisuras a cortante.</t>
  </si>
  <si>
    <t>Tasajo</t>
  </si>
  <si>
    <t>93+0709</t>
  </si>
  <si>
    <t>93+0732</t>
  </si>
  <si>
    <t>Desgaste en la carpeta de rodadura y huecos en la junta No.2. La losa inferior presenta hormigoneos. Viga VL4 presenta hormigoneo. Se requiere reparación de 2,0 m. de baranda metálica existente.</t>
  </si>
  <si>
    <t>CONVENCIONES:</t>
  </si>
  <si>
    <r>
      <t>N.E.</t>
    </r>
    <r>
      <rPr>
        <sz val="10"/>
        <rFont val="Arial"/>
      </rPr>
      <t xml:space="preserve"> : No existe</t>
    </r>
  </si>
  <si>
    <t>En buen estado</t>
  </si>
  <si>
    <t xml:space="preserve">       En regular estado</t>
  </si>
  <si>
    <t xml:space="preserve">           En mal estado</t>
  </si>
  <si>
    <t>x</t>
  </si>
  <si>
    <t>Se reparó en el presente mes</t>
  </si>
  <si>
    <t>NOTA: Se deben diligenciar todas las casillas.</t>
  </si>
  <si>
    <t>CUADRO No. 10</t>
  </si>
  <si>
    <t>PRIORIZACION  PUENTES QUE REQUIEREN ATENCION - REHABILITACION Y CONSERVACION</t>
  </si>
  <si>
    <t>JULIO - SEPTIEMBRE - 2020</t>
  </si>
  <si>
    <t>TERRITORIAL</t>
  </si>
  <si>
    <t>CODIGO DEL PUENTE (Sipucol)</t>
  </si>
  <si>
    <t>CALIFICACION</t>
  </si>
  <si>
    <t>TPDS</t>
  </si>
  <si>
    <t>LONG.    (m)</t>
  </si>
  <si>
    <t>TIPO DAÑO</t>
  </si>
  <si>
    <t>DESCRIPCION DE LOS TRABAJOS</t>
  </si>
  <si>
    <t>COSTO APROXIMADO</t>
  </si>
  <si>
    <t xml:space="preserve">    $</t>
  </si>
  <si>
    <t>ESTUDIOS</t>
  </si>
  <si>
    <t>OBRA</t>
  </si>
  <si>
    <t>ANTIOQUIA</t>
  </si>
  <si>
    <t>01-5601-104.00</t>
  </si>
  <si>
    <t>Socavación</t>
  </si>
  <si>
    <t>Obras para protección de aleta AL3 y socavación estribo E2.</t>
  </si>
  <si>
    <t>01-5601-105.00</t>
  </si>
  <si>
    <t>Superficie de rodadura</t>
  </si>
  <si>
    <t xml:space="preserve">Reparación de superficie del puente, baches en la losa. </t>
  </si>
  <si>
    <t>Superficie con daños tipo bache y desprendimientos</t>
  </si>
  <si>
    <t>Recinte estribo ES1 y aleta AL1</t>
  </si>
  <si>
    <t>Se requiere recinte de estribo y aleta</t>
  </si>
  <si>
    <t>01-5601-106.00</t>
  </si>
  <si>
    <t>Socavación aleta VL4</t>
  </si>
  <si>
    <t>Recinte aleta</t>
  </si>
  <si>
    <t>Se requiere recinte de aleta</t>
  </si>
  <si>
    <t>01-5601-107.00</t>
  </si>
  <si>
    <t>Losa, vigas, estribos y aletas</t>
  </si>
  <si>
    <t>Reparación de losa, obras de protección de aletas AL1 y AL2 y disipadores de concreto, recinte de disipador a la salida de la corriente de agua.  Inspección especial para revisar estado de las vigas ya que estas  presentan fisuras a cortante.</t>
  </si>
  <si>
    <t>MITIGACIÓN.  Se requieren obras de protección de aletas y disipadores existentes y reparar la losa.  Requiere inspección especial</t>
  </si>
  <si>
    <t>01-5601-108.00</t>
  </si>
  <si>
    <t>Reparación de superficie de la losa del puente con acero expuesto.</t>
  </si>
  <si>
    <t>Superficie con daño tipo desgaste</t>
  </si>
  <si>
    <t>01-5601-109.00</t>
  </si>
  <si>
    <t>Reparación de baranda metálica derecha, L=2,0m.</t>
  </si>
  <si>
    <t>Valor Interven.</t>
  </si>
  <si>
    <t>Valor Necesidades</t>
  </si>
  <si>
    <t>CUADRO No. 11</t>
  </si>
  <si>
    <t>ESTADO GENERAL DE LOS PONTONES</t>
  </si>
  <si>
    <t>58+240</t>
  </si>
  <si>
    <t>58+245</t>
  </si>
  <si>
    <t>N.E.</t>
  </si>
  <si>
    <t>Actualmente las barandas son defensas metálicas</t>
  </si>
  <si>
    <t>70+190</t>
  </si>
  <si>
    <t>70+194</t>
  </si>
  <si>
    <t>77+961</t>
  </si>
  <si>
    <t>77+963</t>
  </si>
  <si>
    <t>No tiene barandas</t>
  </si>
  <si>
    <t>80+580</t>
  </si>
  <si>
    <t>80+582</t>
  </si>
  <si>
    <t xml:space="preserve">        En regular estado</t>
  </si>
  <si>
    <t>CUADRO No. 12</t>
  </si>
  <si>
    <t>NECESIDADES DE LOS PONTONES</t>
  </si>
  <si>
    <t>58+0240</t>
  </si>
  <si>
    <t>58+0245</t>
  </si>
  <si>
    <t>Recinte estribo de salida</t>
  </si>
  <si>
    <t xml:space="preserve">                 Se deben diligenciar todas las casillas.</t>
  </si>
  <si>
    <t>CUADRO No. 13</t>
  </si>
  <si>
    <t>ESTADO GENERAL DE LOS TUNELES</t>
  </si>
  <si>
    <t>NOMBRE DEL TUNEL</t>
  </si>
  <si>
    <t>LOCALIZACIÓN</t>
  </si>
  <si>
    <t xml:space="preserve">TIPO TUNEL </t>
  </si>
  <si>
    <t>LONG. TOTAL (m)</t>
  </si>
  <si>
    <t>ILUMINACIÓN</t>
  </si>
  <si>
    <t>VENTILACIÓN</t>
  </si>
  <si>
    <t>HASTIAL IZQUIERDO</t>
  </si>
  <si>
    <t>HASTIAL DERECHO</t>
  </si>
  <si>
    <t>BOVEDA</t>
  </si>
  <si>
    <t>RASANTE</t>
  </si>
  <si>
    <t>SISTEMA DE DRENAJE</t>
  </si>
  <si>
    <t>PUESTOS DE EMERGENCIA</t>
  </si>
  <si>
    <t>PROTECCIÓN CONTRA INCENDIOS</t>
  </si>
  <si>
    <t>HORIZONTAL</t>
  </si>
  <si>
    <t>VERTICAL</t>
  </si>
  <si>
    <t>No. SEÑALES FALTANTES</t>
  </si>
  <si>
    <t>NO HAY TUNELES EN EL SECTOR</t>
  </si>
  <si>
    <t>En regular estado</t>
  </si>
  <si>
    <t>En mal estado</t>
  </si>
  <si>
    <t>TIPO TUNEL:</t>
  </si>
  <si>
    <t>UNIDIRECCIONAL</t>
  </si>
  <si>
    <t>BIDIRECCIONAL</t>
  </si>
  <si>
    <t>CUADRO No. 14</t>
  </si>
  <si>
    <t>NECESIDADES DE LOS TUNELES</t>
  </si>
  <si>
    <t>NOMBRE TUNEL</t>
  </si>
  <si>
    <t>DESCRIPCIÓN DE LOS TRABAJOS</t>
  </si>
  <si>
    <t>COSTO APROXIMADO ( $ )</t>
  </si>
  <si>
    <t>DIRECCION TERRITORIAL: ANTIOQUIA</t>
  </si>
  <si>
    <t>CUADRO No.15</t>
  </si>
  <si>
    <t>ESTADO DE LA SEÑALIZACION VERTICAL Y SEÑALIZACION VERTICAL FALTANTE.</t>
  </si>
  <si>
    <t>RUTA:</t>
  </si>
  <si>
    <t>TRAMO:</t>
  </si>
  <si>
    <t>SEÑALES SP, SR Y SI</t>
  </si>
  <si>
    <t>PASAVIAS</t>
  </si>
  <si>
    <t>SEÑALES TIPO BANDERA</t>
  </si>
  <si>
    <t>SEÑALES SI 05 Y SI 06</t>
  </si>
  <si>
    <t>DELINEADORES  DE CURVA</t>
  </si>
  <si>
    <t>POSTES DE REFERENCIACIÓN</t>
  </si>
  <si>
    <t>DEFENSAS METÁLICAS</t>
  </si>
  <si>
    <t>RUTA</t>
  </si>
  <si>
    <t>TRAMO</t>
  </si>
  <si>
    <t>Km.</t>
  </si>
  <si>
    <t>F</t>
  </si>
  <si>
    <t>Und</t>
  </si>
  <si>
    <t>ml</t>
  </si>
  <si>
    <t>(4)</t>
  </si>
  <si>
    <t>(5)</t>
  </si>
  <si>
    <t>(6)</t>
  </si>
  <si>
    <t>(8)</t>
  </si>
  <si>
    <t>(9)</t>
  </si>
  <si>
    <t>(10)</t>
  </si>
  <si>
    <t>(11)</t>
  </si>
  <si>
    <t>(12)</t>
  </si>
  <si>
    <t>(13)</t>
  </si>
  <si>
    <t>(14)</t>
  </si>
  <si>
    <t>(15)</t>
  </si>
  <si>
    <t>(16)</t>
  </si>
  <si>
    <t>(17)</t>
  </si>
  <si>
    <t>(18)</t>
  </si>
  <si>
    <t>(19)</t>
  </si>
  <si>
    <t>(20)</t>
  </si>
  <si>
    <t>(21)</t>
  </si>
  <si>
    <t>(22)</t>
  </si>
  <si>
    <t>(23)</t>
  </si>
  <si>
    <t>(24)</t>
  </si>
  <si>
    <t>(25)</t>
  </si>
  <si>
    <t>(26)</t>
  </si>
  <si>
    <t>(27)</t>
  </si>
  <si>
    <t>(28)</t>
  </si>
  <si>
    <t>(29)</t>
  </si>
  <si>
    <t>(30)</t>
  </si>
  <si>
    <t>(31)</t>
  </si>
  <si>
    <t>TOTALES:</t>
  </si>
  <si>
    <t>CONVENCIONES Y DESCRIPCION.</t>
  </si>
  <si>
    <t>(1): Identificación de la Ruta de acuerdo con la nomenclatura vial vigente.</t>
  </si>
  <si>
    <t>(2): Identificación del tramo de acuerdo con la nomenclatura vial vigente.</t>
  </si>
  <si>
    <t>(3): Longitud del tramo en kilómetros.</t>
  </si>
  <si>
    <r>
      <t xml:space="preserve">(4), (8), (12), (16), (20): B= Número de señales instaladas en el tramo que se encuentran en </t>
    </r>
    <r>
      <rPr>
        <b/>
        <sz val="8"/>
        <rFont val="Arial"/>
        <family val="2"/>
      </rPr>
      <t>buen estado</t>
    </r>
    <r>
      <rPr>
        <sz val="8"/>
        <rFont val="Arial"/>
        <family val="2"/>
      </rPr>
      <t xml:space="preserve">. Se deben incluir las señales que se encuentren en perfecto estado en cuanto a </t>
    </r>
  </si>
  <si>
    <t>legibilidad, reflectividad, pintura de postes y de parales, pintura posterior y cimientos.</t>
  </si>
  <si>
    <r>
      <t xml:space="preserve">(5), (9), (13), (17), (21): R = Número de señales instaladas en el tramo que se encuentran en </t>
    </r>
    <r>
      <rPr>
        <b/>
        <sz val="8"/>
        <rFont val="Arial"/>
        <family val="2"/>
      </rPr>
      <t>regular estado</t>
    </r>
    <r>
      <rPr>
        <sz val="8"/>
        <rFont val="Arial"/>
        <family val="2"/>
      </rPr>
      <t>. Se deben incluir las señales que se encuentren en regular estado en cuanto a</t>
    </r>
  </si>
  <si>
    <t>legibilidad, reflectividad, pintura de postes y de parales, pintura posterior y cimientos, pero que por su nivel de deterioro sean susceptibles de incluir en programas de recuperación y/o mantenimiento.</t>
  </si>
  <si>
    <r>
      <t xml:space="preserve">(6), (10), (14), (18), (22): M = Número de señales instaladas en el tramo que se encuentran en </t>
    </r>
    <r>
      <rPr>
        <b/>
        <sz val="8"/>
        <rFont val="Arial"/>
        <family val="2"/>
      </rPr>
      <t>mal estado</t>
    </r>
    <r>
      <rPr>
        <sz val="8"/>
        <rFont val="Arial"/>
        <family val="2"/>
      </rPr>
      <t>. Se deben incluir las señales que por su estado de deterioro no brindan ninguna</t>
    </r>
  </si>
  <si>
    <t>información al usuario de la vía y que no sean susceptibles de incluir en programas de recuperación y mantenimiento, requiriendo su reposición y remoción.</t>
  </si>
  <si>
    <r>
      <t xml:space="preserve">(7), (11), (15), (19), (23): F = Número de señales </t>
    </r>
    <r>
      <rPr>
        <b/>
        <sz val="8"/>
        <rFont val="Arial"/>
        <family val="2"/>
      </rPr>
      <t xml:space="preserve">faltantes </t>
    </r>
    <r>
      <rPr>
        <sz val="8"/>
        <rFont val="Arial"/>
        <family val="2"/>
      </rPr>
      <t>que se requieren y no han sido instaladas (sin incluir las que se encuentran en regular y en mal estado).</t>
    </r>
  </si>
  <si>
    <r>
      <t xml:space="preserve">(24): B= Número de postes de referenciación que se encuentran en </t>
    </r>
    <r>
      <rPr>
        <b/>
        <sz val="8"/>
        <rFont val="Arial"/>
        <family val="2"/>
      </rPr>
      <t xml:space="preserve">buen estado </t>
    </r>
    <r>
      <rPr>
        <sz val="8"/>
        <rFont val="Arial"/>
        <family val="2"/>
      </rPr>
      <t>en cuanto a pintura y a su estructura en concreto</t>
    </r>
    <r>
      <rPr>
        <b/>
        <sz val="8"/>
        <rFont val="Arial"/>
        <family val="2"/>
      </rPr>
      <t>.</t>
    </r>
  </si>
  <si>
    <r>
      <t xml:space="preserve">(25): R= Número de postes de referenciación que se encuentran en </t>
    </r>
    <r>
      <rPr>
        <b/>
        <sz val="8"/>
        <rFont val="Arial"/>
        <family val="2"/>
      </rPr>
      <t xml:space="preserve">regular estado </t>
    </r>
    <r>
      <rPr>
        <sz val="8"/>
        <rFont val="Arial"/>
        <family val="2"/>
      </rPr>
      <t>en cuanto a pintura y a su estructura en concreto</t>
    </r>
    <r>
      <rPr>
        <b/>
        <sz val="8"/>
        <rFont val="Arial"/>
        <family val="2"/>
      </rPr>
      <t>.</t>
    </r>
  </si>
  <si>
    <r>
      <t xml:space="preserve">(26): M= Número de postes de referenciación que se encuentran en </t>
    </r>
    <r>
      <rPr>
        <b/>
        <sz val="8"/>
        <rFont val="Arial"/>
        <family val="2"/>
      </rPr>
      <t xml:space="preserve">mal estado </t>
    </r>
    <r>
      <rPr>
        <sz val="8"/>
        <rFont val="Arial"/>
        <family val="2"/>
      </rPr>
      <t>en cuanto a pintura y a su estructura en concreto, por lo cual requieren su reposición y remoción.</t>
    </r>
  </si>
  <si>
    <r>
      <t xml:space="preserve">(27): F= Número de postes de referenciación </t>
    </r>
    <r>
      <rPr>
        <b/>
        <sz val="8"/>
        <rFont val="Arial"/>
        <family val="2"/>
      </rPr>
      <t xml:space="preserve">faltantes </t>
    </r>
    <r>
      <rPr>
        <sz val="8"/>
        <rFont val="Arial"/>
        <family val="2"/>
      </rPr>
      <t>(sin incluir los que se encuentran en regular y en mal estado).</t>
    </r>
  </si>
  <si>
    <r>
      <t xml:space="preserve">(28): Metros lineales de defensa metálica que se encuentran en </t>
    </r>
    <r>
      <rPr>
        <b/>
        <sz val="8"/>
        <rFont val="Arial"/>
        <family val="2"/>
      </rPr>
      <t xml:space="preserve">buen estado. </t>
    </r>
  </si>
  <si>
    <r>
      <t xml:space="preserve">(29): Metros lineales de defensa metálica que se encuentran en </t>
    </r>
    <r>
      <rPr>
        <b/>
        <sz val="8"/>
        <rFont val="Arial"/>
        <family val="2"/>
      </rPr>
      <t xml:space="preserve">regular estado. </t>
    </r>
    <r>
      <rPr>
        <sz val="8"/>
        <rFont val="Arial"/>
        <family val="2"/>
      </rPr>
      <t>Se deben incluir aquellos que por su estado sean susceptibles de incluir en programas de recuperación y/o mantenimiento.</t>
    </r>
  </si>
  <si>
    <r>
      <t xml:space="preserve">(30): Metros lineales de defensa metálica que se encuentran en </t>
    </r>
    <r>
      <rPr>
        <b/>
        <sz val="8"/>
        <rFont val="Arial"/>
        <family val="2"/>
      </rPr>
      <t xml:space="preserve">mal estado, </t>
    </r>
    <r>
      <rPr>
        <sz val="8"/>
        <rFont val="Arial"/>
        <family val="2"/>
      </rPr>
      <t>que no presten ningún tipo de seguridad al usuario y que por su estado no sean</t>
    </r>
    <r>
      <rPr>
        <b/>
        <sz val="8"/>
        <rFont val="Arial"/>
        <family val="2"/>
      </rPr>
      <t xml:space="preserve"> </t>
    </r>
    <r>
      <rPr>
        <sz val="8"/>
        <rFont val="Arial"/>
        <family val="2"/>
      </rPr>
      <t xml:space="preserve">susceptibles de incluir en programas </t>
    </r>
  </si>
  <si>
    <t>de recuperación y/o mantenimiento.</t>
  </si>
  <si>
    <r>
      <t xml:space="preserve">(31): Metros lineales de defensas metálica </t>
    </r>
    <r>
      <rPr>
        <b/>
        <sz val="8"/>
        <rFont val="Arial"/>
        <family val="2"/>
      </rPr>
      <t xml:space="preserve">faltantes </t>
    </r>
    <r>
      <rPr>
        <sz val="8"/>
        <rFont val="Arial"/>
        <family val="2"/>
      </rPr>
      <t>que se requieren y que no han sido instalados (sin incluir los que se encuentran en regular y en mal estado).</t>
    </r>
  </si>
  <si>
    <t>CUADRO No.16</t>
  </si>
  <si>
    <t>ESTADO DE LA SEÑALIZACION HORIZONTAL Y SEÑALIZACION HORIZONTAL FALTANTE.</t>
  </si>
  <si>
    <t>LINEAS DE DEMARCACIÓN CON PINTURA ACRÍLICA</t>
  </si>
  <si>
    <t>LINEAS DE DEMARCACIÓN CON RESINAS TERMOPLÁSTICAS</t>
  </si>
  <si>
    <t>MARCAS VIALES</t>
  </si>
  <si>
    <t>TACHAS REFLECTIVAS</t>
  </si>
  <si>
    <t>INST</t>
  </si>
  <si>
    <t>m2</t>
  </si>
  <si>
    <t>m3</t>
  </si>
  <si>
    <t>m4</t>
  </si>
  <si>
    <t>m5</t>
  </si>
  <si>
    <t>und</t>
  </si>
  <si>
    <r>
      <t xml:space="preserve">(4), (8): B= ml. de pintura acrílica o termoplástica que se encuentran en </t>
    </r>
    <r>
      <rPr>
        <b/>
        <sz val="10"/>
        <rFont val="Arial"/>
      </rPr>
      <t xml:space="preserve">buen estado </t>
    </r>
    <r>
      <rPr>
        <sz val="10"/>
        <rFont val="Arial"/>
      </rPr>
      <t>en cuanto a definición de líneas de demarcación y reflectividad</t>
    </r>
  </si>
  <si>
    <r>
      <t xml:space="preserve">(5), (9): R= Metros lineales pintura acrílica o termoplástica que se encuentran en </t>
    </r>
    <r>
      <rPr>
        <b/>
        <sz val="10"/>
        <rFont val="Arial"/>
      </rPr>
      <t xml:space="preserve">regular estado por no presentar buena </t>
    </r>
    <r>
      <rPr>
        <sz val="10"/>
        <rFont val="Arial"/>
      </rPr>
      <t>definición</t>
    </r>
  </si>
  <si>
    <t>de líneas de demarcación o de reflectividad.</t>
  </si>
  <si>
    <r>
      <t xml:space="preserve">(6), (10): M= Metros lineales de pintura acrílica o termoplástica que se encuentran en </t>
    </r>
    <r>
      <rPr>
        <b/>
        <sz val="10"/>
        <rFont val="Arial"/>
      </rPr>
      <t xml:space="preserve">mal estado </t>
    </r>
    <r>
      <rPr>
        <sz val="10"/>
        <rFont val="Arial"/>
        <family val="2"/>
      </rPr>
      <t>por no brindar ningún tipo de</t>
    </r>
  </si>
  <si>
    <t>servicio al usuario ante la falta de definición en la línea de demarcación y en la reflectividad.</t>
  </si>
  <si>
    <t>(7), (11): F= Metros lineales de pintura acrílica y termoplástica faltante.</t>
  </si>
  <si>
    <r>
      <t xml:space="preserve">(12): B= Metros cuadrados de marcas viales que se encuentran en </t>
    </r>
    <r>
      <rPr>
        <b/>
        <sz val="10"/>
        <rFont val="Arial"/>
      </rPr>
      <t xml:space="preserve">buen estado </t>
    </r>
    <r>
      <rPr>
        <sz val="10"/>
        <rFont val="Arial"/>
      </rPr>
      <t>en cuanto a definición y reflectividad.</t>
    </r>
  </si>
  <si>
    <r>
      <t xml:space="preserve">(13): R= Metros cuadrados de marcas viales que se encuentran en </t>
    </r>
    <r>
      <rPr>
        <b/>
        <sz val="10"/>
        <rFont val="Arial"/>
      </rPr>
      <t xml:space="preserve">regular estado </t>
    </r>
    <r>
      <rPr>
        <sz val="10"/>
        <rFont val="Arial"/>
      </rPr>
      <t>en cuanto a definición y reflectividad.</t>
    </r>
  </si>
  <si>
    <r>
      <t xml:space="preserve">(14): M= Metros cuadrados de marcas viales que se encuentran en </t>
    </r>
    <r>
      <rPr>
        <b/>
        <sz val="10"/>
        <rFont val="Arial"/>
      </rPr>
      <t xml:space="preserve">mal estado </t>
    </r>
    <r>
      <rPr>
        <sz val="10"/>
        <rFont val="Arial"/>
      </rPr>
      <t>en cuanto a definición y reflectividad.</t>
    </r>
  </si>
  <si>
    <t>(15): F= Metros cuadrados de marcas viales faltantes.</t>
  </si>
  <si>
    <t>(16): Número de Tachas reflectivas instaladas.</t>
  </si>
  <si>
    <t>(17): Número de Tachas reflectivas faltantes.</t>
  </si>
  <si>
    <t>CUADRO No. 17</t>
  </si>
  <si>
    <t>INFORME DE ACCIDENTALIDAD  MES JUNIO - JULIO 2020</t>
  </si>
  <si>
    <t>HORA</t>
  </si>
  <si>
    <t>HERIDOS</t>
  </si>
  <si>
    <t>MUERTOS</t>
  </si>
  <si>
    <t>CLASE DE ACCIDENTE</t>
  </si>
  <si>
    <t>CAUSAS APARENTES O PROBABLES</t>
  </si>
  <si>
    <t>TIPO DE VEHICULO</t>
  </si>
  <si>
    <t>LA UNIÓN- SONSÓN</t>
  </si>
  <si>
    <t>5601</t>
  </si>
  <si>
    <t>55-0050</t>
  </si>
  <si>
    <t>OTRO</t>
  </si>
  <si>
    <t>NO DETERMINADA</t>
  </si>
  <si>
    <t>CAMIÓN</t>
  </si>
  <si>
    <t>94+0800</t>
  </si>
  <si>
    <t>CHOQUE</t>
  </si>
  <si>
    <t>SALIRSE DE LA VÍA</t>
  </si>
  <si>
    <t>CAMIÓN-CAMIÓN</t>
  </si>
  <si>
    <t>100+0689</t>
  </si>
  <si>
    <t>NO CAMBIAR LUCES</t>
  </si>
  <si>
    <t>CAMPERO-CAMPERO</t>
  </si>
  <si>
    <t>100+800</t>
  </si>
  <si>
    <t>CAIDA DEL OCUPANTE</t>
  </si>
  <si>
    <t>FALLAS EN LAS LLANTAS</t>
  </si>
  <si>
    <t>MOTOCICLETA</t>
  </si>
  <si>
    <t>49+854</t>
  </si>
  <si>
    <t>ATROPELLO</t>
  </si>
  <si>
    <t>TRANSITAR DISTANTE DE LA ORILLA DE LA CALZADA</t>
  </si>
  <si>
    <t>CLASE DE ACCIDENTE: Choque,volcamiento, salida de la vía, etc.</t>
  </si>
  <si>
    <t xml:space="preserve">CAUSA: </t>
  </si>
  <si>
    <t>Exceso de velocidad, embriaguez, superficie de la vía, hueco, etc.</t>
  </si>
  <si>
    <t xml:space="preserve">TIPO DE VEHICULO: </t>
  </si>
  <si>
    <t>Motocicleta, automóvil, camión, bus, etc.</t>
  </si>
  <si>
    <t>CUADRO No. 18</t>
  </si>
  <si>
    <t>RESUMEN DE ACTIVIDADES PARA EL BUEN USO Y DEFENSA DE LAS VIAS</t>
  </si>
  <si>
    <t>PERIODO</t>
  </si>
  <si>
    <t>VALLAS INVENTARIADAS</t>
  </si>
  <si>
    <t>VALLAS RETIRADAS</t>
  </si>
  <si>
    <t>AVISOS INVENTARIADOS</t>
  </si>
  <si>
    <t>AVISOS RETIRADOS</t>
  </si>
  <si>
    <t>CORRIMIENTO CERCAS (ml)</t>
  </si>
  <si>
    <t>EMPRADIZACION (M2)</t>
  </si>
  <si>
    <t>ERRADICACION BASUREROS (No.)</t>
  </si>
  <si>
    <t>ARBORIZACION</t>
  </si>
  <si>
    <t>ENERO</t>
  </si>
  <si>
    <t>0</t>
  </si>
  <si>
    <t>FEBRERO</t>
  </si>
  <si>
    <t>MARZO</t>
  </si>
  <si>
    <t>ABRIL</t>
  </si>
  <si>
    <t>MAYO</t>
  </si>
  <si>
    <t>JUNIO</t>
  </si>
  <si>
    <t>ACUMULADO</t>
  </si>
  <si>
    <r>
      <t>ADMINISTRACION VIAL  GRUPO__</t>
    </r>
    <r>
      <rPr>
        <b/>
        <u/>
        <sz val="18"/>
        <color indexed="8"/>
        <rFont val="Arial"/>
        <family val="2"/>
      </rPr>
      <t>02</t>
    </r>
    <r>
      <rPr>
        <b/>
        <sz val="18"/>
        <color indexed="8"/>
        <rFont val="Arial"/>
        <family val="2"/>
      </rPr>
      <t>__   TERRITORIAL___</t>
    </r>
    <r>
      <rPr>
        <b/>
        <u/>
        <sz val="18"/>
        <color indexed="8"/>
        <rFont val="Arial"/>
        <family val="2"/>
      </rPr>
      <t>ANTIOQUIA</t>
    </r>
    <r>
      <rPr>
        <b/>
        <sz val="18"/>
        <color indexed="8"/>
        <rFont val="Arial"/>
        <family val="2"/>
      </rPr>
      <t>__________</t>
    </r>
  </si>
  <si>
    <t>CUADRO No. 19</t>
  </si>
  <si>
    <t>SEGUIMIENTO DE FUNCIONES TECNICAS  Y ADMINISTRATIVAS 2020-2022</t>
  </si>
  <si>
    <t>ACTIVIDAD</t>
  </si>
  <si>
    <t>Ene</t>
  </si>
  <si>
    <t>Feb</t>
  </si>
  <si>
    <t>Mar</t>
  </si>
  <si>
    <t>Abr</t>
  </si>
  <si>
    <t>May</t>
  </si>
  <si>
    <t>Jun</t>
  </si>
  <si>
    <t>Jul</t>
  </si>
  <si>
    <t>Ago</t>
  </si>
  <si>
    <t>Sep</t>
  </si>
  <si>
    <t>Oct</t>
  </si>
  <si>
    <t>Nov</t>
  </si>
  <si>
    <t>Dic</t>
  </si>
  <si>
    <t>Participar activamente en la prevención de riesgos y atención de las emergencias que se presenten en las vías-Elaborar directorio de emergencias</t>
  </si>
  <si>
    <t>Alertar oportunamente al INVÍAS sobre la necesidad de diseñar y construir   obras especiales para la mitigación de la inestabilidad en sitios críticos</t>
  </si>
  <si>
    <t>Informar  oportunamente al INVIAS sobre la necesidad de  diseñar obras y adelantar acciones en relación con el entorno de la vía, encaminadas a su ornato, a la preservación del medio ambiente y a la contaminación visual</t>
  </si>
  <si>
    <t>Planear, organizar, dirigir, coordinar, evaluar  y controlar las actividades de los trabajadores de mantenimiento rutinario encargados del mantenimiento rutinario de las carreteras que se le asignen y ejercer su interventoría</t>
  </si>
  <si>
    <t>Actualizar  los costos de mantenimiento vial (Análisis de Precios Unitarios – APU) y suministrar la información requerida para los sistemas de administración de carreteras que utiliza  INVÍAS</t>
  </si>
  <si>
    <t>Mantener actualizado el sistema de referenciación vial, con base en la información que le suministre  INVÍAS y reponer los postes de referencia que hagan falta en las vías a su cargo y realizar visitas técnicas de auscultación para el diagnóstico del estado general de las obras ejecutadas mediante contratos y que tienen  póliza de estabilidad vigente, según relación de contratos y programación que les será entregada por INVIAS</t>
  </si>
  <si>
    <t>Inspeccionar los puentes de manera rutinaria, dirigir y verificar su mantenimiento rutinario y periódico</t>
  </si>
  <si>
    <t>Capacitar cada mes a los trabajadores de mantenimiento rutinario a  su  cargo,   en  los  temas  relacionados  con  el  mantenimiento rutinario de carreteras,  de puentes,  aspectos administrativos y de economía solidaria</t>
  </si>
  <si>
    <t>Participar en las reuniones de coordinación con la Dirección Territorial, evaluaciones y programas de transferencia de tecnología  que INVÍAS programe para los ingenieros de la administración vial, en diferentes sitios del país</t>
  </si>
  <si>
    <t>Evaluar con criterio de transitabilidad (visual) el estado de la  red vial a su cargo con la metodología suministrada por el INVIAS</t>
  </si>
  <si>
    <t>Apoyar la GESTION de la Territorial en los contratos que ejecute el INVÍAS en sectores de carreteras a su cargo</t>
  </si>
  <si>
    <t xml:space="preserve">Establecer las necesidades de las vías y puentes en materia de señalización  vertical y horizontal, llevar un inventario de necesidades de señalización </t>
  </si>
  <si>
    <t>Recolección, digitación y reporte de la información relacionada con la accidentalidad ocurrida en los tramos de carreteras, así como la realización de  estudios y presentación de recomendaciones técnicas encaminadas al mejoramiento  de la seguridad vial</t>
  </si>
  <si>
    <t>Proporcionar datos para el cálculo del patrimonio de las vías objeto del contrato</t>
  </si>
  <si>
    <t>( ! )</t>
  </si>
  <si>
    <t>Velar por el cumplimiento de la reglamentación referente al buen uso y defensa de las vías y gestionar acciones que brinden servicios a los usuarios de las carreteras en coordinación con las Territoriales y las autoridades locales competentes</t>
  </si>
  <si>
    <t>Supervisar la elaboración de los conteos manuales de tránsito, revisar la información de campo que se enviará a planta central para su procesamiento y verificar los operativos de control de carga</t>
  </si>
  <si>
    <t xml:space="preserve">Llevar a efecto la toma de información y/ó ajustes de la vía a su cargo con un equipo de GPS </t>
  </si>
  <si>
    <t>Realizar estimativos sobre la vida residual de los pavimentos de los sectores a su cargo</t>
  </si>
  <si>
    <t>Evaluar con criterio técnico el estado de la red vial semestralmente con la metodología suministrada por el INVIAS</t>
  </si>
  <si>
    <t>Realizar la Interventoría de las obras que le sean asignadas, siguiendo las actividades contenidas en el Manual de Interventoría adoptado mediante Resolución Nº  9337 del 30 de diciembre de 2016 ó el que esté vigente</t>
  </si>
  <si>
    <t>Colaborar en la toma de la georreferenciación desarrollada por el INVIAS para la actualización del mapa digital de la red vial y mantener al día la información del inventario vial, a través del Sistema de Información Geográfico - HERMES - del  INVIAS</t>
  </si>
  <si>
    <t>Efectuar estudios tendientes a solucionar problemas de inestabilidad en las vías a su cargo, cuando se lo requiera el INVIAS y su costo se encuentre dentro del presupuesto de su propuesta</t>
  </si>
  <si>
    <t>Participar activamente en la etapa de transición e implementación del Sistema de Información Vial - HERMES, realizando de manera permanente el cargue, actualización, mantenimiento y demás actividades derivadas de la información del inventario vial, eventos de emergencias, accidentalidad y estado de la superficie (criterio técnico), dispuesta a través del Sistema de Información Vial - HERMES, con usuario y contraseña asignado por la administración del Sistema</t>
  </si>
  <si>
    <t>Ejecutar obras menores preventivas y de mantenimiento rutinario, con mano de obra de los trabajadores de mantenimiento rutinario, aprobadas por la Dirección Territorial, quien suministrará los recursos necesarios y disponibles</t>
  </si>
  <si>
    <t>Recolección, digitación y reporte de la información relacionada con el atropellamiento de fauna ocurrida en los tramos de carreteras, así como la realización de estudios preliminares y presentación de recomendaciones técnicas encaminadas al establecimiento de pasos de fauna, de acuerdo con la metodología planteada por el INVIAS</t>
  </si>
  <si>
    <t xml:space="preserve">Prestar apoyo al programa de gestión de infraestructura que adelante el INVIAS. En coordinación con la Subdirección de Estudios e Innovación y la Dirección Territorial, el Administrador Vial deberá apoyar todas las labores que correspondan a los contratos y convenios que ejecute INVIAS, para el desarrollo del programa de gestión de infraestructura en las vías a su cargo, e igualmente apoyará en el levantamiento de la información respectiva de acuerdo a la metodología suministrada por INVIAS </t>
  </si>
  <si>
    <t xml:space="preserve">Anticipadamente se informará la fecha de realización de esta actividad. </t>
  </si>
  <si>
    <t>CUADRO No. 20</t>
  </si>
  <si>
    <t>FICHA CUANTITATIVA  DE LOS ADMINISTRADORES VIALES</t>
  </si>
  <si>
    <t>GRUPO</t>
  </si>
  <si>
    <t>ADMINISTRADOR</t>
  </si>
  <si>
    <t>CTO No.</t>
  </si>
  <si>
    <t>Vr. CONTRATO</t>
  </si>
  <si>
    <t xml:space="preserve">FECHA </t>
  </si>
  <si>
    <t>KMS A</t>
  </si>
  <si>
    <t>VEHICULOS</t>
  </si>
  <si>
    <t>VIAL</t>
  </si>
  <si>
    <t>INICIACION</t>
  </si>
  <si>
    <t>TERMINACION</t>
  </si>
  <si>
    <t>ATENDER</t>
  </si>
  <si>
    <t>PLACA</t>
  </si>
  <si>
    <t>CLASE</t>
  </si>
  <si>
    <t>MODELO</t>
  </si>
  <si>
    <t>2461 - 2019</t>
  </si>
  <si>
    <t>HSU 735</t>
  </si>
  <si>
    <t>CAMPERO</t>
  </si>
  <si>
    <t>NOTA: Relacionar contrato principal y adicionales.</t>
  </si>
  <si>
    <t>CUADRO No. 21</t>
  </si>
  <si>
    <t>FICHA CUALITATIVA DE LOS ADMINISTRADORES VIALES</t>
  </si>
  <si>
    <t>NIT Ó</t>
  </si>
  <si>
    <t>REPRESENTANTE</t>
  </si>
  <si>
    <t>INGENIERO</t>
  </si>
  <si>
    <t>DIRECCION</t>
  </si>
  <si>
    <t>C.C.</t>
  </si>
  <si>
    <t>LEGAL</t>
  </si>
  <si>
    <t>RESIDENTE</t>
  </si>
  <si>
    <t>AUXILIAR</t>
  </si>
  <si>
    <t>OFICINA</t>
  </si>
  <si>
    <t>830.068.724-8</t>
  </si>
  <si>
    <t>KERLY GIOVANNA CUELLAR OBREGÓN</t>
  </si>
  <si>
    <t>Calle 7 No 10 - 46, La Unión Antioquia</t>
  </si>
  <si>
    <t xml:space="preserve">CORREO </t>
  </si>
  <si>
    <t>TELEFONOS</t>
  </si>
  <si>
    <t>SECTOR A CARGO</t>
  </si>
  <si>
    <t>PR i</t>
  </si>
  <si>
    <t>PR f</t>
  </si>
  <si>
    <t>ELECTRONICO</t>
  </si>
  <si>
    <t>RES</t>
  </si>
  <si>
    <t>OFIC.</t>
  </si>
  <si>
    <t>CELULAR</t>
  </si>
  <si>
    <t>4-556 22 90</t>
  </si>
  <si>
    <t>La Unión - La Frontera - Sonsón, Ruta 5601</t>
  </si>
  <si>
    <t>CUADRO No. 22</t>
  </si>
  <si>
    <t>FICHA CUANTITATIVA CONTRATISTA MANTENIMIENTO RUTINARIO</t>
  </si>
  <si>
    <t>DIRECCION TERRITORIAL:</t>
  </si>
  <si>
    <t>NOMBRE</t>
  </si>
  <si>
    <t>TIPO DE TERRENO</t>
  </si>
  <si>
    <t xml:space="preserve">TOTAL </t>
  </si>
  <si>
    <t xml:space="preserve">VALOR </t>
  </si>
  <si>
    <t>VALOR TOTAL</t>
  </si>
  <si>
    <t>No. CTO</t>
  </si>
  <si>
    <t>VIGENCIA CONTRATO</t>
  </si>
  <si>
    <t>CONTRATISTA MR</t>
  </si>
  <si>
    <t>I</t>
  </si>
  <si>
    <t>II</t>
  </si>
  <si>
    <t>III</t>
  </si>
  <si>
    <t>IV</t>
  </si>
  <si>
    <t>(KMS)</t>
  </si>
  <si>
    <t>CONTRATO</t>
  </si>
  <si>
    <t>CONTRATOS</t>
  </si>
  <si>
    <t>SOCIOS</t>
  </si>
  <si>
    <t>Ppal y adic</t>
  </si>
  <si>
    <t xml:space="preserve">INICIO </t>
  </si>
  <si>
    <t>Vias de Oriente S.A.S</t>
  </si>
  <si>
    <t>2196-2019</t>
  </si>
  <si>
    <t>CUADRO No. 23</t>
  </si>
  <si>
    <t>FICHA CUALITATIVA CONTRATISTA MANTENIMIENTO RUTINARIO</t>
  </si>
  <si>
    <t xml:space="preserve">REPRESENTANTE </t>
  </si>
  <si>
    <t>NIT ó</t>
  </si>
  <si>
    <t>TELEFONO</t>
  </si>
  <si>
    <t xml:space="preserve">CODIGO </t>
  </si>
  <si>
    <t>ABSCISA</t>
  </si>
  <si>
    <t xml:space="preserve">ADMINISTRADOR </t>
  </si>
  <si>
    <t>y/ó CELULAR</t>
  </si>
  <si>
    <t>DE LA VIA</t>
  </si>
  <si>
    <t>PR I</t>
  </si>
  <si>
    <t>PR F</t>
  </si>
  <si>
    <t>LUIS JOSE OSORIO BUITRAGO</t>
  </si>
  <si>
    <t>900.470.729-0</t>
  </si>
  <si>
    <t>Calle 12 No 13-60. La Union - Antioquia</t>
  </si>
  <si>
    <t>314 614 55 64</t>
  </si>
  <si>
    <t>La Union - La Frontera - Sonsón</t>
  </si>
  <si>
    <t>CUADRO No. 24</t>
  </si>
  <si>
    <t>INFORMACIÓN DE INTERVENTORIAS A CONTRATOS DE OBRA</t>
  </si>
  <si>
    <t>No. CONTRATO PRINCIPAL</t>
  </si>
  <si>
    <t>OBJETO</t>
  </si>
  <si>
    <t>CONTRATISTA</t>
  </si>
  <si>
    <t>PLAZO</t>
  </si>
  <si>
    <t>FECHA INICIO</t>
  </si>
  <si>
    <t>FECHA FINALIZACIÓN</t>
  </si>
  <si>
    <t>VALOR CONTRATO $</t>
  </si>
  <si>
    <t>INICIAL</t>
  </si>
  <si>
    <t>ADICIONAL</t>
  </si>
  <si>
    <t>FINAL</t>
  </si>
  <si>
    <t>BASICO</t>
  </si>
  <si>
    <t>IVA</t>
  </si>
  <si>
    <t>NO SE REALIZARON EN ESTE TRIMESTRE NINGUN CONTRATO EN EL TRAMO</t>
  </si>
  <si>
    <t>NOTA: Reportar la información de los contratos de obra a los cuales les efectúa interventoría, diferentes a los de mantenimiento rutinario con microempresas.</t>
  </si>
  <si>
    <t>RESEÑA 1 -  FOTOGRAFICA</t>
  </si>
  <si>
    <t>TRIMESTRE EVALUADO: JULIO - SEPTIEMBRE / 2020</t>
  </si>
  <si>
    <t>LA UNION - SONSÓN. MUNICIPIO DE ABEJORRAL. PR79+0950. CIERRE TOTAL DE LA VIA POR DERRUMBE, ATENCION A LA EMERGENCIA</t>
  </si>
  <si>
    <t>LA UNION - SONSÓN. MUNICIPIO DE LA UNION. PR67+0600. EMERGENCIA POR PERDIDA DE SOPORTE DE LA BANCA. SITIO CRITICO</t>
  </si>
  <si>
    <t>LA UNION - SONSÓN. MUNICIPIO DE ABEJORRAL . PR72+0900. EROSION POR FUERTES LLUVIAS, TRABAJOS DE MITIGACION POR PARTE DE LA MICROEMPRESA</t>
  </si>
  <si>
    <t>LA UNION - SONSÓN. PR49+0000 AL PR103+0000. MUNICIPIO DE LA UNION. PR63+0260. TRABAJOS DE MITIGACION Y ANILLADA DE ALCANTARILLADO.</t>
  </si>
  <si>
    <t>LA UNION - SONSÓN. PR49+0000 AL PR103+0000. MUNICIPIO DE LA UNION. PR59+0260. ACENTAMIENTO DE MURO Y EROSION DE SOPORTE DE CALZADA, MULTIPLES GRIETAS, SITIO CRITICO</t>
  </si>
  <si>
    <t>LA UNION - SONSÓN. PR49+0000 AL PR103+0000. ROCERIA Y DESMONTE MANUAL A LO LARGO DEL TRAMO</t>
  </si>
  <si>
    <t>LA UNION - SONSÓN. MUNICIPIO DE ABEJORRAL . PR72+0900. MITIGACION TERMINADA POR PARTE DE LA MICROEMPRESA.</t>
  </si>
  <si>
    <t>LA UNION - SONSÓN. PR49+0000 AL PR103+0000. MUNICIPIO DE SONSÓN. PR83+0020. EROSION SEVERA PUENTE CARTAGENA.</t>
  </si>
  <si>
    <t>LA UNION - SONSÓN. PR49+0000 AL PR103+0000. MUNICIPIO DE SONSON. PR94+0260. EROSION DE DESCOLE Y SELLAMIENTO DE GRIETAS.</t>
  </si>
  <si>
    <t>LA UNION - SONSÓN. PR49+0000 AL PR103+0000. LIMPIEZA DE ALCANTARILLAS, ENCOLES Y DESCOLES A LO LARGO DEL TRAMO.</t>
  </si>
  <si>
    <t>LA UNION - SONSÓN. PR49+0000 AL PR103+0000. DESPEJE DE SEÑALES A LO LARGO DEL TRAMO.</t>
  </si>
  <si>
    <t>LA UNION - SONSÓN. MUNICIPIO DE LA UNION-ABEJORRAL. PR52+0400 AL 82+0300. RETIRO DE MULTIPLES Y ATENCION DE EMERGENCIA</t>
  </si>
  <si>
    <t>LA UNION - SONSÓN. PR70+0000 AL PR101+000. BACHEO CON FRESADO A LO LARGO DEL TRAMO.</t>
  </si>
  <si>
    <t>LA UNION - SONSÓN. MUNICIPIO DE ABEJORRAL . PR72+0900. EROSION POR FUERTES LLUVIAS, CUNETA EN EL AIRE</t>
  </si>
  <si>
    <t>LA UNION - SONSÓN. PR49+0000 AL PR103+0000. MUNICIPIO DE LA UNION. PR54+0300. TRABAJOS DE MITIGACION Y SELLAMIENTO DE GRIETAS POR PARTE DE LA MICROEMPRESA</t>
  </si>
  <si>
    <t>LA UNION - SONSÓN. PR49+0000 AL PR103+0000. MUNICIPIO DE LA UNION. INMUNIZADA DE ESTACONES CON VARETA PARA CONSTRUCCION DE TRINCHOS</t>
  </si>
  <si>
    <t>LA UNION - SONSÓN. PR49+0000 AL PR103+0000. LIMPIEZA DE CUÑAS Y CUNETAS A LO LARGO DEL TRAMO</t>
  </si>
  <si>
    <t>NOTA: Todas las fotografías deben estar identificadas arriba o abajo, indicando la vía, el sector, el PR,</t>
  </si>
  <si>
    <t xml:space="preserve">             la fecha impresa con el fechador de la cámara y la descripción de lo que se quiere resaltar.</t>
  </si>
  <si>
    <t>CUANDO SE REALICEN PARCHEOS SE TOMARAN FOTOS DEL ANTES Y DEL DESPUES</t>
  </si>
  <si>
    <t>RESEÑA 2 - DE PRENSA</t>
  </si>
  <si>
    <t>1. MINUTO 30. 01 DE JULIO DE 2020</t>
  </si>
  <si>
    <t>2. PUBLICACION DEL INVIAS. 01 DE JULIO DE 2020</t>
  </si>
  <si>
    <t>3. MI ORIENTE. 01 DE JULIO DE 2020</t>
  </si>
  <si>
    <t>NOTA: Todos los artículos deben estar identificados, idicando la fecha de la publicación y medio periodístico</t>
  </si>
  <si>
    <t>Y SOLO AQUELLOS ARTICULOS  QUE TRATEN DE LAS CARRETERAS A SU CARGO</t>
  </si>
  <si>
    <t>COMENTARIOS GENERALES</t>
  </si>
  <si>
    <t>1. La carretera a cargo de la administración de mantenimiento vial se encuentra en zona montañosa, inicia en el PR49+0000 ubicado en la entrada al casco urbano del municipio de la unión, aproximadamente a 2500 metros sobre el nivel del mar y finaliza en el PR103+0000 entrada al casco urbano del municipio de Sonsón, aproximadamente a 2500 metros sobre el nivel del mar.  La administración vial está a cargo de ARA INGENIERIA S.A.S., contrato Nº 2461 de 2019, fecha de inicio 01 de enero de 2019 y terminación el 31 de julio de 2022, valor $1.276.845.362.00</t>
  </si>
  <si>
    <t>4. Se programaron semanalmente, coordinaron y evaluaron las actividades desarrolladas por la microempresa a cargo de la vía para su mantenimiento rutinario.  El contrato se viene ejecutando con normalidad, priorizando para este período la remoción de cuñas, limpieza de calzada, limpieza de cunetas y rocería. Se realizó trabajos de reparacion con concreto ciclopeo en el Pr72+0900, 54+0300, 59+0260, 94+0290, 63+0260, 85+0300, donde se presentó una erosion, pandeando levemente el muro daño de alcantarillas. El contrato principal No. 2196 de 2019 con fecha de terminación del contrato es el día 31 de julio de 2022.</t>
  </si>
  <si>
    <t>LA CARRETERA A CARGO DE LA ADMINISTRACIÓN DE MANTENIMIENTO VIAL SE ENCUENTRA EN ZONA MONTAÑOSA, INICIA EN EL PR 49+0000 UBICADO EN LA ENTRADA AL CASCO URBANO DEL MUNICIPIO DE LA UNIÓN, APROXIMADAMENTE A 2500 METROS SOBRE EL NIVEL DEL MAR Y FINALIZA EN EL PR 103+000 ENTRADA AL CASCO URBANO DEL MUNICIPIO DE SONSÓN, APROXIMADAMENTE A 2500 METROS SOBRE EL NIVEL DEL MAR.  LA ADMINISTRACIÓN VIAL ESTÁ A CARGO DEL CONSORCIO ADMINISTRADORES CB, CONTRATO Nº 1107 DE 2019, FECHA DE INICIO 10 DE JUNIO DE 2019 Y TERMINACIÓN EL 09 DE DICIEMBRE DE 2019, VALOR $ 213.506.706,00</t>
  </si>
  <si>
    <t>SE RECOLECTÓ, DIGITÓ Y REPORTÓ LA INFORMACIÓN RELACIONADA CON LA ACCIDENTALIDAD DE LOS MESES DE JUNIO, JULIO, AGOSTO Y SEPTIEMBRE DE 2019, SEGÚN METODOLOGÍA INDICADA.  DURANTE EL PERÍODO EVALUADO NO SE PRESENTARON ACCIDENTES CON VICTIMAS MORTALES.</t>
  </si>
  <si>
    <t>LA VÍA SE ENCUENTRA PAVIMENTADA DE ESTÁ MANERA: PAVIMENTO EN CONCRETO ASFÁLTICO DESDE EL PR 49+0000 AL PR 49+0885 PASO NACIONAL POR MUNICIPIO DE LA UNIÓN, PAVIMENTO EN CONCRETO HIDRÁULICO DESDE EL PR 49+0885  HASTA EL PR 68+0613, PAVIMENTO EN CONCRETO ASFÁLTICO DESDE EL PR 68+0613 AL PR 71+0323, PAVIMENTO EN CONCRETO HIDRÁULICO DESDE EL PR 71+0323 AL PR 72+0720 Y PAVIMENTO EN CONCRETO ASFÁLTICO DESDE EL PR 72+0720 HASTA EL PR 103+0000 FINAL DE TRAMO A CARGO DE LA ADMINISTRACIÓN VIAL EN LA ENTRADA AL MUNICIPIO DE SONSÓN.  LAS LLUVIAS DURANTE EL TRIMESTRE EVALUADO Y EL PASO DE VEHÍCULOS PESADOS (VOLQUETAS DOBLETROQUE) CONTINÚAN ACELERANDO EL DETERIORO ENTRE EL PR69+0600 Y PR71+0323 Y ENTRE LOS PR85+0130 Y PR103+000.   EL PR85+000, LUGAR DONDE SE INSTALÓ GEOMANTO PERMANENTE Y SE CONSTRUYÓ MURO EN GAVIONES DE PATA SE ENCUENTRA ESTABLE.  EL PR85+660; SITIO CRÍTICO POR ASENTAMIENTO EN LA BANCA, SE MANTIENEN ESTABLE Y RENIVELADOS.  EL SECTOR ENTRE PR´S 91+840 Y 92+020,  (ASENTAMIENTO DE TODA LA BANCA POR UN MOVIMIENTO LENTO MASIVO)  CONTINÚA SU EVOLUCIÓN DE FORMA LENTA, SE OBSERVA ASENTAMIENTO LEVE DE LAS ZONAS RENIVELADAS, LOS DISPOSITIVOS DE SEÑALIZACIÓN USADOS PARA DISMINUIR LA VELOCIDAD PERMANECEN EN BUEN ESTADO.  EN EL SECTOR ENTRE PR94+810 Y PR94+860, LUGAR DE ASENTAMIENTO QUE SE ENCONTRABA ESTABLE, CONTINÚA EL MOVIMIENTO DE FORMA LENTA Y EL ESCALONAMIENTO EN SECTORES DE ACCESO Y SALIDA DEL MOVIMIENTO ES MAS NOTORIO; HAY SEÑALIZACIÓN ADECUADA Y SE MONITOREA PERMANENTEMENTE.  LOS SECTORES CON PAVIMENTO RÍGIDO (PR49+0885 A PR72+0720), CONTINÚA EL AUMENTO EN GRIETAS, DESPRENDIMIENTOS Y ALGUNOS ASENTAMIENTOS.  LA DEMARCACIÓN DE LA VÍA CONTINUA SU DETERIORO Y SE REQUIERE CON URGENCIA LA ASIGNACIÓN DE RECURSOS SUFICIENTES PARA BRINDAR SEGURIDAD DE LOS USUARIOS EN ESTE ASPECTO Y LA DEFENSA DEL INVÍAS POR POSIBLES RECLAMACIONES.</t>
  </si>
  <si>
    <t>SE PROGRAMARON SEMANALMENTE, COORDINARON Y EVALUARON LAS ACTIVIDADES DESARROLLADAS POR LA MICROEMPRESA A CARGO DE LA VÍA PARA SU MANTENIMIENTO RUTINARIO.  EL CONTRATO SE  VIENE EJECUTANDO CON NORMALIDAD, PRIORIZANDO PARA ESTE PERÍODO LA REMOCIÓN DE CUÑAS, LIMPIEZA DE CALZADA Y ROCERÍA. EL CONTRATO PRINCIPAL No. 995 DE 2019 CON  FECHA DE TERMINACIÓN DEL CONTRATO ES EL DÍA 30 DE NOVIEMBRE DE 2019.</t>
  </si>
  <si>
    <t>SE REALIZA INTERVENTORÍA AL CONTRATO 1377 DE 2019, CUYO OBJETO "CONSTRUCCIÓN DE OBRAS Y SEÑALIZACIÓN PARA LA SEGURIDAD VIAL EN VÍAS A CARGO DEL INVÍAS EN LA DIRECCIÓN TERRITORIAL ANTIOQUIA" SE CONSTRUYERON ANDENES, COLOCACIÓN DE DEFENSAS Y Y MARCAS VIALES.</t>
  </si>
  <si>
    <t xml:space="preserve">SE DA ORDEN DE INICIO AL CONTRATO1704-2019SUMINISTRO DE MEZCLA ASFÁLTICA DENSA EN CALIENTE PARA LA VÍA 5601 LA UNIÓN - SONSÓN, SECTOR PR 49+0000 AL PR 103+0000, DEPARTAMENTO DE ANTIOQUIA. PERO NO SE INICIAN LOS TRABAJOS DE BACHEO EN ESTE PERÍODO.
</t>
  </si>
  <si>
    <t>2. Se recolectó, digitó y reportó la información relacionada con la accidentalidad de los meses de JUNIO Y JULIO de 2020, el mes de Agosto no se recopilo la información por la demora en las diligencias de la administraciones municipales. Durante el período evaluado no se presentaron accidentes con víctimas mortales.</t>
  </si>
  <si>
    <t xml:space="preserve">5. De acuendo a la la Circular Externa 003 Por medio de la cual se disponen las medidas adoptadas por el Instituto Nacional de Vías – INVIAS para el reconocimiento de los costos que se deriven de la implementación de los Protocolos de Bioseguridad en los contratos de Obra, Interventoría, Administración Vial, Microempresas, Convenios Interadministrativos y Consultoría durante la emergencia sanitaria decretada por el Gobierno Nacional y se dictan otras disposiciones del Covic 19. La microempresa Vias de Oriente se encuentra laborando todos sus trabajadores entre los respentando los distanciamientos sociales y las desinfecciones de trabajos y vehiculos, las tomas de temperaturas constantes.
</t>
  </si>
  <si>
    <t>3. La vía se encuentra pavimentada de esta manera: pavimento en concreto asfáltico desde el PR49+0000 al PR49+0885 paso nacional por municipio de La Unión, pavimento en concreto hidráulico desde el PR49+0885  hasta el PR68+0613, pavimento en concreto asfáltico desde el PR68+0613 al PR71+0323, pavimento en concreto hidráulico desde el PR71+0323 al PR72+0720 y pavimento en concreto asfáltico desde el PR72+0720 hasta el PR103+0000 final de tramo a cargo de la administración vial en la entrada al municipio de Sonsón.  Las lluvias durante el trimestre evaluado y el paso de vehículos pesados (volquetas dobletroque) continúan acelerando el deterioro entre el PR69+0600 y PR71+0323 y entre los PR85+0130 y PR103+0000, por lo que la microempresa ha estado realizando trabajos de bacheo con material de fresado y agregados con arena. En el Pr84+0950 se presento una leve erosion, la Administracion Vial y la Microempresa esta en constante monitoreo. El PR85+660; sitio crítico por asentamiento en la banca, se mantienen estable y renivelados.  El sector entre PR91+0840 y PR92+0020, (asentamiento de toda la banca por un movimiento lento masivo) continúa su evolución de forma lenta, se observa asentamiento leve de las zonas reniveladas y la formacion de baches, los dispositivos de señalización usados para disminuir la velocidad permanecen en buen estado. en el Pr94+0260, se esta presentando una erosion severa en el descole de alrededor de 100 m de m largo por lo que se ve una afectacion de grietas en la margen de la calzada y un cultivo, se mantiene en monitorio y se espera atencion del mismo en el Mes de Octubre de 2020.  En el sector entre PR94+0810 y PR94+0860, lugar de asentamiento que se encontraba estable, continúa el movimiento de forma lenta y el escalonamiento en sectores de acceso y salida del movimiento es más notorio; hay señalización adecuada y se monitorea permanentemente. En el Pr95+0860 se esta presentando una reactivacion del Sitio Critico, con un bache en el centro de la calzada, los microempresarios estan en constante relleno y se mantiene los monitoreos en el lugar. Los sectores con pavimento rígido (PR49+0885 a PR72+0720), continúa el aumento en grietas, desprendimientos y algunos asentamientos.  La demarcación horizontal de la vía continua su deterioro y se requiere con urgencia la asignación de recursos suficientes para brindar seguridad de los usuarios en este aspecto y la defensa del INVIAS por posibles reclamaciones.</t>
  </si>
  <si>
    <t>6. Por la temporada invernal de los meses de Julio, Agosto y mediado de Septiembre se presentaron varios daños en la severos en la calzada: PR59+0260, se presento asentamiento severo de muro, cunetas, grietas en disipador y alcantarillado, grietas en el la corona de talud y perdida de soporte de la banca; los microemprearios realizaron trabajos de mitigacion, captura de aguas y señalizacion. PR67+0660. Se presento daños severo de filtro, perdida de soporte de la banca, la microempresa realizaron trabajos de señalizacion del lugar.</t>
  </si>
  <si>
    <t>CAPACITACION TRABAJADORES DE MANTENIMIENTO RUTINARIO</t>
  </si>
  <si>
    <t>TRIMESTRE EVALUADO: JULIO-SEPTIEMBRE / 2020</t>
  </si>
  <si>
    <t>LISTADO DE ASISTENCIA</t>
  </si>
  <si>
    <t>REGISTRO FOTOGRÁFICO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</si>
</sst>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0\ &quot;€&quot;;[Red]\-#,##0\ &quot;€&quot;"/>
    <numFmt numFmtId="164" formatCode="_-&quot;$&quot;\ * #,##0.00_-;\-&quot;$&quot;\ * #,##0.00_-;_-&quot;$&quot;\ * &quot;-&quot;??_-;_-@_-"/>
    <numFmt numFmtId="165" formatCode="_(* #,##0.00_);_(* \(#,##0.00\);_(* &quot;-&quot;??_);_(@_)"/>
    <numFmt numFmtId="166" formatCode="&quot;$&quot;#,##0.00_);[Red]\(&quot;$&quot;#,##0.00\)"/>
    <numFmt numFmtId="167" formatCode="_(&quot;$&quot;* #,##0.00_);_(&quot;$&quot;* \(#,##0.00\);_(&quot;$&quot;* &quot;-&quot;??_);_(@_)"/>
    <numFmt numFmtId="168" formatCode="_(* #,##0_);_(* \(#,##0\);_(* &quot;-&quot;??_);_(@_)"/>
    <numFmt numFmtId="169" formatCode="0.0"/>
    <numFmt numFmtId="170" formatCode="0&quot; + 0&quot;000"/>
    <numFmt numFmtId="171" formatCode="0.000"/>
    <numFmt numFmtId="172" formatCode="0.0%"/>
    <numFmt numFmtId="173" formatCode="_(* #,##0.0_);_(* \(#,##0.0\);_(* &quot;-&quot;??_);_(@_)"/>
    <numFmt numFmtId="174" formatCode="&quot;$&quot;\ #,##0.00"/>
    <numFmt numFmtId="175" formatCode="_ * #,##0.00_ ;_ * \-#,##0.00_ ;_ * &quot;-&quot;??_ ;_ @_ "/>
    <numFmt numFmtId="176" formatCode="_ * #,##0_ ;_ * \-#,##0_ ;_ * &quot;-&quot;??_ ;_ @_ "/>
    <numFmt numFmtId="177" formatCode="[$$-240A]\ #,##0.00"/>
    <numFmt numFmtId="178" formatCode="&quot;$&quot;\ #,##0"/>
    <numFmt numFmtId="179" formatCode="[$$-500A]#,##0.00"/>
    <numFmt numFmtId="180" formatCode="#,##0.0"/>
  </numFmts>
  <fonts count="81">
    <font>
      <sz val="10"/>
      <name val="Arial"/>
    </font>
    <font>
      <b/>
      <sz val="10"/>
      <name val="Arial"/>
    </font>
    <font>
      <b/>
      <i/>
      <sz val="10"/>
      <name val="Arial"/>
    </font>
    <font>
      <sz val="10"/>
      <name val="Arial"/>
      <family val="2"/>
    </font>
    <font>
      <sz val="8"/>
      <name val="Arial"/>
      <family val="2"/>
    </font>
    <font>
      <sz val="8"/>
      <name val="Arial"/>
      <family val="2"/>
    </font>
    <font>
      <b/>
      <sz val="11"/>
      <name val="Arial"/>
      <family val="2"/>
    </font>
    <font>
      <sz val="10"/>
      <color indexed="10"/>
      <name val="Arial"/>
      <family val="2"/>
    </font>
    <font>
      <b/>
      <sz val="12"/>
      <name val="Arial"/>
      <family val="2"/>
    </font>
    <font>
      <sz val="10"/>
      <color indexed="8"/>
      <name val="Arial"/>
      <family val="2"/>
    </font>
    <font>
      <b/>
      <sz val="10"/>
      <color indexed="8"/>
      <name val="Arial"/>
      <family val="2"/>
    </font>
    <font>
      <sz val="10"/>
      <color indexed="12"/>
      <name val="Arial"/>
      <family val="2"/>
    </font>
    <font>
      <b/>
      <sz val="10"/>
      <color indexed="12"/>
      <name val="Arial"/>
      <family val="2"/>
    </font>
    <font>
      <b/>
      <sz val="10"/>
      <color indexed="10"/>
      <name val="Arial"/>
      <family val="2"/>
    </font>
    <font>
      <sz val="10"/>
      <color indexed="48"/>
      <name val="Arial"/>
      <family val="2"/>
    </font>
    <font>
      <b/>
      <sz val="14"/>
      <color indexed="48"/>
      <name val="Arial"/>
      <family val="2"/>
    </font>
    <font>
      <b/>
      <sz val="10"/>
      <color indexed="48"/>
      <name val="Arial"/>
      <family val="2"/>
    </font>
    <font>
      <b/>
      <sz val="14"/>
      <color indexed="8"/>
      <name val="Arial"/>
      <family val="2"/>
    </font>
    <font>
      <b/>
      <sz val="8"/>
      <color indexed="8"/>
      <name val="Arial"/>
      <family val="2"/>
    </font>
    <font>
      <sz val="9"/>
      <color indexed="8"/>
      <name val="Arial"/>
      <family val="2"/>
    </font>
    <font>
      <b/>
      <sz val="11"/>
      <color indexed="8"/>
      <name val="Arial"/>
      <family val="2"/>
    </font>
    <font>
      <b/>
      <sz val="16"/>
      <name val="Arial"/>
      <family val="2"/>
    </font>
    <font>
      <sz val="9"/>
      <name val="Arial"/>
      <family val="2"/>
    </font>
    <font>
      <b/>
      <sz val="14"/>
      <name val="Arial"/>
      <family val="2"/>
    </font>
    <font>
      <b/>
      <sz val="9"/>
      <color indexed="8"/>
      <name val="Arial"/>
      <family val="2"/>
    </font>
    <font>
      <b/>
      <i/>
      <sz val="10"/>
      <name val="Arial"/>
      <family val="2"/>
    </font>
    <font>
      <sz val="10"/>
      <name val="Arial"/>
      <family val="2"/>
    </font>
    <font>
      <b/>
      <sz val="9"/>
      <name val="Arial"/>
      <family val="2"/>
    </font>
    <font>
      <i/>
      <sz val="8"/>
      <name val="Times New Roman"/>
      <family val="1"/>
    </font>
    <font>
      <sz val="6"/>
      <name val="Arial"/>
      <family val="2"/>
    </font>
    <font>
      <b/>
      <sz val="10"/>
      <name val="Arial"/>
      <family val="2"/>
    </font>
    <font>
      <b/>
      <sz val="8"/>
      <name val="Arial"/>
      <family val="2"/>
    </font>
    <font>
      <sz val="7"/>
      <name val="Arial"/>
      <family val="2"/>
    </font>
    <font>
      <b/>
      <sz val="10"/>
      <color indexed="23"/>
      <name val="Arial"/>
      <family val="2"/>
    </font>
    <font>
      <b/>
      <sz val="14"/>
      <color indexed="23"/>
      <name val="Arial"/>
      <family val="2"/>
    </font>
    <font>
      <b/>
      <i/>
      <sz val="12"/>
      <name val="Arial"/>
      <family val="2"/>
    </font>
    <font>
      <b/>
      <sz val="10"/>
      <color indexed="9"/>
      <name val="Arial"/>
      <family val="2"/>
    </font>
    <font>
      <b/>
      <sz val="18"/>
      <color indexed="8"/>
      <name val="Arial"/>
      <family val="2"/>
    </font>
    <font>
      <b/>
      <sz val="8"/>
      <color indexed="17"/>
      <name val="Arial"/>
      <family val="2"/>
    </font>
    <font>
      <sz val="12"/>
      <name val="Arial"/>
      <family val="2"/>
    </font>
    <font>
      <b/>
      <sz val="18"/>
      <name val="Arial"/>
      <family val="2"/>
    </font>
    <font>
      <sz val="10"/>
      <color indexed="17"/>
      <name val="Arial"/>
      <family val="2"/>
    </font>
    <font>
      <sz val="16"/>
      <name val="Arial"/>
      <family val="2"/>
    </font>
    <font>
      <sz val="10"/>
      <color indexed="11"/>
      <name val="Arial"/>
      <family val="2"/>
    </font>
    <font>
      <b/>
      <sz val="12"/>
      <color indexed="8"/>
      <name val="Arial"/>
      <family val="2"/>
    </font>
    <font>
      <sz val="12"/>
      <color indexed="12"/>
      <name val="Arial"/>
      <family val="2"/>
    </font>
    <font>
      <b/>
      <sz val="7"/>
      <name val="Arial"/>
      <family val="2"/>
    </font>
    <font>
      <b/>
      <sz val="6"/>
      <name val="Arial"/>
      <family val="2"/>
    </font>
    <font>
      <sz val="11"/>
      <name val="Arial"/>
      <family val="2"/>
    </font>
    <font>
      <sz val="18"/>
      <name val="Arial"/>
      <family val="2"/>
    </font>
    <font>
      <b/>
      <u/>
      <sz val="12"/>
      <name val="Arial"/>
      <family val="2"/>
    </font>
    <font>
      <sz val="12"/>
      <color indexed="8"/>
      <name val="Calibri"/>
      <family val="2"/>
    </font>
    <font>
      <b/>
      <i/>
      <sz val="11"/>
      <name val="Arial"/>
      <family val="2"/>
    </font>
    <font>
      <b/>
      <sz val="26"/>
      <name val="Aharoni"/>
      <charset val="177"/>
    </font>
    <font>
      <u/>
      <sz val="10"/>
      <color indexed="12"/>
      <name val="Arial"/>
      <family val="2"/>
    </font>
    <font>
      <b/>
      <u/>
      <sz val="16"/>
      <name val="Arial"/>
      <family val="2"/>
    </font>
    <font>
      <b/>
      <u/>
      <sz val="11"/>
      <name val="Arial"/>
      <family val="2"/>
    </font>
    <font>
      <b/>
      <sz val="9"/>
      <color indexed="17"/>
      <name val="Arial"/>
      <family val="2"/>
    </font>
    <font>
      <sz val="9"/>
      <color indexed="11"/>
      <name val="Arial"/>
      <family val="2"/>
    </font>
    <font>
      <sz val="8"/>
      <color indexed="8"/>
      <name val="Arial"/>
      <family val="2"/>
    </font>
    <font>
      <b/>
      <sz val="15"/>
      <name val="Arial"/>
      <family val="2"/>
    </font>
    <font>
      <sz val="15"/>
      <name val="Arial"/>
      <family val="2"/>
    </font>
    <font>
      <sz val="11"/>
      <color indexed="8"/>
      <name val="Calibri"/>
      <family val="2"/>
    </font>
    <font>
      <i/>
      <sz val="10"/>
      <name val="Arial"/>
      <family val="2"/>
    </font>
    <font>
      <b/>
      <sz val="9"/>
      <color indexed="9"/>
      <name val="Arial"/>
      <family val="2"/>
    </font>
    <font>
      <b/>
      <u/>
      <sz val="18"/>
      <color indexed="8"/>
      <name val="Arial"/>
      <family val="2"/>
    </font>
    <font>
      <sz val="11"/>
      <color theme="1"/>
      <name val="Calibri"/>
      <family val="2"/>
      <scheme val="minor"/>
    </font>
    <font>
      <u/>
      <sz val="10"/>
      <color theme="10"/>
      <name val="Arial"/>
      <family val="2"/>
    </font>
    <font>
      <b/>
      <i/>
      <u/>
      <sz val="10"/>
      <color theme="10"/>
      <name val="Arial"/>
      <family val="2"/>
    </font>
    <font>
      <sz val="9"/>
      <color rgb="FFFF0000"/>
      <name val="Arial"/>
      <family val="2"/>
    </font>
    <font>
      <sz val="10"/>
      <color theme="0"/>
      <name val="Arial"/>
      <family val="2"/>
    </font>
    <font>
      <b/>
      <sz val="9"/>
      <color rgb="FFFFC000"/>
      <name val="Arial"/>
      <family val="2"/>
    </font>
    <font>
      <b/>
      <sz val="9"/>
      <color theme="0"/>
      <name val="Arial"/>
      <family val="2"/>
    </font>
    <font>
      <sz val="10"/>
      <color theme="0" tint="-0.34998626667073579"/>
      <name val="Arial"/>
      <family val="2"/>
    </font>
    <font>
      <sz val="10"/>
      <color rgb="FFFF0000"/>
      <name val="Arial"/>
      <family val="2"/>
    </font>
    <font>
      <sz val="9"/>
      <color theme="1"/>
      <name val="Arial"/>
      <family val="2"/>
    </font>
    <font>
      <sz val="16"/>
      <color rgb="FFFF0000"/>
      <name val="Arial"/>
      <family val="2"/>
    </font>
    <font>
      <sz val="10"/>
      <color theme="1"/>
      <name val="Arial"/>
      <family val="2"/>
    </font>
    <font>
      <b/>
      <sz val="9"/>
      <color rgb="FFFF0000"/>
      <name val="Arial"/>
      <family val="2"/>
    </font>
    <font>
      <sz val="8"/>
      <color rgb="FFFF0000"/>
      <name val="Arial"/>
      <family val="2"/>
    </font>
    <font>
      <b/>
      <sz val="10"/>
      <color rgb="FFFF0000"/>
      <name val="Arial"/>
      <family val="2"/>
    </font>
  </fonts>
  <fills count="26">
    <fill>
      <patternFill patternType="none"/>
    </fill>
    <fill>
      <patternFill patternType="gray125"/>
    </fill>
    <fill>
      <patternFill patternType="solid">
        <fgColor indexed="22"/>
        <bgColor indexed="64"/>
      </patternFill>
    </fill>
    <fill>
      <patternFill patternType="solid">
        <fgColor indexed="34"/>
        <bgColor indexed="64"/>
      </patternFill>
    </fill>
    <fill>
      <patternFill patternType="solid">
        <fgColor indexed="10"/>
        <bgColor indexed="64"/>
      </patternFill>
    </fill>
    <fill>
      <patternFill patternType="solid">
        <fgColor indexed="9"/>
        <bgColor indexed="64"/>
      </patternFill>
    </fill>
    <fill>
      <patternFill patternType="solid">
        <fgColor indexed="13"/>
        <bgColor indexed="64"/>
      </patternFill>
    </fill>
    <fill>
      <patternFill patternType="solid">
        <fgColor indexed="11"/>
        <bgColor indexed="64"/>
      </patternFill>
    </fill>
    <fill>
      <patternFill patternType="gray125">
        <fgColor indexed="8"/>
      </patternFill>
    </fill>
    <fill>
      <patternFill patternType="solid">
        <fgColor indexed="44"/>
        <bgColor indexed="64"/>
      </patternFill>
    </fill>
    <fill>
      <patternFill patternType="solid">
        <fgColor indexed="45"/>
        <bgColor indexed="64"/>
      </patternFill>
    </fill>
    <fill>
      <patternFill patternType="solid">
        <fgColor indexed="43"/>
        <bgColor indexed="64"/>
      </patternFill>
    </fill>
    <fill>
      <patternFill patternType="solid">
        <fgColor indexed="11"/>
        <bgColor indexed="8"/>
      </patternFill>
    </fill>
    <fill>
      <patternFill patternType="solid">
        <fgColor rgb="FF00FF00"/>
        <bgColor indexed="64"/>
      </patternFill>
    </fill>
    <fill>
      <patternFill patternType="solid">
        <fgColor rgb="FFFFFF00"/>
        <bgColor indexed="64"/>
      </patternFill>
    </fill>
    <fill>
      <patternFill patternType="solid">
        <fgColor rgb="FFFF0000"/>
        <bgColor indexed="64"/>
      </patternFill>
    </fill>
    <fill>
      <patternFill patternType="solid">
        <fgColor theme="2"/>
        <bgColor indexed="64"/>
      </patternFill>
    </fill>
    <fill>
      <patternFill patternType="solid">
        <fgColor rgb="FFA6CACC"/>
        <bgColor indexed="64"/>
      </patternFill>
    </fill>
    <fill>
      <patternFill patternType="solid">
        <fgColor rgb="FFCC9CCC"/>
        <bgColor indexed="64"/>
      </patternFill>
    </fill>
    <fill>
      <patternFill patternType="solid">
        <fgColor rgb="FF00FF00"/>
        <bgColor rgb="FF00FF00"/>
      </patternFill>
    </fill>
    <fill>
      <patternFill patternType="solid">
        <fgColor theme="0"/>
        <bgColor indexed="64"/>
      </patternFill>
    </fill>
    <fill>
      <patternFill patternType="solid">
        <fgColor rgb="FF99CCFF"/>
        <bgColor indexed="64"/>
      </patternFill>
    </fill>
    <fill>
      <patternFill patternType="solid">
        <fgColor rgb="FF00FF00"/>
        <bgColor indexed="8"/>
      </patternFill>
    </fill>
    <fill>
      <patternFill patternType="solid">
        <fgColor rgb="FFCC99CC"/>
        <bgColor indexed="64"/>
      </patternFill>
    </fill>
    <fill>
      <patternFill patternType="solid">
        <fgColor rgb="FFFFFF05"/>
        <bgColor indexed="64"/>
      </patternFill>
    </fill>
    <fill>
      <patternFill patternType="solid">
        <fgColor rgb="FFA6CAF0"/>
        <bgColor indexed="64"/>
      </patternFill>
    </fill>
  </fills>
  <borders count="122">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hair">
        <color indexed="64"/>
      </left>
      <right/>
      <top/>
      <bottom/>
      <diagonal/>
    </border>
    <border>
      <left style="medium">
        <color indexed="64"/>
      </left>
      <right style="thin">
        <color indexed="64"/>
      </right>
      <top/>
      <bottom style="hair">
        <color indexed="64"/>
      </bottom>
      <diagonal/>
    </border>
    <border>
      <left style="hair">
        <color indexed="64"/>
      </left>
      <right/>
      <top/>
      <bottom style="thin">
        <color indexed="64"/>
      </bottom>
      <diagonal/>
    </border>
    <border>
      <left style="thin">
        <color indexed="64"/>
      </left>
      <right/>
      <top/>
      <bottom style="medium">
        <color indexed="64"/>
      </bottom>
      <diagonal/>
    </border>
    <border>
      <left style="hair">
        <color indexed="64"/>
      </left>
      <right/>
      <top/>
      <bottom style="medium">
        <color indexed="64"/>
      </bottom>
      <diagonal/>
    </border>
    <border>
      <left style="hair">
        <color indexed="64"/>
      </left>
      <right/>
      <top style="thin">
        <color indexed="64"/>
      </top>
      <bottom style="medium">
        <color indexed="64"/>
      </bottom>
      <diagonal/>
    </border>
    <border>
      <left style="thin">
        <color indexed="64"/>
      </left>
      <right/>
      <top style="medium">
        <color indexed="64"/>
      </top>
      <bottom/>
      <diagonal/>
    </border>
    <border>
      <left style="hair">
        <color indexed="64"/>
      </left>
      <right/>
      <top style="medium">
        <color indexed="64"/>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double">
        <color indexed="64"/>
      </top>
      <bottom/>
      <diagonal/>
    </border>
    <border>
      <left style="double">
        <color indexed="64"/>
      </left>
      <right style="double">
        <color indexed="64"/>
      </right>
      <top/>
      <bottom style="double">
        <color indexed="64"/>
      </bottom>
      <diagonal/>
    </border>
    <border>
      <left style="double">
        <color indexed="64"/>
      </left>
      <right style="double">
        <color indexed="64"/>
      </right>
      <top style="hair">
        <color indexed="64"/>
      </top>
      <bottom style="double">
        <color indexed="64"/>
      </bottom>
      <diagonal/>
    </border>
    <border>
      <left/>
      <right style="double">
        <color indexed="64"/>
      </right>
      <top style="double">
        <color indexed="64"/>
      </top>
      <bottom/>
      <diagonal/>
    </border>
    <border>
      <left/>
      <right style="double">
        <color indexed="64"/>
      </right>
      <top/>
      <bottom/>
      <diagonal/>
    </border>
    <border>
      <left style="double">
        <color indexed="64"/>
      </left>
      <right style="double">
        <color indexed="64"/>
      </right>
      <top/>
      <bottom style="hair">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top style="hair">
        <color indexed="64"/>
      </top>
      <bottom style="hair">
        <color indexed="64"/>
      </bottom>
      <diagonal/>
    </border>
    <border>
      <left style="double">
        <color indexed="64"/>
      </left>
      <right/>
      <top style="hair">
        <color indexed="64"/>
      </top>
      <bottom style="double">
        <color indexed="64"/>
      </bottom>
      <diagonal/>
    </border>
    <border>
      <left style="double">
        <color indexed="64"/>
      </left>
      <right/>
      <top/>
      <bottom/>
      <diagonal/>
    </border>
    <border>
      <left style="double">
        <color indexed="64"/>
      </left>
      <right/>
      <top style="hair">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top/>
      <bottom style="thin">
        <color indexed="44"/>
      </bottom>
      <diagonal/>
    </border>
    <border>
      <left style="medium">
        <color indexed="64"/>
      </left>
      <right/>
      <top style="thin">
        <color indexed="64"/>
      </top>
      <bottom/>
      <diagonal/>
    </border>
    <border>
      <left/>
      <right/>
      <top style="thick">
        <color rgb="FF00FF00"/>
      </top>
      <bottom style="thin">
        <color indexed="64"/>
      </bottom>
      <diagonal/>
    </border>
  </borders>
  <cellStyleXfs count="21">
    <xf numFmtId="0" fontId="0" fillId="0" borderId="0"/>
    <xf numFmtId="165" fontId="3" fillId="0" borderId="0" applyFont="0" applyFill="0" applyBorder="0" applyAlignment="0" applyProtection="0"/>
    <xf numFmtId="0" fontId="67"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65" fontId="3"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6" fontId="3" fillId="0" borderId="0" applyFont="0" applyFill="0" applyBorder="0" applyAlignment="0" applyProtection="0"/>
    <xf numFmtId="167" fontId="3" fillId="0" borderId="0" applyFont="0" applyFill="0" applyBorder="0" applyAlignment="0" applyProtection="0"/>
    <xf numFmtId="0" fontId="3" fillId="0" borderId="0"/>
    <xf numFmtId="0" fontId="51" fillId="0" borderId="0"/>
    <xf numFmtId="0" fontId="3" fillId="0" borderId="0"/>
    <xf numFmtId="0" fontId="3" fillId="0" borderId="0"/>
    <xf numFmtId="0" fontId="3" fillId="0" borderId="0" applyFill="0"/>
    <xf numFmtId="0" fontId="3" fillId="0" borderId="0"/>
    <xf numFmtId="0" fontId="3" fillId="0" borderId="0"/>
    <xf numFmtId="0" fontId="26" fillId="0" borderId="0"/>
    <xf numFmtId="0" fontId="62" fillId="0" borderId="0"/>
    <xf numFmtId="0" fontId="3" fillId="0" borderId="0"/>
    <xf numFmtId="0" fontId="3" fillId="0" borderId="0"/>
    <xf numFmtId="9" fontId="3" fillId="0" borderId="0" applyFont="0" applyFill="0" applyBorder="0" applyAlignment="0" applyProtection="0"/>
  </cellStyleXfs>
  <cellXfs count="1639">
    <xf numFmtId="0" fontId="0" fillId="0" borderId="0" xfId="0"/>
    <xf numFmtId="0" fontId="0" fillId="0" borderId="0" xfId="0" applyAlignment="1">
      <alignment horizontal="centerContinuous"/>
    </xf>
    <xf numFmtId="0" fontId="1" fillId="0" borderId="0" xfId="0" applyFont="1" applyAlignment="1">
      <alignment horizontal="centerContinuous"/>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4" xfId="0" applyBorder="1" applyAlignment="1">
      <alignment horizontal="center"/>
    </xf>
    <xf numFmtId="0" fontId="0" fillId="0" borderId="20" xfId="0" applyBorder="1"/>
    <xf numFmtId="0" fontId="7" fillId="0" borderId="0" xfId="0" applyFont="1"/>
    <xf numFmtId="0" fontId="6" fillId="0" borderId="0" xfId="0" applyFont="1"/>
    <xf numFmtId="0" fontId="0" fillId="0" borderId="21" xfId="0" applyBorder="1"/>
    <xf numFmtId="0" fontId="1" fillId="0" borderId="4" xfId="0" applyFont="1" applyBorder="1" applyAlignment="1">
      <alignment horizontal="center"/>
    </xf>
    <xf numFmtId="0" fontId="10" fillId="0" borderId="4" xfId="0" applyFont="1" applyBorder="1" applyAlignment="1">
      <alignment horizontal="center"/>
    </xf>
    <xf numFmtId="0" fontId="1" fillId="0" borderId="0" xfId="0" applyFont="1" applyAlignment="1">
      <alignment horizontal="center" vertical="center"/>
    </xf>
    <xf numFmtId="0" fontId="0" fillId="0" borderId="4" xfId="0" applyBorder="1" applyAlignment="1">
      <alignment wrapText="1"/>
    </xf>
    <xf numFmtId="0" fontId="0" fillId="0" borderId="12" xfId="0" applyBorder="1" applyAlignment="1">
      <alignment wrapText="1"/>
    </xf>
    <xf numFmtId="166" fontId="0" fillId="0" borderId="4" xfId="0" applyNumberFormat="1" applyBorder="1"/>
    <xf numFmtId="0" fontId="11" fillId="0" borderId="0" xfId="0" applyFont="1" applyAlignment="1">
      <alignment horizontal="centerContinuous"/>
    </xf>
    <xf numFmtId="0" fontId="11" fillId="0" borderId="0" xfId="0" applyFont="1"/>
    <xf numFmtId="0" fontId="13" fillId="0" borderId="0" xfId="0" applyFont="1"/>
    <xf numFmtId="0" fontId="7" fillId="0" borderId="10" xfId="0" applyFont="1" applyBorder="1" applyAlignment="1">
      <alignment horizontal="center"/>
    </xf>
    <xf numFmtId="0" fontId="7" fillId="0" borderId="22" xfId="0" applyFont="1" applyBorder="1"/>
    <xf numFmtId="0" fontId="14" fillId="0" borderId="0" xfId="0" applyFont="1" applyAlignment="1">
      <alignment horizontal="centerContinuous"/>
    </xf>
    <xf numFmtId="0" fontId="14" fillId="0" borderId="0" xfId="0" applyFont="1"/>
    <xf numFmtId="0" fontId="15" fillId="0" borderId="0" xfId="0" applyFont="1" applyAlignment="1">
      <alignment horizontal="centerContinuous"/>
    </xf>
    <xf numFmtId="0" fontId="16" fillId="0" borderId="0" xfId="0" applyFont="1" applyAlignment="1">
      <alignment horizontal="centerContinuous"/>
    </xf>
    <xf numFmtId="0" fontId="12" fillId="0" borderId="0" xfId="0" applyFont="1"/>
    <xf numFmtId="0" fontId="7" fillId="0" borderId="22" xfId="0" applyFont="1" applyBorder="1" applyAlignment="1">
      <alignment horizontal="center"/>
    </xf>
    <xf numFmtId="0" fontId="17" fillId="0" borderId="0" xfId="0" applyFont="1" applyAlignment="1">
      <alignment horizontal="centerContinuous"/>
    </xf>
    <xf numFmtId="0" fontId="9" fillId="0" borderId="0" xfId="0" applyFont="1" applyAlignment="1">
      <alignment horizontal="centerContinuous"/>
    </xf>
    <xf numFmtId="0" fontId="10" fillId="0" borderId="23" xfId="0" applyFont="1" applyBorder="1" applyAlignment="1">
      <alignment horizontal="center" vertical="center"/>
    </xf>
    <xf numFmtId="0" fontId="10" fillId="0" borderId="4" xfId="0" applyFont="1" applyBorder="1" applyAlignment="1">
      <alignment horizontal="center" vertical="center" wrapText="1"/>
    </xf>
    <xf numFmtId="0" fontId="10" fillId="0" borderId="4" xfId="0" applyFont="1" applyBorder="1" applyAlignment="1">
      <alignment horizontal="center" vertical="center"/>
    </xf>
    <xf numFmtId="0" fontId="18" fillId="0" borderId="23" xfId="0" applyFont="1" applyBorder="1" applyAlignment="1">
      <alignment horizontal="right"/>
    </xf>
    <xf numFmtId="0" fontId="10" fillId="0" borderId="0" xfId="0" applyFont="1" applyAlignment="1">
      <alignment horizontal="centerContinuous"/>
    </xf>
    <xf numFmtId="0" fontId="9" fillId="0" borderId="0" xfId="0" applyFont="1"/>
    <xf numFmtId="0" fontId="10" fillId="0" borderId="13" xfId="0" applyFont="1" applyBorder="1" applyAlignment="1">
      <alignment horizontal="centerContinuous"/>
    </xf>
    <xf numFmtId="0" fontId="10" fillId="0" borderId="3" xfId="0" applyFont="1" applyBorder="1" applyAlignment="1">
      <alignment horizontal="centerContinuous"/>
    </xf>
    <xf numFmtId="0" fontId="19" fillId="0" borderId="4" xfId="0" applyFont="1" applyBorder="1" applyAlignment="1">
      <alignment vertical="center"/>
    </xf>
    <xf numFmtId="0" fontId="20" fillId="0" borderId="0" xfId="0" applyFont="1"/>
    <xf numFmtId="0" fontId="10" fillId="0" borderId="0" xfId="0" applyFont="1" applyAlignment="1">
      <alignment vertical="center" textRotation="180"/>
    </xf>
    <xf numFmtId="0" fontId="11" fillId="0" borderId="0" xfId="0" applyFont="1" applyAlignment="1">
      <alignment textRotation="180"/>
    </xf>
    <xf numFmtId="0" fontId="0" fillId="0" borderId="0" xfId="0" applyAlignment="1">
      <alignment textRotation="180"/>
    </xf>
    <xf numFmtId="0" fontId="1" fillId="0" borderId="0" xfId="0" applyFont="1" applyAlignment="1">
      <alignment textRotation="180"/>
    </xf>
    <xf numFmtId="0" fontId="21" fillId="0" borderId="0" xfId="0" applyFont="1" applyAlignment="1">
      <alignment horizontal="centerContinuous"/>
    </xf>
    <xf numFmtId="0" fontId="23" fillId="0" borderId="0" xfId="0" applyFont="1" applyAlignment="1">
      <alignment horizontal="centerContinuous"/>
    </xf>
    <xf numFmtId="0" fontId="3" fillId="0" borderId="0" xfId="0" applyFont="1"/>
    <xf numFmtId="0" fontId="25" fillId="0" borderId="0" xfId="0" applyFont="1" applyAlignment="1">
      <alignment horizontal="centerContinuous"/>
    </xf>
    <xf numFmtId="0" fontId="27" fillId="0" borderId="0" xfId="0" applyFont="1" applyAlignment="1">
      <alignment horizontal="left"/>
    </xf>
    <xf numFmtId="0" fontId="22" fillId="0" borderId="0" xfId="0" applyFont="1" applyAlignment="1">
      <alignment horizontal="centerContinuous"/>
    </xf>
    <xf numFmtId="0" fontId="27" fillId="0" borderId="0" xfId="0" applyFont="1"/>
    <xf numFmtId="0" fontId="22" fillId="0" borderId="0" xfId="0" applyFont="1"/>
    <xf numFmtId="0" fontId="28" fillId="0" borderId="0" xfId="0" applyFont="1" applyAlignment="1">
      <alignment horizontal="right"/>
    </xf>
    <xf numFmtId="0" fontId="4" fillId="0" borderId="0" xfId="0" applyFont="1" applyAlignment="1">
      <alignment horizontal="centerContinuous"/>
    </xf>
    <xf numFmtId="0" fontId="0" fillId="0" borderId="15" xfId="0" applyBorder="1" applyAlignment="1">
      <alignment horizontal="centerContinuous"/>
    </xf>
    <xf numFmtId="0" fontId="0" fillId="0" borderId="16" xfId="0" applyBorder="1" applyAlignment="1">
      <alignment horizontal="centerContinuous"/>
    </xf>
    <xf numFmtId="0" fontId="0" fillId="0" borderId="17" xfId="0" applyBorder="1" applyAlignment="1">
      <alignment horizontal="centerContinuous"/>
    </xf>
    <xf numFmtId="0" fontId="0" fillId="0" borderId="18" xfId="0" applyBorder="1" applyAlignment="1">
      <alignment horizontal="centerContinuous"/>
    </xf>
    <xf numFmtId="0" fontId="0" fillId="0" borderId="19" xfId="0" applyBorder="1" applyAlignment="1">
      <alignment horizontal="centerContinuous"/>
    </xf>
    <xf numFmtId="0" fontId="30" fillId="0" borderId="14" xfId="0" applyFont="1" applyBorder="1" applyAlignment="1">
      <alignment horizontal="center"/>
    </xf>
    <xf numFmtId="0" fontId="31" fillId="0" borderId="24" xfId="0" applyFont="1" applyBorder="1" applyAlignment="1">
      <alignment horizontal="center"/>
    </xf>
    <xf numFmtId="0" fontId="0" fillId="0" borderId="25" xfId="0" applyBorder="1"/>
    <xf numFmtId="0" fontId="33" fillId="0" borderId="0" xfId="0" applyFont="1" applyAlignment="1">
      <alignment horizontal="centerContinuous"/>
    </xf>
    <xf numFmtId="0" fontId="34" fillId="0" borderId="0" xfId="0" applyFont="1" applyAlignment="1">
      <alignment horizontal="centerContinuous" wrapText="1"/>
    </xf>
    <xf numFmtId="0" fontId="11" fillId="0" borderId="0" xfId="0" applyFont="1" applyAlignment="1">
      <alignment horizontal="centerContinuous" wrapText="1"/>
    </xf>
    <xf numFmtId="49" fontId="35" fillId="0" borderId="17" xfId="0" applyNumberFormat="1" applyFont="1" applyBorder="1" applyAlignment="1">
      <alignment horizontal="center"/>
    </xf>
    <xf numFmtId="0" fontId="0" fillId="0" borderId="26" xfId="0" applyBorder="1"/>
    <xf numFmtId="9" fontId="3" fillId="0" borderId="0" xfId="20"/>
    <xf numFmtId="0" fontId="0" fillId="0" borderId="27" xfId="0" applyBorder="1"/>
    <xf numFmtId="9" fontId="0" fillId="0" borderId="0" xfId="0" applyNumberFormat="1"/>
    <xf numFmtId="0" fontId="0" fillId="0" borderId="27" xfId="0" applyBorder="1" applyAlignment="1">
      <alignment wrapText="1"/>
    </xf>
    <xf numFmtId="0" fontId="0" fillId="0" borderId="28" xfId="0" applyBorder="1"/>
    <xf numFmtId="0" fontId="8" fillId="0" borderId="16" xfId="0" applyFont="1" applyBorder="1" applyAlignment="1">
      <alignment horizontal="centerContinuous"/>
    </xf>
    <xf numFmtId="0" fontId="3" fillId="0" borderId="27" xfId="0" applyFont="1" applyBorder="1" applyAlignment="1">
      <alignment wrapText="1"/>
    </xf>
    <xf numFmtId="0" fontId="36" fillId="0" borderId="4" xfId="0" applyFont="1" applyBorder="1" applyAlignment="1">
      <alignment horizontal="center"/>
    </xf>
    <xf numFmtId="0" fontId="0" fillId="0" borderId="29" xfId="0" applyBorder="1"/>
    <xf numFmtId="49" fontId="27" fillId="0" borderId="0" xfId="0" applyNumberFormat="1" applyFont="1"/>
    <xf numFmtId="0" fontId="31" fillId="0" borderId="30" xfId="0" applyFont="1" applyBorder="1" applyAlignment="1">
      <alignment horizontal="center"/>
    </xf>
    <xf numFmtId="0" fontId="5" fillId="0" borderId="0" xfId="0" applyFont="1"/>
    <xf numFmtId="0" fontId="1" fillId="0" borderId="15" xfId="0" applyFont="1" applyBorder="1"/>
    <xf numFmtId="0" fontId="1" fillId="0" borderId="0" xfId="0" applyFont="1"/>
    <xf numFmtId="0" fontId="39" fillId="0" borderId="0" xfId="0" applyFont="1"/>
    <xf numFmtId="0" fontId="0" fillId="0" borderId="31" xfId="0" applyBorder="1"/>
    <xf numFmtId="0" fontId="0" fillId="0" borderId="32" xfId="0" applyBorder="1"/>
    <xf numFmtId="0" fontId="1" fillId="0" borderId="0" xfId="0" quotePrefix="1" applyFont="1" applyAlignment="1">
      <alignment horizontal="left"/>
    </xf>
    <xf numFmtId="0" fontId="1" fillId="0" borderId="27" xfId="0" applyFont="1" applyBorder="1"/>
    <xf numFmtId="0" fontId="1" fillId="0" borderId="28" xfId="0" applyFont="1" applyBorder="1"/>
    <xf numFmtId="49" fontId="4" fillId="0" borderId="4" xfId="0" applyNumberFormat="1" applyFont="1" applyBorder="1" applyAlignment="1">
      <alignment horizontal="center"/>
    </xf>
    <xf numFmtId="0" fontId="4" fillId="0" borderId="0" xfId="0" applyFont="1"/>
    <xf numFmtId="0" fontId="17" fillId="2" borderId="14" xfId="0" applyFont="1" applyFill="1" applyBorder="1" applyAlignment="1">
      <alignment horizontal="centerContinuous"/>
    </xf>
    <xf numFmtId="0" fontId="11" fillId="2" borderId="16" xfId="0" applyFont="1" applyFill="1" applyBorder="1" applyAlignment="1">
      <alignment horizontal="centerContinuous"/>
    </xf>
    <xf numFmtId="0" fontId="11" fillId="2" borderId="15" xfId="0" applyFont="1" applyFill="1" applyBorder="1" applyAlignment="1">
      <alignment horizontal="centerContinuous"/>
    </xf>
    <xf numFmtId="0" fontId="0" fillId="0" borderId="33" xfId="0" applyBorder="1"/>
    <xf numFmtId="0" fontId="39" fillId="0" borderId="23" xfId="0" applyFont="1" applyBorder="1"/>
    <xf numFmtId="1" fontId="10" fillId="0" borderId="4" xfId="0" applyNumberFormat="1" applyFont="1" applyBorder="1" applyAlignment="1">
      <alignment horizontal="center" vertical="center" wrapText="1"/>
    </xf>
    <xf numFmtId="1" fontId="39" fillId="0" borderId="4" xfId="0" applyNumberFormat="1" applyFont="1" applyBorder="1" applyAlignment="1">
      <alignment horizontal="center"/>
    </xf>
    <xf numFmtId="0" fontId="39" fillId="0" borderId="4" xfId="0" applyFont="1" applyBorder="1" applyAlignment="1">
      <alignment horizontal="center"/>
    </xf>
    <xf numFmtId="49" fontId="39" fillId="0" borderId="4" xfId="0" applyNumberFormat="1" applyFont="1" applyBorder="1" applyAlignment="1">
      <alignment horizontal="center"/>
    </xf>
    <xf numFmtId="1" fontId="1" fillId="0" borderId="4" xfId="0" applyNumberFormat="1" applyFont="1" applyBorder="1" applyAlignment="1">
      <alignment horizontal="center"/>
    </xf>
    <xf numFmtId="0" fontId="39" fillId="0" borderId="4" xfId="0" applyFont="1" applyBorder="1"/>
    <xf numFmtId="0" fontId="1" fillId="0" borderId="20" xfId="0" applyFont="1" applyBorder="1" applyAlignment="1">
      <alignment horizontal="center" vertical="center"/>
    </xf>
    <xf numFmtId="0" fontId="10" fillId="0" borderId="25" xfId="0" applyFont="1" applyBorder="1" applyAlignment="1">
      <alignment horizontal="center" vertical="center"/>
    </xf>
    <xf numFmtId="0" fontId="10" fillId="0" borderId="25" xfId="0" applyFont="1" applyBorder="1" applyAlignment="1">
      <alignment vertical="center"/>
    </xf>
    <xf numFmtId="0" fontId="10" fillId="2" borderId="13" xfId="0" applyFont="1" applyFill="1" applyBorder="1" applyAlignment="1">
      <alignment horizontal="centerContinuous" vertical="center"/>
    </xf>
    <xf numFmtId="0" fontId="10" fillId="2" borderId="12" xfId="0" applyFont="1" applyFill="1" applyBorder="1" applyAlignment="1">
      <alignment horizontal="centerContinuous" vertical="center"/>
    </xf>
    <xf numFmtId="0" fontId="9" fillId="2" borderId="12" xfId="0" applyFont="1" applyFill="1" applyBorder="1" applyAlignment="1">
      <alignment horizontal="centerContinuous" vertical="center"/>
    </xf>
    <xf numFmtId="0" fontId="9" fillId="2" borderId="3" xfId="0" applyFont="1" applyFill="1" applyBorder="1" applyAlignment="1">
      <alignment horizontal="centerContinuous" vertical="center"/>
    </xf>
    <xf numFmtId="0" fontId="1" fillId="3" borderId="4" xfId="0" applyFont="1" applyFill="1" applyBorder="1" applyAlignment="1">
      <alignment horizontal="center"/>
    </xf>
    <xf numFmtId="0" fontId="1" fillId="3" borderId="4" xfId="0" applyFont="1" applyFill="1" applyBorder="1" applyAlignment="1">
      <alignment horizontal="center" vertical="center"/>
    </xf>
    <xf numFmtId="0" fontId="1" fillId="4" borderId="4" xfId="0" applyFont="1" applyFill="1" applyBorder="1" applyAlignment="1">
      <alignment horizontal="center" vertical="center"/>
    </xf>
    <xf numFmtId="0" fontId="10" fillId="2" borderId="34" xfId="0" applyFont="1" applyFill="1" applyBorder="1" applyAlignment="1">
      <alignment vertical="center"/>
    </xf>
    <xf numFmtId="0" fontId="10" fillId="2" borderId="35" xfId="0" applyFont="1" applyFill="1" applyBorder="1" applyAlignment="1">
      <alignment horizontal="center" vertical="center"/>
    </xf>
    <xf numFmtId="0" fontId="0" fillId="0" borderId="36" xfId="0" applyBorder="1"/>
    <xf numFmtId="0" fontId="0" fillId="2" borderId="15" xfId="0" applyFill="1" applyBorder="1"/>
    <xf numFmtId="49" fontId="35" fillId="2" borderId="0" xfId="0" applyNumberFormat="1" applyFont="1" applyFill="1" applyAlignment="1">
      <alignment horizontal="center"/>
    </xf>
    <xf numFmtId="0" fontId="0" fillId="0" borderId="37" xfId="0" applyBorder="1"/>
    <xf numFmtId="0" fontId="0" fillId="0" borderId="38" xfId="0" applyBorder="1"/>
    <xf numFmtId="0" fontId="10" fillId="2" borderId="39" xfId="0" applyFont="1" applyFill="1" applyBorder="1" applyAlignment="1">
      <alignment horizontal="center" vertical="center"/>
    </xf>
    <xf numFmtId="0" fontId="10" fillId="2" borderId="40" xfId="0" applyFont="1" applyFill="1" applyBorder="1" applyAlignment="1">
      <alignment horizontal="center" vertical="center"/>
    </xf>
    <xf numFmtId="0" fontId="10" fillId="2" borderId="41" xfId="0" applyFont="1" applyFill="1" applyBorder="1" applyAlignment="1">
      <alignment horizontal="center" vertical="center"/>
    </xf>
    <xf numFmtId="0" fontId="0" fillId="0" borderId="29" xfId="0" applyBorder="1" applyAlignment="1">
      <alignment textRotation="180"/>
    </xf>
    <xf numFmtId="0" fontId="0" fillId="0" borderId="42" xfId="0" applyBorder="1" applyAlignment="1">
      <alignment textRotation="180"/>
    </xf>
    <xf numFmtId="0" fontId="0" fillId="0" borderId="43" xfId="0" applyBorder="1"/>
    <xf numFmtId="0" fontId="10" fillId="2" borderId="34" xfId="0" applyFont="1" applyFill="1" applyBorder="1" applyAlignment="1">
      <alignment horizontal="center" vertical="center"/>
    </xf>
    <xf numFmtId="0" fontId="10" fillId="2" borderId="40" xfId="0" applyFont="1" applyFill="1" applyBorder="1" applyAlignment="1">
      <alignment horizontal="center" vertical="center" wrapText="1"/>
    </xf>
    <xf numFmtId="0" fontId="10" fillId="2" borderId="44" xfId="0" applyFont="1" applyFill="1" applyBorder="1" applyAlignment="1">
      <alignment horizontal="center" vertical="center"/>
    </xf>
    <xf numFmtId="0" fontId="0" fillId="0" borderId="20" xfId="0" applyBorder="1" applyAlignment="1">
      <alignment wrapText="1"/>
    </xf>
    <xf numFmtId="0" fontId="0" fillId="0" borderId="42" xfId="0" applyBorder="1"/>
    <xf numFmtId="0" fontId="1" fillId="2" borderId="3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35"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2" borderId="44" xfId="0" applyFont="1" applyFill="1" applyBorder="1" applyAlignment="1">
      <alignment horizontal="center" vertical="center" wrapText="1"/>
    </xf>
    <xf numFmtId="49" fontId="4" fillId="0" borderId="29" xfId="0" applyNumberFormat="1" applyFont="1" applyBorder="1" applyAlignment="1">
      <alignment horizontal="center"/>
    </xf>
    <xf numFmtId="49" fontId="4" fillId="0" borderId="42" xfId="0" applyNumberFormat="1" applyFont="1" applyBorder="1" applyAlignment="1">
      <alignment horizontal="center"/>
    </xf>
    <xf numFmtId="49" fontId="4" fillId="0" borderId="43" xfId="0" applyNumberFormat="1" applyFont="1" applyBorder="1" applyAlignment="1">
      <alignment horizontal="center"/>
    </xf>
    <xf numFmtId="0" fontId="22" fillId="0" borderId="18" xfId="0" applyFont="1" applyBorder="1"/>
    <xf numFmtId="0" fontId="10" fillId="2" borderId="44" xfId="0" applyFont="1" applyFill="1" applyBorder="1" applyAlignment="1">
      <alignment horizontal="center" vertical="center" wrapText="1"/>
    </xf>
    <xf numFmtId="0" fontId="0" fillId="0" borderId="0" xfId="0" applyAlignment="1">
      <alignment horizontal="center"/>
    </xf>
    <xf numFmtId="1" fontId="10" fillId="0" borderId="4" xfId="0" applyNumberFormat="1" applyFont="1" applyBorder="1" applyAlignment="1">
      <alignment horizontal="centerContinuous" vertical="center" wrapText="1"/>
    </xf>
    <xf numFmtId="0" fontId="40" fillId="5" borderId="0" xfId="0" applyFont="1" applyFill="1" applyAlignment="1">
      <alignment horizontal="centerContinuous"/>
    </xf>
    <xf numFmtId="0" fontId="0" fillId="5" borderId="0" xfId="0" applyFill="1" applyAlignment="1">
      <alignment horizontal="centerContinuous"/>
    </xf>
    <xf numFmtId="0" fontId="0" fillId="5" borderId="0" xfId="0" applyFill="1"/>
    <xf numFmtId="0" fontId="1" fillId="5" borderId="0" xfId="0" applyFont="1" applyFill="1" applyAlignment="1">
      <alignment horizontal="centerContinuous"/>
    </xf>
    <xf numFmtId="0" fontId="23" fillId="5" borderId="0" xfId="0" applyFont="1" applyFill="1" applyAlignment="1">
      <alignment horizontal="centerContinuous"/>
    </xf>
    <xf numFmtId="0" fontId="1" fillId="5" borderId="0" xfId="0" applyFont="1" applyFill="1" applyAlignment="1">
      <alignment textRotation="180"/>
    </xf>
    <xf numFmtId="49" fontId="1" fillId="5" borderId="0" xfId="0" applyNumberFormat="1" applyFont="1" applyFill="1"/>
    <xf numFmtId="0" fontId="1" fillId="5" borderId="0" xfId="0" applyFont="1" applyFill="1"/>
    <xf numFmtId="0" fontId="10" fillId="2" borderId="45" xfId="0" applyFont="1" applyFill="1" applyBorder="1" applyAlignment="1">
      <alignment horizontal="center" vertical="center"/>
    </xf>
    <xf numFmtId="0" fontId="19" fillId="0" borderId="0" xfId="0" applyFont="1"/>
    <xf numFmtId="17" fontId="2" fillId="2" borderId="18" xfId="0" applyNumberFormat="1" applyFont="1" applyFill="1" applyBorder="1" applyAlignment="1">
      <alignment horizontal="center"/>
    </xf>
    <xf numFmtId="0" fontId="0" fillId="2" borderId="26" xfId="0" applyFill="1" applyBorder="1"/>
    <xf numFmtId="49" fontId="35" fillId="2" borderId="27" xfId="0" applyNumberFormat="1" applyFont="1" applyFill="1" applyBorder="1" applyAlignment="1">
      <alignment horizontal="center"/>
    </xf>
    <xf numFmtId="0" fontId="39" fillId="0" borderId="29" xfId="0" applyFont="1" applyBorder="1" applyAlignment="1">
      <alignment horizontal="center" vertical="top"/>
    </xf>
    <xf numFmtId="0" fontId="39" fillId="0" borderId="46" xfId="0" applyFont="1" applyBorder="1" applyAlignment="1">
      <alignment horizontal="center" vertical="top"/>
    </xf>
    <xf numFmtId="0" fontId="45" fillId="0" borderId="0" xfId="0" applyFont="1" applyAlignment="1">
      <alignment horizontal="centerContinuous"/>
    </xf>
    <xf numFmtId="0" fontId="45" fillId="0" borderId="0" xfId="0" applyFont="1"/>
    <xf numFmtId="0" fontId="45" fillId="0" borderId="0" xfId="0" applyFont="1" applyAlignment="1">
      <alignment textRotation="180"/>
    </xf>
    <xf numFmtId="0" fontId="23" fillId="0" borderId="0" xfId="0" applyFont="1" applyAlignment="1">
      <alignment horizontal="center" wrapText="1"/>
    </xf>
    <xf numFmtId="0" fontId="0" fillId="0" borderId="23" xfId="0" applyBorder="1"/>
    <xf numFmtId="0" fontId="30" fillId="0" borderId="0" xfId="0" applyFont="1" applyAlignment="1">
      <alignment horizontal="center"/>
    </xf>
    <xf numFmtId="0" fontId="9" fillId="0" borderId="0" xfId="0" applyFont="1" applyAlignment="1">
      <alignment horizontal="centerContinuous" wrapText="1"/>
    </xf>
    <xf numFmtId="0" fontId="0" fillId="0" borderId="0" xfId="0" applyAlignment="1">
      <alignment horizontal="centerContinuous" wrapText="1"/>
    </xf>
    <xf numFmtId="0" fontId="1" fillId="0" borderId="0" xfId="0" applyFont="1" applyAlignment="1">
      <alignment horizontal="centerContinuous" wrapText="1"/>
    </xf>
    <xf numFmtId="0" fontId="0" fillId="0" borderId="22" xfId="0" applyBorder="1" applyAlignment="1">
      <alignment horizontal="center"/>
    </xf>
    <xf numFmtId="0" fontId="0" fillId="0" borderId="22" xfId="0" applyBorder="1"/>
    <xf numFmtId="0" fontId="30" fillId="2" borderId="11" xfId="0" applyFont="1" applyFill="1" applyBorder="1" applyAlignment="1">
      <alignment horizontal="center"/>
    </xf>
    <xf numFmtId="0" fontId="30" fillId="2" borderId="25" xfId="0" applyFont="1" applyFill="1" applyBorder="1" applyAlignment="1">
      <alignment horizontal="center"/>
    </xf>
    <xf numFmtId="0" fontId="0" fillId="0" borderId="0" xfId="0" applyAlignment="1">
      <alignment horizontal="left"/>
    </xf>
    <xf numFmtId="0" fontId="1" fillId="0" borderId="0" xfId="0" applyFont="1" applyAlignment="1">
      <alignment horizontal="left"/>
    </xf>
    <xf numFmtId="0" fontId="30" fillId="2" borderId="22" xfId="0" applyFont="1" applyFill="1" applyBorder="1" applyAlignment="1">
      <alignment horizontal="center"/>
    </xf>
    <xf numFmtId="0" fontId="30" fillId="2" borderId="2" xfId="0" applyFont="1" applyFill="1" applyBorder="1" applyAlignment="1">
      <alignment horizontal="center"/>
    </xf>
    <xf numFmtId="0" fontId="30" fillId="0" borderId="0" xfId="0" applyFont="1"/>
    <xf numFmtId="0" fontId="10" fillId="2" borderId="47" xfId="0" applyFont="1" applyFill="1" applyBorder="1" applyAlignment="1">
      <alignment horizontal="center" vertical="center"/>
    </xf>
    <xf numFmtId="0" fontId="10" fillId="0" borderId="0" xfId="0" applyFont="1"/>
    <xf numFmtId="0" fontId="0" fillId="5" borderId="27" xfId="0" applyFill="1" applyBorder="1"/>
    <xf numFmtId="0" fontId="10" fillId="0" borderId="0" xfId="0" applyFont="1" applyAlignment="1">
      <alignment vertical="center"/>
    </xf>
    <xf numFmtId="0" fontId="10" fillId="0" borderId="8" xfId="0" applyFont="1" applyBorder="1" applyAlignment="1">
      <alignment vertical="center"/>
    </xf>
    <xf numFmtId="0" fontId="8" fillId="0" borderId="0" xfId="0" applyFont="1"/>
    <xf numFmtId="0" fontId="8" fillId="0" borderId="0" xfId="0" applyFont="1" applyAlignment="1">
      <alignment horizontal="left"/>
    </xf>
    <xf numFmtId="0" fontId="0" fillId="0" borderId="47" xfId="0" quotePrefix="1" applyBorder="1" applyAlignment="1">
      <alignment horizontal="center"/>
    </xf>
    <xf numFmtId="0" fontId="0" fillId="0" borderId="48" xfId="0" applyBorder="1"/>
    <xf numFmtId="0" fontId="0" fillId="0" borderId="49" xfId="0" applyBorder="1"/>
    <xf numFmtId="0" fontId="1" fillId="0" borderId="50" xfId="0" applyFont="1" applyBorder="1"/>
    <xf numFmtId="0" fontId="0" fillId="0" borderId="35" xfId="0" applyBorder="1"/>
    <xf numFmtId="0" fontId="0" fillId="0" borderId="40" xfId="0" applyBorder="1"/>
    <xf numFmtId="0" fontId="0" fillId="0" borderId="44" xfId="0" applyBorder="1"/>
    <xf numFmtId="0" fontId="0" fillId="0" borderId="13" xfId="0" quotePrefix="1" applyBorder="1"/>
    <xf numFmtId="0" fontId="0" fillId="0" borderId="10" xfId="0" quotePrefix="1" applyBorder="1"/>
    <xf numFmtId="0" fontId="0" fillId="0" borderId="6" xfId="0" quotePrefix="1" applyBorder="1"/>
    <xf numFmtId="0" fontId="0" fillId="0" borderId="0" xfId="0" quotePrefix="1"/>
    <xf numFmtId="0" fontId="30" fillId="0" borderId="0" xfId="0" applyFont="1" applyAlignment="1">
      <alignment horizontal="left"/>
    </xf>
    <xf numFmtId="0" fontId="49" fillId="0" borderId="0" xfId="0" applyFont="1" applyAlignment="1">
      <alignment horizontal="centerContinuous"/>
    </xf>
    <xf numFmtId="0" fontId="31" fillId="2" borderId="26" xfId="0" applyFont="1" applyFill="1" applyBorder="1" applyAlignment="1">
      <alignment horizontal="center"/>
    </xf>
    <xf numFmtId="0" fontId="31" fillId="2" borderId="27" xfId="0" applyFont="1" applyFill="1" applyBorder="1" applyAlignment="1">
      <alignment horizontal="center"/>
    </xf>
    <xf numFmtId="0" fontId="32" fillId="0" borderId="36" xfId="0" applyFont="1" applyBorder="1" applyAlignment="1">
      <alignment horizontal="center"/>
    </xf>
    <xf numFmtId="0" fontId="32" fillId="0" borderId="51" xfId="0" applyFont="1" applyBorder="1"/>
    <xf numFmtId="2" fontId="32" fillId="0" borderId="51" xfId="0" applyNumberFormat="1" applyFont="1" applyBorder="1"/>
    <xf numFmtId="4" fontId="32" fillId="0" borderId="51" xfId="0" applyNumberFormat="1" applyFont="1" applyBorder="1" applyAlignment="1">
      <alignment horizontal="right"/>
    </xf>
    <xf numFmtId="4" fontId="32" fillId="0" borderId="51" xfId="0" applyNumberFormat="1" applyFont="1" applyBorder="1" applyAlignment="1">
      <alignment horizontal="center"/>
    </xf>
    <xf numFmtId="0" fontId="32" fillId="0" borderId="51" xfId="0" applyFont="1" applyBorder="1" applyAlignment="1">
      <alignment horizontal="center"/>
    </xf>
    <xf numFmtId="0" fontId="32" fillId="0" borderId="52" xfId="0" applyFont="1" applyBorder="1" applyAlignment="1">
      <alignment horizontal="center"/>
    </xf>
    <xf numFmtId="0" fontId="32" fillId="0" borderId="46" xfId="0" applyFont="1" applyBorder="1" applyAlignment="1">
      <alignment horizontal="center"/>
    </xf>
    <xf numFmtId="0" fontId="32" fillId="0" borderId="25" xfId="0" applyFont="1" applyBorder="1"/>
    <xf numFmtId="2" fontId="32" fillId="0" borderId="25" xfId="0" applyNumberFormat="1" applyFont="1" applyBorder="1"/>
    <xf numFmtId="4" fontId="32" fillId="0" borderId="25" xfId="0" applyNumberFormat="1" applyFont="1" applyBorder="1" applyAlignment="1">
      <alignment horizontal="right"/>
    </xf>
    <xf numFmtId="4" fontId="32" fillId="0" borderId="25" xfId="0" applyNumberFormat="1" applyFont="1" applyBorder="1" applyAlignment="1">
      <alignment horizontal="center"/>
    </xf>
    <xf numFmtId="0" fontId="32" fillId="0" borderId="25" xfId="0" applyFont="1" applyBorder="1" applyAlignment="1">
      <alignment horizontal="center"/>
    </xf>
    <xf numFmtId="0" fontId="32" fillId="0" borderId="53" xfId="0" applyFont="1" applyBorder="1" applyAlignment="1">
      <alignment horizontal="center"/>
    </xf>
    <xf numFmtId="0" fontId="32" fillId="0" borderId="29" xfId="0" applyFont="1" applyBorder="1" applyAlignment="1">
      <alignment horizontal="center"/>
    </xf>
    <xf numFmtId="0" fontId="32" fillId="0" borderId="4" xfId="0" applyFont="1" applyBorder="1"/>
    <xf numFmtId="2" fontId="32" fillId="0" borderId="4" xfId="0" applyNumberFormat="1" applyFont="1" applyBorder="1"/>
    <xf numFmtId="4" fontId="32" fillId="0" borderId="4" xfId="0" applyNumberFormat="1" applyFont="1" applyBorder="1" applyAlignment="1">
      <alignment horizontal="right"/>
    </xf>
    <xf numFmtId="4" fontId="32" fillId="0" borderId="4" xfId="0" applyNumberFormat="1" applyFont="1" applyBorder="1" applyAlignment="1">
      <alignment horizontal="center"/>
    </xf>
    <xf numFmtId="0" fontId="32" fillId="0" borderId="4" xfId="0" applyFont="1" applyBorder="1" applyAlignment="1">
      <alignment horizontal="center"/>
    </xf>
    <xf numFmtId="39" fontId="32" fillId="0" borderId="4" xfId="4" applyNumberFormat="1" applyFont="1" applyBorder="1" applyAlignment="1">
      <alignment horizontal="right"/>
    </xf>
    <xf numFmtId="14" fontId="32" fillId="0" borderId="20" xfId="0" applyNumberFormat="1" applyFont="1" applyBorder="1" applyAlignment="1">
      <alignment horizontal="center"/>
    </xf>
    <xf numFmtId="4" fontId="32" fillId="0" borderId="4" xfId="4" applyNumberFormat="1" applyFont="1" applyBorder="1" applyAlignment="1">
      <alignment horizontal="right"/>
    </xf>
    <xf numFmtId="4" fontId="32" fillId="0" borderId="22" xfId="0" applyNumberFormat="1" applyFont="1" applyBorder="1" applyAlignment="1">
      <alignment horizontal="center"/>
    </xf>
    <xf numFmtId="0" fontId="32" fillId="0" borderId="20" xfId="0" applyFont="1" applyBorder="1" applyAlignment="1">
      <alignment horizontal="center"/>
    </xf>
    <xf numFmtId="2" fontId="32" fillId="0" borderId="4" xfId="0" applyNumberFormat="1" applyFont="1" applyBorder="1" applyAlignment="1">
      <alignment horizontal="center"/>
    </xf>
    <xf numFmtId="0" fontId="32" fillId="0" borderId="4" xfId="0" applyFont="1" applyBorder="1" applyAlignment="1">
      <alignment horizontal="right"/>
    </xf>
    <xf numFmtId="2" fontId="32" fillId="0" borderId="4" xfId="0" applyNumberFormat="1" applyFont="1" applyBorder="1" applyAlignment="1">
      <alignment horizontal="right"/>
    </xf>
    <xf numFmtId="0" fontId="32" fillId="0" borderId="42" xfId="0" applyFont="1" applyBorder="1" applyAlignment="1">
      <alignment horizontal="center"/>
    </xf>
    <xf numFmtId="0" fontId="32" fillId="0" borderId="43" xfId="0" applyFont="1" applyBorder="1"/>
    <xf numFmtId="0" fontId="32" fillId="0" borderId="43" xfId="0" applyFont="1" applyBorder="1" applyAlignment="1">
      <alignment horizontal="right"/>
    </xf>
    <xf numFmtId="4" fontId="32" fillId="0" borderId="43" xfId="0" applyNumberFormat="1" applyFont="1" applyBorder="1" applyAlignment="1">
      <alignment horizontal="right"/>
    </xf>
    <xf numFmtId="2" fontId="32" fillId="0" borderId="43" xfId="0" applyNumberFormat="1" applyFont="1" applyBorder="1" applyAlignment="1">
      <alignment horizontal="center"/>
    </xf>
    <xf numFmtId="0" fontId="32" fillId="0" borderId="43" xfId="0" applyFont="1" applyBorder="1" applyAlignment="1">
      <alignment horizontal="center"/>
    </xf>
    <xf numFmtId="0" fontId="32" fillId="0" borderId="33" xfId="0" applyFont="1" applyBorder="1" applyAlignment="1">
      <alignment horizontal="center"/>
    </xf>
    <xf numFmtId="0" fontId="46" fillId="0" borderId="54" xfId="0" applyFont="1" applyBorder="1"/>
    <xf numFmtId="0" fontId="46" fillId="0" borderId="55" xfId="0" applyFont="1" applyBorder="1"/>
    <xf numFmtId="2" fontId="46" fillId="0" borderId="55" xfId="0" applyNumberFormat="1" applyFont="1" applyBorder="1"/>
    <xf numFmtId="0" fontId="32" fillId="0" borderId="0" xfId="0" applyFont="1"/>
    <xf numFmtId="0" fontId="32" fillId="0" borderId="51" xfId="0" applyFont="1" applyBorder="1" applyAlignment="1">
      <alignment vertical="justify"/>
    </xf>
    <xf numFmtId="168" fontId="32" fillId="0" borderId="51" xfId="4" applyNumberFormat="1" applyFont="1" applyBorder="1" applyAlignment="1">
      <alignment vertical="justify"/>
    </xf>
    <xf numFmtId="0" fontId="32" fillId="0" borderId="51" xfId="0" applyFont="1" applyBorder="1" applyAlignment="1">
      <alignment horizontal="center" vertical="justify"/>
    </xf>
    <xf numFmtId="0" fontId="32" fillId="0" borderId="52" xfId="0" applyFont="1" applyBorder="1" applyAlignment="1">
      <alignment vertical="justify"/>
    </xf>
    <xf numFmtId="0" fontId="32" fillId="0" borderId="4" xfId="0" applyFont="1" applyBorder="1" applyAlignment="1">
      <alignment vertical="justify"/>
    </xf>
    <xf numFmtId="0" fontId="32" fillId="0" borderId="4" xfId="0" applyFont="1" applyBorder="1" applyAlignment="1">
      <alignment horizontal="center" vertical="justify"/>
    </xf>
    <xf numFmtId="0" fontId="32" fillId="0" borderId="20" xfId="0" applyFont="1" applyBorder="1" applyAlignment="1">
      <alignment vertical="justify"/>
    </xf>
    <xf numFmtId="0" fontId="32" fillId="0" borderId="43" xfId="0" applyFont="1" applyBorder="1" applyAlignment="1">
      <alignment vertical="justify"/>
    </xf>
    <xf numFmtId="0" fontId="32" fillId="0" borderId="43" xfId="0" applyFont="1" applyBorder="1" applyAlignment="1">
      <alignment horizontal="center" vertical="justify"/>
    </xf>
    <xf numFmtId="0" fontId="32" fillId="0" borderId="33" xfId="0" applyFont="1" applyBorder="1" applyAlignment="1">
      <alignment vertical="justify"/>
    </xf>
    <xf numFmtId="0" fontId="46" fillId="0" borderId="14" xfId="0" applyFont="1" applyBorder="1"/>
    <xf numFmtId="0" fontId="46" fillId="2" borderId="26" xfId="0" applyFont="1" applyFill="1" applyBorder="1" applyAlignment="1">
      <alignment horizontal="center"/>
    </xf>
    <xf numFmtId="0" fontId="46" fillId="2" borderId="14" xfId="0" applyFont="1" applyFill="1" applyBorder="1" applyAlignment="1">
      <alignment horizontal="center"/>
    </xf>
    <xf numFmtId="0" fontId="46" fillId="2" borderId="28" xfId="0" applyFont="1" applyFill="1" applyBorder="1" applyAlignment="1">
      <alignment horizontal="center"/>
    </xf>
    <xf numFmtId="0" fontId="46" fillId="2" borderId="47" xfId="0" applyFont="1" applyFill="1" applyBorder="1" applyAlignment="1">
      <alignment horizontal="center"/>
    </xf>
    <xf numFmtId="0" fontId="46" fillId="2" borderId="28" xfId="0" applyFont="1" applyFill="1" applyBorder="1"/>
    <xf numFmtId="1" fontId="46" fillId="0" borderId="55" xfId="0" applyNumberFormat="1" applyFont="1" applyBorder="1"/>
    <xf numFmtId="0" fontId="32" fillId="0" borderId="56" xfId="0" applyFont="1" applyBorder="1" applyAlignment="1">
      <alignment vertical="justify"/>
    </xf>
    <xf numFmtId="0" fontId="32" fillId="0" borderId="3" xfId="0" applyFont="1" applyBorder="1" applyAlignment="1">
      <alignment vertical="justify"/>
    </xf>
    <xf numFmtId="0" fontId="32" fillId="0" borderId="3" xfId="0" applyFont="1" applyBorder="1" applyAlignment="1">
      <alignment horizontal="justify" vertical="justify"/>
    </xf>
    <xf numFmtId="0" fontId="32" fillId="0" borderId="57" xfId="0" applyFont="1" applyBorder="1" applyAlignment="1">
      <alignment vertical="justify"/>
    </xf>
    <xf numFmtId="0" fontId="31" fillId="2" borderId="4" xfId="0" applyFont="1" applyFill="1" applyBorder="1" applyAlignment="1">
      <alignment horizontal="center"/>
    </xf>
    <xf numFmtId="0" fontId="30" fillId="2" borderId="4" xfId="0" applyFont="1" applyFill="1" applyBorder="1" applyAlignment="1">
      <alignment horizontal="center"/>
    </xf>
    <xf numFmtId="0" fontId="31" fillId="2" borderId="22" xfId="0" applyFont="1" applyFill="1" applyBorder="1" applyAlignment="1">
      <alignment horizontal="center"/>
    </xf>
    <xf numFmtId="0" fontId="31" fillId="2" borderId="25" xfId="0" applyFont="1" applyFill="1" applyBorder="1" applyAlignment="1">
      <alignment horizontal="center"/>
    </xf>
    <xf numFmtId="0" fontId="22" fillId="0" borderId="4" xfId="18" applyFont="1" applyBorder="1" applyAlignment="1">
      <alignment horizontal="left" vertical="justify" wrapText="1"/>
    </xf>
    <xf numFmtId="49" fontId="22" fillId="0" borderId="4" xfId="18" applyNumberFormat="1" applyFont="1" applyBorder="1" applyAlignment="1">
      <alignment horizontal="left" vertical="justify"/>
    </xf>
    <xf numFmtId="0" fontId="22" fillId="0" borderId="4" xfId="18" applyFont="1" applyBorder="1" applyAlignment="1">
      <alignment horizontal="left" vertical="justify"/>
    </xf>
    <xf numFmtId="0" fontId="22" fillId="0" borderId="4" xfId="18" applyFont="1" applyBorder="1" applyAlignment="1">
      <alignment horizontal="center" vertical="justify"/>
    </xf>
    <xf numFmtId="0" fontId="3" fillId="0" borderId="4" xfId="18" applyBorder="1" applyAlignment="1">
      <alignment horizontal="justify"/>
    </xf>
    <xf numFmtId="0" fontId="22" fillId="0" borderId="4" xfId="18" applyFont="1" applyBorder="1" applyAlignment="1">
      <alignment vertical="top" wrapText="1"/>
    </xf>
    <xf numFmtId="0" fontId="22" fillId="0" borderId="4" xfId="19" applyFont="1" applyBorder="1" applyAlignment="1">
      <alignment horizontal="left" vertical="justify" wrapText="1"/>
    </xf>
    <xf numFmtId="0" fontId="22" fillId="0" borderId="4" xfId="18" applyFont="1" applyBorder="1" applyAlignment="1">
      <alignment horizontal="left" vertical="top" wrapText="1"/>
    </xf>
    <xf numFmtId="49" fontId="22" fillId="0" borderId="4" xfId="18" applyNumberFormat="1" applyFont="1" applyBorder="1" applyAlignment="1">
      <alignment horizontal="left" vertical="justify" wrapText="1"/>
    </xf>
    <xf numFmtId="0" fontId="22" fillId="0" borderId="4" xfId="18" applyFont="1" applyBorder="1" applyAlignment="1">
      <alignment horizontal="center" vertical="justify" wrapText="1"/>
    </xf>
    <xf numFmtId="0" fontId="22" fillId="0" borderId="4" xfId="19" applyFont="1" applyBorder="1" applyAlignment="1">
      <alignment horizontal="left" vertical="top" wrapText="1"/>
    </xf>
    <xf numFmtId="0" fontId="22" fillId="0" borderId="4" xfId="19" applyFont="1" applyBorder="1" applyAlignment="1">
      <alignment horizontal="center" vertical="justify"/>
    </xf>
    <xf numFmtId="0" fontId="22" fillId="0" borderId="4" xfId="19" applyFont="1" applyBorder="1" applyAlignment="1">
      <alignment horizontal="left" vertical="justify"/>
    </xf>
    <xf numFmtId="1" fontId="22" fillId="0" borderId="4" xfId="18" applyNumberFormat="1" applyFont="1" applyBorder="1" applyAlignment="1">
      <alignment horizontal="center" vertical="justify"/>
    </xf>
    <xf numFmtId="0" fontId="22" fillId="0" borderId="4" xfId="19" applyFont="1" applyBorder="1" applyAlignment="1">
      <alignment horizontal="justify" vertical="top"/>
    </xf>
    <xf numFmtId="0" fontId="30" fillId="0" borderId="0" xfId="18" applyFont="1" applyAlignment="1">
      <alignment horizontal="right"/>
    </xf>
    <xf numFmtId="0" fontId="30" fillId="0" borderId="0" xfId="18" applyFont="1" applyAlignment="1">
      <alignment horizontal="center"/>
    </xf>
    <xf numFmtId="0" fontId="3" fillId="0" borderId="0" xfId="18"/>
    <xf numFmtId="0" fontId="30" fillId="0" borderId="58" xfId="18" applyFont="1" applyBorder="1" applyAlignment="1">
      <alignment horizontal="center"/>
    </xf>
    <xf numFmtId="0" fontId="3" fillId="0" borderId="0" xfId="18" applyAlignment="1">
      <alignment horizontal="center"/>
    </xf>
    <xf numFmtId="49" fontId="3" fillId="0" borderId="0" xfId="18" applyNumberFormat="1"/>
    <xf numFmtId="0" fontId="3" fillId="0" borderId="0" xfId="18" applyAlignment="1">
      <alignment horizontal="justify"/>
    </xf>
    <xf numFmtId="0" fontId="0" fillId="5" borderId="18" xfId="0" applyFill="1" applyBorder="1"/>
    <xf numFmtId="0" fontId="17" fillId="0" borderId="0" xfId="0" applyFont="1" applyAlignment="1">
      <alignment horizontal="center"/>
    </xf>
    <xf numFmtId="0" fontId="37" fillId="0" borderId="0" xfId="0" applyFont="1" applyAlignment="1">
      <alignment horizontal="center"/>
    </xf>
    <xf numFmtId="0" fontId="8" fillId="0" borderId="0" xfId="0" applyFont="1" applyAlignment="1">
      <alignment horizontal="center"/>
    </xf>
    <xf numFmtId="0" fontId="9" fillId="0" borderId="18" xfId="0" applyFont="1" applyBorder="1"/>
    <xf numFmtId="0" fontId="41" fillId="5" borderId="0" xfId="0" applyFont="1" applyFill="1"/>
    <xf numFmtId="0" fontId="46" fillId="5" borderId="26" xfId="0" applyFont="1" applyFill="1" applyBorder="1" applyAlignment="1">
      <alignment vertical="center"/>
    </xf>
    <xf numFmtId="0" fontId="46" fillId="5" borderId="27" xfId="0" applyFont="1" applyFill="1" applyBorder="1" applyAlignment="1">
      <alignment vertical="center"/>
    </xf>
    <xf numFmtId="0" fontId="46" fillId="5" borderId="27" xfId="0" applyFont="1" applyFill="1" applyBorder="1" applyAlignment="1">
      <alignment horizontal="justify" vertical="center"/>
    </xf>
    <xf numFmtId="0" fontId="46" fillId="5" borderId="28" xfId="0" applyFont="1" applyFill="1" applyBorder="1" applyAlignment="1">
      <alignment vertical="center"/>
    </xf>
    <xf numFmtId="0" fontId="1" fillId="0" borderId="26" xfId="0" applyFont="1" applyBorder="1" applyAlignment="1">
      <alignment horizontal="center"/>
    </xf>
    <xf numFmtId="0" fontId="1" fillId="0" borderId="27" xfId="0" applyFont="1" applyBorder="1" applyAlignment="1">
      <alignment horizontal="center"/>
    </xf>
    <xf numFmtId="0" fontId="41" fillId="5" borderId="18" xfId="0" applyFont="1" applyFill="1" applyBorder="1"/>
    <xf numFmtId="0" fontId="0" fillId="5" borderId="28" xfId="0" applyFill="1" applyBorder="1"/>
    <xf numFmtId="0" fontId="1" fillId="0" borderId="0" xfId="0" applyFont="1" applyAlignment="1">
      <alignment horizontal="center"/>
    </xf>
    <xf numFmtId="0" fontId="1" fillId="0" borderId="28" xfId="0" applyFont="1" applyBorder="1" applyAlignment="1">
      <alignment horizontal="center"/>
    </xf>
    <xf numFmtId="0" fontId="1" fillId="0" borderId="0" xfId="0" applyFont="1" applyAlignment="1">
      <alignment horizontal="right"/>
    </xf>
    <xf numFmtId="0" fontId="46" fillId="5" borderId="0" xfId="0" applyFont="1" applyFill="1" applyAlignment="1">
      <alignment vertical="center"/>
    </xf>
    <xf numFmtId="0" fontId="46" fillId="5" borderId="0" xfId="0" applyFont="1" applyFill="1" applyAlignment="1">
      <alignment horizontal="justify" vertical="center"/>
    </xf>
    <xf numFmtId="0" fontId="1" fillId="0" borderId="26" xfId="0" applyFont="1" applyBorder="1" applyAlignment="1">
      <alignment horizontal="right"/>
    </xf>
    <xf numFmtId="0" fontId="1" fillId="0" borderId="1" xfId="0" applyFont="1" applyBorder="1" applyAlignment="1">
      <alignment horizontal="left"/>
    </xf>
    <xf numFmtId="0" fontId="0" fillId="5" borderId="59" xfId="0" applyFill="1" applyBorder="1"/>
    <xf numFmtId="0" fontId="0" fillId="5" borderId="48" xfId="0" applyFill="1" applyBorder="1"/>
    <xf numFmtId="0" fontId="23" fillId="0" borderId="0" xfId="0" applyFont="1" applyAlignment="1">
      <alignment horizontal="left"/>
    </xf>
    <xf numFmtId="0" fontId="32" fillId="0" borderId="4" xfId="0" applyFont="1" applyBorder="1" applyAlignment="1">
      <alignment vertical="center"/>
    </xf>
    <xf numFmtId="0" fontId="32" fillId="4" borderId="4" xfId="0" applyFont="1" applyFill="1" applyBorder="1" applyAlignment="1">
      <alignment horizontal="center"/>
    </xf>
    <xf numFmtId="0" fontId="32" fillId="6" borderId="4" xfId="0" applyFont="1" applyFill="1" applyBorder="1" applyAlignment="1">
      <alignment horizontal="centerContinuous"/>
    </xf>
    <xf numFmtId="0" fontId="32" fillId="7" borderId="4" xfId="0" applyFont="1" applyFill="1" applyBorder="1" applyAlignment="1">
      <alignment horizontal="centerContinuous"/>
    </xf>
    <xf numFmtId="0" fontId="22" fillId="0" borderId="1" xfId="0" applyFont="1" applyBorder="1" applyAlignment="1">
      <alignment horizontal="centerContinuous"/>
    </xf>
    <xf numFmtId="0" fontId="31" fillId="0" borderId="24" xfId="0" applyFont="1" applyBorder="1" applyAlignment="1">
      <alignment horizontal="left"/>
    </xf>
    <xf numFmtId="0" fontId="31" fillId="0" borderId="24" xfId="0" applyFont="1" applyBorder="1" applyAlignment="1">
      <alignment horizontal="left" vertical="center"/>
    </xf>
    <xf numFmtId="0" fontId="8" fillId="0" borderId="26" xfId="0" applyFont="1" applyBorder="1" applyAlignment="1">
      <alignment horizontal="centerContinuous"/>
    </xf>
    <xf numFmtId="49" fontId="35" fillId="0" borderId="27" xfId="0" applyNumberFormat="1" applyFont="1" applyBorder="1" applyAlignment="1">
      <alignment horizontal="center"/>
    </xf>
    <xf numFmtId="0" fontId="43" fillId="0" borderId="0" xfId="0" applyFont="1"/>
    <xf numFmtId="0" fontId="11" fillId="0" borderId="1" xfId="0" applyFont="1" applyBorder="1"/>
    <xf numFmtId="0" fontId="0" fillId="2" borderId="28" xfId="0" applyFill="1" applyBorder="1"/>
    <xf numFmtId="0" fontId="14" fillId="0" borderId="1" xfId="0" applyFont="1" applyBorder="1"/>
    <xf numFmtId="0" fontId="9" fillId="0" borderId="1" xfId="0" applyFont="1" applyBorder="1"/>
    <xf numFmtId="0" fontId="19" fillId="0" borderId="1" xfId="0" applyFont="1" applyBorder="1"/>
    <xf numFmtId="0" fontId="10" fillId="7" borderId="4" xfId="0" applyFont="1" applyFill="1" applyBorder="1" applyAlignment="1">
      <alignment horizontal="center"/>
    </xf>
    <xf numFmtId="0" fontId="9" fillId="0" borderId="0" xfId="0" applyFont="1" applyAlignment="1">
      <alignment horizontal="right" vertical="center"/>
    </xf>
    <xf numFmtId="0" fontId="1" fillId="8" borderId="4" xfId="0" applyFont="1" applyFill="1" applyBorder="1" applyAlignment="1">
      <alignment horizontal="center" vertical="center"/>
    </xf>
    <xf numFmtId="0" fontId="9" fillId="0" borderId="5" xfId="0" applyFont="1" applyBorder="1" applyAlignment="1">
      <alignment horizontal="center" wrapText="1"/>
    </xf>
    <xf numFmtId="0" fontId="30" fillId="0" borderId="0" xfId="0" applyFont="1" applyAlignment="1">
      <alignment vertical="center"/>
    </xf>
    <xf numFmtId="0" fontId="9" fillId="0" borderId="1" xfId="0" applyFont="1" applyBorder="1" applyAlignment="1">
      <alignment horizontal="right" vertical="center"/>
    </xf>
    <xf numFmtId="0" fontId="9" fillId="0" borderId="2" xfId="0" applyFont="1" applyBorder="1" applyAlignment="1">
      <alignment horizontal="center" wrapText="1"/>
    </xf>
    <xf numFmtId="0" fontId="30" fillId="0" borderId="0" xfId="0" applyFont="1" applyAlignment="1">
      <alignment horizontal="right"/>
    </xf>
    <xf numFmtId="0" fontId="29" fillId="0" borderId="0" xfId="0" applyFont="1"/>
    <xf numFmtId="0" fontId="8" fillId="0" borderId="1" xfId="0" applyFont="1" applyBorder="1" applyAlignment="1">
      <alignment horizontal="center"/>
    </xf>
    <xf numFmtId="0" fontId="29" fillId="0" borderId="4" xfId="0" applyFont="1" applyBorder="1" applyAlignment="1">
      <alignment horizontal="center"/>
    </xf>
    <xf numFmtId="0" fontId="22" fillId="0" borderId="4" xfId="0" quotePrefix="1" applyFont="1" applyBorder="1" applyAlignment="1">
      <alignment horizontal="center"/>
    </xf>
    <xf numFmtId="0" fontId="29" fillId="0" borderId="29" xfId="0" applyFont="1" applyBorder="1" applyAlignment="1">
      <alignment horizontal="center"/>
    </xf>
    <xf numFmtId="0" fontId="29" fillId="0" borderId="20" xfId="0" applyFont="1" applyBorder="1" applyAlignment="1">
      <alignment horizontal="center"/>
    </xf>
    <xf numFmtId="0" fontId="22" fillId="0" borderId="29" xfId="0" quotePrefix="1" applyFont="1" applyBorder="1" applyAlignment="1">
      <alignment horizontal="center"/>
    </xf>
    <xf numFmtId="0" fontId="22" fillId="0" borderId="20" xfId="0" quotePrefix="1" applyFont="1" applyBorder="1" applyAlignment="1">
      <alignment horizontal="center"/>
    </xf>
    <xf numFmtId="0" fontId="8" fillId="0" borderId="1" xfId="0" applyFont="1" applyBorder="1" applyAlignment="1">
      <alignment horizontal="left"/>
    </xf>
    <xf numFmtId="0" fontId="0" fillId="0" borderId="50" xfId="0" quotePrefix="1" applyBorder="1" applyAlignment="1">
      <alignment horizontal="center"/>
    </xf>
    <xf numFmtId="0" fontId="0" fillId="0" borderId="60" xfId="0" applyBorder="1"/>
    <xf numFmtId="0" fontId="0" fillId="0" borderId="55" xfId="0" applyBorder="1"/>
    <xf numFmtId="0" fontId="0" fillId="0" borderId="53" xfId="0" applyBorder="1"/>
    <xf numFmtId="0" fontId="0" fillId="0" borderId="46" xfId="0" applyBorder="1"/>
    <xf numFmtId="49" fontId="4" fillId="0" borderId="0" xfId="0" applyNumberFormat="1" applyFont="1" applyAlignment="1">
      <alignment horizontal="center"/>
    </xf>
    <xf numFmtId="49" fontId="4" fillId="0" borderId="7" xfId="0" applyNumberFormat="1" applyFont="1" applyBorder="1" applyAlignment="1">
      <alignment horizontal="center"/>
    </xf>
    <xf numFmtId="0" fontId="0" fillId="5" borderId="1" xfId="0" applyFill="1" applyBorder="1"/>
    <xf numFmtId="0" fontId="30" fillId="0" borderId="4" xfId="0" applyFont="1" applyBorder="1"/>
    <xf numFmtId="0" fontId="9" fillId="0" borderId="0" xfId="0" applyFont="1" applyAlignment="1">
      <alignment horizontal="left"/>
    </xf>
    <xf numFmtId="0" fontId="32" fillId="9" borderId="13" xfId="0" applyFont="1" applyFill="1" applyBorder="1" applyAlignment="1">
      <alignment horizontal="center"/>
    </xf>
    <xf numFmtId="0" fontId="32" fillId="0" borderId="3" xfId="0" applyFont="1" applyBorder="1" applyAlignment="1">
      <alignment horizontal="left"/>
    </xf>
    <xf numFmtId="0" fontId="32" fillId="10" borderId="4" xfId="0" applyFont="1" applyFill="1" applyBorder="1" applyAlignment="1">
      <alignment horizontal="center"/>
    </xf>
    <xf numFmtId="0" fontId="22" fillId="0" borderId="1" xfId="0" applyFont="1" applyBorder="1"/>
    <xf numFmtId="0" fontId="22" fillId="0" borderId="4" xfId="0" applyFont="1" applyBorder="1" applyAlignment="1">
      <alignment horizontal="left"/>
    </xf>
    <xf numFmtId="0" fontId="24" fillId="0" borderId="0" xfId="0" applyFont="1"/>
    <xf numFmtId="0" fontId="24" fillId="0" borderId="4" xfId="0" applyFont="1" applyBorder="1" applyAlignment="1">
      <alignment horizontal="center" vertical="center"/>
    </xf>
    <xf numFmtId="0" fontId="24" fillId="0" borderId="4" xfId="0" applyFont="1" applyBorder="1" applyAlignment="1">
      <alignment horizontal="center" vertical="center" wrapText="1"/>
    </xf>
    <xf numFmtId="0" fontId="0" fillId="5" borderId="61" xfId="0" applyFill="1" applyBorder="1"/>
    <xf numFmtId="0" fontId="41" fillId="5" borderId="1" xfId="0" applyFont="1" applyFill="1" applyBorder="1"/>
    <xf numFmtId="49" fontId="18" fillId="2" borderId="40" xfId="0" applyNumberFormat="1" applyFont="1" applyFill="1" applyBorder="1" applyAlignment="1">
      <alignment horizontal="center" vertical="center" wrapText="1"/>
    </xf>
    <xf numFmtId="0" fontId="24" fillId="2" borderId="41" xfId="0" applyFont="1" applyFill="1" applyBorder="1" applyAlignment="1">
      <alignment horizontal="center" vertical="center" wrapText="1"/>
    </xf>
    <xf numFmtId="0" fontId="0" fillId="0" borderId="62" xfId="0" applyBorder="1"/>
    <xf numFmtId="0" fontId="0" fillId="0" borderId="31" xfId="0" applyBorder="1" applyAlignment="1">
      <alignment horizontal="center"/>
    </xf>
    <xf numFmtId="0" fontId="22" fillId="0" borderId="31" xfId="0" applyFont="1" applyBorder="1"/>
    <xf numFmtId="0" fontId="39" fillId="0" borderId="1" xfId="0" applyFont="1" applyBorder="1" applyAlignment="1">
      <alignment vertical="top" wrapText="1"/>
    </xf>
    <xf numFmtId="0" fontId="39" fillId="0" borderId="13" xfId="0" applyFont="1" applyBorder="1" applyAlignment="1">
      <alignment vertical="top" wrapText="1"/>
    </xf>
    <xf numFmtId="0" fontId="8" fillId="0" borderId="31" xfId="0" applyFont="1" applyBorder="1" applyAlignment="1">
      <alignment horizontal="center" vertical="center" wrapText="1"/>
    </xf>
    <xf numFmtId="0" fontId="8" fillId="0" borderId="49" xfId="0" applyFont="1" applyBorder="1" applyAlignment="1">
      <alignment horizontal="center" vertical="center" wrapText="1"/>
    </xf>
    <xf numFmtId="0" fontId="0" fillId="6" borderId="0" xfId="0" applyFill="1"/>
    <xf numFmtId="0" fontId="31" fillId="0" borderId="0" xfId="0" applyFont="1"/>
    <xf numFmtId="0" fontId="30" fillId="6" borderId="0" xfId="0" applyFont="1" applyFill="1"/>
    <xf numFmtId="0" fontId="5"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0" fillId="0" borderId="4" xfId="0" applyBorder="1" applyAlignment="1">
      <alignment vertical="center"/>
    </xf>
    <xf numFmtId="0" fontId="0" fillId="0" borderId="0" xfId="0" applyAlignment="1">
      <alignment vertical="center"/>
    </xf>
    <xf numFmtId="0" fontId="31" fillId="0" borderId="4" xfId="18" applyFont="1" applyBorder="1" applyAlignment="1">
      <alignment horizontal="center" vertical="center" wrapText="1"/>
    </xf>
    <xf numFmtId="0" fontId="67" fillId="0" borderId="0" xfId="2" applyAlignment="1" applyProtection="1"/>
    <xf numFmtId="0" fontId="67" fillId="0" borderId="0" xfId="2" applyAlignment="1" applyProtection="1">
      <alignment horizontal="center"/>
    </xf>
    <xf numFmtId="0" fontId="6" fillId="0" borderId="46" xfId="0" applyFont="1" applyBorder="1" applyAlignment="1">
      <alignment horizontal="center"/>
    </xf>
    <xf numFmtId="0" fontId="6" fillId="0" borderId="25" xfId="0" applyFont="1" applyBorder="1" applyAlignment="1">
      <alignment horizontal="center"/>
    </xf>
    <xf numFmtId="0" fontId="6" fillId="0" borderId="6" xfId="0" applyFont="1" applyBorder="1" applyAlignment="1">
      <alignment horizontal="centerContinuous"/>
    </xf>
    <xf numFmtId="0" fontId="6" fillId="0" borderId="36" xfId="0" applyFont="1" applyBorder="1" applyAlignment="1">
      <alignment horizontal="center"/>
    </xf>
    <xf numFmtId="0" fontId="6" fillId="0" borderId="51" xfId="0" applyFont="1" applyBorder="1" applyAlignment="1">
      <alignment horizontal="center"/>
    </xf>
    <xf numFmtId="0" fontId="6" fillId="0" borderId="52" xfId="0" applyFont="1" applyBorder="1" applyAlignment="1">
      <alignment horizontal="centerContinuous"/>
    </xf>
    <xf numFmtId="0" fontId="6" fillId="0" borderId="63" xfId="0" applyFont="1" applyBorder="1" applyAlignment="1">
      <alignment horizontal="centerContinuous"/>
    </xf>
    <xf numFmtId="0" fontId="6" fillId="0" borderId="52" xfId="0" applyFont="1" applyBorder="1" applyAlignment="1">
      <alignment horizontal="center"/>
    </xf>
    <xf numFmtId="0" fontId="48" fillId="0" borderId="42" xfId="0" applyFont="1" applyBorder="1" applyAlignment="1">
      <alignment horizontal="center"/>
    </xf>
    <xf numFmtId="0" fontId="48" fillId="0" borderId="43" xfId="0" applyFont="1" applyBorder="1" applyAlignment="1">
      <alignment horizontal="center"/>
    </xf>
    <xf numFmtId="0" fontId="48" fillId="0" borderId="37" xfId="0" applyFont="1" applyBorder="1" applyAlignment="1">
      <alignment horizontal="center"/>
    </xf>
    <xf numFmtId="0" fontId="48" fillId="0" borderId="33" xfId="0" applyFont="1" applyBorder="1" applyAlignment="1">
      <alignment horizontal="center"/>
    </xf>
    <xf numFmtId="0" fontId="48" fillId="0" borderId="34" xfId="0" quotePrefix="1" applyFont="1" applyBorder="1" applyAlignment="1">
      <alignment horizontal="center"/>
    </xf>
    <xf numFmtId="0" fontId="48" fillId="0" borderId="40" xfId="0" quotePrefix="1" applyFont="1" applyBorder="1" applyAlignment="1">
      <alignment horizontal="center"/>
    </xf>
    <xf numFmtId="0" fontId="48" fillId="0" borderId="39" xfId="0" quotePrefix="1" applyFont="1" applyBorder="1" applyAlignment="1">
      <alignment horizontal="center"/>
    </xf>
    <xf numFmtId="0" fontId="48" fillId="0" borderId="44" xfId="0" quotePrefix="1" applyFont="1" applyBorder="1" applyAlignment="1">
      <alignment horizontal="center"/>
    </xf>
    <xf numFmtId="0" fontId="0" fillId="0" borderId="52" xfId="0" applyBorder="1"/>
    <xf numFmtId="0" fontId="52" fillId="0" borderId="0" xfId="0" applyFont="1"/>
    <xf numFmtId="0" fontId="37" fillId="0" borderId="0" xfId="0" applyFont="1"/>
    <xf numFmtId="0" fontId="17" fillId="0" borderId="0" xfId="0" applyFont="1"/>
    <xf numFmtId="0" fontId="6" fillId="0" borderId="0" xfId="0" applyFont="1" applyAlignment="1">
      <alignment horizontal="center"/>
    </xf>
    <xf numFmtId="0" fontId="68" fillId="0" borderId="0" xfId="2" applyFont="1" applyAlignment="1" applyProtection="1">
      <alignment horizontal="center"/>
    </xf>
    <xf numFmtId="0" fontId="19" fillId="0" borderId="4" xfId="0" applyFont="1" applyBorder="1" applyAlignment="1">
      <alignment horizontal="center" vertical="center" wrapText="1"/>
    </xf>
    <xf numFmtId="0" fontId="30" fillId="11" borderId="13" xfId="18" applyFont="1" applyFill="1" applyBorder="1" applyAlignment="1">
      <alignment horizontal="center" vertical="center" wrapText="1"/>
    </xf>
    <xf numFmtId="0" fontId="30" fillId="11" borderId="4" xfId="18" applyFont="1" applyFill="1" applyBorder="1" applyAlignment="1">
      <alignment horizontal="center" vertical="center" wrapText="1"/>
    </xf>
    <xf numFmtId="0" fontId="30" fillId="0" borderId="0" xfId="0" applyFont="1" applyAlignment="1">
      <alignment horizontal="center" vertical="center"/>
    </xf>
    <xf numFmtId="0" fontId="0" fillId="0" borderId="1" xfId="0" applyBorder="1" applyAlignment="1">
      <alignment vertical="center"/>
    </xf>
    <xf numFmtId="0" fontId="0" fillId="0" borderId="36"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29" xfId="0" applyBorder="1" applyAlignment="1">
      <alignment vertical="center"/>
    </xf>
    <xf numFmtId="0" fontId="0" fillId="0" borderId="20"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33" xfId="0" applyBorder="1" applyAlignment="1">
      <alignment vertical="center"/>
    </xf>
    <xf numFmtId="0" fontId="26" fillId="0" borderId="0" xfId="16"/>
    <xf numFmtId="0" fontId="30" fillId="0" borderId="4" xfId="16" applyFont="1" applyBorder="1" applyAlignment="1">
      <alignment horizontal="center" vertical="center" wrapText="1"/>
    </xf>
    <xf numFmtId="0" fontId="26" fillId="0" borderId="0" xfId="16" applyAlignment="1">
      <alignment vertical="center" wrapText="1"/>
    </xf>
    <xf numFmtId="0" fontId="30" fillId="0" borderId="4" xfId="16" applyFont="1" applyBorder="1" applyAlignment="1">
      <alignment horizontal="center"/>
    </xf>
    <xf numFmtId="0" fontId="30" fillId="0" borderId="4" xfId="16" applyFont="1" applyBorder="1"/>
    <xf numFmtId="0" fontId="26" fillId="0" borderId="4" xfId="16" applyBorder="1"/>
    <xf numFmtId="0" fontId="26" fillId="0" borderId="4" xfId="16" applyBorder="1" applyAlignment="1">
      <alignment horizontal="center"/>
    </xf>
    <xf numFmtId="0" fontId="26" fillId="0" borderId="1" xfId="16" applyBorder="1"/>
    <xf numFmtId="0" fontId="6" fillId="0" borderId="0" xfId="16" applyFont="1"/>
    <xf numFmtId="0" fontId="3" fillId="0" borderId="7" xfId="0" applyFont="1" applyBorder="1" applyAlignment="1">
      <alignment vertical="center" wrapText="1"/>
    </xf>
    <xf numFmtId="0" fontId="3" fillId="0" borderId="0" xfId="0" applyFont="1" applyAlignment="1">
      <alignment vertical="center" wrapText="1"/>
    </xf>
    <xf numFmtId="0" fontId="3" fillId="0" borderId="17" xfId="0" applyFont="1" applyBorder="1" applyAlignment="1">
      <alignment vertical="center" wrapText="1"/>
    </xf>
    <xf numFmtId="0" fontId="0" fillId="0" borderId="0" xfId="0" applyAlignment="1">
      <alignment horizontal="justify"/>
    </xf>
    <xf numFmtId="0" fontId="39" fillId="0" borderId="0" xfId="0" applyFont="1" applyAlignment="1">
      <alignment horizontal="center"/>
    </xf>
    <xf numFmtId="0" fontId="8" fillId="0" borderId="66" xfId="0" applyFont="1" applyBorder="1" applyAlignment="1">
      <alignment horizontal="center" vertical="center" wrapText="1"/>
    </xf>
    <xf numFmtId="0" fontId="39" fillId="0" borderId="18" xfId="0" applyFont="1" applyBorder="1" applyAlignment="1">
      <alignment vertical="top" wrapText="1"/>
    </xf>
    <xf numFmtId="0" fontId="39" fillId="0" borderId="20" xfId="0" applyFont="1" applyBorder="1" applyAlignment="1">
      <alignment vertical="top" wrapText="1"/>
    </xf>
    <xf numFmtId="0" fontId="23" fillId="0" borderId="0" xfId="0" applyFont="1"/>
    <xf numFmtId="0" fontId="42" fillId="0" borderId="0" xfId="0" applyFont="1"/>
    <xf numFmtId="0" fontId="69" fillId="0" borderId="0" xfId="0" applyFont="1" applyAlignment="1">
      <alignment horizontal="left"/>
    </xf>
    <xf numFmtId="0" fontId="35" fillId="2" borderId="27" xfId="0" applyFont="1" applyFill="1" applyBorder="1" applyAlignment="1">
      <alignment horizontal="center"/>
    </xf>
    <xf numFmtId="0" fontId="39" fillId="0" borderId="54" xfId="0" applyFont="1" applyBorder="1" applyAlignment="1">
      <alignment horizontal="center" vertical="top"/>
    </xf>
    <xf numFmtId="0" fontId="39" fillId="0" borderId="69" xfId="0" applyFont="1" applyBorder="1" applyAlignment="1">
      <alignment vertical="top" wrapText="1"/>
    </xf>
    <xf numFmtId="0" fontId="39" fillId="0" borderId="1" xfId="0" applyFont="1" applyBorder="1" applyAlignment="1">
      <alignment horizontal="left" vertical="top" wrapText="1"/>
    </xf>
    <xf numFmtId="0" fontId="3" fillId="0" borderId="51" xfId="0" applyFont="1" applyBorder="1" applyAlignment="1">
      <alignment horizontal="center"/>
    </xf>
    <xf numFmtId="0" fontId="3" fillId="0" borderId="52" xfId="0" applyFont="1" applyBorder="1" applyAlignment="1">
      <alignment horizontal="center"/>
    </xf>
    <xf numFmtId="0" fontId="3" fillId="0" borderId="63" xfId="0" applyFont="1" applyBorder="1" applyAlignment="1">
      <alignment horizontal="center"/>
    </xf>
    <xf numFmtId="0" fontId="3" fillId="0" borderId="36" xfId="0" applyFont="1" applyBorder="1" applyAlignment="1">
      <alignment horizontal="center"/>
    </xf>
    <xf numFmtId="0" fontId="3" fillId="0" borderId="70" xfId="0" applyFont="1" applyBorder="1" applyAlignment="1">
      <alignment horizontal="center"/>
    </xf>
    <xf numFmtId="0" fontId="39" fillId="0" borderId="31" xfId="0" applyFont="1" applyBorder="1" applyAlignment="1">
      <alignment vertical="top" wrapText="1"/>
    </xf>
    <xf numFmtId="0" fontId="8" fillId="0" borderId="15" xfId="0" applyFont="1" applyBorder="1"/>
    <xf numFmtId="0" fontId="3" fillId="0" borderId="13" xfId="0" applyFont="1" applyBorder="1"/>
    <xf numFmtId="0" fontId="67" fillId="0" borderId="17" xfId="2" applyBorder="1" applyAlignment="1" applyProtection="1"/>
    <xf numFmtId="49" fontId="30" fillId="0" borderId="4" xfId="0" applyNumberFormat="1" applyFont="1" applyBorder="1" applyAlignment="1">
      <alignment horizontal="center"/>
    </xf>
    <xf numFmtId="0" fontId="3" fillId="0" borderId="23" xfId="0" applyFont="1" applyBorder="1"/>
    <xf numFmtId="0" fontId="3" fillId="0" borderId="4" xfId="0" applyFont="1" applyBorder="1"/>
    <xf numFmtId="1" fontId="3" fillId="0" borderId="4" xfId="0" applyNumberFormat="1" applyFont="1" applyBorder="1" applyAlignment="1">
      <alignment horizontal="center"/>
    </xf>
    <xf numFmtId="0" fontId="3" fillId="0" borderId="4" xfId="0" applyFont="1" applyBorder="1" applyAlignment="1">
      <alignment horizontal="center"/>
    </xf>
    <xf numFmtId="49" fontId="3" fillId="0" borderId="4" xfId="0" applyNumberFormat="1" applyFont="1" applyBorder="1" applyAlignment="1">
      <alignment horizontal="center"/>
    </xf>
    <xf numFmtId="0" fontId="3" fillId="0" borderId="1" xfId="0" applyFont="1" applyBorder="1"/>
    <xf numFmtId="0" fontId="30" fillId="0" borderId="27" xfId="0" applyFont="1" applyBorder="1" applyAlignment="1">
      <alignment horizontal="center"/>
    </xf>
    <xf numFmtId="0" fontId="3" fillId="0" borderId="71" xfId="0" applyFont="1" applyBorder="1" applyAlignment="1">
      <alignment horizontal="center"/>
    </xf>
    <xf numFmtId="170" fontId="3" fillId="0" borderId="71" xfId="10" applyNumberFormat="1" applyFont="1" applyBorder="1" applyAlignment="1">
      <alignment horizontal="center" vertical="center"/>
    </xf>
    <xf numFmtId="171" fontId="3" fillId="0" borderId="71" xfId="0" applyNumberFormat="1" applyFont="1" applyBorder="1" applyAlignment="1">
      <alignment horizontal="center"/>
    </xf>
    <xf numFmtId="0" fontId="3" fillId="0" borderId="72" xfId="0" applyFont="1" applyBorder="1" applyAlignment="1">
      <alignment horizontal="center"/>
    </xf>
    <xf numFmtId="171" fontId="70" fillId="0" borderId="0" xfId="0" applyNumberFormat="1" applyFont="1"/>
    <xf numFmtId="0" fontId="3" fillId="13" borderId="4" xfId="0" applyFont="1" applyFill="1" applyBorder="1"/>
    <xf numFmtId="165" fontId="3" fillId="0" borderId="4" xfId="5" applyFont="1" applyBorder="1"/>
    <xf numFmtId="0" fontId="3" fillId="14" borderId="4" xfId="0" applyFont="1" applyFill="1" applyBorder="1"/>
    <xf numFmtId="0" fontId="70" fillId="0" borderId="0" xfId="0" applyFont="1"/>
    <xf numFmtId="0" fontId="3" fillId="15" borderId="4" xfId="0" applyFont="1" applyFill="1" applyBorder="1"/>
    <xf numFmtId="171" fontId="0" fillId="0" borderId="0" xfId="0" applyNumberFormat="1"/>
    <xf numFmtId="0" fontId="3" fillId="0" borderId="0" xfId="0" applyFont="1" applyAlignment="1">
      <alignment horizontal="center"/>
    </xf>
    <xf numFmtId="171" fontId="0" fillId="0" borderId="0" xfId="0" applyNumberFormat="1" applyAlignment="1">
      <alignment horizontal="center"/>
    </xf>
    <xf numFmtId="170" fontId="3" fillId="0" borderId="73" xfId="10" applyNumberFormat="1" applyFont="1" applyBorder="1" applyAlignment="1">
      <alignment horizontal="center" vertical="center"/>
    </xf>
    <xf numFmtId="0" fontId="3" fillId="0" borderId="74" xfId="0" applyFont="1" applyBorder="1" applyAlignment="1">
      <alignment horizontal="center"/>
    </xf>
    <xf numFmtId="170" fontId="3" fillId="0" borderId="74" xfId="10" applyNumberFormat="1" applyFont="1" applyBorder="1" applyAlignment="1">
      <alignment horizontal="center" vertical="center"/>
    </xf>
    <xf numFmtId="171" fontId="3" fillId="0" borderId="74" xfId="0" applyNumberFormat="1" applyFont="1" applyBorder="1" applyAlignment="1">
      <alignment horizontal="center"/>
    </xf>
    <xf numFmtId="2" fontId="3" fillId="0" borderId="0" xfId="0" applyNumberFormat="1" applyFont="1" applyAlignment="1">
      <alignment horizontal="center"/>
    </xf>
    <xf numFmtId="0" fontId="27" fillId="0" borderId="1" xfId="0" applyFont="1" applyBorder="1" applyAlignment="1">
      <alignment horizontal="left"/>
    </xf>
    <xf numFmtId="0" fontId="22" fillId="0" borderId="12" xfId="0" applyFont="1" applyBorder="1"/>
    <xf numFmtId="0" fontId="66" fillId="0" borderId="0" xfId="9" applyFont="1" applyAlignment="1">
      <alignment textRotation="90"/>
    </xf>
    <xf numFmtId="0" fontId="66" fillId="16" borderId="8" xfId="9" applyFont="1" applyFill="1" applyBorder="1"/>
    <xf numFmtId="0" fontId="66" fillId="0" borderId="0" xfId="9" applyFont="1"/>
    <xf numFmtId="0" fontId="66" fillId="0" borderId="75" xfId="9" applyFont="1" applyBorder="1"/>
    <xf numFmtId="0" fontId="66" fillId="0" borderId="8" xfId="9" applyFont="1" applyBorder="1"/>
    <xf numFmtId="2" fontId="22" fillId="5" borderId="76" xfId="11" applyNumberFormat="1" applyFont="1" applyFill="1" applyBorder="1" applyAlignment="1">
      <alignment horizontal="center" vertical="center" wrapText="1"/>
    </xf>
    <xf numFmtId="172" fontId="22" fillId="0" borderId="4" xfId="11" applyNumberFormat="1" applyFont="1" applyBorder="1" applyAlignment="1">
      <alignment horizontal="center" vertical="center"/>
    </xf>
    <xf numFmtId="2" fontId="22" fillId="5" borderId="4" xfId="11" applyNumberFormat="1" applyFont="1" applyFill="1" applyBorder="1" applyAlignment="1">
      <alignment horizontal="center" vertical="center" wrapText="1"/>
    </xf>
    <xf numFmtId="172" fontId="22" fillId="0" borderId="20" xfId="11" applyNumberFormat="1" applyFont="1" applyBorder="1" applyAlignment="1">
      <alignment horizontal="center" vertical="center"/>
    </xf>
    <xf numFmtId="4" fontId="0" fillId="0" borderId="0" xfId="20" applyNumberFormat="1" applyFont="1" applyFill="1"/>
    <xf numFmtId="172" fontId="58" fillId="7" borderId="4" xfId="20" applyNumberFormat="1" applyFont="1" applyFill="1" applyBorder="1"/>
    <xf numFmtId="172" fontId="22" fillId="6" borderId="4" xfId="20" applyNumberFormat="1" applyFont="1" applyFill="1" applyBorder="1"/>
    <xf numFmtId="172" fontId="27" fillId="4" borderId="20" xfId="20" applyNumberFormat="1" applyFont="1" applyFill="1" applyBorder="1" applyAlignment="1">
      <alignment horizontal="center"/>
    </xf>
    <xf numFmtId="1" fontId="22" fillId="5" borderId="76" xfId="11" applyNumberFormat="1" applyFont="1" applyFill="1" applyBorder="1" applyAlignment="1">
      <alignment horizontal="center" vertical="center" wrapText="1"/>
    </xf>
    <xf numFmtId="1" fontId="22" fillId="5" borderId="4" xfId="11" applyNumberFormat="1" applyFont="1" applyFill="1" applyBorder="1" applyAlignment="1">
      <alignment horizontal="center" vertical="center" wrapText="1"/>
    </xf>
    <xf numFmtId="0" fontId="66" fillId="0" borderId="6" xfId="9" applyFont="1" applyBorder="1" applyAlignment="1">
      <alignment textRotation="90"/>
    </xf>
    <xf numFmtId="0" fontId="66" fillId="0" borderId="1" xfId="9" applyFont="1" applyBorder="1" applyAlignment="1">
      <alignment textRotation="90"/>
    </xf>
    <xf numFmtId="0" fontId="66" fillId="0" borderId="77" xfId="9" applyFont="1" applyBorder="1" applyAlignment="1">
      <alignment textRotation="90"/>
    </xf>
    <xf numFmtId="0" fontId="66" fillId="0" borderId="2" xfId="9" applyFont="1" applyBorder="1" applyAlignment="1">
      <alignment textRotation="90"/>
    </xf>
    <xf numFmtId="1" fontId="22" fillId="5" borderId="29" xfId="11" applyNumberFormat="1" applyFont="1" applyFill="1" applyBorder="1" applyAlignment="1">
      <alignment horizontal="center" vertical="center" wrapText="1"/>
    </xf>
    <xf numFmtId="4" fontId="3" fillId="0" borderId="0" xfId="20" applyNumberFormat="1" applyFont="1" applyFill="1"/>
    <xf numFmtId="0" fontId="66" fillId="0" borderId="6" xfId="9" applyFont="1" applyBorder="1"/>
    <xf numFmtId="0" fontId="66" fillId="0" borderId="1" xfId="9" applyFont="1" applyBorder="1"/>
    <xf numFmtId="0" fontId="66" fillId="0" borderId="77" xfId="9" applyFont="1" applyBorder="1"/>
    <xf numFmtId="0" fontId="66" fillId="0" borderId="2" xfId="9" applyFont="1" applyBorder="1"/>
    <xf numFmtId="0" fontId="66" fillId="0" borderId="78" xfId="9" applyFont="1" applyBorder="1"/>
    <xf numFmtId="0" fontId="66" fillId="0" borderId="18" xfId="9" applyFont="1" applyBorder="1"/>
    <xf numFmtId="0" fontId="66" fillId="0" borderId="79" xfId="9" applyFont="1" applyBorder="1"/>
    <xf numFmtId="0" fontId="66" fillId="0" borderId="67" xfId="9" applyFont="1" applyBorder="1"/>
    <xf numFmtId="1" fontId="22" fillId="5" borderId="42" xfId="11" applyNumberFormat="1" applyFont="1" applyFill="1" applyBorder="1" applyAlignment="1">
      <alignment horizontal="center" vertical="center" wrapText="1"/>
    </xf>
    <xf numFmtId="172" fontId="22" fillId="0" borderId="43" xfId="11" applyNumberFormat="1" applyFont="1" applyBorder="1" applyAlignment="1">
      <alignment horizontal="center" vertical="center"/>
    </xf>
    <xf numFmtId="1" fontId="22" fillId="5" borderId="43" xfId="11" applyNumberFormat="1" applyFont="1" applyFill="1" applyBorder="1" applyAlignment="1">
      <alignment horizontal="center" vertical="center" wrapText="1"/>
    </xf>
    <xf numFmtId="172" fontId="22" fillId="0" borderId="33" xfId="11" applyNumberFormat="1" applyFont="1" applyBorder="1" applyAlignment="1">
      <alignment horizontal="center" vertical="center"/>
    </xf>
    <xf numFmtId="0" fontId="3" fillId="0" borderId="0" xfId="9"/>
    <xf numFmtId="0" fontId="23" fillId="0" borderId="0" xfId="9" applyFont="1" applyAlignment="1">
      <alignment horizontal="center"/>
    </xf>
    <xf numFmtId="0" fontId="25" fillId="0" borderId="0" xfId="9" applyFont="1" applyAlignment="1">
      <alignment horizontal="centerContinuous"/>
    </xf>
    <xf numFmtId="0" fontId="3" fillId="0" borderId="0" xfId="9" applyAlignment="1">
      <alignment horizontal="centerContinuous"/>
    </xf>
    <xf numFmtId="0" fontId="27" fillId="0" borderId="0" xfId="11" applyFont="1" applyAlignment="1">
      <alignment horizontal="left"/>
    </xf>
    <xf numFmtId="0" fontId="27" fillId="0" borderId="0" xfId="13" applyFont="1" applyFill="1" applyAlignment="1">
      <alignment horizontal="left"/>
    </xf>
    <xf numFmtId="0" fontId="3" fillId="0" borderId="0" xfId="11"/>
    <xf numFmtId="0" fontId="22" fillId="0" borderId="0" xfId="11" applyFont="1"/>
    <xf numFmtId="0" fontId="22" fillId="0" borderId="0" xfId="11" applyFont="1" applyAlignment="1">
      <alignment horizontal="centerContinuous"/>
    </xf>
    <xf numFmtId="0" fontId="22" fillId="0" borderId="0" xfId="11" applyFont="1" applyAlignment="1">
      <alignment horizontal="center"/>
    </xf>
    <xf numFmtId="0" fontId="30" fillId="0" borderId="0" xfId="9" applyFont="1" applyAlignment="1">
      <alignment horizontal="left"/>
    </xf>
    <xf numFmtId="0" fontId="3" fillId="0" borderId="1" xfId="9" applyBorder="1"/>
    <xf numFmtId="0" fontId="22" fillId="0" borderId="1" xfId="9" applyFont="1" applyBorder="1"/>
    <xf numFmtId="0" fontId="22" fillId="0" borderId="1" xfId="9" applyFont="1" applyBorder="1" applyAlignment="1">
      <alignment horizontal="left"/>
    </xf>
    <xf numFmtId="0" fontId="27" fillId="0" borderId="0" xfId="9" applyFont="1"/>
    <xf numFmtId="0" fontId="28" fillId="0" borderId="0" xfId="9" applyFont="1" applyAlignment="1">
      <alignment horizontal="right"/>
    </xf>
    <xf numFmtId="0" fontId="29" fillId="0" borderId="0" xfId="9" applyFont="1" applyAlignment="1">
      <alignment horizontal="left"/>
    </xf>
    <xf numFmtId="0" fontId="4" fillId="0" borderId="0" xfId="9" applyFont="1" applyAlignment="1">
      <alignment horizontal="centerContinuous"/>
    </xf>
    <xf numFmtId="0" fontId="4" fillId="0" borderId="0" xfId="9" applyFont="1"/>
    <xf numFmtId="0" fontId="22" fillId="0" borderId="14" xfId="9" applyFont="1" applyBorder="1" applyAlignment="1">
      <alignment horizontal="centerContinuous"/>
    </xf>
    <xf numFmtId="0" fontId="22" fillId="0" borderId="15" xfId="9" applyFont="1" applyBorder="1" applyAlignment="1">
      <alignment horizontal="centerContinuous"/>
    </xf>
    <xf numFmtId="0" fontId="22" fillId="0" borderId="15" xfId="9" applyFont="1" applyBorder="1" applyAlignment="1">
      <alignment horizontal="left"/>
    </xf>
    <xf numFmtId="0" fontId="3" fillId="0" borderId="15" xfId="9" applyBorder="1" applyAlignment="1">
      <alignment horizontal="centerContinuous"/>
    </xf>
    <xf numFmtId="0" fontId="3" fillId="0" borderId="16" xfId="9" applyBorder="1" applyAlignment="1">
      <alignment horizontal="centerContinuous"/>
    </xf>
    <xf numFmtId="0" fontId="3" fillId="0" borderId="7" xfId="9" applyBorder="1"/>
    <xf numFmtId="0" fontId="22" fillId="0" borderId="0" xfId="9" applyFont="1" applyAlignment="1">
      <alignment horizontal="left"/>
    </xf>
    <xf numFmtId="0" fontId="22" fillId="0" borderId="0" xfId="9" applyFont="1" applyAlignment="1">
      <alignment horizontal="centerContinuous"/>
    </xf>
    <xf numFmtId="0" fontId="3" fillId="0" borderId="17" xfId="9" applyBorder="1" applyAlignment="1">
      <alignment horizontal="centerContinuous"/>
    </xf>
    <xf numFmtId="0" fontId="22" fillId="0" borderId="7" xfId="9" applyFont="1" applyBorder="1" applyAlignment="1">
      <alignment horizontal="centerContinuous"/>
    </xf>
    <xf numFmtId="0" fontId="22" fillId="0" borderId="9" xfId="9" applyFont="1" applyBorder="1" applyAlignment="1">
      <alignment horizontal="centerContinuous"/>
    </xf>
    <xf numFmtId="0" fontId="22" fillId="0" borderId="18" xfId="9" applyFont="1" applyBorder="1" applyAlignment="1">
      <alignment horizontal="centerContinuous"/>
    </xf>
    <xf numFmtId="0" fontId="22" fillId="0" borderId="18" xfId="9" applyFont="1" applyBorder="1" applyAlignment="1">
      <alignment horizontal="left"/>
    </xf>
    <xf numFmtId="0" fontId="3" fillId="0" borderId="18" xfId="9" applyBorder="1" applyAlignment="1">
      <alignment horizontal="centerContinuous"/>
    </xf>
    <xf numFmtId="0" fontId="3" fillId="0" borderId="19" xfId="9" applyBorder="1" applyAlignment="1">
      <alignment horizontal="centerContinuous"/>
    </xf>
    <xf numFmtId="0" fontId="30" fillId="0" borderId="14" xfId="9" applyFont="1" applyBorder="1" applyAlignment="1">
      <alignment horizontal="center"/>
    </xf>
    <xf numFmtId="0" fontId="4" fillId="0" borderId="70" xfId="9" applyFont="1" applyBorder="1" applyAlignment="1">
      <alignment horizontal="centerContinuous"/>
    </xf>
    <xf numFmtId="0" fontId="31" fillId="0" borderId="24" xfId="9" applyFont="1" applyBorder="1" applyAlignment="1">
      <alignment horizontal="center"/>
    </xf>
    <xf numFmtId="0" fontId="4" fillId="0" borderId="1" xfId="9" applyFont="1" applyBorder="1"/>
    <xf numFmtId="0" fontId="31" fillId="0" borderId="7" xfId="9" applyFont="1" applyBorder="1" applyAlignment="1">
      <alignment horizontal="center"/>
    </xf>
    <xf numFmtId="0" fontId="29" fillId="0" borderId="38" xfId="9" applyFont="1" applyBorder="1" applyAlignment="1">
      <alignment horizontal="center"/>
    </xf>
    <xf numFmtId="0" fontId="29" fillId="0" borderId="38" xfId="9" applyFont="1" applyBorder="1"/>
    <xf numFmtId="0" fontId="29" fillId="0" borderId="80" xfId="9" applyFont="1" applyBorder="1"/>
    <xf numFmtId="0" fontId="29" fillId="0" borderId="57" xfId="9" applyFont="1" applyBorder="1"/>
    <xf numFmtId="0" fontId="29" fillId="0" borderId="80" xfId="9" applyFont="1" applyBorder="1" applyAlignment="1">
      <alignment horizontal="center"/>
    </xf>
    <xf numFmtId="0" fontId="31" fillId="0" borderId="24" xfId="9" applyFont="1" applyBorder="1" applyAlignment="1">
      <alignment horizontal="left"/>
    </xf>
    <xf numFmtId="0" fontId="31" fillId="0" borderId="8" xfId="9" applyFont="1" applyBorder="1" applyAlignment="1">
      <alignment horizontal="left"/>
    </xf>
    <xf numFmtId="0" fontId="31" fillId="0" borderId="0" xfId="9" applyFont="1" applyAlignment="1">
      <alignment horizontal="left"/>
    </xf>
    <xf numFmtId="0" fontId="32" fillId="0" borderId="0" xfId="11" applyFont="1" applyAlignment="1">
      <alignment horizontal="left"/>
    </xf>
    <xf numFmtId="0" fontId="32" fillId="0" borderId="75" xfId="11" applyFont="1" applyBorder="1" applyAlignment="1">
      <alignment horizontal="left"/>
    </xf>
    <xf numFmtId="0" fontId="32" fillId="0" borderId="81" xfId="11" applyFont="1" applyBorder="1" applyAlignment="1">
      <alignment horizontal="left"/>
    </xf>
    <xf numFmtId="0" fontId="32" fillId="0" borderId="15" xfId="11" applyFont="1" applyBorder="1" applyAlignment="1">
      <alignment horizontal="left"/>
    </xf>
    <xf numFmtId="0" fontId="32" fillId="0" borderId="82" xfId="11" applyFont="1" applyBorder="1" applyAlignment="1">
      <alignment horizontal="left"/>
    </xf>
    <xf numFmtId="0" fontId="32" fillId="0" borderId="3" xfId="11" applyFont="1" applyBorder="1" applyAlignment="1">
      <alignment horizontal="left"/>
    </xf>
    <xf numFmtId="0" fontId="31" fillId="0" borderId="24" xfId="9" applyFont="1" applyBorder="1" applyAlignment="1">
      <alignment horizontal="left" vertical="center"/>
    </xf>
    <xf numFmtId="0" fontId="31" fillId="0" borderId="8" xfId="9" applyFont="1" applyBorder="1" applyAlignment="1">
      <alignment horizontal="left" vertical="center"/>
    </xf>
    <xf numFmtId="0" fontId="31" fillId="0" borderId="0" xfId="9" applyFont="1" applyAlignment="1">
      <alignment horizontal="left" vertical="center"/>
    </xf>
    <xf numFmtId="0" fontId="3" fillId="0" borderId="75" xfId="9" applyBorder="1"/>
    <xf numFmtId="0" fontId="3" fillId="0" borderId="8" xfId="9" applyBorder="1"/>
    <xf numFmtId="0" fontId="3" fillId="0" borderId="12" xfId="9" applyBorder="1"/>
    <xf numFmtId="0" fontId="3" fillId="0" borderId="36" xfId="9" applyBorder="1" applyAlignment="1">
      <alignment horizontal="center"/>
    </xf>
    <xf numFmtId="0" fontId="3" fillId="0" borderId="51" xfId="9" applyBorder="1" applyAlignment="1">
      <alignment horizontal="center"/>
    </xf>
    <xf numFmtId="0" fontId="3" fillId="0" borderId="52" xfId="9" applyBorder="1" applyAlignment="1">
      <alignment horizontal="center"/>
    </xf>
    <xf numFmtId="4" fontId="3" fillId="0" borderId="0" xfId="9" applyNumberFormat="1"/>
    <xf numFmtId="0" fontId="38" fillId="0" borderId="0" xfId="9" applyFont="1" applyAlignment="1">
      <alignment horizontal="center"/>
    </xf>
    <xf numFmtId="0" fontId="38" fillId="0" borderId="75" xfId="9" applyFont="1" applyBorder="1" applyAlignment="1">
      <alignment horizontal="center"/>
    </xf>
    <xf numFmtId="0" fontId="38" fillId="0" borderId="8" xfId="9" applyFont="1" applyBorder="1" applyAlignment="1">
      <alignment horizontal="center"/>
    </xf>
    <xf numFmtId="0" fontId="3" fillId="0" borderId="21" xfId="9" applyBorder="1"/>
    <xf numFmtId="0" fontId="38" fillId="12" borderId="29" xfId="9" applyFont="1" applyFill="1" applyBorder="1" applyAlignment="1">
      <alignment horizontal="center"/>
    </xf>
    <xf numFmtId="0" fontId="43" fillId="13" borderId="4" xfId="9" applyFont="1" applyFill="1" applyBorder="1"/>
    <xf numFmtId="0" fontId="31" fillId="6" borderId="4" xfId="9" applyFont="1" applyFill="1" applyBorder="1" applyAlignment="1">
      <alignment horizontal="center"/>
    </xf>
    <xf numFmtId="0" fontId="3" fillId="14" borderId="4" xfId="9" applyFill="1" applyBorder="1"/>
    <xf numFmtId="0" fontId="3" fillId="15" borderId="4" xfId="9" applyFill="1" applyBorder="1"/>
    <xf numFmtId="0" fontId="31" fillId="4" borderId="20" xfId="9" applyFont="1" applyFill="1" applyBorder="1" applyAlignment="1">
      <alignment horizontal="center"/>
    </xf>
    <xf numFmtId="172" fontId="3" fillId="0" borderId="0" xfId="9" applyNumberFormat="1"/>
    <xf numFmtId="2" fontId="57" fillId="12" borderId="29" xfId="9" applyNumberFormat="1" applyFont="1" applyFill="1" applyBorder="1" applyAlignment="1">
      <alignment horizontal="center"/>
    </xf>
    <xf numFmtId="2" fontId="27" fillId="6" borderId="4" xfId="9" applyNumberFormat="1" applyFont="1" applyFill="1" applyBorder="1" applyAlignment="1">
      <alignment horizontal="center"/>
    </xf>
    <xf numFmtId="2" fontId="22" fillId="4" borderId="4" xfId="9" applyNumberFormat="1" applyFont="1" applyFill="1" applyBorder="1"/>
    <xf numFmtId="0" fontId="3" fillId="0" borderId="0" xfId="11" applyAlignment="1">
      <alignment horizontal="center"/>
    </xf>
    <xf numFmtId="0" fontId="3" fillId="0" borderId="75" xfId="11" applyBorder="1" applyAlignment="1">
      <alignment horizontal="center"/>
    </xf>
    <xf numFmtId="0" fontId="3" fillId="0" borderId="8" xfId="11" applyBorder="1" applyAlignment="1">
      <alignment horizontal="center"/>
    </xf>
    <xf numFmtId="0" fontId="3" fillId="0" borderId="75" xfId="11" applyBorder="1"/>
    <xf numFmtId="0" fontId="3" fillId="0" borderId="8" xfId="11" applyBorder="1"/>
    <xf numFmtId="0" fontId="57" fillId="12" borderId="29" xfId="9" applyFont="1" applyFill="1" applyBorder="1" applyAlignment="1">
      <alignment horizontal="center"/>
    </xf>
    <xf numFmtId="0" fontId="58" fillId="7" borderId="4" xfId="9" applyFont="1" applyFill="1" applyBorder="1"/>
    <xf numFmtId="0" fontId="27" fillId="14" borderId="4" xfId="9" applyFont="1" applyFill="1" applyBorder="1" applyAlignment="1">
      <alignment horizontal="center"/>
    </xf>
    <xf numFmtId="0" fontId="22" fillId="6" borderId="4" xfId="9" applyFont="1" applyFill="1" applyBorder="1"/>
    <xf numFmtId="0" fontId="22" fillId="4" borderId="4" xfId="9" applyFont="1" applyFill="1" applyBorder="1"/>
    <xf numFmtId="0" fontId="27" fillId="4" borderId="20" xfId="9" applyFont="1" applyFill="1" applyBorder="1" applyAlignment="1">
      <alignment horizontal="center"/>
    </xf>
    <xf numFmtId="0" fontId="3" fillId="0" borderId="121" xfId="11" applyBorder="1"/>
    <xf numFmtId="0" fontId="3" fillId="0" borderId="18" xfId="9" applyBorder="1"/>
    <xf numFmtId="0" fontId="31" fillId="0" borderId="67" xfId="0" applyFont="1" applyBorder="1" applyAlignment="1">
      <alignment horizontal="center"/>
    </xf>
    <xf numFmtId="0" fontId="66" fillId="14" borderId="0" xfId="9" applyFont="1" applyFill="1"/>
    <xf numFmtId="0" fontId="0" fillId="0" borderId="27" xfId="0" applyBorder="1" applyAlignment="1">
      <alignment horizontal="center"/>
    </xf>
    <xf numFmtId="0" fontId="0" fillId="0" borderId="27" xfId="0" applyBorder="1" applyAlignment="1">
      <alignment horizontal="center" wrapText="1"/>
    </xf>
    <xf numFmtId="10" fontId="0" fillId="0" borderId="0" xfId="20" applyNumberFormat="1" applyFont="1"/>
    <xf numFmtId="10" fontId="0" fillId="0" borderId="0" xfId="0" applyNumberFormat="1"/>
    <xf numFmtId="0" fontId="3" fillId="0" borderId="0" xfId="14" applyAlignment="1">
      <alignment vertical="center"/>
    </xf>
    <xf numFmtId="0" fontId="3" fillId="0" borderId="0" xfId="15" applyAlignment="1">
      <alignment horizontal="center" vertical="center"/>
    </xf>
    <xf numFmtId="0" fontId="3" fillId="0" borderId="0" xfId="15" applyAlignment="1">
      <alignment vertical="center"/>
    </xf>
    <xf numFmtId="0" fontId="4" fillId="0" borderId="0" xfId="15" applyFont="1" applyAlignment="1">
      <alignment horizontal="center" vertical="center"/>
    </xf>
    <xf numFmtId="0" fontId="4" fillId="0" borderId="0" xfId="1" applyNumberFormat="1" applyFont="1" applyFill="1" applyBorder="1" applyAlignment="1">
      <alignment horizontal="left"/>
    </xf>
    <xf numFmtId="168" fontId="4" fillId="0" borderId="0" xfId="1" applyNumberFormat="1" applyFont="1" applyFill="1" applyBorder="1" applyAlignment="1">
      <alignment horizontal="left"/>
    </xf>
    <xf numFmtId="3" fontId="30" fillId="0" borderId="0" xfId="15" applyNumberFormat="1" applyFont="1" applyAlignment="1">
      <alignment vertical="center"/>
    </xf>
    <xf numFmtId="0" fontId="3" fillId="0" borderId="0" xfId="15"/>
    <xf numFmtId="0" fontId="27" fillId="0" borderId="58" xfId="15" applyFont="1" applyBorder="1" applyAlignment="1">
      <alignment horizontal="left" vertical="center"/>
    </xf>
    <xf numFmtId="0" fontId="27" fillId="0" borderId="58" xfId="15" applyFont="1" applyBorder="1" applyAlignment="1">
      <alignment horizontal="center" vertical="center"/>
    </xf>
    <xf numFmtId="173" fontId="71" fillId="0" borderId="58" xfId="15" applyNumberFormat="1" applyFont="1" applyBorder="1" applyAlignment="1">
      <alignment horizontal="left" vertical="center"/>
    </xf>
    <xf numFmtId="3" fontId="27" fillId="0" borderId="58" xfId="15" applyNumberFormat="1" applyFont="1" applyBorder="1" applyAlignment="1">
      <alignment horizontal="left" vertical="center"/>
    </xf>
    <xf numFmtId="0" fontId="0" fillId="0" borderId="0" xfId="15" applyFont="1"/>
    <xf numFmtId="0" fontId="22" fillId="0" borderId="83" xfId="15" applyFont="1" applyBorder="1" applyAlignment="1">
      <alignment horizontal="center" vertical="center"/>
    </xf>
    <xf numFmtId="0" fontId="22" fillId="0" borderId="84" xfId="15" applyFont="1" applyBorder="1" applyAlignment="1">
      <alignment horizontal="center" vertical="center"/>
    </xf>
    <xf numFmtId="0" fontId="22" fillId="0" borderId="85" xfId="14" applyFont="1" applyBorder="1" applyAlignment="1">
      <alignment horizontal="left" vertical="center"/>
    </xf>
    <xf numFmtId="0" fontId="22" fillId="0" borderId="86" xfId="14" applyFont="1" applyBorder="1" applyAlignment="1">
      <alignment horizontal="center" vertical="center"/>
    </xf>
    <xf numFmtId="2" fontId="22" fillId="0" borderId="87" xfId="1" applyNumberFormat="1" applyFont="1" applyFill="1" applyBorder="1" applyAlignment="1">
      <alignment horizontal="right" vertical="center"/>
    </xf>
    <xf numFmtId="3" fontId="22" fillId="0" borderId="84" xfId="15" applyNumberFormat="1" applyFont="1" applyBorder="1" applyAlignment="1">
      <alignment vertical="center"/>
    </xf>
    <xf numFmtId="0" fontId="22" fillId="0" borderId="88" xfId="15" applyFont="1" applyBorder="1" applyAlignment="1">
      <alignment horizontal="center" vertical="center"/>
    </xf>
    <xf numFmtId="0" fontId="22" fillId="0" borderId="88" xfId="15" applyFont="1" applyBorder="1" applyAlignment="1">
      <alignment horizontal="left" vertical="center"/>
    </xf>
    <xf numFmtId="0" fontId="4" fillId="0" borderId="88" xfId="1" applyNumberFormat="1" applyFont="1" applyFill="1" applyBorder="1" applyAlignment="1">
      <alignment horizontal="right"/>
    </xf>
    <xf numFmtId="3" fontId="30" fillId="0" borderId="85" xfId="15" applyNumberFormat="1" applyFont="1" applyBorder="1" applyAlignment="1">
      <alignment vertical="center"/>
    </xf>
    <xf numFmtId="0" fontId="22" fillId="0" borderId="0" xfId="15" applyFont="1" applyAlignment="1">
      <alignment horizontal="center" vertical="center"/>
    </xf>
    <xf numFmtId="0" fontId="22" fillId="0" borderId="0" xfId="15" applyFont="1" applyAlignment="1">
      <alignment vertical="center"/>
    </xf>
    <xf numFmtId="0" fontId="4" fillId="0" borderId="0" xfId="1" applyNumberFormat="1" applyFont="1" applyFill="1" applyBorder="1" applyAlignment="1">
      <alignment horizontal="right"/>
    </xf>
    <xf numFmtId="3" fontId="30" fillId="0" borderId="83" xfId="15" applyNumberFormat="1" applyFont="1" applyBorder="1" applyAlignment="1">
      <alignment vertical="center"/>
    </xf>
    <xf numFmtId="3" fontId="30" fillId="0" borderId="89" xfId="15" applyNumberFormat="1" applyFont="1" applyBorder="1" applyAlignment="1">
      <alignment vertical="center"/>
    </xf>
    <xf numFmtId="3" fontId="30" fillId="0" borderId="88" xfId="15" applyNumberFormat="1" applyFont="1" applyBorder="1" applyAlignment="1">
      <alignment vertical="center"/>
    </xf>
    <xf numFmtId="0" fontId="4" fillId="0" borderId="0" xfId="1" applyNumberFormat="1" applyFont="1" applyFill="1" applyBorder="1" applyAlignment="1"/>
    <xf numFmtId="0" fontId="22" fillId="0" borderId="83" xfId="14" applyFont="1" applyBorder="1" applyAlignment="1">
      <alignment horizontal="left" vertical="center"/>
    </xf>
    <xf numFmtId="0" fontId="22" fillId="0" borderId="83" xfId="14" applyFont="1" applyBorder="1" applyAlignment="1">
      <alignment horizontal="center" vertical="center"/>
    </xf>
    <xf numFmtId="2" fontId="22" fillId="0" borderId="83" xfId="1" applyNumberFormat="1" applyFont="1" applyFill="1" applyBorder="1" applyAlignment="1">
      <alignment horizontal="right" vertical="center"/>
    </xf>
    <xf numFmtId="174" fontId="22" fillId="5" borderId="83" xfId="0" applyNumberFormat="1" applyFont="1" applyFill="1" applyBorder="1"/>
    <xf numFmtId="3" fontId="22" fillId="0" borderId="83" xfId="15" applyNumberFormat="1" applyFont="1" applyBorder="1" applyAlignment="1">
      <alignment vertical="center"/>
    </xf>
    <xf numFmtId="2" fontId="22" fillId="0" borderId="84" xfId="15" applyNumberFormat="1" applyFont="1" applyBorder="1" applyAlignment="1">
      <alignment horizontal="right" vertical="center"/>
    </xf>
    <xf numFmtId="2" fontId="22" fillId="0" borderId="83" xfId="15" applyNumberFormat="1" applyFont="1" applyBorder="1" applyAlignment="1">
      <alignment vertical="center"/>
    </xf>
    <xf numFmtId="2" fontId="22" fillId="0" borderId="83" xfId="15" applyNumberFormat="1" applyFont="1" applyBorder="1" applyAlignment="1">
      <alignment horizontal="right" vertical="center"/>
    </xf>
    <xf numFmtId="0" fontId="22" fillId="0" borderId="83" xfId="15" applyFont="1" applyBorder="1" applyAlignment="1">
      <alignment vertical="center"/>
    </xf>
    <xf numFmtId="0" fontId="22" fillId="0" borderId="83" xfId="14" applyFont="1" applyBorder="1" applyAlignment="1">
      <alignment horizontal="left" vertical="center" wrapText="1"/>
    </xf>
    <xf numFmtId="2" fontId="3" fillId="0" borderId="0" xfId="15" applyNumberFormat="1"/>
    <xf numFmtId="0" fontId="4" fillId="0" borderId="88" xfId="15" applyFont="1" applyBorder="1" applyAlignment="1">
      <alignment horizontal="center" vertical="center"/>
    </xf>
    <xf numFmtId="0" fontId="4" fillId="0" borderId="88" xfId="1" applyNumberFormat="1" applyFont="1" applyFill="1" applyBorder="1" applyAlignment="1">
      <alignment horizontal="left"/>
    </xf>
    <xf numFmtId="173" fontId="72" fillId="0" borderId="58" xfId="15" applyNumberFormat="1" applyFont="1" applyBorder="1" applyAlignment="1">
      <alignment horizontal="center" vertical="center"/>
    </xf>
    <xf numFmtId="2" fontId="22" fillId="0" borderId="84" xfId="1" applyNumberFormat="1" applyFont="1" applyFill="1" applyBorder="1" applyAlignment="1">
      <alignment horizontal="right" vertical="center"/>
    </xf>
    <xf numFmtId="2" fontId="22" fillId="0" borderId="90" xfId="15" applyNumberFormat="1" applyFont="1" applyBorder="1" applyAlignment="1">
      <alignment horizontal="right" vertical="center"/>
    </xf>
    <xf numFmtId="173" fontId="72" fillId="0" borderId="58" xfId="15" applyNumberFormat="1" applyFont="1" applyBorder="1" applyAlignment="1">
      <alignment horizontal="left" vertical="center"/>
    </xf>
    <xf numFmtId="0" fontId="22" fillId="0" borderId="85" xfId="15" applyFont="1" applyBorder="1" applyAlignment="1">
      <alignment horizontal="center" vertical="center"/>
    </xf>
    <xf numFmtId="2" fontId="22" fillId="0" borderId="85" xfId="15" applyNumberFormat="1" applyFont="1" applyBorder="1" applyAlignment="1">
      <alignment vertical="center"/>
    </xf>
    <xf numFmtId="3" fontId="22" fillId="0" borderId="85" xfId="15" applyNumberFormat="1" applyFont="1" applyBorder="1" applyAlignment="1">
      <alignment vertical="center"/>
    </xf>
    <xf numFmtId="2" fontId="22" fillId="0" borderId="83" xfId="15" applyNumberFormat="1" applyFont="1" applyBorder="1" applyAlignment="1">
      <alignment horizontal="right"/>
    </xf>
    <xf numFmtId="0" fontId="3" fillId="0" borderId="88" xfId="15" applyBorder="1"/>
    <xf numFmtId="0" fontId="4" fillId="0" borderId="91" xfId="1" applyNumberFormat="1" applyFont="1" applyFill="1" applyBorder="1" applyAlignment="1">
      <alignment horizontal="right"/>
    </xf>
    <xf numFmtId="0" fontId="4" fillId="0" borderId="92" xfId="1" applyNumberFormat="1" applyFont="1" applyFill="1" applyBorder="1" applyAlignment="1">
      <alignment horizontal="right"/>
    </xf>
    <xf numFmtId="0" fontId="22" fillId="0" borderId="90" xfId="15" applyFont="1" applyBorder="1" applyAlignment="1">
      <alignment horizontal="center" vertical="center"/>
    </xf>
    <xf numFmtId="2" fontId="22" fillId="0" borderId="90" xfId="15" applyNumberFormat="1" applyFont="1" applyBorder="1" applyAlignment="1">
      <alignment vertical="center"/>
    </xf>
    <xf numFmtId="0" fontId="27" fillId="0" borderId="58" xfId="15" applyFont="1" applyBorder="1" applyAlignment="1">
      <alignment horizontal="center" vertical="center" wrapText="1"/>
    </xf>
    <xf numFmtId="0" fontId="27" fillId="0" borderId="58" xfId="15" applyFont="1" applyBorder="1" applyAlignment="1">
      <alignment vertical="center"/>
    </xf>
    <xf numFmtId="0" fontId="22" fillId="0" borderId="90" xfId="14" applyFont="1" applyBorder="1" applyAlignment="1">
      <alignment horizontal="left" vertical="center" wrapText="1"/>
    </xf>
    <xf numFmtId="0" fontId="22" fillId="0" borderId="90" xfId="14" applyFont="1" applyBorder="1" applyAlignment="1">
      <alignment horizontal="center" vertical="center"/>
    </xf>
    <xf numFmtId="174" fontId="22" fillId="5" borderId="90" xfId="0" applyNumberFormat="1" applyFont="1" applyFill="1" applyBorder="1"/>
    <xf numFmtId="3" fontId="22" fillId="0" borderId="90" xfId="15" applyNumberFormat="1" applyFont="1" applyBorder="1" applyAlignment="1">
      <alignment vertical="center"/>
    </xf>
    <xf numFmtId="0" fontId="22" fillId="0" borderId="0" xfId="15" applyFont="1" applyAlignment="1">
      <alignment horizontal="left" vertical="center"/>
    </xf>
    <xf numFmtId="3" fontId="30" fillId="0" borderId="93" xfId="15" applyNumberFormat="1" applyFont="1" applyBorder="1" applyAlignment="1">
      <alignment vertical="center"/>
    </xf>
    <xf numFmtId="2" fontId="22" fillId="0" borderId="85" xfId="1" applyNumberFormat="1" applyFont="1" applyFill="1" applyBorder="1" applyAlignment="1">
      <alignment horizontal="right" vertical="center"/>
    </xf>
    <xf numFmtId="0" fontId="22" fillId="0" borderId="93" xfId="15" applyFont="1" applyBorder="1" applyAlignment="1">
      <alignment horizontal="center" vertical="center"/>
    </xf>
    <xf numFmtId="0" fontId="22" fillId="0" borderId="93" xfId="15" applyFont="1" applyBorder="1" applyAlignment="1">
      <alignment horizontal="left" vertical="center"/>
    </xf>
    <xf numFmtId="2" fontId="22" fillId="0" borderId="93" xfId="15" applyNumberFormat="1" applyFont="1" applyBorder="1" applyAlignment="1">
      <alignment horizontal="right" vertical="center"/>
    </xf>
    <xf numFmtId="3" fontId="22" fillId="0" borderId="93" xfId="15" applyNumberFormat="1" applyFont="1" applyBorder="1" applyAlignment="1">
      <alignment vertical="center"/>
    </xf>
    <xf numFmtId="2" fontId="22" fillId="0" borderId="93" xfId="15" applyNumberFormat="1" applyFont="1" applyBorder="1" applyAlignment="1">
      <alignment vertical="center"/>
    </xf>
    <xf numFmtId="174" fontId="22" fillId="5" borderId="83" xfId="0" applyNumberFormat="1" applyFont="1" applyFill="1" applyBorder="1" applyAlignment="1">
      <alignment vertical="center"/>
    </xf>
    <xf numFmtId="0" fontId="22" fillId="0" borderId="83" xfId="15" applyFont="1" applyBorder="1" applyAlignment="1">
      <alignment horizontal="left" vertical="center"/>
    </xf>
    <xf numFmtId="0" fontId="54" fillId="0" borderId="0" xfId="3" applyFill="1" applyAlignment="1" applyProtection="1"/>
    <xf numFmtId="168" fontId="27" fillId="0" borderId="58" xfId="15" applyNumberFormat="1" applyFont="1" applyBorder="1" applyAlignment="1">
      <alignment horizontal="left" vertical="center"/>
    </xf>
    <xf numFmtId="0" fontId="22" fillId="0" borderId="84" xfId="15" applyFont="1" applyBorder="1" applyAlignment="1">
      <alignment horizontal="left" vertical="center"/>
    </xf>
    <xf numFmtId="0" fontId="31" fillId="0" borderId="0" xfId="1" applyNumberFormat="1" applyFont="1" applyFill="1" applyBorder="1" applyAlignment="1">
      <alignment horizontal="right"/>
    </xf>
    <xf numFmtId="165" fontId="22" fillId="0" borderId="83" xfId="1" applyFont="1" applyFill="1" applyBorder="1" applyAlignment="1">
      <alignment vertical="center"/>
    </xf>
    <xf numFmtId="0" fontId="22" fillId="0" borderId="94" xfId="15" applyFont="1" applyBorder="1" applyAlignment="1">
      <alignment horizontal="center" vertical="center"/>
    </xf>
    <xf numFmtId="0" fontId="73" fillId="0" borderId="0" xfId="15" applyFont="1"/>
    <xf numFmtId="2" fontId="22" fillId="0" borderId="93" xfId="1" applyNumberFormat="1" applyFont="1" applyFill="1" applyBorder="1" applyAlignment="1">
      <alignment horizontal="right" vertical="center"/>
    </xf>
    <xf numFmtId="0" fontId="73" fillId="0" borderId="13" xfId="15" applyFont="1" applyBorder="1"/>
    <xf numFmtId="0" fontId="73" fillId="0" borderId="12" xfId="15" applyFont="1" applyBorder="1"/>
    <xf numFmtId="0" fontId="73" fillId="0" borderId="3" xfId="15" applyFont="1" applyBorder="1"/>
    <xf numFmtId="2" fontId="22" fillId="0" borderId="83" xfId="15" applyNumberFormat="1" applyFont="1" applyBorder="1" applyAlignment="1">
      <alignment horizontal="right" vertical="center" wrapText="1"/>
    </xf>
    <xf numFmtId="3" fontId="30" fillId="0" borderId="95" xfId="1" applyNumberFormat="1" applyFont="1" applyFill="1" applyBorder="1" applyAlignment="1">
      <alignment vertical="center" wrapText="1"/>
    </xf>
    <xf numFmtId="0" fontId="22" fillId="0" borderId="0" xfId="15" applyFont="1" applyAlignment="1">
      <alignment vertical="center" wrapText="1"/>
    </xf>
    <xf numFmtId="2" fontId="22" fillId="0" borderId="85" xfId="15" applyNumberFormat="1" applyFont="1" applyBorder="1" applyAlignment="1">
      <alignment horizontal="right" vertical="center"/>
    </xf>
    <xf numFmtId="0" fontId="4" fillId="0" borderId="0" xfId="14" applyFont="1" applyAlignment="1">
      <alignment vertical="center"/>
    </xf>
    <xf numFmtId="0" fontId="22" fillId="0" borderId="96" xfId="14" applyFont="1" applyBorder="1" applyAlignment="1">
      <alignment horizontal="center" vertical="center"/>
    </xf>
    <xf numFmtId="0" fontId="22" fillId="0" borderId="97" xfId="14" applyFont="1" applyBorder="1" applyAlignment="1">
      <alignment horizontal="center" vertical="center"/>
    </xf>
    <xf numFmtId="174" fontId="22" fillId="5" borderId="90" xfId="0" applyNumberFormat="1" applyFont="1" applyFill="1" applyBorder="1" applyAlignment="1">
      <alignment vertical="center"/>
    </xf>
    <xf numFmtId="0" fontId="4" fillId="0" borderId="0" xfId="6" applyFont="1" applyFill="1" applyBorder="1" applyAlignment="1">
      <alignment horizontal="left"/>
    </xf>
    <xf numFmtId="3" fontId="30" fillId="0" borderId="93" xfId="6" applyNumberFormat="1" applyFont="1" applyFill="1" applyBorder="1" applyAlignment="1">
      <alignment vertical="center" wrapText="1"/>
    </xf>
    <xf numFmtId="0" fontId="4" fillId="0" borderId="0" xfId="6" applyFont="1" applyFill="1" applyBorder="1" applyAlignment="1"/>
    <xf numFmtId="0" fontId="27" fillId="0" borderId="0" xfId="15" applyFont="1" applyAlignment="1">
      <alignment horizontal="left" vertical="center" wrapText="1"/>
    </xf>
    <xf numFmtId="168" fontId="22" fillId="0" borderId="0" xfId="15" applyNumberFormat="1" applyFont="1" applyAlignment="1">
      <alignment horizontal="left" vertical="center"/>
    </xf>
    <xf numFmtId="3" fontId="27" fillId="0" borderId="0" xfId="15" applyNumberFormat="1" applyFont="1" applyAlignment="1">
      <alignment horizontal="left" vertical="center"/>
    </xf>
    <xf numFmtId="0" fontId="22" fillId="0" borderId="85" xfId="15" applyFont="1" applyBorder="1" applyAlignment="1">
      <alignment horizontal="center" vertical="center" wrapText="1"/>
    </xf>
    <xf numFmtId="0" fontId="22" fillId="0" borderId="83" xfId="15" applyFont="1" applyBorder="1" applyAlignment="1">
      <alignment horizontal="center" vertical="center" wrapText="1"/>
    </xf>
    <xf numFmtId="165" fontId="22" fillId="0" borderId="93" xfId="1" applyFont="1" applyFill="1" applyBorder="1" applyAlignment="1">
      <alignment vertical="center"/>
    </xf>
    <xf numFmtId="0" fontId="4" fillId="0" borderId="88" xfId="6" applyFont="1" applyFill="1" applyBorder="1" applyAlignment="1">
      <alignment horizontal="left"/>
    </xf>
    <xf numFmtId="0" fontId="3" fillId="0" borderId="85" xfId="15" applyBorder="1" applyAlignment="1">
      <alignment vertical="center"/>
    </xf>
    <xf numFmtId="168" fontId="22" fillId="0" borderId="85" xfId="15" applyNumberFormat="1" applyFont="1" applyBorder="1" applyAlignment="1">
      <alignment horizontal="center" vertical="center" wrapText="1"/>
    </xf>
    <xf numFmtId="175" fontId="22" fillId="0" borderId="85" xfId="1" applyNumberFormat="1" applyFont="1" applyFill="1" applyBorder="1" applyAlignment="1">
      <alignment horizontal="right" vertical="center"/>
    </xf>
    <xf numFmtId="0" fontId="3" fillId="0" borderId="90" xfId="15" applyBorder="1" applyAlignment="1">
      <alignment vertical="center"/>
    </xf>
    <xf numFmtId="168" fontId="22" fillId="0" borderId="90" xfId="15" applyNumberFormat="1" applyFont="1" applyBorder="1" applyAlignment="1">
      <alignment horizontal="center" vertical="center" wrapText="1"/>
    </xf>
    <xf numFmtId="175" fontId="22" fillId="0" borderId="90" xfId="1" applyNumberFormat="1" applyFont="1" applyFill="1" applyBorder="1" applyAlignment="1">
      <alignment horizontal="right" vertical="center"/>
    </xf>
    <xf numFmtId="176" fontId="30" fillId="0" borderId="85" xfId="1" applyNumberFormat="1" applyFont="1" applyFill="1" applyBorder="1" applyAlignment="1">
      <alignment horizontal="right" vertical="center" wrapText="1"/>
    </xf>
    <xf numFmtId="174" fontId="22" fillId="0" borderId="83" xfId="0" applyNumberFormat="1" applyFont="1" applyBorder="1" applyAlignment="1">
      <alignment vertical="center"/>
    </xf>
    <xf numFmtId="0" fontId="4" fillId="0" borderId="0" xfId="14" applyFont="1"/>
    <xf numFmtId="0" fontId="22" fillId="0" borderId="84" xfId="15" applyFont="1" applyBorder="1" applyAlignment="1">
      <alignment horizontal="center" vertical="center" wrapText="1"/>
    </xf>
    <xf numFmtId="0" fontId="22" fillId="0" borderId="94" xfId="14" applyFont="1" applyBorder="1" applyAlignment="1">
      <alignment horizontal="left" vertical="center" wrapText="1"/>
    </xf>
    <xf numFmtId="0" fontId="22" fillId="0" borderId="98" xfId="14" applyFont="1" applyBorder="1" applyAlignment="1">
      <alignment horizontal="center" vertical="center"/>
    </xf>
    <xf numFmtId="2" fontId="22" fillId="0" borderId="94" xfId="1" applyNumberFormat="1" applyFont="1" applyFill="1" applyBorder="1" applyAlignment="1">
      <alignment horizontal="right" vertical="center"/>
    </xf>
    <xf numFmtId="174" fontId="22" fillId="5" borderId="94" xfId="0" applyNumberFormat="1" applyFont="1" applyFill="1" applyBorder="1" applyAlignment="1">
      <alignment vertical="center"/>
    </xf>
    <xf numFmtId="3" fontId="22" fillId="0" borderId="94" xfId="15" applyNumberFormat="1" applyFont="1" applyBorder="1" applyAlignment="1">
      <alignment vertical="center"/>
    </xf>
    <xf numFmtId="0" fontId="22" fillId="0" borderId="84" xfId="14" applyFont="1" applyBorder="1" applyAlignment="1">
      <alignment horizontal="left" vertical="center" wrapText="1"/>
    </xf>
    <xf numFmtId="0" fontId="22" fillId="0" borderId="99" xfId="14" applyFont="1" applyBorder="1" applyAlignment="1">
      <alignment horizontal="center" vertical="center"/>
    </xf>
    <xf numFmtId="174" fontId="22" fillId="5" borderId="84" xfId="0" applyNumberFormat="1" applyFont="1" applyFill="1" applyBorder="1" applyAlignment="1">
      <alignment vertical="center"/>
    </xf>
    <xf numFmtId="0" fontId="27" fillId="14" borderId="58" xfId="15" applyFont="1" applyFill="1" applyBorder="1" applyAlignment="1">
      <alignment horizontal="left" vertical="center"/>
    </xf>
    <xf numFmtId="0" fontId="27" fillId="14" borderId="58" xfId="15" applyFont="1" applyFill="1" applyBorder="1" applyAlignment="1">
      <alignment horizontal="center" vertical="center"/>
    </xf>
    <xf numFmtId="173" fontId="71" fillId="14" borderId="58" xfId="15" applyNumberFormat="1" applyFont="1" applyFill="1" applyBorder="1" applyAlignment="1">
      <alignment horizontal="left" vertical="center"/>
    </xf>
    <xf numFmtId="3" fontId="27" fillId="14" borderId="58" xfId="15" applyNumberFormat="1" applyFont="1" applyFill="1" applyBorder="1" applyAlignment="1">
      <alignment horizontal="left" vertical="center"/>
    </xf>
    <xf numFmtId="0" fontId="22" fillId="14" borderId="83" xfId="15" applyFont="1" applyFill="1" applyBorder="1" applyAlignment="1">
      <alignment horizontal="center" vertical="center"/>
    </xf>
    <xf numFmtId="0" fontId="22" fillId="14" borderId="83" xfId="15" applyFont="1" applyFill="1" applyBorder="1" applyAlignment="1">
      <alignment horizontal="left" vertical="center" wrapText="1"/>
    </xf>
    <xf numFmtId="0" fontId="22" fillId="14" borderId="96" xfId="14" applyFont="1" applyFill="1" applyBorder="1" applyAlignment="1">
      <alignment horizontal="center" vertical="center"/>
    </xf>
    <xf numFmtId="2" fontId="22" fillId="14" borderId="83" xfId="15" applyNumberFormat="1" applyFont="1" applyFill="1" applyBorder="1" applyAlignment="1">
      <alignment vertical="center"/>
    </xf>
    <xf numFmtId="168" fontId="22" fillId="14" borderId="83" xfId="15" applyNumberFormat="1" applyFont="1" applyFill="1" applyBorder="1" applyAlignment="1">
      <alignment horizontal="center" vertical="center" wrapText="1"/>
    </xf>
    <xf numFmtId="3" fontId="22" fillId="14" borderId="83" xfId="15" applyNumberFormat="1" applyFont="1" applyFill="1" applyBorder="1" applyAlignment="1">
      <alignment vertical="center"/>
    </xf>
    <xf numFmtId="0" fontId="22" fillId="14" borderId="88" xfId="15" applyFont="1" applyFill="1" applyBorder="1" applyAlignment="1">
      <alignment horizontal="center" vertical="center"/>
    </xf>
    <xf numFmtId="0" fontId="22" fillId="14" borderId="88" xfId="15" applyFont="1" applyFill="1" applyBorder="1" applyAlignment="1">
      <alignment horizontal="left" vertical="center"/>
    </xf>
    <xf numFmtId="0" fontId="4" fillId="14" borderId="88" xfId="15" applyFont="1" applyFill="1" applyBorder="1" applyAlignment="1">
      <alignment horizontal="center" vertical="center"/>
    </xf>
    <xf numFmtId="0" fontId="4" fillId="14" borderId="88" xfId="1" applyNumberFormat="1" applyFont="1" applyFill="1" applyBorder="1" applyAlignment="1">
      <alignment horizontal="left"/>
    </xf>
    <xf numFmtId="0" fontId="4" fillId="14" borderId="91" xfId="1" applyNumberFormat="1" applyFont="1" applyFill="1" applyBorder="1" applyAlignment="1">
      <alignment horizontal="right"/>
    </xf>
    <xf numFmtId="3" fontId="30" fillId="14" borderId="85" xfId="15" applyNumberFormat="1" applyFont="1" applyFill="1" applyBorder="1" applyAlignment="1">
      <alignment vertical="center"/>
    </xf>
    <xf numFmtId="0" fontId="22" fillId="14" borderId="0" xfId="15" applyFont="1" applyFill="1" applyAlignment="1">
      <alignment horizontal="center" vertical="center"/>
    </xf>
    <xf numFmtId="0" fontId="22" fillId="14" borderId="0" xfId="15" applyFont="1" applyFill="1" applyAlignment="1">
      <alignment vertical="center"/>
    </xf>
    <xf numFmtId="0" fontId="4" fillId="14" borderId="0" xfId="15" applyFont="1" applyFill="1" applyAlignment="1">
      <alignment horizontal="center" vertical="center"/>
    </xf>
    <xf numFmtId="0" fontId="4" fillId="14" borderId="0" xfId="1" applyNumberFormat="1" applyFont="1" applyFill="1" applyBorder="1" applyAlignment="1"/>
    <xf numFmtId="0" fontId="4" fillId="14" borderId="92" xfId="1" applyNumberFormat="1" applyFont="1" applyFill="1" applyBorder="1" applyAlignment="1">
      <alignment horizontal="right"/>
    </xf>
    <xf numFmtId="3" fontId="30" fillId="14" borderId="83" xfId="15" applyNumberFormat="1" applyFont="1" applyFill="1" applyBorder="1" applyAlignment="1">
      <alignment vertical="center"/>
    </xf>
    <xf numFmtId="0" fontId="3" fillId="14" borderId="0" xfId="15" applyFill="1" applyAlignment="1">
      <alignment vertical="center"/>
    </xf>
    <xf numFmtId="0" fontId="3" fillId="14" borderId="0" xfId="15" applyFill="1" applyAlignment="1">
      <alignment horizontal="center" vertical="center"/>
    </xf>
    <xf numFmtId="3" fontId="30" fillId="14" borderId="89" xfId="15" applyNumberFormat="1" applyFont="1" applyFill="1" applyBorder="1" applyAlignment="1">
      <alignment vertical="center"/>
    </xf>
    <xf numFmtId="0" fontId="22" fillId="0" borderId="85" xfId="15" applyFont="1" applyBorder="1" applyAlignment="1">
      <alignment horizontal="left" vertical="center"/>
    </xf>
    <xf numFmtId="165" fontId="22" fillId="0" borderId="85" xfId="1" applyFont="1" applyFill="1" applyBorder="1" applyAlignment="1">
      <alignment vertical="center"/>
    </xf>
    <xf numFmtId="0" fontId="22" fillId="0" borderId="90" xfId="15" applyFont="1" applyBorder="1" applyAlignment="1">
      <alignment horizontal="left" vertical="center"/>
    </xf>
    <xf numFmtId="165" fontId="22" fillId="0" borderId="90" xfId="1" applyFont="1" applyFill="1" applyBorder="1" applyAlignment="1">
      <alignment vertical="center"/>
    </xf>
    <xf numFmtId="0" fontId="3" fillId="0" borderId="0" xfId="15" applyAlignment="1">
      <alignment horizontal="center"/>
    </xf>
    <xf numFmtId="2" fontId="22" fillId="0" borderId="90" xfId="15" applyNumberFormat="1" applyFont="1" applyBorder="1" applyAlignment="1">
      <alignment horizontal="right" vertical="center" wrapText="1"/>
    </xf>
    <xf numFmtId="168" fontId="27" fillId="14" borderId="58" xfId="15" applyNumberFormat="1" applyFont="1" applyFill="1" applyBorder="1" applyAlignment="1">
      <alignment horizontal="left" vertical="center"/>
    </xf>
    <xf numFmtId="0" fontId="3" fillId="14" borderId="0" xfId="15" applyFill="1"/>
    <xf numFmtId="0" fontId="22" fillId="14" borderId="87" xfId="15" applyFont="1" applyFill="1" applyBorder="1" applyAlignment="1">
      <alignment horizontal="center" vertical="center" wrapText="1"/>
    </xf>
    <xf numFmtId="0" fontId="22" fillId="14" borderId="83" xfId="14" applyFont="1" applyFill="1" applyBorder="1" applyAlignment="1">
      <alignment horizontal="left" vertical="center" wrapText="1"/>
    </xf>
    <xf numFmtId="2" fontId="22" fillId="14" borderId="83" xfId="15" applyNumberFormat="1" applyFont="1" applyFill="1" applyBorder="1" applyAlignment="1">
      <alignment horizontal="right" vertical="center"/>
    </xf>
    <xf numFmtId="174" fontId="22" fillId="14" borderId="83" xfId="0" applyNumberFormat="1" applyFont="1" applyFill="1" applyBorder="1" applyAlignment="1">
      <alignment vertical="center"/>
    </xf>
    <xf numFmtId="3" fontId="22" fillId="14" borderId="87" xfId="15" applyNumberFormat="1" applyFont="1" applyFill="1" applyBorder="1" applyAlignment="1">
      <alignment vertical="center"/>
    </xf>
    <xf numFmtId="3" fontId="30" fillId="14" borderId="93" xfId="15" applyNumberFormat="1" applyFont="1" applyFill="1" applyBorder="1" applyAlignment="1">
      <alignment vertical="center"/>
    </xf>
    <xf numFmtId="0" fontId="22" fillId="0" borderId="89" xfId="15" applyFont="1" applyBorder="1" applyAlignment="1">
      <alignment horizontal="center" vertical="center"/>
    </xf>
    <xf numFmtId="3" fontId="0" fillId="0" borderId="0" xfId="15" applyNumberFormat="1" applyFont="1"/>
    <xf numFmtId="167" fontId="3" fillId="0" borderId="0" xfId="8" applyFont="1" applyFill="1" applyAlignment="1">
      <alignment horizontal="center"/>
    </xf>
    <xf numFmtId="167" fontId="3" fillId="0" borderId="0" xfId="8" applyFill="1"/>
    <xf numFmtId="3" fontId="3" fillId="0" borderId="0" xfId="15" applyNumberFormat="1"/>
    <xf numFmtId="165" fontId="3" fillId="0" borderId="0" xfId="4" applyFont="1" applyFill="1"/>
    <xf numFmtId="0" fontId="6" fillId="0" borderId="0" xfId="12" applyFont="1"/>
    <xf numFmtId="0" fontId="6" fillId="0" borderId="0" xfId="12" applyFont="1" applyAlignment="1">
      <alignment horizontal="right"/>
    </xf>
    <xf numFmtId="177" fontId="31" fillId="0" borderId="18" xfId="0" applyNumberFormat="1" applyFont="1" applyBorder="1" applyAlignment="1">
      <alignment vertical="center"/>
    </xf>
    <xf numFmtId="0" fontId="31" fillId="0" borderId="100" xfId="0" applyFont="1" applyBorder="1" applyAlignment="1">
      <alignment horizontal="center"/>
    </xf>
    <xf numFmtId="0" fontId="31" fillId="0" borderId="101" xfId="0" applyFont="1" applyBorder="1" applyAlignment="1">
      <alignment horizontal="center"/>
    </xf>
    <xf numFmtId="0" fontId="31" fillId="0" borderId="102" xfId="0" applyFont="1" applyBorder="1" applyAlignment="1">
      <alignment horizontal="center"/>
    </xf>
    <xf numFmtId="0" fontId="31" fillId="0" borderId="102" xfId="0" applyFont="1" applyBorder="1" applyAlignment="1">
      <alignment horizontal="center" vertical="center"/>
    </xf>
    <xf numFmtId="0" fontId="31" fillId="0" borderId="103" xfId="0" applyFont="1" applyBorder="1" applyAlignment="1">
      <alignment horizontal="center"/>
    </xf>
    <xf numFmtId="167" fontId="3" fillId="0" borderId="0" xfId="8" applyFont="1" applyFill="1" applyAlignment="1"/>
    <xf numFmtId="0" fontId="31" fillId="0" borderId="5" xfId="0" applyFont="1" applyBorder="1" applyAlignment="1">
      <alignment horizontal="center"/>
    </xf>
    <xf numFmtId="0" fontId="31" fillId="0" borderId="64" xfId="0" applyFont="1" applyBorder="1" applyAlignment="1">
      <alignment horizontal="center"/>
    </xf>
    <xf numFmtId="0" fontId="31" fillId="0" borderId="64" xfId="0" applyFont="1" applyBorder="1" applyAlignment="1">
      <alignment horizontal="center" vertical="center"/>
    </xf>
    <xf numFmtId="0" fontId="31" fillId="0" borderId="65" xfId="0" applyFont="1" applyBorder="1" applyAlignment="1">
      <alignment horizontal="center"/>
    </xf>
    <xf numFmtId="0" fontId="31" fillId="0" borderId="54" xfId="0" applyFont="1" applyBorder="1" applyAlignment="1">
      <alignment horizontal="center"/>
    </xf>
    <xf numFmtId="0" fontId="31" fillId="0" borderId="55" xfId="0" quotePrefix="1" applyFont="1" applyBorder="1" applyAlignment="1">
      <alignment horizontal="center"/>
    </xf>
    <xf numFmtId="0" fontId="31" fillId="0" borderId="55" xfId="0" quotePrefix="1" applyFont="1" applyBorder="1" applyAlignment="1">
      <alignment horizontal="center" vertical="center"/>
    </xf>
    <xf numFmtId="0" fontId="31" fillId="5" borderId="68" xfId="0" applyFont="1" applyFill="1" applyBorder="1" applyAlignment="1">
      <alignment horizontal="center"/>
    </xf>
    <xf numFmtId="0" fontId="27" fillId="0" borderId="30" xfId="0" applyFont="1" applyBorder="1"/>
    <xf numFmtId="168" fontId="4" fillId="0" borderId="0" xfId="5" applyNumberFormat="1" applyFont="1" applyFill="1" applyBorder="1" applyAlignment="1">
      <alignment horizontal="center"/>
    </xf>
    <xf numFmtId="165" fontId="4" fillId="0" borderId="0" xfId="5" applyFont="1" applyFill="1" applyBorder="1" applyAlignment="1">
      <alignment horizontal="center" vertical="center"/>
    </xf>
    <xf numFmtId="168" fontId="4" fillId="5" borderId="17" xfId="5" applyNumberFormat="1" applyFont="1" applyFill="1" applyBorder="1" applyAlignment="1">
      <alignment horizontal="center"/>
    </xf>
    <xf numFmtId="168" fontId="3" fillId="0" borderId="12" xfId="5" applyNumberFormat="1" applyFill="1" applyBorder="1"/>
    <xf numFmtId="165" fontId="3" fillId="0" borderId="12" xfId="5" applyFill="1" applyBorder="1" applyAlignment="1">
      <alignment vertical="center"/>
    </xf>
    <xf numFmtId="168" fontId="3" fillId="5" borderId="31" xfId="5" applyNumberFormat="1" applyFill="1" applyBorder="1"/>
    <xf numFmtId="0" fontId="9" fillId="0" borderId="104" xfId="0" applyFont="1" applyBorder="1" applyAlignment="1">
      <alignment horizontal="center"/>
    </xf>
    <xf numFmtId="0" fontId="19" fillId="0" borderId="105" xfId="0" applyFont="1" applyBorder="1"/>
    <xf numFmtId="178" fontId="19" fillId="0" borderId="4" xfId="0" applyNumberFormat="1" applyFont="1" applyBorder="1" applyAlignment="1">
      <alignment horizontal="right" vertical="center"/>
    </xf>
    <xf numFmtId="4" fontId="19" fillId="0" borderId="11" xfId="0" applyNumberFormat="1" applyFont="1" applyBorder="1"/>
    <xf numFmtId="2" fontId="19" fillId="0" borderId="105" xfId="0" applyNumberFormat="1" applyFont="1" applyBorder="1" applyAlignment="1">
      <alignment vertical="center"/>
    </xf>
    <xf numFmtId="165" fontId="19" fillId="0" borderId="106" xfId="5" applyFont="1" applyBorder="1"/>
    <xf numFmtId="4" fontId="19" fillId="0" borderId="107" xfId="0" applyNumberFormat="1" applyFont="1" applyBorder="1" applyAlignment="1">
      <alignment horizontal="right"/>
    </xf>
    <xf numFmtId="4" fontId="19" fillId="0" borderId="105" xfId="0" applyNumberFormat="1" applyFont="1" applyBorder="1"/>
    <xf numFmtId="2" fontId="19" fillId="0" borderId="3" xfId="0" applyNumberFormat="1" applyFont="1" applyBorder="1" applyAlignment="1">
      <alignment vertical="center"/>
    </xf>
    <xf numFmtId="0" fontId="0" fillId="0" borderId="108" xfId="0" applyBorder="1"/>
    <xf numFmtId="4" fontId="22" fillId="0" borderId="12" xfId="0" applyNumberFormat="1" applyFont="1" applyBorder="1"/>
    <xf numFmtId="2" fontId="22" fillId="0" borderId="12" xfId="0" applyNumberFormat="1" applyFont="1" applyBorder="1" applyAlignment="1">
      <alignment vertical="center"/>
    </xf>
    <xf numFmtId="165" fontId="22" fillId="0" borderId="20" xfId="5" applyFont="1" applyBorder="1"/>
    <xf numFmtId="0" fontId="0" fillId="5" borderId="30" xfId="0" applyFill="1" applyBorder="1"/>
    <xf numFmtId="0" fontId="22" fillId="5" borderId="21" xfId="0" applyFont="1" applyFill="1" applyBorder="1"/>
    <xf numFmtId="0" fontId="22" fillId="0" borderId="21" xfId="0" applyFont="1" applyBorder="1"/>
    <xf numFmtId="0" fontId="22" fillId="0" borderId="21" xfId="0" applyFont="1" applyBorder="1" applyAlignment="1">
      <alignment vertical="center"/>
    </xf>
    <xf numFmtId="2" fontId="22" fillId="0" borderId="109" xfId="0" applyNumberFormat="1" applyFont="1" applyBorder="1"/>
    <xf numFmtId="0" fontId="30" fillId="5" borderId="35" xfId="0" applyFont="1" applyFill="1" applyBorder="1"/>
    <xf numFmtId="0" fontId="22" fillId="5" borderId="35" xfId="0" applyFont="1" applyFill="1" applyBorder="1"/>
    <xf numFmtId="0" fontId="22" fillId="5" borderId="35" xfId="0" applyFont="1" applyFill="1" applyBorder="1" applyAlignment="1">
      <alignment vertical="center"/>
    </xf>
    <xf numFmtId="179" fontId="27" fillId="5" borderId="44" xfId="0" applyNumberFormat="1" applyFont="1" applyFill="1" applyBorder="1"/>
    <xf numFmtId="0" fontId="4" fillId="5" borderId="0" xfId="0" applyFont="1" applyFill="1"/>
    <xf numFmtId="0" fontId="0" fillId="5" borderId="0" xfId="0" applyFill="1" applyAlignment="1">
      <alignment vertical="center"/>
    </xf>
    <xf numFmtId="0" fontId="4" fillId="5" borderId="100" xfId="0" applyFont="1" applyFill="1" applyBorder="1" applyAlignment="1">
      <alignment horizontal="center"/>
    </xf>
    <xf numFmtId="0" fontId="4" fillId="5" borderId="15" xfId="0" applyFont="1" applyFill="1" applyBorder="1" applyAlignment="1">
      <alignment horizontal="center"/>
    </xf>
    <xf numFmtId="0" fontId="31" fillId="5" borderId="101" xfId="0" applyFont="1" applyFill="1" applyBorder="1" applyAlignment="1">
      <alignment horizontal="center"/>
    </xf>
    <xf numFmtId="165" fontId="31" fillId="5" borderId="102" xfId="0" applyNumberFormat="1" applyFont="1" applyFill="1" applyBorder="1" applyAlignment="1">
      <alignment horizontal="center" vertical="center"/>
    </xf>
    <xf numFmtId="0" fontId="31" fillId="5" borderId="103" xfId="0" applyFont="1" applyFill="1" applyBorder="1" applyAlignment="1">
      <alignment horizontal="center"/>
    </xf>
    <xf numFmtId="0" fontId="31" fillId="5" borderId="30" xfId="0" applyFont="1" applyFill="1" applyBorder="1" applyAlignment="1">
      <alignment horizontal="center"/>
    </xf>
    <xf numFmtId="0" fontId="31" fillId="5" borderId="0" xfId="0" applyFont="1" applyFill="1" applyAlignment="1">
      <alignment horizontal="center"/>
    </xf>
    <xf numFmtId="0" fontId="31" fillId="5" borderId="5" xfId="0" applyFont="1" applyFill="1" applyBorder="1" applyAlignment="1">
      <alignment horizontal="center"/>
    </xf>
    <xf numFmtId="165" fontId="31" fillId="5" borderId="64" xfId="0" applyNumberFormat="1" applyFont="1" applyFill="1" applyBorder="1" applyAlignment="1">
      <alignment horizontal="center" vertical="center"/>
    </xf>
    <xf numFmtId="0" fontId="31" fillId="5" borderId="65" xfId="0" applyFont="1" applyFill="1" applyBorder="1" applyAlignment="1">
      <alignment horizontal="center"/>
    </xf>
    <xf numFmtId="0" fontId="4" fillId="5" borderId="54" xfId="0" applyFont="1" applyFill="1" applyBorder="1" applyAlignment="1">
      <alignment horizontal="center"/>
    </xf>
    <xf numFmtId="0" fontId="4" fillId="5" borderId="18" xfId="0" applyFont="1" applyFill="1" applyBorder="1" applyAlignment="1">
      <alignment horizontal="center"/>
    </xf>
    <xf numFmtId="0" fontId="31" fillId="5" borderId="67" xfId="0" quotePrefix="1" applyFont="1" applyFill="1" applyBorder="1" applyAlignment="1">
      <alignment horizontal="center"/>
    </xf>
    <xf numFmtId="165" fontId="31" fillId="5" borderId="55" xfId="0" applyNumberFormat="1" applyFont="1" applyFill="1" applyBorder="1" applyAlignment="1">
      <alignment horizontal="center" vertical="center"/>
    </xf>
    <xf numFmtId="0" fontId="30" fillId="5" borderId="0" xfId="0" applyFont="1" applyFill="1"/>
    <xf numFmtId="168" fontId="3" fillId="5" borderId="0" xfId="5" applyNumberFormat="1" applyFill="1" applyBorder="1"/>
    <xf numFmtId="165" fontId="3" fillId="5" borderId="0" xfId="5" applyFill="1" applyBorder="1" applyAlignment="1">
      <alignment vertical="center"/>
    </xf>
    <xf numFmtId="168" fontId="3" fillId="5" borderId="17" xfId="5" applyNumberFormat="1" applyFill="1" applyBorder="1"/>
    <xf numFmtId="0" fontId="9" fillId="5" borderId="29" xfId="0" applyFont="1" applyFill="1" applyBorder="1"/>
    <xf numFmtId="0" fontId="59" fillId="5" borderId="12" xfId="0" applyFont="1" applyFill="1" applyBorder="1"/>
    <xf numFmtId="168" fontId="19" fillId="0" borderId="12" xfId="5" applyNumberFormat="1" applyFont="1" applyBorder="1"/>
    <xf numFmtId="165" fontId="19" fillId="0" borderId="12" xfId="5" applyFont="1" applyBorder="1" applyAlignment="1">
      <alignment vertical="center"/>
    </xf>
    <xf numFmtId="165" fontId="19" fillId="0" borderId="110" xfId="5" applyFont="1" applyBorder="1" applyAlignment="1">
      <alignment horizontal="right"/>
    </xf>
    <xf numFmtId="0" fontId="9" fillId="5" borderId="111" xfId="0" applyFont="1" applyFill="1" applyBorder="1" applyAlignment="1">
      <alignment horizontal="center"/>
    </xf>
    <xf numFmtId="0" fontId="24" fillId="5" borderId="112" xfId="0" applyFont="1" applyFill="1" applyBorder="1"/>
    <xf numFmtId="2" fontId="19" fillId="0" borderId="72" xfId="0" applyNumberFormat="1" applyFont="1" applyBorder="1" applyAlignment="1">
      <alignment horizontal="right"/>
    </xf>
    <xf numFmtId="165" fontId="19" fillId="0" borderId="113" xfId="5" applyFont="1" applyBorder="1" applyAlignment="1"/>
    <xf numFmtId="0" fontId="18" fillId="5" borderId="12" xfId="0" applyFont="1" applyFill="1" applyBorder="1" applyAlignment="1">
      <alignment horizontal="left" vertical="center"/>
    </xf>
    <xf numFmtId="178" fontId="19" fillId="0" borderId="12" xfId="0" applyNumberFormat="1" applyFont="1" applyBorder="1" applyAlignment="1">
      <alignment horizontal="right" vertical="center"/>
    </xf>
    <xf numFmtId="165" fontId="19" fillId="0" borderId="12" xfId="5" applyFont="1" applyBorder="1" applyAlignment="1">
      <alignment horizontal="right" vertical="center"/>
    </xf>
    <xf numFmtId="168" fontId="19" fillId="0" borderId="31" xfId="5" applyNumberFormat="1" applyFont="1" applyBorder="1" applyAlignment="1">
      <alignment horizontal="center" vertical="center"/>
    </xf>
    <xf numFmtId="0" fontId="19" fillId="5" borderId="4" xfId="0" applyFont="1" applyFill="1" applyBorder="1" applyAlignment="1">
      <alignment horizontal="left" vertical="center" wrapText="1"/>
    </xf>
    <xf numFmtId="4" fontId="19" fillId="0" borderId="109" xfId="5" applyNumberFormat="1" applyFont="1" applyBorder="1" applyAlignment="1">
      <alignment horizontal="right" vertical="center"/>
    </xf>
    <xf numFmtId="4" fontId="19" fillId="0" borderId="53" xfId="5" applyNumberFormat="1" applyFont="1" applyBorder="1" applyAlignment="1">
      <alignment horizontal="right" vertical="center"/>
    </xf>
    <xf numFmtId="0" fontId="9" fillId="5" borderId="29" xfId="0" applyFont="1" applyFill="1" applyBorder="1" applyAlignment="1">
      <alignment horizontal="center"/>
    </xf>
    <xf numFmtId="2" fontId="19" fillId="5" borderId="4" xfId="0" applyNumberFormat="1" applyFont="1" applyFill="1" applyBorder="1" applyAlignment="1">
      <alignment horizontal="right" vertical="center"/>
    </xf>
    <xf numFmtId="165" fontId="19" fillId="0" borderId="20" xfId="5" applyFont="1" applyBorder="1" applyAlignment="1">
      <alignment horizontal="right" vertical="center"/>
    </xf>
    <xf numFmtId="0" fontId="9" fillId="5" borderId="76" xfId="0" applyFont="1" applyFill="1" applyBorder="1" applyAlignment="1">
      <alignment horizontal="center" vertical="center"/>
    </xf>
    <xf numFmtId="0" fontId="19" fillId="5" borderId="114" xfId="0" applyFont="1" applyFill="1" applyBorder="1" applyAlignment="1">
      <alignment horizontal="left" vertical="center" wrapText="1"/>
    </xf>
    <xf numFmtId="2" fontId="19" fillId="0" borderId="115" xfId="0" applyNumberFormat="1" applyFont="1" applyBorder="1" applyAlignment="1">
      <alignment horizontal="right" vertical="center"/>
    </xf>
    <xf numFmtId="165" fontId="19" fillId="0" borderId="116" xfId="5" applyFont="1" applyBorder="1" applyAlignment="1">
      <alignment horizontal="right" vertical="center"/>
    </xf>
    <xf numFmtId="0" fontId="9" fillId="5" borderId="60" xfId="0" applyFont="1" applyFill="1" applyBorder="1"/>
    <xf numFmtId="0" fontId="10" fillId="5" borderId="38" xfId="0" applyFont="1" applyFill="1" applyBorder="1"/>
    <xf numFmtId="0" fontId="9" fillId="5" borderId="38" xfId="0" applyFont="1" applyFill="1" applyBorder="1"/>
    <xf numFmtId="4" fontId="24" fillId="5" borderId="33" xfId="0" applyNumberFormat="1" applyFont="1" applyFill="1" applyBorder="1" applyAlignment="1">
      <alignment horizontal="right"/>
    </xf>
    <xf numFmtId="0" fontId="9" fillId="0" borderId="100" xfId="0" applyFont="1" applyBorder="1"/>
    <xf numFmtId="0" fontId="10" fillId="0" borderId="15" xfId="0" applyFont="1" applyBorder="1"/>
    <xf numFmtId="0" fontId="9" fillId="0" borderId="15" xfId="0" applyFont="1" applyBorder="1"/>
    <xf numFmtId="4" fontId="19" fillId="0" borderId="103" xfId="0" applyNumberFormat="1" applyFont="1" applyBorder="1" applyAlignment="1">
      <alignment horizontal="right"/>
    </xf>
    <xf numFmtId="0" fontId="9" fillId="0" borderId="30" xfId="0" applyFont="1" applyBorder="1"/>
    <xf numFmtId="0" fontId="10" fillId="0" borderId="12" xfId="0" applyFont="1" applyBorder="1"/>
    <xf numFmtId="0" fontId="9" fillId="0" borderId="12" xfId="0" applyFont="1" applyBorder="1"/>
    <xf numFmtId="4" fontId="19" fillId="0" borderId="20" xfId="0" applyNumberFormat="1" applyFont="1" applyBorder="1" applyAlignment="1">
      <alignment horizontal="right"/>
    </xf>
    <xf numFmtId="0" fontId="9" fillId="0" borderId="54" xfId="0" applyFont="1" applyBorder="1"/>
    <xf numFmtId="0" fontId="10" fillId="0" borderId="18" xfId="0" applyFont="1" applyBorder="1"/>
    <xf numFmtId="179" fontId="24" fillId="0" borderId="68" xfId="0" applyNumberFormat="1" applyFont="1" applyBorder="1" applyAlignment="1">
      <alignment horizontal="right"/>
    </xf>
    <xf numFmtId="0" fontId="3" fillId="0" borderId="1" xfId="0" applyFont="1" applyBorder="1" applyAlignment="1">
      <alignment vertical="center"/>
    </xf>
    <xf numFmtId="0" fontId="22" fillId="0" borderId="46" xfId="0" applyFont="1" applyBorder="1" applyAlignment="1">
      <alignment horizontal="center" vertical="center"/>
    </xf>
    <xf numFmtId="0" fontId="22" fillId="0" borderId="25" xfId="0" applyFont="1" applyBorder="1" applyAlignment="1">
      <alignment horizontal="center" vertical="center"/>
    </xf>
    <xf numFmtId="0" fontId="0" fillId="0" borderId="25" xfId="0" applyBorder="1" applyAlignment="1">
      <alignment horizontal="center" vertical="center"/>
    </xf>
    <xf numFmtId="0" fontId="3" fillId="0" borderId="25" xfId="0" applyFont="1" applyBorder="1" applyAlignment="1">
      <alignment vertical="center" wrapText="1"/>
    </xf>
    <xf numFmtId="167" fontId="0" fillId="0" borderId="0" xfId="8" applyFont="1" applyAlignment="1">
      <alignment vertical="center"/>
    </xf>
    <xf numFmtId="0" fontId="22" fillId="0" borderId="6" xfId="0" applyFont="1" applyBorder="1" applyAlignment="1">
      <alignment horizontal="center" vertical="center"/>
    </xf>
    <xf numFmtId="0" fontId="22" fillId="0" borderId="29" xfId="0" applyFont="1" applyBorder="1" applyAlignment="1">
      <alignment horizontal="center" vertical="center"/>
    </xf>
    <xf numFmtId="0" fontId="22"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wrapText="1"/>
    </xf>
    <xf numFmtId="167" fontId="0" fillId="0" borderId="4" xfId="8" applyFont="1" applyBorder="1" applyAlignment="1">
      <alignment vertical="center"/>
    </xf>
    <xf numFmtId="0" fontId="22" fillId="0" borderId="13" xfId="0" applyFont="1" applyBorder="1" applyAlignment="1">
      <alignment horizontal="center" vertical="center"/>
    </xf>
    <xf numFmtId="0" fontId="22" fillId="0" borderId="108" xfId="0" applyFont="1" applyBorder="1" applyAlignment="1">
      <alignment horizontal="center" vertical="center"/>
    </xf>
    <xf numFmtId="0" fontId="22" fillId="0" borderId="22" xfId="0" applyFont="1" applyBorder="1" applyAlignment="1">
      <alignment horizontal="center" vertical="center"/>
    </xf>
    <xf numFmtId="0" fontId="0" fillId="0" borderId="22" xfId="0" applyBorder="1" applyAlignment="1">
      <alignment horizontal="center" vertical="center"/>
    </xf>
    <xf numFmtId="0" fontId="0" fillId="0" borderId="22" xfId="0" applyBorder="1" applyAlignment="1">
      <alignment vertical="center" wrapText="1"/>
    </xf>
    <xf numFmtId="167" fontId="0" fillId="0" borderId="22" xfId="8" applyFont="1" applyBorder="1" applyAlignment="1">
      <alignment vertical="center"/>
    </xf>
    <xf numFmtId="0" fontId="22" fillId="0" borderId="10" xfId="0" applyFont="1" applyBorder="1" applyAlignment="1">
      <alignment horizontal="center" vertical="center"/>
    </xf>
    <xf numFmtId="0" fontId="9" fillId="0" borderId="4" xfId="0" applyFont="1" applyBorder="1" applyAlignment="1">
      <alignment horizontal="center" vertical="center"/>
    </xf>
    <xf numFmtId="1" fontId="0" fillId="0" borderId="4" xfId="0" applyNumberFormat="1" applyBorder="1" applyAlignment="1">
      <alignment wrapText="1"/>
    </xf>
    <xf numFmtId="0" fontId="9" fillId="0" borderId="13" xfId="0" applyFont="1" applyBorder="1" applyAlignment="1">
      <alignment horizontal="center" vertical="center"/>
    </xf>
    <xf numFmtId="0" fontId="9" fillId="0" borderId="29"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vertical="center" wrapText="1"/>
    </xf>
    <xf numFmtId="0" fontId="0" fillId="0" borderId="4" xfId="14" applyFont="1" applyBorder="1" applyAlignment="1">
      <alignment horizontal="center" vertical="center" wrapText="1"/>
    </xf>
    <xf numFmtId="0" fontId="3" fillId="0" borderId="4" xfId="0" applyFont="1" applyBorder="1" applyAlignment="1">
      <alignment horizontal="center" vertical="center" wrapText="1"/>
    </xf>
    <xf numFmtId="0" fontId="3" fillId="0" borderId="4" xfId="14" applyBorder="1" applyAlignment="1">
      <alignment horizontal="center" vertical="center" wrapText="1"/>
    </xf>
    <xf numFmtId="0" fontId="3" fillId="0" borderId="22" xfId="0" applyFont="1" applyBorder="1" applyAlignment="1">
      <alignment horizontal="center" vertical="center"/>
    </xf>
    <xf numFmtId="180" fontId="22" fillId="0" borderId="0" xfId="0" applyNumberFormat="1" applyFont="1" applyAlignment="1">
      <alignment horizontal="center" vertical="center"/>
    </xf>
    <xf numFmtId="3" fontId="0" fillId="0" borderId="0" xfId="0" applyNumberFormat="1"/>
    <xf numFmtId="0" fontId="0" fillId="0" borderId="7" xfId="0" applyBorder="1" applyAlignment="1">
      <alignment vertical="center"/>
    </xf>
    <xf numFmtId="0" fontId="22" fillId="0" borderId="42" xfId="0" applyFont="1" applyBorder="1" applyAlignment="1">
      <alignment horizontal="center" vertical="center"/>
    </xf>
    <xf numFmtId="0" fontId="22" fillId="0" borderId="43" xfId="0" applyFont="1" applyBorder="1" applyAlignment="1">
      <alignment horizontal="center" vertical="center"/>
    </xf>
    <xf numFmtId="0" fontId="0" fillId="0" borderId="43" xfId="0" applyBorder="1" applyAlignment="1">
      <alignment horizontal="center" vertical="center"/>
    </xf>
    <xf numFmtId="0" fontId="27" fillId="0" borderId="43" xfId="14" applyFont="1" applyBorder="1" applyAlignment="1">
      <alignment horizontal="right" vertical="center" wrapText="1"/>
    </xf>
    <xf numFmtId="167" fontId="30" fillId="0" borderId="43" xfId="8" applyFont="1" applyBorder="1" applyAlignment="1">
      <alignment horizontal="center" vertical="center"/>
    </xf>
    <xf numFmtId="0" fontId="22" fillId="0" borderId="33" xfId="0" applyFont="1" applyBorder="1" applyAlignment="1">
      <alignment horizontal="center" vertical="center"/>
    </xf>
    <xf numFmtId="174" fontId="22" fillId="0" borderId="90" xfId="0" applyNumberFormat="1" applyFont="1" applyBorder="1" applyAlignment="1">
      <alignment vertical="center"/>
    </xf>
    <xf numFmtId="0" fontId="30" fillId="0" borderId="0" xfId="15" applyFont="1" applyAlignment="1">
      <alignment horizontal="left" vertical="center" wrapText="1"/>
    </xf>
    <xf numFmtId="0" fontId="3" fillId="0" borderId="0" xfId="15" applyAlignment="1">
      <alignment vertical="center" wrapText="1"/>
    </xf>
    <xf numFmtId="168" fontId="3" fillId="0" borderId="0" xfId="15" applyNumberFormat="1" applyAlignment="1">
      <alignment horizontal="left" vertical="center"/>
    </xf>
    <xf numFmtId="3" fontId="30" fillId="0" borderId="0" xfId="15" applyNumberFormat="1" applyFont="1" applyAlignment="1">
      <alignment horizontal="left" vertical="center"/>
    </xf>
    <xf numFmtId="2" fontId="22" fillId="0" borderId="95" xfId="1" applyNumberFormat="1" applyFont="1" applyFill="1" applyBorder="1" applyAlignment="1">
      <alignment horizontal="right" vertical="center"/>
    </xf>
    <xf numFmtId="0" fontId="3" fillId="0" borderId="14" xfId="9" applyBorder="1"/>
    <xf numFmtId="0" fontId="3" fillId="0" borderId="15" xfId="9" applyBorder="1"/>
    <xf numFmtId="0" fontId="3" fillId="0" borderId="16" xfId="9" applyBorder="1"/>
    <xf numFmtId="0" fontId="3" fillId="0" borderId="17" xfId="9" applyBorder="1"/>
    <xf numFmtId="0" fontId="32" fillId="0" borderId="7" xfId="9" applyFont="1" applyBorder="1" applyAlignment="1">
      <alignment vertical="top"/>
    </xf>
    <xf numFmtId="0" fontId="32" fillId="0" borderId="7" xfId="9" applyFont="1" applyBorder="1"/>
    <xf numFmtId="0" fontId="3" fillId="0" borderId="9" xfId="9" applyBorder="1"/>
    <xf numFmtId="0" fontId="3" fillId="0" borderId="19" xfId="9" applyBorder="1"/>
    <xf numFmtId="0" fontId="46" fillId="0" borderId="13" xfId="9" applyFont="1" applyBorder="1" applyAlignment="1">
      <alignment horizontal="center"/>
    </xf>
    <xf numFmtId="0" fontId="46" fillId="0" borderId="3" xfId="9" applyFont="1" applyBorder="1" applyAlignment="1">
      <alignment horizontal="center"/>
    </xf>
    <xf numFmtId="0" fontId="32" fillId="17" borderId="4" xfId="9" applyFont="1" applyFill="1" applyBorder="1" applyAlignment="1">
      <alignment horizontal="center" vertical="center"/>
    </xf>
    <xf numFmtId="0" fontId="32" fillId="0" borderId="3" xfId="9" applyFont="1" applyBorder="1" applyAlignment="1">
      <alignment horizontal="left" vertical="center"/>
    </xf>
    <xf numFmtId="0" fontId="32" fillId="13" borderId="4" xfId="9" applyFont="1" applyFill="1" applyBorder="1" applyAlignment="1">
      <alignment horizontal="center"/>
    </xf>
    <xf numFmtId="0" fontId="32" fillId="0" borderId="4" xfId="9" applyFont="1" applyBorder="1" applyAlignment="1">
      <alignment vertical="center"/>
    </xf>
    <xf numFmtId="0" fontId="32" fillId="14" borderId="4" xfId="9" applyFont="1" applyFill="1" applyBorder="1" applyAlignment="1">
      <alignment horizontal="center"/>
    </xf>
    <xf numFmtId="0" fontId="32" fillId="18" borderId="4" xfId="9" applyFont="1" applyFill="1" applyBorder="1" applyAlignment="1">
      <alignment horizontal="center"/>
    </xf>
    <xf numFmtId="0" fontId="32" fillId="15" borderId="4" xfId="9" applyFont="1" applyFill="1" applyBorder="1" applyAlignment="1">
      <alignment horizontal="center"/>
    </xf>
    <xf numFmtId="0" fontId="27" fillId="0" borderId="0" xfId="17" applyFont="1" applyAlignment="1">
      <alignment horizontal="center"/>
    </xf>
    <xf numFmtId="0" fontId="27" fillId="0" borderId="0" xfId="17" applyFont="1"/>
    <xf numFmtId="0" fontId="23" fillId="0" borderId="0" xfId="17" applyFont="1" applyAlignment="1">
      <alignment horizontal="center"/>
    </xf>
    <xf numFmtId="0" fontId="3" fillId="0" borderId="0" xfId="9" applyAlignment="1">
      <alignment vertical="center"/>
    </xf>
    <xf numFmtId="0" fontId="22" fillId="0" borderId="0" xfId="9" applyFont="1"/>
    <xf numFmtId="0" fontId="30" fillId="0" borderId="36" xfId="9" applyFont="1" applyBorder="1" applyAlignment="1">
      <alignment horizontal="center" vertical="center"/>
    </xf>
    <xf numFmtId="0" fontId="30" fillId="0" borderId="51" xfId="9" applyFont="1" applyBorder="1" applyAlignment="1">
      <alignment horizontal="center" vertical="center"/>
    </xf>
    <xf numFmtId="0" fontId="30" fillId="0" borderId="15" xfId="9" applyFont="1" applyBorder="1" applyAlignment="1">
      <alignment horizontal="center" vertical="center"/>
    </xf>
    <xf numFmtId="0" fontId="3" fillId="0" borderId="29" xfId="9" applyBorder="1" applyAlignment="1">
      <alignment horizontal="center" vertical="center"/>
    </xf>
    <xf numFmtId="0" fontId="3" fillId="0" borderId="4" xfId="9" applyBorder="1" applyAlignment="1">
      <alignment horizontal="center" vertical="center"/>
    </xf>
    <xf numFmtId="0" fontId="22" fillId="0" borderId="4" xfId="9" applyFont="1" applyBorder="1" applyAlignment="1">
      <alignment horizontal="center" vertical="center" wrapText="1"/>
    </xf>
    <xf numFmtId="0" fontId="22" fillId="0" borderId="4" xfId="9" applyFont="1" applyBorder="1" applyAlignment="1">
      <alignment horizontal="center" vertical="center"/>
    </xf>
    <xf numFmtId="0" fontId="3" fillId="0" borderId="43" xfId="9" applyBorder="1" applyAlignment="1">
      <alignment horizontal="center" vertical="center"/>
    </xf>
    <xf numFmtId="0" fontId="22" fillId="0" borderId="18" xfId="9" applyFont="1" applyBorder="1" applyAlignment="1">
      <alignment horizontal="center" vertical="center"/>
    </xf>
    <xf numFmtId="0" fontId="22" fillId="0" borderId="43" xfId="9" applyFont="1" applyBorder="1" applyAlignment="1">
      <alignment horizontal="center" vertical="center" wrapText="1"/>
    </xf>
    <xf numFmtId="0" fontId="3" fillId="0" borderId="0" xfId="9" applyAlignment="1">
      <alignment horizontal="center" vertical="center"/>
    </xf>
    <xf numFmtId="0" fontId="22" fillId="0" borderId="0" xfId="9" applyFont="1" applyAlignment="1">
      <alignment horizontal="center" vertical="center"/>
    </xf>
    <xf numFmtId="0" fontId="22" fillId="0" borderId="0" xfId="9" applyFont="1" applyAlignment="1">
      <alignment horizontal="center" vertical="center" wrapText="1"/>
    </xf>
    <xf numFmtId="0" fontId="22" fillId="0" borderId="0" xfId="9" applyFont="1" applyAlignment="1">
      <alignment horizontal="left" vertical="center" wrapText="1"/>
    </xf>
    <xf numFmtId="0" fontId="63" fillId="0" borderId="0" xfId="9" applyFont="1" applyAlignment="1">
      <alignment horizontal="center" vertical="center"/>
    </xf>
    <xf numFmtId="0" fontId="3" fillId="0" borderId="0" xfId="9" applyAlignment="1">
      <alignment horizontal="left" vertical="justify"/>
    </xf>
    <xf numFmtId="0" fontId="3" fillId="0" borderId="0" xfId="9" applyAlignment="1">
      <alignment horizontal="right"/>
    </xf>
    <xf numFmtId="2" fontId="22" fillId="0" borderId="94" xfId="15" applyNumberFormat="1" applyFont="1" applyBorder="1" applyAlignment="1">
      <alignment horizontal="right" vertical="center"/>
    </xf>
    <xf numFmtId="0" fontId="22" fillId="0" borderId="89" xfId="14" applyFont="1" applyBorder="1" applyAlignment="1">
      <alignment horizontal="left" vertical="center" wrapText="1"/>
    </xf>
    <xf numFmtId="0" fontId="22" fillId="0" borderId="89" xfId="14" applyFont="1" applyBorder="1" applyAlignment="1">
      <alignment horizontal="center" vertical="center"/>
    </xf>
    <xf numFmtId="2" fontId="22" fillId="0" borderId="89" xfId="15" applyNumberFormat="1" applyFont="1" applyBorder="1" applyAlignment="1">
      <alignment vertical="center"/>
    </xf>
    <xf numFmtId="174" fontId="22" fillId="5" borderId="89" xfId="0" applyNumberFormat="1" applyFont="1" applyFill="1" applyBorder="1" applyAlignment="1">
      <alignment vertical="center"/>
    </xf>
    <xf numFmtId="3" fontId="22" fillId="0" borderId="89" xfId="15" applyNumberFormat="1" applyFont="1" applyBorder="1" applyAlignment="1">
      <alignment vertical="center"/>
    </xf>
    <xf numFmtId="3" fontId="30" fillId="0" borderId="84" xfId="15" applyNumberFormat="1" applyFont="1" applyBorder="1" applyAlignment="1">
      <alignment vertical="center"/>
    </xf>
    <xf numFmtId="0" fontId="59" fillId="0" borderId="4" xfId="0" applyFont="1" applyBorder="1" applyAlignment="1">
      <alignment horizontal="center" vertical="center"/>
    </xf>
    <xf numFmtId="167" fontId="0" fillId="0" borderId="4" xfId="8" applyFont="1" applyFill="1" applyBorder="1" applyAlignment="1">
      <alignment vertical="center"/>
    </xf>
    <xf numFmtId="0" fontId="30" fillId="2" borderId="40" xfId="0" applyFont="1" applyFill="1" applyBorder="1" applyAlignment="1">
      <alignment horizontal="center" vertical="center"/>
    </xf>
    <xf numFmtId="0" fontId="3" fillId="0" borderId="25" xfId="0" applyFont="1" applyBorder="1" applyAlignment="1">
      <alignment horizontal="center" vertical="center"/>
    </xf>
    <xf numFmtId="0" fontId="3" fillId="0" borderId="4" xfId="14" applyBorder="1" applyAlignment="1">
      <alignment horizontal="center" vertical="center"/>
    </xf>
    <xf numFmtId="0" fontId="0" fillId="0" borderId="22" xfId="14" applyFont="1" applyBorder="1" applyAlignment="1">
      <alignment horizontal="center" vertical="center"/>
    </xf>
    <xf numFmtId="1" fontId="0" fillId="0" borderId="22" xfId="0" applyNumberFormat="1" applyBorder="1" applyAlignment="1">
      <alignment wrapText="1"/>
    </xf>
    <xf numFmtId="0" fontId="9" fillId="0" borderId="109" xfId="0" applyFont="1" applyBorder="1" applyAlignment="1">
      <alignment horizontal="center" vertical="center"/>
    </xf>
    <xf numFmtId="0" fontId="3" fillId="0" borderId="22" xfId="14" applyBorder="1" applyAlignment="1">
      <alignment horizontal="center" vertical="center"/>
    </xf>
    <xf numFmtId="0" fontId="9" fillId="0" borderId="22" xfId="0" applyFont="1" applyBorder="1" applyAlignment="1">
      <alignment horizontal="center" vertical="center"/>
    </xf>
    <xf numFmtId="0" fontId="10" fillId="13" borderId="4" xfId="0" applyFont="1" applyFill="1" applyBorder="1" applyAlignment="1">
      <alignment horizontal="center" vertical="center"/>
    </xf>
    <xf numFmtId="0" fontId="19" fillId="0" borderId="4" xfId="0" applyFont="1" applyBorder="1" applyAlignment="1">
      <alignment horizontal="left" vertical="center"/>
    </xf>
    <xf numFmtId="0" fontId="19" fillId="0" borderId="4" xfId="0" applyFont="1" applyBorder="1" applyAlignment="1">
      <alignment horizontal="center" vertical="center"/>
    </xf>
    <xf numFmtId="169" fontId="19" fillId="0" borderId="4" xfId="11" applyNumberFormat="1" applyFont="1" applyBorder="1" applyAlignment="1">
      <alignment horizontal="center" vertical="center"/>
    </xf>
    <xf numFmtId="0" fontId="19" fillId="0" borderId="4" xfId="11" applyFont="1" applyBorder="1" applyAlignment="1">
      <alignment horizontal="center" vertical="center"/>
    </xf>
    <xf numFmtId="0" fontId="27" fillId="0" borderId="4" xfId="0" applyFont="1" applyBorder="1" applyAlignment="1">
      <alignment horizontal="center" vertical="center"/>
    </xf>
    <xf numFmtId="0" fontId="27" fillId="0" borderId="4" xfId="0" applyFont="1" applyBorder="1" applyAlignment="1">
      <alignment horizontal="center"/>
    </xf>
    <xf numFmtId="0" fontId="10" fillId="14" borderId="4" xfId="0" applyFont="1" applyFill="1" applyBorder="1" applyAlignment="1">
      <alignment horizontal="center" vertical="center"/>
    </xf>
    <xf numFmtId="49" fontId="22" fillId="0" borderId="4" xfId="0" applyNumberFormat="1" applyFont="1" applyBorder="1" applyAlignment="1">
      <alignment horizontal="left" vertical="center" wrapText="1"/>
    </xf>
    <xf numFmtId="0" fontId="22" fillId="0" borderId="4" xfId="11" applyFont="1" applyBorder="1" applyAlignment="1">
      <alignment horizontal="center" vertical="center"/>
    </xf>
    <xf numFmtId="0" fontId="10" fillId="19" borderId="4" xfId="0" applyFont="1" applyFill="1" applyBorder="1" applyAlignment="1">
      <alignment horizontal="center" vertical="center"/>
    </xf>
    <xf numFmtId="0" fontId="10" fillId="15" borderId="4" xfId="0" applyFont="1" applyFill="1" applyBorder="1" applyAlignment="1">
      <alignment horizontal="center" vertical="center"/>
    </xf>
    <xf numFmtId="0" fontId="27" fillId="15" borderId="4" xfId="0" applyFont="1" applyFill="1" applyBorder="1" applyAlignment="1">
      <alignment horizontal="center"/>
    </xf>
    <xf numFmtId="0" fontId="27" fillId="14" borderId="4" xfId="0" applyFont="1" applyFill="1" applyBorder="1" applyAlignment="1">
      <alignment horizontal="center"/>
    </xf>
    <xf numFmtId="0" fontId="22" fillId="0" borderId="4" xfId="0" applyFont="1" applyBorder="1" applyAlignment="1">
      <alignment horizontal="left" vertical="center" wrapText="1"/>
    </xf>
    <xf numFmtId="0" fontId="30" fillId="13" borderId="4" xfId="0" applyFont="1" applyFill="1" applyBorder="1" applyAlignment="1">
      <alignment horizontal="center" vertical="center"/>
    </xf>
    <xf numFmtId="0" fontId="64" fillId="14" borderId="4" xfId="0" applyFont="1" applyFill="1" applyBorder="1" applyAlignment="1">
      <alignment horizontal="center"/>
    </xf>
    <xf numFmtId="0" fontId="22" fillId="0" borderId="29" xfId="18" applyFont="1" applyBorder="1" applyAlignment="1">
      <alignment horizontal="center" vertical="center" wrapText="1"/>
    </xf>
    <xf numFmtId="0" fontId="22" fillId="0" borderId="4" xfId="18" applyFont="1" applyBorder="1" applyAlignment="1">
      <alignment horizontal="center" vertical="center" wrapText="1"/>
    </xf>
    <xf numFmtId="49" fontId="22" fillId="0" borderId="4" xfId="18" applyNumberFormat="1" applyFont="1" applyBorder="1" applyAlignment="1">
      <alignment horizontal="center" vertical="center"/>
    </xf>
    <xf numFmtId="0" fontId="22" fillId="0" borderId="4" xfId="18" applyFont="1" applyBorder="1" applyAlignment="1">
      <alignment vertical="center"/>
    </xf>
    <xf numFmtId="0" fontId="22" fillId="0" borderId="4" xfId="18" applyFont="1" applyBorder="1" applyAlignment="1">
      <alignment horizontal="center" vertical="center"/>
    </xf>
    <xf numFmtId="0" fontId="22" fillId="0" borderId="4" xfId="18" applyFont="1" applyBorder="1" applyAlignment="1">
      <alignment vertical="center" wrapText="1"/>
    </xf>
    <xf numFmtId="0" fontId="22" fillId="0" borderId="4" xfId="18" applyFont="1" applyBorder="1" applyAlignment="1">
      <alignment horizontal="justify" vertical="center" wrapText="1"/>
    </xf>
    <xf numFmtId="0" fontId="22" fillId="0" borderId="20" xfId="18" applyFont="1" applyBorder="1" applyAlignment="1">
      <alignment vertical="center" wrapText="1"/>
    </xf>
    <xf numFmtId="167" fontId="22" fillId="0" borderId="4" xfId="8" applyFont="1" applyBorder="1" applyAlignment="1">
      <alignment vertical="center" wrapText="1"/>
    </xf>
    <xf numFmtId="167" fontId="74" fillId="0" borderId="4" xfId="8" applyFont="1" applyBorder="1" applyAlignment="1">
      <alignment vertical="center"/>
    </xf>
    <xf numFmtId="167" fontId="30" fillId="0" borderId="0" xfId="18" applyNumberFormat="1" applyFont="1" applyAlignment="1">
      <alignment horizontal="center"/>
    </xf>
    <xf numFmtId="167" fontId="30" fillId="0" borderId="0" xfId="8" applyFont="1" applyBorder="1" applyAlignment="1">
      <alignment horizontal="center"/>
    </xf>
    <xf numFmtId="167" fontId="30" fillId="0" borderId="0" xfId="8" applyFont="1" applyAlignment="1">
      <alignment horizontal="center"/>
    </xf>
    <xf numFmtId="0" fontId="4" fillId="0" borderId="4" xfId="0" applyFont="1" applyBorder="1" applyAlignment="1">
      <alignment horizontal="center" vertical="center"/>
    </xf>
    <xf numFmtId="0" fontId="4" fillId="0" borderId="4" xfId="7" applyNumberFormat="1" applyFont="1" applyBorder="1" applyAlignment="1" applyProtection="1">
      <alignment horizontal="center" vertical="center"/>
      <protection locked="0"/>
    </xf>
    <xf numFmtId="0" fontId="30" fillId="0" borderId="4" xfId="0" applyFont="1" applyBorder="1" applyAlignment="1">
      <alignment horizontal="center" vertical="center"/>
    </xf>
    <xf numFmtId="0" fontId="4" fillId="0" borderId="4" xfId="0" applyFont="1" applyBorder="1" applyAlignment="1">
      <alignment vertical="center" wrapText="1"/>
    </xf>
    <xf numFmtId="0" fontId="3" fillId="0" borderId="29" xfId="0" applyFont="1" applyBorder="1" applyAlignment="1">
      <alignment vertical="center"/>
    </xf>
    <xf numFmtId="167" fontId="27" fillId="0" borderId="51" xfId="8" applyFont="1" applyBorder="1" applyAlignment="1">
      <alignment horizontal="center" vertical="center" wrapText="1"/>
    </xf>
    <xf numFmtId="0" fontId="3" fillId="0" borderId="20" xfId="0" applyFont="1" applyBorder="1" applyAlignment="1">
      <alignment vertical="center"/>
    </xf>
    <xf numFmtId="4" fontId="22" fillId="0" borderId="0" xfId="18" applyNumberFormat="1" applyFont="1" applyAlignment="1">
      <alignment horizontal="center" vertical="center" wrapText="1"/>
    </xf>
    <xf numFmtId="0" fontId="0" fillId="0" borderId="29" xfId="0" applyBorder="1" applyAlignment="1">
      <alignment horizontal="center"/>
    </xf>
    <xf numFmtId="165" fontId="0" fillId="0" borderId="20" xfId="5" applyFont="1" applyBorder="1" applyAlignment="1">
      <alignment horizontal="center"/>
    </xf>
    <xf numFmtId="0" fontId="0" fillId="0" borderId="3" xfId="0" applyBorder="1" applyAlignment="1">
      <alignment horizontal="center" vertical="center"/>
    </xf>
    <xf numFmtId="0" fontId="0" fillId="0" borderId="20" xfId="0" applyBorder="1" applyAlignment="1">
      <alignment horizontal="center" vertical="center"/>
    </xf>
    <xf numFmtId="0" fontId="0" fillId="0" borderId="29" xfId="0" applyBorder="1" applyAlignment="1">
      <alignment horizontal="center" vertical="center"/>
    </xf>
    <xf numFmtId="0" fontId="0" fillId="0" borderId="31" xfId="0" applyBorder="1" applyAlignment="1">
      <alignment horizontal="center" vertical="center"/>
    </xf>
    <xf numFmtId="0" fontId="0" fillId="0" borderId="13" xfId="0" applyBorder="1" applyAlignment="1">
      <alignment horizontal="center" vertical="center"/>
    </xf>
    <xf numFmtId="0" fontId="22" fillId="0" borderId="48" xfId="0" applyFont="1" applyBorder="1" applyAlignment="1">
      <alignment horizontal="center"/>
    </xf>
    <xf numFmtId="49" fontId="75" fillId="0" borderId="48" xfId="0" applyNumberFormat="1" applyFont="1" applyBorder="1" applyAlignment="1">
      <alignment horizontal="center" vertical="center"/>
    </xf>
    <xf numFmtId="0" fontId="75" fillId="0" borderId="23" xfId="0" applyFont="1" applyBorder="1" applyAlignment="1">
      <alignment horizontal="center" vertical="center"/>
    </xf>
    <xf numFmtId="3" fontId="22" fillId="0" borderId="29" xfId="0" applyNumberFormat="1" applyFont="1" applyBorder="1" applyAlignment="1">
      <alignment horizontal="center"/>
    </xf>
    <xf numFmtId="3" fontId="22" fillId="0" borderId="4" xfId="0" applyNumberFormat="1" applyFont="1" applyBorder="1" applyAlignment="1">
      <alignment horizontal="center"/>
    </xf>
    <xf numFmtId="3" fontId="22" fillId="0" borderId="20" xfId="0" applyNumberFormat="1" applyFont="1" applyBorder="1" applyAlignment="1">
      <alignment horizontal="center"/>
    </xf>
    <xf numFmtId="3" fontId="22" fillId="0" borderId="3" xfId="0" applyNumberFormat="1" applyFont="1" applyBorder="1" applyAlignment="1">
      <alignment horizontal="center"/>
    </xf>
    <xf numFmtId="3" fontId="22" fillId="0" borderId="13" xfId="0" applyNumberFormat="1" applyFont="1" applyBorder="1" applyAlignment="1">
      <alignment horizontal="center"/>
    </xf>
    <xf numFmtId="3" fontId="70" fillId="0" borderId="0" xfId="0" applyNumberFormat="1" applyFont="1" applyAlignment="1">
      <alignment horizontal="center"/>
    </xf>
    <xf numFmtId="0" fontId="70" fillId="0" borderId="0" xfId="0" applyFont="1" applyAlignment="1">
      <alignment horizontal="center"/>
    </xf>
    <xf numFmtId="0" fontId="76" fillId="0" borderId="0" xfId="0" applyFont="1"/>
    <xf numFmtId="0" fontId="3" fillId="5" borderId="1" xfId="0" applyFont="1" applyFill="1" applyBorder="1"/>
    <xf numFmtId="49" fontId="30" fillId="5" borderId="1" xfId="0" applyNumberFormat="1" applyFont="1" applyFill="1" applyBorder="1"/>
    <xf numFmtId="17" fontId="0" fillId="0" borderId="4" xfId="0" applyNumberFormat="1" applyBorder="1"/>
    <xf numFmtId="0" fontId="3" fillId="0" borderId="46" xfId="0" applyFont="1" applyBorder="1"/>
    <xf numFmtId="0" fontId="3" fillId="0" borderId="46" xfId="0" applyFont="1" applyBorder="1" applyAlignment="1">
      <alignment horizontal="center" vertical="center"/>
    </xf>
    <xf numFmtId="0" fontId="3" fillId="0" borderId="3" xfId="0" applyFont="1" applyBorder="1"/>
    <xf numFmtId="0" fontId="3" fillId="0" borderId="2" xfId="0" applyFont="1" applyBorder="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applyAlignment="1">
      <alignment horizontal="center" vertical="justify"/>
    </xf>
    <xf numFmtId="168" fontId="4" fillId="0" borderId="4" xfId="4" applyNumberFormat="1" applyFont="1" applyBorder="1" applyAlignment="1">
      <alignment horizontal="center" vertical="justify"/>
    </xf>
    <xf numFmtId="0" fontId="4" fillId="0" borderId="13" xfId="0" applyFont="1" applyBorder="1" applyAlignment="1">
      <alignment horizontal="center" vertical="justify"/>
    </xf>
    <xf numFmtId="0" fontId="67" fillId="0" borderId="4" xfId="2" applyBorder="1" applyAlignment="1" applyProtection="1">
      <alignment horizontal="center" vertical="justify"/>
    </xf>
    <xf numFmtId="49" fontId="4" fillId="0" borderId="4" xfId="4" applyNumberFormat="1" applyFont="1" applyBorder="1" applyAlignment="1">
      <alignment horizontal="center" vertical="justify"/>
    </xf>
    <xf numFmtId="0" fontId="4" fillId="0" borderId="3" xfId="0" applyFont="1" applyBorder="1" applyAlignment="1">
      <alignment horizontal="center" vertical="justify"/>
    </xf>
    <xf numFmtId="15" fontId="32" fillId="0" borderId="25" xfId="0" applyNumberFormat="1" applyFont="1" applyBorder="1" applyAlignment="1">
      <alignment horizontal="center"/>
    </xf>
    <xf numFmtId="15" fontId="32" fillId="0" borderId="53" xfId="0" applyNumberFormat="1" applyFont="1" applyBorder="1" applyAlignment="1">
      <alignment horizontal="center"/>
    </xf>
    <xf numFmtId="167" fontId="46" fillId="0" borderId="55" xfId="8" applyFont="1" applyBorder="1"/>
    <xf numFmtId="15" fontId="26" fillId="0" borderId="4" xfId="16" applyNumberFormat="1" applyBorder="1"/>
    <xf numFmtId="15" fontId="3" fillId="0" borderId="4" xfId="16" applyNumberFormat="1" applyFont="1" applyBorder="1"/>
    <xf numFmtId="164" fontId="26" fillId="0" borderId="4" xfId="16" applyNumberFormat="1" applyBorder="1"/>
    <xf numFmtId="0" fontId="30" fillId="0" borderId="4" xfId="16" applyFont="1" applyBorder="1" applyAlignment="1">
      <alignment wrapText="1"/>
    </xf>
    <xf numFmtId="0" fontId="3" fillId="0" borderId="4" xfId="16" applyFont="1" applyBorder="1" applyAlignment="1">
      <alignment wrapText="1"/>
    </xf>
    <xf numFmtId="174" fontId="22" fillId="0" borderId="83" xfId="0" applyNumberFormat="1" applyFont="1" applyBorder="1"/>
    <xf numFmtId="2" fontId="22" fillId="0" borderId="84" xfId="15" applyNumberFormat="1" applyFont="1" applyBorder="1" applyAlignment="1">
      <alignment vertical="center"/>
    </xf>
    <xf numFmtId="0" fontId="31" fillId="0" borderId="58" xfId="15" applyFont="1" applyBorder="1" applyAlignment="1">
      <alignment vertical="center" wrapText="1"/>
    </xf>
    <xf numFmtId="0" fontId="27" fillId="20" borderId="58" xfId="15" applyFont="1" applyFill="1" applyBorder="1" applyAlignment="1">
      <alignment horizontal="center" vertical="center"/>
    </xf>
    <xf numFmtId="0" fontId="27" fillId="20" borderId="58" xfId="15" applyFont="1" applyFill="1" applyBorder="1" applyAlignment="1">
      <alignment horizontal="left" vertical="center"/>
    </xf>
    <xf numFmtId="173" fontId="71" fillId="20" borderId="58" xfId="15" applyNumberFormat="1" applyFont="1" applyFill="1" applyBorder="1" applyAlignment="1">
      <alignment horizontal="left" vertical="center"/>
    </xf>
    <xf numFmtId="3" fontId="27" fillId="20" borderId="58" xfId="15" applyNumberFormat="1" applyFont="1" applyFill="1" applyBorder="1" applyAlignment="1">
      <alignment horizontal="left" vertical="center"/>
    </xf>
    <xf numFmtId="0" fontId="22" fillId="20" borderId="83" xfId="15" applyFont="1" applyFill="1" applyBorder="1" applyAlignment="1">
      <alignment horizontal="center" vertical="center"/>
    </xf>
    <xf numFmtId="2" fontId="22" fillId="20" borderId="83" xfId="1" applyNumberFormat="1" applyFont="1" applyFill="1" applyBorder="1" applyAlignment="1">
      <alignment horizontal="right" vertical="center"/>
    </xf>
    <xf numFmtId="3" fontId="22" fillId="20" borderId="83" xfId="15" applyNumberFormat="1" applyFont="1" applyFill="1" applyBorder="1" applyAlignment="1">
      <alignment vertical="center"/>
    </xf>
    <xf numFmtId="2" fontId="22" fillId="20" borderId="83" xfId="15" applyNumberFormat="1" applyFont="1" applyFill="1" applyBorder="1" applyAlignment="1">
      <alignment vertical="center"/>
    </xf>
    <xf numFmtId="0" fontId="22" fillId="20" borderId="84" xfId="15" applyFont="1" applyFill="1" applyBorder="1" applyAlignment="1">
      <alignment horizontal="center" vertical="center"/>
    </xf>
    <xf numFmtId="2" fontId="22" fillId="20" borderId="84" xfId="15" applyNumberFormat="1" applyFont="1" applyFill="1" applyBorder="1" applyAlignment="1">
      <alignment horizontal="right" vertical="center"/>
    </xf>
    <xf numFmtId="3" fontId="22" fillId="20" borderId="84" xfId="15" applyNumberFormat="1" applyFont="1" applyFill="1" applyBorder="1" applyAlignment="1">
      <alignment vertical="center"/>
    </xf>
    <xf numFmtId="2" fontId="22" fillId="20" borderId="83" xfId="15" applyNumberFormat="1" applyFont="1" applyFill="1" applyBorder="1" applyAlignment="1">
      <alignment horizontal="right"/>
    </xf>
    <xf numFmtId="0" fontId="22" fillId="20" borderId="88" xfId="15" applyFont="1" applyFill="1" applyBorder="1" applyAlignment="1">
      <alignment horizontal="center" vertical="center"/>
    </xf>
    <xf numFmtId="0" fontId="22" fillId="20" borderId="88" xfId="15" applyFont="1" applyFill="1" applyBorder="1" applyAlignment="1">
      <alignment horizontal="left" vertical="center"/>
    </xf>
    <xf numFmtId="0" fontId="4" fillId="20" borderId="88" xfId="15" applyFont="1" applyFill="1" applyBorder="1" applyAlignment="1">
      <alignment horizontal="center" vertical="center"/>
    </xf>
    <xf numFmtId="0" fontId="4" fillId="20" borderId="88" xfId="1" applyNumberFormat="1" applyFont="1" applyFill="1" applyBorder="1" applyAlignment="1">
      <alignment horizontal="left"/>
    </xf>
    <xf numFmtId="0" fontId="4" fillId="20" borderId="91" xfId="1" applyNumberFormat="1" applyFont="1" applyFill="1" applyBorder="1" applyAlignment="1">
      <alignment horizontal="right"/>
    </xf>
    <xf numFmtId="3" fontId="30" fillId="20" borderId="85" xfId="15" applyNumberFormat="1" applyFont="1" applyFill="1" applyBorder="1" applyAlignment="1">
      <alignment vertical="center"/>
    </xf>
    <xf numFmtId="0" fontId="22" fillId="20" borderId="0" xfId="15" applyFont="1" applyFill="1" applyAlignment="1">
      <alignment horizontal="center" vertical="center"/>
    </xf>
    <xf numFmtId="0" fontId="22" fillId="20" borderId="0" xfId="15" applyFont="1" applyFill="1" applyAlignment="1">
      <alignment vertical="center"/>
    </xf>
    <xf numFmtId="0" fontId="4" fillId="20" borderId="0" xfId="15" applyFont="1" applyFill="1" applyAlignment="1">
      <alignment horizontal="center" vertical="center"/>
    </xf>
    <xf numFmtId="0" fontId="4" fillId="20" borderId="0" xfId="1" applyNumberFormat="1" applyFont="1" applyFill="1" applyBorder="1" applyAlignment="1"/>
    <xf numFmtId="0" fontId="4" fillId="20" borderId="92" xfId="1" applyNumberFormat="1" applyFont="1" applyFill="1" applyBorder="1" applyAlignment="1">
      <alignment horizontal="right"/>
    </xf>
    <xf numFmtId="3" fontId="30" fillId="20" borderId="83" xfId="15" applyNumberFormat="1" applyFont="1" applyFill="1" applyBorder="1" applyAlignment="1">
      <alignment vertical="center"/>
    </xf>
    <xf numFmtId="0" fontId="3" fillId="20" borderId="0" xfId="15" applyFill="1" applyAlignment="1">
      <alignment horizontal="center" vertical="center"/>
    </xf>
    <xf numFmtId="0" fontId="3" fillId="20" borderId="0" xfId="15" applyFill="1" applyAlignment="1">
      <alignment vertical="center"/>
    </xf>
    <xf numFmtId="0" fontId="4" fillId="20" borderId="0" xfId="1" applyNumberFormat="1" applyFont="1" applyFill="1" applyBorder="1" applyAlignment="1">
      <alignment horizontal="right"/>
    </xf>
    <xf numFmtId="0" fontId="9" fillId="0" borderId="20" xfId="0" applyFont="1" applyBorder="1" applyAlignment="1">
      <alignment horizontal="center" vertical="center"/>
    </xf>
    <xf numFmtId="1" fontId="3" fillId="0" borderId="4" xfId="0" applyNumberFormat="1" applyFont="1" applyBorder="1" applyAlignment="1">
      <alignment vertical="center" wrapText="1"/>
    </xf>
    <xf numFmtId="1" fontId="0" fillId="0" borderId="0" xfId="0" applyNumberFormat="1"/>
    <xf numFmtId="1" fontId="3" fillId="0" borderId="4" xfId="0" applyNumberFormat="1" applyFont="1" applyBorder="1" applyAlignment="1">
      <alignment wrapText="1"/>
    </xf>
    <xf numFmtId="1" fontId="3" fillId="0" borderId="22" xfId="0" applyNumberFormat="1" applyFont="1" applyBorder="1" applyAlignment="1">
      <alignment wrapText="1"/>
    </xf>
    <xf numFmtId="0" fontId="74" fillId="0" borderId="7" xfId="0" applyFont="1" applyBorder="1" applyAlignment="1">
      <alignment vertical="top" wrapText="1"/>
    </xf>
    <xf numFmtId="0" fontId="74" fillId="0" borderId="0" xfId="0" applyFont="1" applyAlignment="1">
      <alignment vertical="top" wrapText="1"/>
    </xf>
    <xf numFmtId="0" fontId="74" fillId="0" borderId="17" xfId="0" applyFont="1" applyBorder="1" applyAlignment="1">
      <alignment vertical="top" wrapText="1"/>
    </xf>
    <xf numFmtId="2" fontId="3" fillId="0" borderId="4" xfId="0" applyNumberFormat="1" applyFont="1" applyBorder="1" applyAlignment="1">
      <alignment horizontal="center"/>
    </xf>
    <xf numFmtId="0" fontId="0" fillId="0" borderId="31" xfId="0" applyBorder="1" applyAlignment="1">
      <alignment wrapText="1"/>
    </xf>
    <xf numFmtId="15" fontId="0" fillId="0" borderId="29" xfId="0" applyNumberFormat="1" applyBorder="1" applyAlignment="1">
      <alignment horizontal="center" vertical="center" wrapText="1"/>
    </xf>
    <xf numFmtId="0" fontId="0" fillId="0" borderId="6" xfId="0" applyBorder="1" applyAlignment="1">
      <alignment horizontal="center" vertical="center"/>
    </xf>
    <xf numFmtId="0" fontId="0" fillId="0" borderId="4" xfId="0" applyBorder="1" applyAlignment="1">
      <alignment horizontal="center" vertical="center" wrapText="1"/>
    </xf>
    <xf numFmtId="0" fontId="0" fillId="0" borderId="12" xfId="0" applyBorder="1" applyAlignment="1">
      <alignment horizontal="center" vertical="center" wrapText="1"/>
    </xf>
    <xf numFmtId="167" fontId="0" fillId="0" borderId="4" xfId="8" applyFont="1" applyBorder="1" applyAlignment="1">
      <alignment horizontal="center" vertical="center"/>
    </xf>
    <xf numFmtId="0" fontId="32" fillId="0" borderId="13" xfId="0" applyFont="1" applyBorder="1" applyAlignment="1">
      <alignment horizontal="center"/>
    </xf>
    <xf numFmtId="0" fontId="32" fillId="0" borderId="3" xfId="0" applyFont="1" applyBorder="1" applyAlignment="1">
      <alignment horizontal="center"/>
    </xf>
    <xf numFmtId="0" fontId="67" fillId="0" borderId="8" xfId="2" applyBorder="1" applyAlignment="1" applyProtection="1">
      <alignment horizontal="center"/>
    </xf>
    <xf numFmtId="0" fontId="3" fillId="0" borderId="25" xfId="11" applyBorder="1" applyAlignment="1">
      <alignment horizontal="center"/>
    </xf>
    <xf numFmtId="0" fontId="3" fillId="0" borderId="4" xfId="11" applyBorder="1" applyAlignment="1">
      <alignment horizontal="center"/>
    </xf>
    <xf numFmtId="0" fontId="3" fillId="0" borderId="0" xfId="0" applyFont="1" applyAlignment="1">
      <alignment horizontal="centerContinuous"/>
    </xf>
    <xf numFmtId="0" fontId="27" fillId="0" borderId="0" xfId="13" applyFont="1" applyFill="1"/>
    <xf numFmtId="0" fontId="27" fillId="0" borderId="0" xfId="11" applyFont="1"/>
    <xf numFmtId="49" fontId="27" fillId="0" borderId="1" xfId="11" applyNumberFormat="1" applyFont="1" applyBorder="1" applyAlignment="1">
      <alignment horizontal="left"/>
    </xf>
    <xf numFmtId="0" fontId="27" fillId="0" borderId="1" xfId="11" applyFont="1" applyBorder="1" applyAlignment="1">
      <alignment horizontal="left"/>
    </xf>
    <xf numFmtId="0" fontId="27" fillId="0" borderId="1" xfId="13" applyFont="1" applyFill="1" applyBorder="1" applyAlignment="1">
      <alignment horizontal="left"/>
    </xf>
    <xf numFmtId="0" fontId="27" fillId="0" borderId="1" xfId="11" applyFont="1" applyBorder="1"/>
    <xf numFmtId="0" fontId="22" fillId="0" borderId="1" xfId="11" applyFont="1" applyBorder="1"/>
    <xf numFmtId="49" fontId="27" fillId="0" borderId="0" xfId="0" applyNumberFormat="1" applyFont="1" applyAlignment="1">
      <alignment horizontal="center"/>
    </xf>
    <xf numFmtId="49" fontId="27" fillId="0" borderId="1" xfId="0" applyNumberFormat="1" applyFont="1" applyBorder="1" applyAlignment="1">
      <alignment horizontal="center"/>
    </xf>
    <xf numFmtId="0" fontId="3" fillId="0" borderId="1" xfId="0" applyFont="1" applyBorder="1" applyAlignment="1">
      <alignment horizontal="centerContinuous"/>
    </xf>
    <xf numFmtId="0" fontId="22" fillId="0" borderId="0" xfId="0" applyFont="1" applyAlignment="1">
      <alignment horizontal="left"/>
    </xf>
    <xf numFmtId="0" fontId="22" fillId="0" borderId="14" xfId="0" applyFont="1" applyBorder="1" applyAlignment="1">
      <alignment horizontal="centerContinuous"/>
    </xf>
    <xf numFmtId="0" fontId="28" fillId="0" borderId="15" xfId="0" applyFont="1" applyBorder="1" applyAlignment="1">
      <alignment horizontal="right"/>
    </xf>
    <xf numFmtId="0" fontId="29" fillId="0" borderId="15" xfId="0" applyFont="1" applyBorder="1" applyAlignment="1">
      <alignment horizontal="left"/>
    </xf>
    <xf numFmtId="0" fontId="4" fillId="0" borderId="15" xfId="0" applyFont="1" applyBorder="1" applyAlignment="1">
      <alignment horizontal="centerContinuous"/>
    </xf>
    <xf numFmtId="0" fontId="22" fillId="0" borderId="15" xfId="0" applyFont="1" applyBorder="1" applyAlignment="1">
      <alignment horizontal="centerContinuous"/>
    </xf>
    <xf numFmtId="0" fontId="22" fillId="0" borderId="7" xfId="0" applyFont="1" applyBorder="1" applyAlignment="1">
      <alignment horizontal="centerContinuous"/>
    </xf>
    <xf numFmtId="0" fontId="22" fillId="0" borderId="9" xfId="0" applyFont="1" applyBorder="1" applyAlignment="1">
      <alignment horizontal="centerContinuous"/>
    </xf>
    <xf numFmtId="0" fontId="22" fillId="0" borderId="18" xfId="0" applyFont="1" applyBorder="1" applyAlignment="1">
      <alignment horizontal="centerContinuous"/>
    </xf>
    <xf numFmtId="0" fontId="22" fillId="0" borderId="18" xfId="0" applyFont="1" applyBorder="1" applyAlignment="1">
      <alignment horizontal="left"/>
    </xf>
    <xf numFmtId="0" fontId="0" fillId="0" borderId="5" xfId="0" applyBorder="1" applyAlignment="1">
      <alignment horizontal="centerContinuous"/>
    </xf>
    <xf numFmtId="0" fontId="4" fillId="0" borderId="14" xfId="0" applyFont="1" applyBorder="1" applyAlignment="1">
      <alignment horizontal="centerContinuous"/>
    </xf>
    <xf numFmtId="49" fontId="4" fillId="0" borderId="7" xfId="0" quotePrefix="1" applyNumberFormat="1" applyFont="1" applyBorder="1" applyAlignment="1">
      <alignment horizontal="left" vertical="center"/>
    </xf>
    <xf numFmtId="49" fontId="4" fillId="0" borderId="0" xfId="0" quotePrefix="1" applyNumberFormat="1" applyFont="1" applyAlignment="1">
      <alignment horizontal="left" vertical="center"/>
    </xf>
    <xf numFmtId="0" fontId="4" fillId="0" borderId="9" xfId="0" applyFont="1" applyBorder="1"/>
    <xf numFmtId="0" fontId="4" fillId="0" borderId="18" xfId="0" applyFont="1" applyBorder="1"/>
    <xf numFmtId="0" fontId="29" fillId="0" borderId="38" xfId="0" applyFont="1" applyBorder="1" applyAlignment="1">
      <alignment horizontal="center"/>
    </xf>
    <xf numFmtId="0" fontId="29" fillId="0" borderId="38" xfId="0" applyFont="1" applyBorder="1"/>
    <xf numFmtId="0" fontId="29" fillId="0" borderId="80" xfId="0" applyFont="1" applyBorder="1"/>
    <xf numFmtId="0" fontId="29" fillId="0" borderId="57" xfId="0" applyFont="1" applyBorder="1"/>
    <xf numFmtId="0" fontId="31" fillId="0" borderId="8" xfId="0" applyFont="1" applyBorder="1" applyAlignment="1">
      <alignment horizontal="left"/>
    </xf>
    <xf numFmtId="0" fontId="31" fillId="0" borderId="0" xfId="0" applyFont="1" applyAlignment="1">
      <alignment horizontal="left"/>
    </xf>
    <xf numFmtId="0" fontId="0" fillId="0" borderId="36" xfId="0" applyBorder="1" applyAlignment="1">
      <alignment horizontal="center"/>
    </xf>
    <xf numFmtId="0" fontId="0" fillId="0" borderId="56" xfId="0"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31" fillId="0" borderId="8" xfId="0" applyFont="1" applyBorder="1" applyAlignment="1">
      <alignment horizontal="left" vertical="center"/>
    </xf>
    <xf numFmtId="0" fontId="31" fillId="0" borderId="0" xfId="0" applyFont="1" applyAlignment="1">
      <alignment horizontal="left" vertical="center"/>
    </xf>
    <xf numFmtId="0" fontId="0" fillId="0" borderId="75" xfId="0" applyBorder="1"/>
    <xf numFmtId="0" fontId="3" fillId="0" borderId="5" xfId="11" applyBorder="1" applyAlignment="1">
      <alignment horizontal="center" textRotation="90"/>
    </xf>
    <xf numFmtId="0" fontId="0" fillId="21" borderId="29" xfId="0" applyFill="1" applyBorder="1" applyAlignment="1">
      <alignment horizontal="center"/>
    </xf>
    <xf numFmtId="0" fontId="0" fillId="21" borderId="4" xfId="0" applyFill="1" applyBorder="1" applyAlignment="1">
      <alignment horizontal="center"/>
    </xf>
    <xf numFmtId="0" fontId="38" fillId="22" borderId="4" xfId="0" applyFont="1" applyFill="1" applyBorder="1" applyAlignment="1">
      <alignment horizontal="center"/>
    </xf>
    <xf numFmtId="0" fontId="31" fillId="14" borderId="4" xfId="0" applyFont="1" applyFill="1" applyBorder="1" applyAlignment="1">
      <alignment horizontal="center"/>
    </xf>
    <xf numFmtId="0" fontId="0" fillId="23" borderId="4" xfId="0" applyFill="1" applyBorder="1" applyAlignment="1">
      <alignment horizontal="center"/>
    </xf>
    <xf numFmtId="0" fontId="0" fillId="15" borderId="4" xfId="0" applyFill="1" applyBorder="1" applyAlignment="1">
      <alignment horizontal="center"/>
    </xf>
    <xf numFmtId="0" fontId="0" fillId="15" borderId="53" xfId="0" applyFill="1" applyBorder="1" applyAlignment="1">
      <alignment horizontal="center"/>
    </xf>
    <xf numFmtId="0" fontId="3" fillId="16" borderId="13" xfId="11" applyFill="1" applyBorder="1" applyAlignment="1">
      <alignment horizontal="center"/>
    </xf>
    <xf numFmtId="0" fontId="3" fillId="0" borderId="12" xfId="11" applyBorder="1" applyAlignment="1">
      <alignment horizontal="center"/>
    </xf>
    <xf numFmtId="0" fontId="3" fillId="0" borderId="117" xfId="11" applyBorder="1" applyAlignment="1">
      <alignment horizontal="center"/>
    </xf>
    <xf numFmtId="0" fontId="3" fillId="0" borderId="13" xfId="11" applyBorder="1" applyAlignment="1">
      <alignment horizontal="center"/>
    </xf>
    <xf numFmtId="0" fontId="3" fillId="0" borderId="31" xfId="11" applyBorder="1" applyAlignment="1">
      <alignment horizontal="center"/>
    </xf>
    <xf numFmtId="172" fontId="3" fillId="0" borderId="4" xfId="11" applyNumberFormat="1" applyBorder="1" applyAlignment="1">
      <alignment horizontal="center" vertical="center"/>
    </xf>
    <xf numFmtId="172" fontId="3" fillId="0" borderId="20" xfId="11" applyNumberFormat="1" applyBorder="1" applyAlignment="1">
      <alignment horizontal="center" vertical="center"/>
    </xf>
    <xf numFmtId="9" fontId="0" fillId="0" borderId="0" xfId="20" applyFont="1"/>
    <xf numFmtId="0" fontId="0" fillId="0" borderId="8" xfId="0" applyBorder="1" applyAlignment="1">
      <alignment horizontal="left" vertical="center"/>
    </xf>
    <xf numFmtId="0" fontId="0" fillId="0" borderId="0" xfId="0" applyAlignment="1">
      <alignment horizontal="left" vertical="center"/>
    </xf>
    <xf numFmtId="0" fontId="38" fillId="0" borderId="0" xfId="0" applyFont="1" applyAlignment="1">
      <alignment horizontal="center"/>
    </xf>
    <xf numFmtId="0" fontId="38" fillId="0" borderId="75" xfId="0" applyFont="1" applyBorder="1" applyAlignment="1">
      <alignment horizontal="center"/>
    </xf>
    <xf numFmtId="0" fontId="38" fillId="0" borderId="8" xfId="0" applyFont="1" applyBorder="1" applyAlignment="1">
      <alignment horizontal="center"/>
    </xf>
    <xf numFmtId="0" fontId="22" fillId="21" borderId="29" xfId="0" applyFont="1" applyFill="1" applyBorder="1" applyAlignment="1">
      <alignment horizontal="center" vertical="center"/>
    </xf>
    <xf numFmtId="0" fontId="22" fillId="21" borderId="4" xfId="0" applyFont="1" applyFill="1" applyBorder="1" applyAlignment="1">
      <alignment horizontal="center" vertical="center"/>
    </xf>
    <xf numFmtId="0" fontId="57" fillId="22" borderId="4" xfId="0" applyFont="1" applyFill="1" applyBorder="1" applyAlignment="1">
      <alignment horizontal="center" vertical="center"/>
    </xf>
    <xf numFmtId="0" fontId="27" fillId="24" borderId="4" xfId="0" applyFont="1" applyFill="1" applyBorder="1" applyAlignment="1">
      <alignment horizontal="center" vertical="center"/>
    </xf>
    <xf numFmtId="0" fontId="22" fillId="23" borderId="4" xfId="0" applyFont="1" applyFill="1" applyBorder="1" applyAlignment="1">
      <alignment horizontal="center" vertical="center"/>
    </xf>
    <xf numFmtId="10" fontId="22" fillId="23" borderId="4" xfId="0" applyNumberFormat="1" applyFont="1" applyFill="1" applyBorder="1" applyAlignment="1">
      <alignment horizontal="center" vertical="center"/>
    </xf>
    <xf numFmtId="0" fontId="22" fillId="15" borderId="4" xfId="0" applyFont="1" applyFill="1" applyBorder="1" applyAlignment="1">
      <alignment horizontal="center" vertical="center"/>
    </xf>
    <xf numFmtId="0" fontId="22" fillId="15" borderId="53" xfId="0" applyFont="1" applyFill="1" applyBorder="1" applyAlignment="1">
      <alignment horizontal="center" vertical="center"/>
    </xf>
    <xf numFmtId="0" fontId="22" fillId="21" borderId="23" xfId="0" applyFont="1" applyFill="1" applyBorder="1" applyAlignment="1">
      <alignment horizontal="center" vertical="center"/>
    </xf>
    <xf numFmtId="0" fontId="27" fillId="14" borderId="4" xfId="0" applyFont="1" applyFill="1" applyBorder="1" applyAlignment="1">
      <alignment horizontal="center" vertical="center"/>
    </xf>
    <xf numFmtId="0" fontId="3" fillId="0" borderId="6" xfId="11" applyBorder="1" applyAlignment="1">
      <alignment horizontal="center"/>
    </xf>
    <xf numFmtId="0" fontId="3" fillId="0" borderId="1" xfId="11" applyBorder="1" applyAlignment="1">
      <alignment horizontal="center" textRotation="90"/>
    </xf>
    <xf numFmtId="0" fontId="3" fillId="0" borderId="77" xfId="11" applyBorder="1" applyAlignment="1">
      <alignment horizontal="center" textRotation="90"/>
    </xf>
    <xf numFmtId="0" fontId="3" fillId="0" borderId="6" xfId="11" applyBorder="1" applyAlignment="1">
      <alignment horizontal="center" textRotation="90"/>
    </xf>
    <xf numFmtId="0" fontId="3" fillId="0" borderId="2" xfId="11" applyBorder="1" applyAlignment="1">
      <alignment horizontal="center"/>
    </xf>
    <xf numFmtId="0" fontId="3" fillId="0" borderId="1" xfId="11" applyBorder="1" applyAlignment="1">
      <alignment horizontal="center"/>
    </xf>
    <xf numFmtId="0" fontId="3" fillId="0" borderId="77" xfId="11" applyBorder="1" applyAlignment="1">
      <alignment horizontal="center"/>
    </xf>
    <xf numFmtId="0" fontId="0" fillId="0" borderId="10" xfId="0" applyBorder="1" applyAlignment="1">
      <alignment horizontal="left" vertical="center"/>
    </xf>
    <xf numFmtId="0" fontId="0" fillId="0" borderId="21" xfId="0" applyBorder="1" applyAlignment="1">
      <alignment horizontal="left" vertical="center"/>
    </xf>
    <xf numFmtId="0" fontId="38" fillId="0" borderId="21" xfId="0" applyFont="1" applyBorder="1" applyAlignment="1">
      <alignment horizontal="center"/>
    </xf>
    <xf numFmtId="0" fontId="38" fillId="0" borderId="118" xfId="0" applyFont="1" applyBorder="1" applyAlignment="1">
      <alignment horizontal="center"/>
    </xf>
    <xf numFmtId="0" fontId="38" fillId="0" borderId="10" xfId="0" applyFont="1" applyBorder="1" applyAlignment="1">
      <alignment horizontal="center"/>
    </xf>
    <xf numFmtId="0" fontId="38" fillId="0" borderId="11" xfId="0" applyFont="1" applyBorder="1" applyAlignment="1">
      <alignment horizontal="center"/>
    </xf>
    <xf numFmtId="0" fontId="22" fillId="21" borderId="46" xfId="0" applyFont="1" applyFill="1" applyBorder="1" applyAlignment="1">
      <alignment horizontal="center" vertical="center"/>
    </xf>
    <xf numFmtId="0" fontId="22" fillId="21" borderId="25" xfId="0" applyFont="1" applyFill="1" applyBorder="1" applyAlignment="1">
      <alignment horizontal="center" vertical="center"/>
    </xf>
    <xf numFmtId="0" fontId="27" fillId="14" borderId="25" xfId="0" applyFont="1" applyFill="1" applyBorder="1" applyAlignment="1">
      <alignment horizontal="center" vertical="center"/>
    </xf>
    <xf numFmtId="0" fontId="22" fillId="23" borderId="25" xfId="0" applyFont="1" applyFill="1" applyBorder="1" applyAlignment="1">
      <alignment horizontal="center" vertical="center"/>
    </xf>
    <xf numFmtId="10" fontId="22" fillId="23" borderId="6" xfId="0" applyNumberFormat="1" applyFont="1" applyFill="1" applyBorder="1" applyAlignment="1">
      <alignment horizontal="center" vertical="center"/>
    </xf>
    <xf numFmtId="0" fontId="22" fillId="15" borderId="25" xfId="0" applyFont="1" applyFill="1" applyBorder="1" applyAlignment="1">
      <alignment horizontal="center" vertical="center"/>
    </xf>
    <xf numFmtId="1" fontId="3" fillId="5" borderId="42" xfId="11" applyNumberFormat="1" applyFill="1" applyBorder="1" applyAlignment="1">
      <alignment horizontal="center" vertical="center" wrapText="1"/>
    </xf>
    <xf numFmtId="172" fontId="3" fillId="0" borderId="78" xfId="11" applyNumberFormat="1" applyBorder="1" applyAlignment="1">
      <alignment horizontal="center" vertical="center"/>
    </xf>
    <xf numFmtId="1" fontId="3" fillId="5" borderId="43" xfId="11" applyNumberFormat="1" applyFill="1" applyBorder="1" applyAlignment="1">
      <alignment horizontal="center" vertical="center" wrapText="1"/>
    </xf>
    <xf numFmtId="172" fontId="3" fillId="0" borderId="43" xfId="11" applyNumberFormat="1" applyBorder="1" applyAlignment="1">
      <alignment horizontal="center" vertical="center"/>
    </xf>
    <xf numFmtId="172" fontId="3" fillId="0" borderId="33" xfId="11" applyNumberFormat="1" applyBorder="1" applyAlignment="1">
      <alignment horizontal="center" vertical="center"/>
    </xf>
    <xf numFmtId="0" fontId="74" fillId="0" borderId="0" xfId="11" applyFont="1"/>
    <xf numFmtId="10" fontId="3" fillId="25" borderId="4" xfId="20" applyNumberFormat="1" applyFont="1" applyFill="1" applyBorder="1"/>
    <xf numFmtId="165" fontId="3" fillId="0" borderId="4" xfId="20" applyNumberFormat="1" applyFont="1" applyBorder="1"/>
    <xf numFmtId="10" fontId="3" fillId="13" borderId="4" xfId="20" applyNumberFormat="1" applyFont="1" applyFill="1" applyBorder="1"/>
    <xf numFmtId="10" fontId="3" fillId="14" borderId="4" xfId="20" applyNumberFormat="1" applyFont="1" applyFill="1" applyBorder="1"/>
    <xf numFmtId="10" fontId="3" fillId="18" borderId="4" xfId="20" applyNumberFormat="1" applyFont="1" applyFill="1" applyBorder="1"/>
    <xf numFmtId="10" fontId="3" fillId="15" borderId="4" xfId="20" applyNumberFormat="1" applyFont="1" applyFill="1" applyBorder="1"/>
    <xf numFmtId="171" fontId="0" fillId="0" borderId="4" xfId="0" applyNumberFormat="1" applyBorder="1" applyAlignment="1">
      <alignment horizontal="center"/>
    </xf>
    <xf numFmtId="0" fontId="3" fillId="0" borderId="78" xfId="11" applyBorder="1" applyAlignment="1">
      <alignment horizontal="center"/>
    </xf>
    <xf numFmtId="0" fontId="3" fillId="0" borderId="18" xfId="11" applyBorder="1" applyAlignment="1">
      <alignment horizontal="center"/>
    </xf>
    <xf numFmtId="0" fontId="3" fillId="0" borderId="79" xfId="11" applyBorder="1" applyAlignment="1">
      <alignment horizontal="center"/>
    </xf>
    <xf numFmtId="14" fontId="77" fillId="0" borderId="100" xfId="0" applyNumberFormat="1" applyFont="1" applyBorder="1" applyAlignment="1">
      <alignment horizontal="center" vertical="center"/>
    </xf>
    <xf numFmtId="1" fontId="77" fillId="0" borderId="102" xfId="0" applyNumberFormat="1" applyFont="1" applyBorder="1" applyAlignment="1">
      <alignment horizontal="center" vertical="center"/>
    </xf>
    <xf numFmtId="1" fontId="77" fillId="0" borderId="102" xfId="0" applyNumberFormat="1" applyFont="1" applyBorder="1" applyAlignment="1">
      <alignment horizontal="center" vertical="center" wrapText="1"/>
    </xf>
    <xf numFmtId="1" fontId="77" fillId="0" borderId="103" xfId="0" applyNumberFormat="1" applyFont="1" applyBorder="1" applyAlignment="1">
      <alignment horizontal="center" vertical="center" wrapText="1"/>
    </xf>
    <xf numFmtId="14" fontId="77" fillId="0" borderId="108" xfId="0" applyNumberFormat="1" applyFont="1" applyBorder="1" applyAlignment="1">
      <alignment horizontal="center" vertical="center"/>
    </xf>
    <xf numFmtId="1" fontId="77" fillId="0" borderId="22" xfId="0" applyNumberFormat="1" applyFont="1" applyBorder="1" applyAlignment="1">
      <alignment horizontal="center" vertical="center"/>
    </xf>
    <xf numFmtId="1" fontId="77" fillId="0" borderId="22" xfId="0" applyNumberFormat="1" applyFont="1" applyBorder="1" applyAlignment="1">
      <alignment horizontal="center" vertical="center" wrapText="1"/>
    </xf>
    <xf numFmtId="1" fontId="77" fillId="0" borderId="109" xfId="0" applyNumberFormat="1" applyFont="1" applyBorder="1" applyAlignment="1">
      <alignment horizontal="center" vertical="center" wrapText="1"/>
    </xf>
    <xf numFmtId="1" fontId="77" fillId="0" borderId="109" xfId="0" applyNumberFormat="1" applyFont="1" applyBorder="1" applyAlignment="1">
      <alignment horizontal="center" vertical="center"/>
    </xf>
    <xf numFmtId="174" fontId="22" fillId="0" borderId="87" xfId="1" applyNumberFormat="1" applyFont="1" applyFill="1" applyBorder="1" applyAlignment="1">
      <alignment horizontal="right" vertical="center"/>
    </xf>
    <xf numFmtId="0" fontId="69" fillId="0" borderId="83" xfId="15" applyFont="1" applyBorder="1" applyAlignment="1">
      <alignment horizontal="center" vertical="center"/>
    </xf>
    <xf numFmtId="0" fontId="69" fillId="0" borderId="84" xfId="15" applyFont="1" applyBorder="1" applyAlignment="1">
      <alignment horizontal="center" vertical="center"/>
    </xf>
    <xf numFmtId="0" fontId="69" fillId="0" borderId="93" xfId="15" applyFont="1" applyBorder="1" applyAlignment="1">
      <alignment horizontal="center" vertical="center"/>
    </xf>
    <xf numFmtId="0" fontId="69" fillId="0" borderId="88" xfId="15" applyFont="1" applyBorder="1" applyAlignment="1">
      <alignment horizontal="center" vertical="center"/>
    </xf>
    <xf numFmtId="0" fontId="69" fillId="0" borderId="0" xfId="15" applyFont="1" applyAlignment="1">
      <alignment horizontal="center" vertical="center"/>
    </xf>
    <xf numFmtId="0" fontId="74" fillId="0" borderId="0" xfId="15" applyFont="1" applyAlignment="1">
      <alignment vertical="center"/>
    </xf>
    <xf numFmtId="0" fontId="78" fillId="0" borderId="58" xfId="15" applyFont="1" applyBorder="1" applyAlignment="1">
      <alignment horizontal="left" vertical="center"/>
    </xf>
    <xf numFmtId="0" fontId="69" fillId="0" borderId="94" xfId="15" applyFont="1" applyBorder="1" applyAlignment="1">
      <alignment horizontal="center" vertical="center"/>
    </xf>
    <xf numFmtId="0" fontId="69" fillId="0" borderId="90" xfId="15" applyFont="1" applyBorder="1" applyAlignment="1">
      <alignment horizontal="center" vertical="center"/>
    </xf>
    <xf numFmtId="0" fontId="69" fillId="0" borderId="85" xfId="15" applyFont="1" applyBorder="1" applyAlignment="1">
      <alignment horizontal="center" vertical="center"/>
    </xf>
    <xf numFmtId="0" fontId="69" fillId="0" borderId="0" xfId="15" applyFont="1" applyAlignment="1">
      <alignment vertical="center"/>
    </xf>
    <xf numFmtId="0" fontId="74" fillId="0" borderId="0" xfId="14" applyFont="1" applyAlignment="1">
      <alignment vertical="center"/>
    </xf>
    <xf numFmtId="0" fontId="79" fillId="0" borderId="0" xfId="14" applyFont="1" applyAlignment="1">
      <alignment vertical="center"/>
    </xf>
    <xf numFmtId="0" fontId="80" fillId="0" borderId="0" xfId="15" applyFont="1" applyAlignment="1">
      <alignment horizontal="left" vertical="center" wrapText="1"/>
    </xf>
    <xf numFmtId="0" fontId="78" fillId="0" borderId="0" xfId="15" applyFont="1" applyAlignment="1">
      <alignment horizontal="left" vertical="center" wrapText="1"/>
    </xf>
    <xf numFmtId="0" fontId="79" fillId="0" borderId="119" xfId="14" applyFont="1" applyBorder="1" applyAlignment="1">
      <alignment vertical="center"/>
    </xf>
    <xf numFmtId="0" fontId="74" fillId="0" borderId="0" xfId="15" applyFont="1"/>
    <xf numFmtId="0" fontId="69" fillId="0" borderId="58" xfId="15" applyFont="1" applyBorder="1" applyAlignment="1">
      <alignment horizontal="center" vertical="center"/>
    </xf>
    <xf numFmtId="0" fontId="22" fillId="0" borderId="58" xfId="15" applyFont="1" applyBorder="1" applyAlignment="1">
      <alignment horizontal="center" vertical="center"/>
    </xf>
    <xf numFmtId="2" fontId="22" fillId="0" borderId="58" xfId="15" applyNumberFormat="1" applyFont="1" applyBorder="1" applyAlignment="1">
      <alignment vertical="center"/>
    </xf>
    <xf numFmtId="0" fontId="40" fillId="0" borderId="0" xfId="0" applyFont="1" applyAlignment="1">
      <alignment horizontal="center"/>
    </xf>
    <xf numFmtId="0" fontId="21" fillId="0" borderId="0" xfId="0" applyFont="1" applyAlignment="1">
      <alignment horizontal="center"/>
    </xf>
    <xf numFmtId="0" fontId="8" fillId="0" borderId="0" xfId="0" applyFont="1" applyAlignment="1">
      <alignment horizontal="center"/>
    </xf>
    <xf numFmtId="0" fontId="53" fillId="0" borderId="0" xfId="0" applyFont="1" applyAlignment="1">
      <alignment horizontal="center"/>
    </xf>
    <xf numFmtId="0" fontId="42" fillId="0" borderId="0" xfId="0" applyFont="1" applyAlignment="1">
      <alignment horizontal="center"/>
    </xf>
    <xf numFmtId="0" fontId="23" fillId="0" borderId="0" xfId="0" applyFont="1" applyAlignment="1">
      <alignment horizontal="center"/>
    </xf>
    <xf numFmtId="0" fontId="6" fillId="0" borderId="0" xfId="0" applyFont="1" applyAlignment="1">
      <alignment horizontal="center"/>
    </xf>
    <xf numFmtId="0" fontId="56" fillId="0" borderId="0" xfId="0" applyFont="1" applyAlignment="1">
      <alignment horizontal="center"/>
    </xf>
    <xf numFmtId="0" fontId="37" fillId="0" borderId="0" xfId="0" applyFont="1" applyAlignment="1">
      <alignment horizontal="center"/>
    </xf>
    <xf numFmtId="0" fontId="17" fillId="0" borderId="0" xfId="0" applyFont="1" applyAlignment="1">
      <alignment horizontal="center"/>
    </xf>
    <xf numFmtId="0" fontId="40" fillId="0" borderId="0" xfId="0" applyFont="1" applyAlignment="1">
      <alignment horizontal="center"/>
    </xf>
    <xf numFmtId="0" fontId="67" fillId="0" borderId="0" xfId="2" applyAlignment="1" applyProtection="1">
      <alignment horizontal="center"/>
    </xf>
    <xf numFmtId="0" fontId="27" fillId="0" borderId="0" xfId="0" applyFont="1" applyAlignment="1">
      <alignment horizontal="left" wrapText="1"/>
    </xf>
    <xf numFmtId="0" fontId="32" fillId="0" borderId="13" xfId="0" applyFont="1" applyBorder="1" applyAlignment="1">
      <alignment horizontal="center"/>
    </xf>
    <xf numFmtId="0" fontId="32" fillId="0" borderId="3" xfId="0" applyFont="1" applyBorder="1" applyAlignment="1">
      <alignment horizontal="center"/>
    </xf>
    <xf numFmtId="0" fontId="37" fillId="0" borderId="0" xfId="0" applyFont="1" applyAlignment="1">
      <alignment horizontal="center" wrapText="1"/>
    </xf>
    <xf numFmtId="0" fontId="17" fillId="0" borderId="0" xfId="0" applyFont="1" applyAlignment="1">
      <alignment horizontal="center" wrapText="1"/>
    </xf>
    <xf numFmtId="0" fontId="23" fillId="0" borderId="0" xfId="0" applyFont="1" applyAlignment="1">
      <alignment horizontal="center" wrapText="1"/>
    </xf>
    <xf numFmtId="0" fontId="31" fillId="0" borderId="120" xfId="9" applyFont="1" applyBorder="1" applyAlignment="1">
      <alignment horizontal="left" vertical="center"/>
    </xf>
    <xf numFmtId="0" fontId="3" fillId="0" borderId="9" xfId="9" applyBorder="1" applyAlignment="1">
      <alignment horizontal="left" vertical="center"/>
    </xf>
    <xf numFmtId="0" fontId="67" fillId="0" borderId="0" xfId="2" applyFill="1" applyAlignment="1" applyProtection="1">
      <alignment horizontal="center"/>
    </xf>
    <xf numFmtId="0" fontId="22" fillId="0" borderId="1" xfId="0" applyFont="1" applyBorder="1" applyAlignment="1">
      <alignment horizontal="center"/>
    </xf>
    <xf numFmtId="49" fontId="27" fillId="0" borderId="13" xfId="0" applyNumberFormat="1" applyFont="1" applyBorder="1" applyAlignment="1">
      <alignment horizontal="center"/>
    </xf>
    <xf numFmtId="49" fontId="27" fillId="0" borderId="12" xfId="0" applyNumberFormat="1" applyFont="1" applyBorder="1" applyAlignment="1">
      <alignment horizontal="center"/>
    </xf>
    <xf numFmtId="0" fontId="3" fillId="0" borderId="24" xfId="9" applyBorder="1" applyAlignment="1">
      <alignment horizontal="left" vertical="center"/>
    </xf>
    <xf numFmtId="0" fontId="31" fillId="0" borderId="50" xfId="9" applyFont="1" applyBorder="1" applyAlignment="1">
      <alignment horizontal="center"/>
    </xf>
    <xf numFmtId="0" fontId="31" fillId="0" borderId="45" xfId="9" applyFont="1" applyBorder="1" applyAlignment="1">
      <alignment horizontal="center"/>
    </xf>
    <xf numFmtId="0" fontId="31" fillId="0" borderId="39" xfId="9" applyFont="1" applyBorder="1" applyAlignment="1">
      <alignment horizontal="center"/>
    </xf>
    <xf numFmtId="0" fontId="31" fillId="0" borderId="41" xfId="9" applyFont="1" applyBorder="1" applyAlignment="1">
      <alignment horizontal="center"/>
    </xf>
    <xf numFmtId="0" fontId="31" fillId="0" borderId="7" xfId="9" applyFont="1" applyBorder="1" applyAlignment="1">
      <alignment horizontal="left" vertical="center"/>
    </xf>
    <xf numFmtId="0" fontId="3" fillId="0" borderId="13" xfId="9" applyBorder="1" applyAlignment="1">
      <alignment horizontal="center" vertical="center"/>
    </xf>
    <xf numFmtId="0" fontId="3" fillId="0" borderId="12" xfId="9" applyBorder="1" applyAlignment="1">
      <alignment horizontal="center" vertical="center"/>
    </xf>
    <xf numFmtId="0" fontId="3" fillId="0" borderId="3" xfId="9" applyBorder="1" applyAlignment="1">
      <alignment horizontal="center" vertical="center"/>
    </xf>
    <xf numFmtId="0" fontId="4" fillId="0" borderId="7" xfId="9" quotePrefix="1" applyFont="1" applyBorder="1" applyAlignment="1">
      <alignment horizontal="center" vertical="center"/>
    </xf>
    <xf numFmtId="0" fontId="4" fillId="0" borderId="0" xfId="9" quotePrefix="1" applyFont="1" applyAlignment="1">
      <alignment horizontal="center" vertical="center"/>
    </xf>
    <xf numFmtId="0" fontId="6" fillId="0" borderId="7" xfId="9" applyFont="1" applyBorder="1" applyAlignment="1">
      <alignment horizontal="center"/>
    </xf>
    <xf numFmtId="0" fontId="6" fillId="0" borderId="0" xfId="9" applyFont="1" applyAlignment="1">
      <alignment horizontal="center"/>
    </xf>
    <xf numFmtId="0" fontId="6" fillId="0" borderId="17" xfId="9" applyFont="1" applyBorder="1" applyAlignment="1">
      <alignment horizontal="center"/>
    </xf>
    <xf numFmtId="0" fontId="29" fillId="0" borderId="37" xfId="9" applyFont="1" applyBorder="1" applyAlignment="1">
      <alignment horizontal="center"/>
    </xf>
    <xf numFmtId="0" fontId="29" fillId="0" borderId="38" xfId="9" applyFont="1" applyBorder="1" applyAlignment="1">
      <alignment horizontal="center"/>
    </xf>
    <xf numFmtId="0" fontId="29" fillId="0" borderId="57" xfId="9" applyFont="1" applyBorder="1" applyAlignment="1">
      <alignment horizontal="center"/>
    </xf>
    <xf numFmtId="0" fontId="6" fillId="0" borderId="9" xfId="9" applyFont="1" applyBorder="1" applyAlignment="1">
      <alignment horizontal="center"/>
    </xf>
    <xf numFmtId="0" fontId="6" fillId="0" borderId="18" xfId="9" applyFont="1" applyBorder="1" applyAlignment="1">
      <alignment horizontal="center"/>
    </xf>
    <xf numFmtId="0" fontId="6" fillId="0" borderId="19" xfId="9" applyFont="1" applyBorder="1" applyAlignment="1">
      <alignment horizontal="center"/>
    </xf>
    <xf numFmtId="0" fontId="30" fillId="0" borderId="14" xfId="9" applyFont="1" applyBorder="1" applyAlignment="1">
      <alignment horizontal="center"/>
    </xf>
    <xf numFmtId="0" fontId="30" fillId="0" borderId="15" xfId="9" applyFont="1" applyBorder="1" applyAlignment="1">
      <alignment horizontal="center"/>
    </xf>
    <xf numFmtId="0" fontId="6" fillId="0" borderId="14" xfId="9" applyFont="1" applyBorder="1" applyAlignment="1">
      <alignment horizontal="center"/>
    </xf>
    <xf numFmtId="0" fontId="6" fillId="0" borderId="15" xfId="9" applyFont="1" applyBorder="1" applyAlignment="1">
      <alignment horizontal="center"/>
    </xf>
    <xf numFmtId="0" fontId="6" fillId="0" borderId="16" xfId="9" applyFont="1" applyBorder="1" applyAlignment="1">
      <alignment horizontal="center"/>
    </xf>
    <xf numFmtId="0" fontId="40" fillId="0" borderId="0" xfId="9" applyFont="1" applyAlignment="1">
      <alignment horizontal="center"/>
    </xf>
    <xf numFmtId="0" fontId="23" fillId="0" borderId="0" xfId="9" applyFont="1" applyAlignment="1">
      <alignment horizontal="center"/>
    </xf>
    <xf numFmtId="0" fontId="9" fillId="0" borderId="1" xfId="9" applyFont="1" applyBorder="1" applyAlignment="1">
      <alignment horizontal="right"/>
    </xf>
    <xf numFmtId="0" fontId="17" fillId="0" borderId="0" xfId="0" applyFont="1" applyAlignment="1">
      <alignment horizontal="center" vertical="center" wrapText="1"/>
    </xf>
    <xf numFmtId="0" fontId="35" fillId="2" borderId="26" xfId="0" applyFont="1" applyFill="1" applyBorder="1" applyAlignment="1">
      <alignment horizontal="center" vertical="center" wrapText="1"/>
    </xf>
    <xf numFmtId="0" fontId="35" fillId="2" borderId="27" xfId="0" applyFont="1" applyFill="1" applyBorder="1" applyAlignment="1">
      <alignment horizontal="center" vertical="center" wrapText="1"/>
    </xf>
    <xf numFmtId="0" fontId="35" fillId="2" borderId="28" xfId="0" applyFont="1" applyFill="1" applyBorder="1" applyAlignment="1">
      <alignment horizontal="center" vertical="center" wrapText="1"/>
    </xf>
    <xf numFmtId="0" fontId="27" fillId="0" borderId="0" xfId="13" applyFont="1" applyFill="1" applyAlignment="1">
      <alignment horizontal="left"/>
    </xf>
    <xf numFmtId="0" fontId="3" fillId="0" borderId="0" xfId="0" applyFont="1" applyAlignment="1">
      <alignment horizontal="center"/>
    </xf>
    <xf numFmtId="0" fontId="27" fillId="0" borderId="0" xfId="11" applyFont="1" applyAlignment="1">
      <alignment horizontal="left"/>
    </xf>
    <xf numFmtId="0" fontId="27" fillId="0" borderId="0" xfId="11" applyFont="1" applyAlignment="1">
      <alignment horizontal="center"/>
    </xf>
    <xf numFmtId="0" fontId="27" fillId="0" borderId="0" xfId="13" applyFont="1" applyFill="1" applyAlignment="1">
      <alignment horizontal="center"/>
    </xf>
    <xf numFmtId="49" fontId="27" fillId="0" borderId="0" xfId="0" applyNumberFormat="1" applyFont="1" applyAlignment="1">
      <alignment horizontal="center"/>
    </xf>
    <xf numFmtId="0" fontId="22" fillId="0" borderId="0" xfId="0" applyFont="1" applyAlignment="1">
      <alignment horizontal="center"/>
    </xf>
    <xf numFmtId="0" fontId="6" fillId="0" borderId="15" xfId="0" applyFont="1" applyBorder="1" applyAlignment="1">
      <alignment horizontal="center"/>
    </xf>
    <xf numFmtId="0" fontId="6" fillId="0" borderId="16" xfId="0" applyFont="1" applyBorder="1" applyAlignment="1">
      <alignment horizontal="center"/>
    </xf>
    <xf numFmtId="0" fontId="30" fillId="0" borderId="14" xfId="0" applyFont="1" applyBorder="1" applyAlignment="1">
      <alignment horizontal="center"/>
    </xf>
    <xf numFmtId="0" fontId="30" fillId="0" borderId="15" xfId="0" applyFont="1" applyBorder="1" applyAlignment="1">
      <alignment horizontal="center"/>
    </xf>
    <xf numFmtId="0" fontId="6" fillId="0" borderId="17" xfId="0" applyFont="1" applyBorder="1" applyAlignment="1">
      <alignment horizontal="center"/>
    </xf>
    <xf numFmtId="0" fontId="4" fillId="0" borderId="7" xfId="0" quotePrefix="1" applyFont="1" applyBorder="1" applyAlignment="1">
      <alignment horizontal="center" vertical="center"/>
    </xf>
    <xf numFmtId="0" fontId="4" fillId="0" borderId="0" xfId="0" quotePrefix="1" applyFont="1" applyAlignment="1">
      <alignment horizontal="center" vertical="center"/>
    </xf>
    <xf numFmtId="0" fontId="6" fillId="0" borderId="18" xfId="0" applyFont="1" applyBorder="1" applyAlignment="1">
      <alignment horizontal="center"/>
    </xf>
    <xf numFmtId="0" fontId="6" fillId="0" borderId="19" xfId="0" applyFont="1" applyBorder="1" applyAlignment="1">
      <alignment horizontal="center"/>
    </xf>
    <xf numFmtId="0" fontId="29" fillId="0" borderId="37" xfId="0" applyFont="1" applyBorder="1" applyAlignment="1">
      <alignment horizontal="center"/>
    </xf>
    <xf numFmtId="0" fontId="29" fillId="0" borderId="38" xfId="0" applyFont="1" applyBorder="1" applyAlignment="1">
      <alignment horizontal="center"/>
    </xf>
    <xf numFmtId="0" fontId="31" fillId="0" borderId="50" xfId="0" applyFont="1" applyBorder="1" applyAlignment="1">
      <alignment horizontal="center"/>
    </xf>
    <xf numFmtId="0" fontId="31" fillId="0" borderId="45" xfId="0" applyFont="1" applyBorder="1" applyAlignment="1">
      <alignment horizontal="center"/>
    </xf>
    <xf numFmtId="0" fontId="31" fillId="0" borderId="39" xfId="0" applyFont="1" applyBorder="1" applyAlignment="1">
      <alignment horizontal="center"/>
    </xf>
    <xf numFmtId="0" fontId="31" fillId="0" borderId="41" xfId="0" applyFont="1" applyBorder="1" applyAlignment="1">
      <alignment horizontal="center"/>
    </xf>
    <xf numFmtId="0" fontId="31" fillId="0" borderId="7" xfId="0" applyFont="1" applyBorder="1" applyAlignment="1">
      <alignment horizontal="left" vertical="center"/>
    </xf>
    <xf numFmtId="0" fontId="0" fillId="0" borderId="24" xfId="0" applyBorder="1" applyAlignment="1">
      <alignment horizontal="left" vertical="center"/>
    </xf>
    <xf numFmtId="0" fontId="31" fillId="0" borderId="120" xfId="0" applyFont="1" applyBorder="1" applyAlignment="1">
      <alignment horizontal="left" vertical="center"/>
    </xf>
    <xf numFmtId="0" fontId="3" fillId="0" borderId="13" xfId="11" applyBorder="1" applyAlignment="1">
      <alignment horizontal="center"/>
    </xf>
    <xf numFmtId="0" fontId="3" fillId="0" borderId="12" xfId="11" applyBorder="1" applyAlignment="1">
      <alignment horizontal="center"/>
    </xf>
    <xf numFmtId="0" fontId="3" fillId="0" borderId="3" xfId="11" applyBorder="1" applyAlignment="1">
      <alignment horizontal="center"/>
    </xf>
    <xf numFmtId="0" fontId="0" fillId="0" borderId="9" xfId="0" applyBorder="1" applyAlignment="1">
      <alignment horizontal="left" vertical="center"/>
    </xf>
    <xf numFmtId="0" fontId="0" fillId="0" borderId="0" xfId="0" applyAlignment="1">
      <alignment horizontal="center"/>
    </xf>
    <xf numFmtId="0" fontId="67" fillId="0" borderId="0" xfId="3" applyFont="1" applyFill="1" applyAlignment="1" applyProtection="1">
      <alignment horizontal="center"/>
    </xf>
    <xf numFmtId="0" fontId="22" fillId="0" borderId="4" xfId="9" applyFont="1" applyBorder="1" applyAlignment="1">
      <alignment horizontal="left" vertical="center" wrapText="1"/>
    </xf>
    <xf numFmtId="0" fontId="22" fillId="0" borderId="20" xfId="9" applyFont="1" applyBorder="1" applyAlignment="1">
      <alignment horizontal="left" vertical="center" wrapText="1"/>
    </xf>
    <xf numFmtId="0" fontId="22" fillId="0" borderId="13" xfId="9" applyFont="1" applyBorder="1" applyAlignment="1">
      <alignment horizontal="left" vertical="center" wrapText="1"/>
    </xf>
    <xf numFmtId="0" fontId="22" fillId="0" borderId="12" xfId="9" applyFont="1" applyBorder="1" applyAlignment="1">
      <alignment horizontal="left" vertical="center" wrapText="1"/>
    </xf>
    <xf numFmtId="0" fontId="22" fillId="0" borderId="31" xfId="9" applyFont="1" applyBorder="1" applyAlignment="1">
      <alignment horizontal="left" vertical="center" wrapText="1"/>
    </xf>
    <xf numFmtId="0" fontId="22" fillId="0" borderId="37" xfId="9" applyFont="1" applyBorder="1" applyAlignment="1">
      <alignment horizontal="left" vertical="center" wrapText="1"/>
    </xf>
    <xf numFmtId="0" fontId="22" fillId="0" borderId="38" xfId="9" applyFont="1" applyBorder="1" applyAlignment="1">
      <alignment horizontal="left" vertical="center" wrapText="1"/>
    </xf>
    <xf numFmtId="0" fontId="22" fillId="0" borderId="32" xfId="9" applyFont="1" applyBorder="1" applyAlignment="1">
      <alignment horizontal="left" vertical="center" wrapText="1"/>
    </xf>
    <xf numFmtId="0" fontId="8" fillId="0" borderId="0" xfId="9" applyFont="1" applyAlignment="1">
      <alignment horizontal="center"/>
    </xf>
    <xf numFmtId="0" fontId="3" fillId="0" borderId="8" xfId="9" applyBorder="1" applyAlignment="1">
      <alignment horizontal="center"/>
    </xf>
    <xf numFmtId="0" fontId="3" fillId="0" borderId="0" xfId="9" applyAlignment="1">
      <alignment horizontal="center"/>
    </xf>
    <xf numFmtId="0" fontId="3" fillId="0" borderId="17" xfId="9" applyBorder="1" applyAlignment="1">
      <alignment horizontal="center"/>
    </xf>
    <xf numFmtId="0" fontId="27" fillId="0" borderId="18" xfId="9" applyFont="1" applyBorder="1" applyAlignment="1">
      <alignment horizontal="center"/>
    </xf>
    <xf numFmtId="0" fontId="30" fillId="0" borderId="51" xfId="9" applyFont="1" applyBorder="1" applyAlignment="1">
      <alignment horizontal="center" vertical="center"/>
    </xf>
    <xf numFmtId="0" fontId="30" fillId="0" borderId="52" xfId="9" applyFont="1" applyBorder="1" applyAlignment="1">
      <alignment horizontal="center" vertical="center"/>
    </xf>
    <xf numFmtId="0" fontId="67" fillId="0" borderId="0" xfId="2" applyBorder="1" applyAlignment="1" applyProtection="1">
      <alignment horizontal="center"/>
    </xf>
    <xf numFmtId="0" fontId="80" fillId="0" borderId="0" xfId="0" applyFont="1" applyAlignment="1">
      <alignment horizontal="left" vertical="justify" wrapText="1"/>
    </xf>
    <xf numFmtId="178" fontId="19" fillId="0" borderId="4" xfId="0" applyNumberFormat="1" applyFont="1" applyBorder="1" applyAlignment="1">
      <alignment horizontal="right" vertical="center"/>
    </xf>
    <xf numFmtId="2" fontId="19" fillId="0" borderId="22" xfId="0" applyNumberFormat="1" applyFont="1" applyBorder="1" applyAlignment="1">
      <alignment horizontal="right" vertical="center"/>
    </xf>
    <xf numFmtId="2" fontId="19" fillId="0" borderId="64" xfId="0" applyNumberFormat="1" applyFont="1" applyBorder="1" applyAlignment="1">
      <alignment horizontal="right" vertical="center"/>
    </xf>
    <xf numFmtId="0" fontId="59" fillId="0" borderId="4" xfId="0" applyFont="1" applyBorder="1" applyAlignment="1">
      <alignment horizontal="center" vertical="center" wrapText="1"/>
    </xf>
    <xf numFmtId="0" fontId="59" fillId="0" borderId="4" xfId="0" applyFont="1" applyBorder="1" applyAlignment="1">
      <alignment horizontal="center" vertical="center"/>
    </xf>
    <xf numFmtId="0" fontId="19" fillId="0" borderId="4" xfId="0" applyFont="1" applyBorder="1" applyAlignment="1">
      <alignment horizontal="center"/>
    </xf>
    <xf numFmtId="0" fontId="59" fillId="0" borderId="3" xfId="0" applyFont="1" applyBorder="1" applyAlignment="1">
      <alignment horizontal="center" vertical="center"/>
    </xf>
    <xf numFmtId="0" fontId="59" fillId="0" borderId="13" xfId="0" applyFont="1" applyBorder="1" applyAlignment="1">
      <alignment horizontal="center" vertical="center"/>
    </xf>
    <xf numFmtId="0" fontId="9" fillId="5" borderId="29" xfId="0" applyFont="1" applyFill="1" applyBorder="1" applyAlignment="1">
      <alignment horizontal="center" vertical="center" wrapText="1"/>
    </xf>
    <xf numFmtId="0" fontId="19" fillId="5" borderId="4" xfId="0" applyFont="1" applyFill="1" applyBorder="1" applyAlignment="1">
      <alignment horizontal="left" vertical="center" wrapText="1"/>
    </xf>
    <xf numFmtId="0" fontId="59" fillId="0" borderId="10" xfId="0" applyFont="1" applyBorder="1" applyAlignment="1">
      <alignment horizontal="center" vertical="center"/>
    </xf>
    <xf numFmtId="0" fontId="59" fillId="0" borderId="11" xfId="0" applyFont="1" applyBorder="1" applyAlignment="1">
      <alignment horizontal="center" vertical="center"/>
    </xf>
    <xf numFmtId="0" fontId="59" fillId="0" borderId="6" xfId="0" applyFont="1" applyBorder="1" applyAlignment="1">
      <alignment horizontal="center" vertical="center"/>
    </xf>
    <xf numFmtId="0" fontId="59" fillId="0" borderId="2" xfId="0" applyFont="1" applyBorder="1" applyAlignment="1">
      <alignment horizontal="center" vertical="center"/>
    </xf>
    <xf numFmtId="0" fontId="39" fillId="0" borderId="15" xfId="0" applyFont="1" applyBorder="1" applyAlignment="1">
      <alignment horizontal="center"/>
    </xf>
    <xf numFmtId="0" fontId="22" fillId="0" borderId="0" xfId="0" applyFont="1" applyAlignment="1">
      <alignment horizontal="justify" vertical="center" wrapText="1"/>
    </xf>
    <xf numFmtId="0" fontId="44" fillId="0" borderId="0" xfId="0" applyFont="1" applyAlignment="1">
      <alignment horizontal="center"/>
    </xf>
    <xf numFmtId="0" fontId="10" fillId="2" borderId="50" xfId="0" applyFont="1" applyFill="1" applyBorder="1" applyAlignment="1">
      <alignment horizontal="center" vertical="center"/>
    </xf>
    <xf numFmtId="0" fontId="10" fillId="2" borderId="41" xfId="0" applyFont="1" applyFill="1" applyBorder="1" applyAlignment="1">
      <alignment horizontal="center" vertical="center"/>
    </xf>
    <xf numFmtId="0" fontId="4" fillId="5" borderId="14" xfId="0" applyFont="1" applyFill="1" applyBorder="1" applyAlignment="1">
      <alignment horizontal="center"/>
    </xf>
    <xf numFmtId="0" fontId="4" fillId="5" borderId="16" xfId="0" applyFont="1" applyFill="1" applyBorder="1" applyAlignment="1">
      <alignment horizontal="center"/>
    </xf>
    <xf numFmtId="0" fontId="31" fillId="5" borderId="7" xfId="0" applyFont="1" applyFill="1" applyBorder="1" applyAlignment="1">
      <alignment horizontal="center"/>
    </xf>
    <xf numFmtId="0" fontId="31" fillId="5" borderId="17" xfId="0" applyFont="1" applyFill="1" applyBorder="1" applyAlignment="1">
      <alignment horizontal="center"/>
    </xf>
    <xf numFmtId="0" fontId="4" fillId="5" borderId="9" xfId="0" applyFont="1" applyFill="1" applyBorder="1" applyAlignment="1">
      <alignment horizontal="center"/>
    </xf>
    <xf numFmtId="0" fontId="4" fillId="5" borderId="19" xfId="0" applyFont="1" applyFill="1" applyBorder="1" applyAlignment="1">
      <alignment horizontal="center"/>
    </xf>
    <xf numFmtId="167" fontId="3" fillId="0" borderId="0" xfId="8" applyFont="1" applyFill="1" applyAlignment="1">
      <alignment horizontal="center"/>
    </xf>
    <xf numFmtId="0" fontId="3" fillId="0" borderId="0" xfId="15" applyAlignment="1">
      <alignment horizontal="center"/>
    </xf>
    <xf numFmtId="0" fontId="31" fillId="0" borderId="81" xfId="0" applyFont="1" applyBorder="1" applyAlignment="1">
      <alignment horizontal="center"/>
    </xf>
    <xf numFmtId="0" fontId="31" fillId="0" borderId="101" xfId="0" applyFont="1" applyBorder="1" applyAlignment="1">
      <alignment horizontal="center"/>
    </xf>
    <xf numFmtId="168" fontId="4" fillId="0" borderId="56" xfId="5" applyNumberFormat="1" applyFont="1" applyFill="1" applyBorder="1" applyAlignment="1">
      <alignment horizontal="center"/>
    </xf>
    <xf numFmtId="168" fontId="4" fillId="0" borderId="63" xfId="5" applyNumberFormat="1" applyFont="1" applyFill="1" applyBorder="1" applyAlignment="1">
      <alignment horizontal="center"/>
    </xf>
    <xf numFmtId="0" fontId="31" fillId="0" borderId="78" xfId="0" quotePrefix="1" applyFont="1" applyBorder="1" applyAlignment="1">
      <alignment horizontal="center"/>
    </xf>
    <xf numFmtId="0" fontId="31" fillId="0" borderId="67" xfId="0" quotePrefix="1" applyFont="1" applyBorder="1" applyAlignment="1">
      <alignment horizontal="center"/>
    </xf>
    <xf numFmtId="0" fontId="44" fillId="5" borderId="0" xfId="0" applyFont="1" applyFill="1" applyAlignment="1">
      <alignment horizontal="center"/>
    </xf>
    <xf numFmtId="0" fontId="31" fillId="0" borderId="8" xfId="0" applyFont="1" applyBorder="1" applyAlignment="1">
      <alignment horizontal="center"/>
    </xf>
    <xf numFmtId="0" fontId="31" fillId="0" borderId="5" xfId="0" applyFont="1" applyBorder="1" applyAlignment="1">
      <alignment horizontal="center"/>
    </xf>
    <xf numFmtId="0" fontId="10" fillId="2" borderId="26"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9" fillId="0" borderId="0" xfId="0" applyFont="1" applyAlignment="1">
      <alignment horizontal="center" vertical="center"/>
    </xf>
    <xf numFmtId="0" fontId="10" fillId="0" borderId="22" xfId="0" applyFont="1" applyBorder="1" applyAlignment="1">
      <alignment horizontal="center" vertical="center"/>
    </xf>
    <xf numFmtId="0" fontId="0" fillId="0" borderId="25" xfId="0" applyBorder="1" applyAlignment="1">
      <alignment horizontal="center" vertical="center"/>
    </xf>
    <xf numFmtId="0" fontId="10" fillId="0" borderId="22" xfId="0" applyFont="1" applyBorder="1" applyAlignment="1">
      <alignment horizontal="center" vertical="center" wrapText="1"/>
    </xf>
    <xf numFmtId="0" fontId="0" fillId="0" borderId="25" xfId="0" applyBorder="1" applyAlignment="1">
      <alignment horizontal="center" vertical="center" wrapText="1"/>
    </xf>
    <xf numFmtId="0" fontId="10" fillId="0" borderId="13" xfId="0" applyFont="1" applyBorder="1" applyAlignment="1">
      <alignment horizontal="center" vertical="center"/>
    </xf>
    <xf numFmtId="0" fontId="10" fillId="0" borderId="3" xfId="0" applyFont="1" applyBorder="1" applyAlignment="1">
      <alignment horizontal="center" vertical="center"/>
    </xf>
    <xf numFmtId="0" fontId="10" fillId="2" borderId="13"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3" xfId="0" applyFont="1" applyFill="1" applyBorder="1" applyAlignment="1">
      <alignment horizontal="center" vertical="center"/>
    </xf>
    <xf numFmtId="0" fontId="10" fillId="0" borderId="25" xfId="0" applyFont="1" applyBorder="1" applyAlignment="1">
      <alignment horizontal="center" vertical="center"/>
    </xf>
    <xf numFmtId="0" fontId="0" fillId="0" borderId="0" xfId="0" applyAlignment="1">
      <alignment horizontal="center" vertical="center"/>
    </xf>
    <xf numFmtId="0" fontId="30" fillId="0" borderId="0" xfId="18" applyFont="1" applyAlignment="1">
      <alignment horizontal="right"/>
    </xf>
    <xf numFmtId="0" fontId="30" fillId="11" borderId="102" xfId="18" applyFont="1" applyFill="1" applyBorder="1" applyAlignment="1">
      <alignment horizontal="center" vertical="center" wrapText="1"/>
    </xf>
    <xf numFmtId="0" fontId="30" fillId="11" borderId="64" xfId="18" applyFont="1" applyFill="1" applyBorder="1" applyAlignment="1">
      <alignment horizontal="center" vertical="center" wrapText="1"/>
    </xf>
    <xf numFmtId="0" fontId="30" fillId="11" borderId="25" xfId="18" applyFont="1" applyFill="1" applyBorder="1" applyAlignment="1">
      <alignment horizontal="center" vertical="center" wrapText="1"/>
    </xf>
    <xf numFmtId="0" fontId="30" fillId="11" borderId="6" xfId="18" applyFont="1" applyFill="1" applyBorder="1" applyAlignment="1">
      <alignment horizontal="center" vertical="center" wrapText="1"/>
    </xf>
    <xf numFmtId="0" fontId="30" fillId="11" borderId="2" xfId="18" applyFont="1" applyFill="1" applyBorder="1" applyAlignment="1">
      <alignment horizontal="center" vertical="center" wrapText="1"/>
    </xf>
    <xf numFmtId="0" fontId="30" fillId="11" borderId="81" xfId="18" applyFont="1" applyFill="1" applyBorder="1" applyAlignment="1">
      <alignment horizontal="center" vertical="center" wrapText="1"/>
    </xf>
    <xf numFmtId="0" fontId="30" fillId="11" borderId="101" xfId="18" applyFont="1" applyFill="1" applyBorder="1" applyAlignment="1">
      <alignment horizontal="center" vertical="center" wrapText="1"/>
    </xf>
    <xf numFmtId="0" fontId="30" fillId="11" borderId="102" xfId="18" applyFont="1" applyFill="1" applyBorder="1" applyAlignment="1">
      <alignment horizontal="center" vertical="center"/>
    </xf>
    <xf numFmtId="0" fontId="30" fillId="11" borderId="64" xfId="18" applyFont="1" applyFill="1" applyBorder="1" applyAlignment="1">
      <alignment horizontal="center" vertical="center"/>
    </xf>
    <xf numFmtId="0" fontId="30" fillId="11" borderId="25" xfId="18" applyFont="1" applyFill="1" applyBorder="1" applyAlignment="1">
      <alignment horizontal="center" vertical="center"/>
    </xf>
    <xf numFmtId="0" fontId="30" fillId="11" borderId="100" xfId="18" applyFont="1" applyFill="1" applyBorder="1" applyAlignment="1">
      <alignment horizontal="center" vertical="center"/>
    </xf>
    <xf numFmtId="0" fontId="30" fillId="11" borderId="30" xfId="18" applyFont="1" applyFill="1" applyBorder="1" applyAlignment="1">
      <alignment horizontal="center" vertical="center"/>
    </xf>
    <xf numFmtId="0" fontId="30" fillId="11" borderId="46" xfId="18" applyFont="1" applyFill="1" applyBorder="1" applyAlignment="1">
      <alignment horizontal="center" vertical="center"/>
    </xf>
    <xf numFmtId="0" fontId="30" fillId="0" borderId="0" xfId="18" applyFont="1" applyAlignment="1">
      <alignment horizontal="left"/>
    </xf>
    <xf numFmtId="0" fontId="9" fillId="0" borderId="1" xfId="0" applyFont="1" applyBorder="1" applyAlignment="1">
      <alignment horizontal="center" vertical="center"/>
    </xf>
    <xf numFmtId="0" fontId="0" fillId="0" borderId="1" xfId="0" applyBorder="1" applyAlignment="1">
      <alignment horizontal="center" vertical="center"/>
    </xf>
    <xf numFmtId="0" fontId="30" fillId="0" borderId="6" xfId="0" applyFont="1" applyBorder="1" applyAlignment="1">
      <alignment horizontal="center" vertical="center"/>
    </xf>
    <xf numFmtId="0" fontId="30" fillId="0" borderId="1" xfId="0" applyFont="1" applyBorder="1" applyAlignment="1">
      <alignment horizontal="center" vertical="center"/>
    </xf>
    <xf numFmtId="0" fontId="30" fillId="0" borderId="50"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62" xfId="0" applyFont="1" applyBorder="1" applyAlignment="1">
      <alignment horizontal="center" vertical="center" wrapText="1"/>
    </xf>
    <xf numFmtId="0" fontId="30" fillId="0" borderId="31" xfId="0" applyFont="1" applyBorder="1" applyAlignment="1">
      <alignment horizontal="center" vertical="center" wrapText="1"/>
    </xf>
    <xf numFmtId="0" fontId="30" fillId="0" borderId="32"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42" xfId="0" applyFont="1" applyBorder="1" applyAlignment="1">
      <alignment horizontal="center" vertical="center" wrapText="1"/>
    </xf>
    <xf numFmtId="0" fontId="30" fillId="0" borderId="25"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33" xfId="0" applyFont="1" applyBorder="1" applyAlignment="1">
      <alignment horizontal="center" vertical="center" wrapText="1"/>
    </xf>
    <xf numFmtId="0" fontId="30" fillId="0" borderId="51" xfId="0" applyFont="1" applyBorder="1" applyAlignment="1">
      <alignment horizontal="center" vertical="center" wrapText="1"/>
    </xf>
    <xf numFmtId="0" fontId="30" fillId="0" borderId="102" xfId="0" applyFont="1" applyBorder="1" applyAlignment="1">
      <alignment horizontal="center" vertical="center" wrapText="1"/>
    </xf>
    <xf numFmtId="0" fontId="30" fillId="0" borderId="55" xfId="0" applyFont="1" applyBorder="1" applyAlignment="1">
      <alignment horizontal="center" vertical="center" wrapText="1"/>
    </xf>
    <xf numFmtId="0" fontId="30" fillId="0" borderId="34" xfId="0" applyFont="1" applyBorder="1" applyAlignment="1">
      <alignment horizontal="center" vertical="center" wrapText="1"/>
    </xf>
    <xf numFmtId="0" fontId="30" fillId="0" borderId="40"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59" xfId="0" applyFont="1" applyBorder="1" applyAlignment="1">
      <alignment horizontal="center" vertical="center" wrapText="1"/>
    </xf>
    <xf numFmtId="0" fontId="30" fillId="0" borderId="48"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8" xfId="0" applyFont="1" applyBorder="1" applyAlignment="1">
      <alignment horizontal="center" vertical="center" wrapText="1"/>
    </xf>
    <xf numFmtId="0" fontId="61" fillId="0" borderId="23" xfId="0" applyFont="1" applyBorder="1" applyAlignment="1">
      <alignment horizontal="center" vertical="center"/>
    </xf>
    <xf numFmtId="0" fontId="61" fillId="0" borderId="12" xfId="0" applyFont="1" applyBorder="1" applyAlignment="1">
      <alignment horizontal="center" vertical="center"/>
    </xf>
    <xf numFmtId="0" fontId="61" fillId="0" borderId="31" xfId="0" applyFont="1" applyBorder="1" applyAlignment="1">
      <alignment horizontal="center" vertical="center"/>
    </xf>
    <xf numFmtId="0" fontId="30" fillId="0" borderId="100" xfId="0" applyFont="1" applyBorder="1" applyAlignment="1">
      <alignment horizontal="center" vertical="center" wrapText="1"/>
    </xf>
    <xf numFmtId="0" fontId="30" fillId="0" borderId="54"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29"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37" xfId="0" applyFont="1" applyBorder="1" applyAlignment="1">
      <alignment horizontal="center" vertical="center" wrapText="1"/>
    </xf>
    <xf numFmtId="0" fontId="31" fillId="0" borderId="4" xfId="18" applyFont="1" applyBorder="1" applyAlignment="1">
      <alignment horizontal="center" vertical="center" wrapText="1"/>
    </xf>
    <xf numFmtId="0" fontId="67" fillId="0" borderId="0" xfId="2" applyAlignment="1" applyProtection="1">
      <alignment horizontal="center" vertical="center"/>
    </xf>
    <xf numFmtId="0" fontId="31" fillId="0" borderId="4" xfId="0" applyFont="1" applyBorder="1" applyAlignment="1">
      <alignment horizontal="center" vertical="center" wrapText="1"/>
    </xf>
    <xf numFmtId="0" fontId="80" fillId="0" borderId="21" xfId="0" applyFont="1" applyBorder="1" applyAlignment="1">
      <alignment horizontal="left" vertical="justify" wrapText="1"/>
    </xf>
    <xf numFmtId="0" fontId="60" fillId="0" borderId="13" xfId="0" applyFont="1" applyBorder="1" applyAlignment="1">
      <alignment horizontal="center" vertical="center"/>
    </xf>
    <xf numFmtId="0" fontId="60" fillId="0" borderId="12" xfId="0" applyFont="1" applyBorder="1" applyAlignment="1">
      <alignment horizontal="center" vertical="center"/>
    </xf>
    <xf numFmtId="0" fontId="60" fillId="0" borderId="3" xfId="0" applyFont="1" applyBorder="1" applyAlignment="1">
      <alignment horizontal="center" vertical="center"/>
    </xf>
    <xf numFmtId="0" fontId="31" fillId="0" borderId="10" xfId="18" applyFont="1" applyBorder="1" applyAlignment="1">
      <alignment horizontal="center" vertical="center" wrapText="1"/>
    </xf>
    <xf numFmtId="0" fontId="31" fillId="0" borderId="11" xfId="18" applyFont="1" applyBorder="1" applyAlignment="1">
      <alignment horizontal="center" vertical="center" wrapText="1"/>
    </xf>
    <xf numFmtId="0" fontId="31" fillId="0" borderId="6" xfId="18" applyFont="1" applyBorder="1" applyAlignment="1">
      <alignment horizontal="center" vertical="center" wrapText="1"/>
    </xf>
    <xf numFmtId="0" fontId="31" fillId="0" borderId="2" xfId="18" applyFont="1" applyBorder="1" applyAlignment="1">
      <alignment horizontal="center" vertical="center" wrapText="1"/>
    </xf>
    <xf numFmtId="0" fontId="30" fillId="0" borderId="103" xfId="0" applyFont="1" applyBorder="1" applyAlignment="1">
      <alignment horizontal="center" vertical="center"/>
    </xf>
    <xf numFmtId="0" fontId="30" fillId="0" borderId="53" xfId="0" applyFont="1" applyBorder="1" applyAlignment="1">
      <alignment horizontal="center" vertical="center"/>
    </xf>
    <xf numFmtId="0" fontId="30" fillId="0" borderId="14" xfId="0" applyFont="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9"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47" fillId="0" borderId="14" xfId="0" applyFont="1" applyBorder="1" applyAlignment="1">
      <alignment horizontal="center" vertical="center"/>
    </xf>
    <xf numFmtId="0" fontId="47" fillId="0" borderId="15" xfId="0" applyFont="1" applyBorder="1" applyAlignment="1">
      <alignment horizontal="center" vertical="center"/>
    </xf>
    <xf numFmtId="0" fontId="47" fillId="0" borderId="16" xfId="0" applyFont="1" applyBorder="1" applyAlignment="1">
      <alignment horizontal="center" vertical="center"/>
    </xf>
    <xf numFmtId="0" fontId="47" fillId="0" borderId="14" xfId="0" applyFont="1" applyBorder="1" applyAlignment="1">
      <alignment horizontal="justify" vertical="center"/>
    </xf>
    <xf numFmtId="0" fontId="47" fillId="0" borderId="15" xfId="0" applyFont="1" applyBorder="1" applyAlignment="1">
      <alignment horizontal="justify" vertical="center"/>
    </xf>
    <xf numFmtId="0" fontId="47" fillId="0" borderId="16" xfId="0" applyFont="1" applyBorder="1" applyAlignment="1">
      <alignment horizontal="justify" vertical="center"/>
    </xf>
    <xf numFmtId="0" fontId="1" fillId="0" borderId="42" xfId="0" applyFont="1" applyBorder="1" applyAlignment="1">
      <alignment horizontal="center"/>
    </xf>
    <xf numFmtId="0" fontId="1" fillId="0" borderId="43" xfId="0" applyFont="1" applyBorder="1" applyAlignment="1">
      <alignment horizontal="center"/>
    </xf>
    <xf numFmtId="0" fontId="1" fillId="0" borderId="33" xfId="0" applyFont="1" applyBorder="1" applyAlignment="1">
      <alignment horizontal="center"/>
    </xf>
    <xf numFmtId="0" fontId="30" fillId="0" borderId="100" xfId="0" applyFont="1" applyBorder="1" applyAlignment="1">
      <alignment horizontal="center" vertical="center"/>
    </xf>
    <xf numFmtId="0" fontId="30" fillId="0" borderId="46" xfId="0" applyFont="1" applyBorder="1" applyAlignment="1">
      <alignment horizontal="center" vertical="center"/>
    </xf>
    <xf numFmtId="0" fontId="30" fillId="0" borderId="102" xfId="0" applyFont="1" applyBorder="1" applyAlignment="1">
      <alignment horizontal="center" vertical="center"/>
    </xf>
    <xf numFmtId="0" fontId="30" fillId="0" borderId="25" xfId="0" applyFont="1" applyBorder="1" applyAlignment="1">
      <alignment horizontal="center" vertical="center"/>
    </xf>
    <xf numFmtId="0" fontId="31" fillId="0" borderId="14" xfId="0" applyFont="1" applyBorder="1" applyAlignment="1">
      <alignment horizontal="center" vertical="center" wrapText="1"/>
    </xf>
    <xf numFmtId="0" fontId="31" fillId="0" borderId="15"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8" xfId="0" applyFont="1" applyBorder="1" applyAlignment="1">
      <alignment horizontal="center" vertical="center" wrapText="1"/>
    </xf>
    <xf numFmtId="0" fontId="31" fillId="0" borderId="19" xfId="0" applyFont="1" applyBorder="1" applyAlignment="1">
      <alignment horizontal="center" vertical="center" wrapText="1"/>
    </xf>
    <xf numFmtId="0" fontId="0" fillId="0" borderId="9" xfId="0" applyBorder="1" applyAlignment="1">
      <alignment horizontal="center" vertical="center" wrapText="1"/>
    </xf>
    <xf numFmtId="0" fontId="0" fillId="0" borderId="19" xfId="0" applyBorder="1" applyAlignment="1">
      <alignment horizontal="center" vertical="center" wrapText="1"/>
    </xf>
    <xf numFmtId="0" fontId="30" fillId="0" borderId="26" xfId="0" applyFont="1" applyBorder="1" applyAlignment="1">
      <alignment horizontal="center" vertical="center"/>
    </xf>
    <xf numFmtId="0" fontId="30" fillId="0" borderId="28" xfId="0" applyFont="1" applyBorder="1" applyAlignment="1">
      <alignment horizontal="center" vertical="center"/>
    </xf>
    <xf numFmtId="0" fontId="23" fillId="5" borderId="0" xfId="0" applyFont="1" applyFill="1" applyAlignment="1">
      <alignment horizontal="center"/>
    </xf>
    <xf numFmtId="0" fontId="30" fillId="0" borderId="0" xfId="0" applyFont="1" applyAlignment="1">
      <alignment horizontal="center"/>
    </xf>
    <xf numFmtId="0" fontId="67" fillId="0" borderId="0" xfId="2" quotePrefix="1" applyAlignment="1" applyProtection="1">
      <alignment horizontal="center"/>
    </xf>
    <xf numFmtId="0" fontId="9" fillId="2" borderId="50" xfId="0" applyFont="1" applyFill="1" applyBorder="1" applyAlignment="1">
      <alignment horizontal="center" vertical="center"/>
    </xf>
    <xf numFmtId="0" fontId="9" fillId="2" borderId="35" xfId="0" applyFont="1" applyFill="1" applyBorder="1" applyAlignment="1">
      <alignment horizontal="center" vertical="center"/>
    </xf>
    <xf numFmtId="0" fontId="9" fillId="2" borderId="41" xfId="0" applyFont="1" applyFill="1" applyBorder="1" applyAlignment="1">
      <alignment horizontal="center" vertical="center"/>
    </xf>
    <xf numFmtId="0" fontId="31" fillId="2" borderId="22" xfId="0" applyFont="1" applyFill="1" applyBorder="1" applyAlignment="1">
      <alignment horizontal="center" vertical="center"/>
    </xf>
    <xf numFmtId="0" fontId="31" fillId="2" borderId="4" xfId="0" applyFont="1" applyFill="1" applyBorder="1" applyAlignment="1">
      <alignment horizontal="center"/>
    </xf>
    <xf numFmtId="0" fontId="30" fillId="2" borderId="4" xfId="0" applyFont="1" applyFill="1" applyBorder="1" applyAlignment="1">
      <alignment horizontal="center"/>
    </xf>
    <xf numFmtId="0" fontId="30" fillId="2" borderId="4" xfId="0" applyFont="1" applyFill="1" applyBorder="1" applyAlignment="1">
      <alignment horizontal="center" wrapText="1"/>
    </xf>
    <xf numFmtId="0" fontId="30" fillId="2" borderId="22" xfId="0" applyFont="1" applyFill="1" applyBorder="1" applyAlignment="1">
      <alignment horizontal="center"/>
    </xf>
    <xf numFmtId="0" fontId="30" fillId="2" borderId="25" xfId="0" applyFont="1" applyFill="1" applyBorder="1" applyAlignment="1">
      <alignment horizontal="center"/>
    </xf>
    <xf numFmtId="0" fontId="4" fillId="0" borderId="13" xfId="0" applyFont="1" applyBorder="1" applyAlignment="1">
      <alignment horizontal="center" vertical="justify"/>
    </xf>
    <xf numFmtId="0" fontId="46" fillId="2" borderId="50" xfId="0" applyFont="1" applyFill="1" applyBorder="1" applyAlignment="1">
      <alignment horizontal="center"/>
    </xf>
    <xf numFmtId="0" fontId="46" fillId="2" borderId="35" xfId="0" applyFont="1" applyFill="1" applyBorder="1" applyAlignment="1">
      <alignment horizontal="center"/>
    </xf>
    <xf numFmtId="0" fontId="46" fillId="2" borderId="41" xfId="0" applyFont="1" applyFill="1" applyBorder="1" applyAlignment="1">
      <alignment horizontal="center"/>
    </xf>
    <xf numFmtId="0" fontId="31" fillId="2" borderId="50" xfId="0" applyFont="1" applyFill="1" applyBorder="1" applyAlignment="1">
      <alignment horizontal="center"/>
    </xf>
    <xf numFmtId="0" fontId="31" fillId="2" borderId="41" xfId="0" applyFont="1" applyFill="1" applyBorder="1" applyAlignment="1">
      <alignment horizontal="center"/>
    </xf>
    <xf numFmtId="0" fontId="30" fillId="0" borderId="4" xfId="16" applyFont="1" applyBorder="1" applyAlignment="1">
      <alignment horizontal="center" vertical="center" wrapText="1"/>
    </xf>
    <xf numFmtId="0" fontId="23" fillId="0" borderId="13" xfId="16" applyFont="1" applyBorder="1" applyAlignment="1">
      <alignment horizontal="center" vertical="center"/>
    </xf>
    <xf numFmtId="0" fontId="23" fillId="0" borderId="12" xfId="16" applyFont="1" applyBorder="1" applyAlignment="1">
      <alignment horizontal="center" vertical="center"/>
    </xf>
    <xf numFmtId="0" fontId="23" fillId="0" borderId="3" xfId="16" applyFont="1" applyBorder="1" applyAlignment="1">
      <alignment horizontal="center" vertical="center"/>
    </xf>
    <xf numFmtId="0" fontId="30" fillId="0" borderId="22" xfId="16" applyFont="1" applyBorder="1" applyAlignment="1">
      <alignment horizontal="center" vertical="center" wrapText="1"/>
    </xf>
    <xf numFmtId="0" fontId="30" fillId="0" borderId="25" xfId="16" applyFont="1" applyBorder="1" applyAlignment="1">
      <alignment horizontal="center" vertical="center" wrapText="1"/>
    </xf>
    <xf numFmtId="0" fontId="4" fillId="0" borderId="14" xfId="0" applyFont="1" applyBorder="1" applyAlignment="1">
      <alignment horizontal="center" wrapText="1"/>
    </xf>
    <xf numFmtId="0" fontId="4" fillId="0" borderId="15" xfId="0" applyFont="1" applyBorder="1" applyAlignment="1">
      <alignment horizontal="center" wrapText="1"/>
    </xf>
    <xf numFmtId="0" fontId="4" fillId="0" borderId="16" xfId="0" applyFont="1" applyBorder="1" applyAlignment="1">
      <alignment horizontal="center" wrapText="1"/>
    </xf>
    <xf numFmtId="0" fontId="4" fillId="0" borderId="9" xfId="0" applyFont="1" applyBorder="1" applyAlignment="1">
      <alignment horizontal="center" wrapText="1"/>
    </xf>
    <xf numFmtId="0" fontId="4" fillId="0" borderId="18" xfId="0" applyFont="1" applyBorder="1" applyAlignment="1">
      <alignment horizontal="center" wrapText="1"/>
    </xf>
    <xf numFmtId="0" fontId="4" fillId="0" borderId="19" xfId="0" applyFont="1" applyBorder="1" applyAlignment="1">
      <alignment horizontal="center" wrapText="1"/>
    </xf>
    <xf numFmtId="0" fontId="10" fillId="0" borderId="0" xfId="0" applyFont="1" applyAlignment="1">
      <alignment horizontal="center"/>
    </xf>
    <xf numFmtId="0" fontId="3" fillId="0" borderId="7" xfId="0" applyFont="1"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3" fillId="0" borderId="14"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0" xfId="0" applyFont="1" applyAlignment="1">
      <alignment horizontal="left" vertical="top" wrapText="1"/>
    </xf>
    <xf numFmtId="0" fontId="3" fillId="0" borderId="17" xfId="0" applyFont="1" applyBorder="1" applyAlignment="1">
      <alignment horizontal="left" vertical="top" wrapText="1"/>
    </xf>
    <xf numFmtId="0" fontId="3" fillId="0" borderId="13" xfId="0" applyFont="1" applyBorder="1" applyAlignment="1">
      <alignment horizontal="left" vertical="center" wrapText="1"/>
    </xf>
    <xf numFmtId="0" fontId="0" fillId="0" borderId="12" xfId="0" applyBorder="1" applyAlignment="1">
      <alignment horizontal="left" vertical="center"/>
    </xf>
    <xf numFmtId="0" fontId="0" fillId="0" borderId="3" xfId="0" applyBorder="1" applyAlignment="1">
      <alignment horizontal="left" vertical="center"/>
    </xf>
    <xf numFmtId="0" fontId="3" fillId="0" borderId="13" xfId="0" applyFont="1" applyBorder="1" applyAlignment="1">
      <alignment horizontal="justify" vertical="center" wrapText="1"/>
    </xf>
    <xf numFmtId="0" fontId="0" fillId="0" borderId="12" xfId="0" applyBorder="1" applyAlignment="1">
      <alignment horizontal="justify" vertical="center" wrapText="1"/>
    </xf>
    <xf numFmtId="0" fontId="0" fillId="0" borderId="3" xfId="0" applyBorder="1" applyAlignment="1">
      <alignment horizontal="justify" vertical="center" wrapText="1"/>
    </xf>
    <xf numFmtId="0" fontId="3" fillId="0" borderId="1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justify" wrapText="1"/>
    </xf>
    <xf numFmtId="0" fontId="0" fillId="0" borderId="4" xfId="0" applyBorder="1" applyAlignment="1">
      <alignment horizontal="justify" vertical="justify" wrapText="1"/>
    </xf>
    <xf numFmtId="0" fontId="3" fillId="0" borderId="7" xfId="0" applyFont="1" applyBorder="1" applyAlignment="1">
      <alignment horizontal="justify" vertical="center" wrapText="1"/>
    </xf>
    <xf numFmtId="0" fontId="3" fillId="0" borderId="0" xfId="0" applyFont="1" applyAlignment="1">
      <alignment horizontal="justify" vertical="center" wrapText="1"/>
    </xf>
    <xf numFmtId="0" fontId="3" fillId="0" borderId="17" xfId="0" applyFont="1" applyBorder="1" applyAlignment="1">
      <alignment horizontal="justify" vertical="center" wrapText="1"/>
    </xf>
    <xf numFmtId="0" fontId="3" fillId="0" borderId="0" xfId="0" applyFont="1" applyAlignment="1">
      <alignment horizontal="center" wrapText="1"/>
    </xf>
    <xf numFmtId="0" fontId="3" fillId="0" borderId="12" xfId="0" applyFont="1" applyBorder="1"/>
    <xf numFmtId="9" fontId="3" fillId="0" borderId="0" xfId="0" applyNumberFormat="1" applyFont="1"/>
    <xf numFmtId="167" fontId="3" fillId="0" borderId="4" xfId="8" applyFont="1" applyFill="1" applyBorder="1" applyAlignment="1">
      <alignment vertical="center"/>
    </xf>
    <xf numFmtId="0" fontId="3" fillId="0" borderId="4" xfId="14" applyFont="1" applyBorder="1" applyAlignment="1">
      <alignment horizontal="center" vertical="center"/>
    </xf>
    <xf numFmtId="0" fontId="3" fillId="0" borderId="0" xfId="15" applyFont="1"/>
    <xf numFmtId="0" fontId="3" fillId="14" borderId="0" xfId="15" applyFont="1" applyFill="1"/>
    <xf numFmtId="168" fontId="3" fillId="0" borderId="3" xfId="5" applyNumberFormat="1" applyFill="1" applyBorder="1" applyAlignment="1"/>
    <xf numFmtId="168" fontId="3" fillId="0" borderId="13" xfId="5" applyNumberFormat="1" applyFill="1" applyBorder="1" applyAlignment="1"/>
    <xf numFmtId="4" fontId="19" fillId="0" borderId="3" xfId="0" applyNumberFormat="1" applyFont="1" applyBorder="1" applyAlignment="1"/>
    <xf numFmtId="4" fontId="19" fillId="0" borderId="13" xfId="0" applyNumberFormat="1" applyFont="1" applyBorder="1" applyAlignment="1"/>
    <xf numFmtId="0" fontId="22" fillId="0" borderId="57" xfId="0" applyFont="1" applyBorder="1" applyAlignment="1"/>
    <xf numFmtId="0" fontId="22" fillId="0" borderId="37" xfId="0" applyFont="1" applyBorder="1" applyAlignment="1"/>
    <xf numFmtId="0" fontId="22" fillId="5" borderId="35" xfId="0" applyFont="1" applyFill="1" applyBorder="1" applyAlignment="1"/>
    <xf numFmtId="0" fontId="0" fillId="5" borderId="0" xfId="0" applyFill="1" applyAlignment="1"/>
    <xf numFmtId="0" fontId="0" fillId="5" borderId="56" xfId="0" applyFill="1" applyBorder="1" applyAlignment="1"/>
    <xf numFmtId="0" fontId="0" fillId="5" borderId="63" xfId="0" applyFill="1" applyBorder="1" applyAlignment="1"/>
    <xf numFmtId="0" fontId="9" fillId="0" borderId="3" xfId="0" applyFont="1" applyBorder="1" applyAlignment="1"/>
    <xf numFmtId="0" fontId="9" fillId="0" borderId="13" xfId="0" applyFont="1" applyBorder="1" applyAlignment="1"/>
    <xf numFmtId="0" fontId="9" fillId="5" borderId="38" xfId="0" applyFont="1" applyFill="1" applyBorder="1" applyAlignment="1"/>
    <xf numFmtId="0" fontId="9" fillId="0" borderId="15" xfId="0" applyFont="1" applyBorder="1" applyAlignment="1"/>
    <xf numFmtId="0" fontId="9" fillId="0" borderId="38" xfId="0" applyFont="1" applyBorder="1" applyAlignment="1"/>
    <xf numFmtId="0" fontId="4" fillId="0" borderId="4" xfId="0" applyFont="1" applyBorder="1"/>
    <xf numFmtId="0" fontId="27" fillId="0" borderId="51" xfId="0" applyFont="1" applyBorder="1" applyAlignment="1">
      <alignment horizontal="center" vertical="center" wrapText="1"/>
    </xf>
    <xf numFmtId="0" fontId="27" fillId="0" borderId="103"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68" xfId="0" applyFont="1" applyBorder="1" applyAlignment="1">
      <alignment horizontal="center" vertical="center" wrapText="1"/>
    </xf>
    <xf numFmtId="0" fontId="3" fillId="0" borderId="0" xfId="0" applyFont="1" applyAlignment="1">
      <alignment horizontal="center" vertical="center"/>
    </xf>
    <xf numFmtId="0" fontId="0" fillId="0" borderId="0" xfId="0" applyAlignment="1"/>
    <xf numFmtId="0" fontId="4" fillId="0" borderId="0" xfId="0" applyFont="1" applyAlignment="1">
      <alignment vertical="center" wrapText="1"/>
    </xf>
    <xf numFmtId="0" fontId="4" fillId="0" borderId="29" xfId="0" applyFont="1" applyBorder="1" applyAlignment="1">
      <alignment horizontal="center"/>
    </xf>
    <xf numFmtId="0" fontId="4" fillId="0" borderId="4" xfId="0" applyFont="1" applyBorder="1" applyAlignment="1">
      <alignment horizontal="center"/>
    </xf>
    <xf numFmtId="0" fontId="4" fillId="0" borderId="20" xfId="0" applyFont="1" applyBorder="1" applyAlignment="1">
      <alignment horizontal="center"/>
    </xf>
    <xf numFmtId="0" fontId="4" fillId="0" borderId="6" xfId="0" quotePrefix="1" applyFont="1" applyBorder="1"/>
    <xf numFmtId="0" fontId="4" fillId="0" borderId="1" xfId="0" applyFont="1" applyBorder="1"/>
    <xf numFmtId="0" fontId="4" fillId="0" borderId="10" xfId="0" quotePrefix="1" applyFont="1" applyBorder="1"/>
    <xf numFmtId="0" fontId="4" fillId="0" borderId="21" xfId="0" applyFont="1" applyBorder="1"/>
    <xf numFmtId="0" fontId="4" fillId="0" borderId="11" xfId="0" applyFont="1" applyBorder="1"/>
    <xf numFmtId="0" fontId="4" fillId="0" borderId="8" xfId="0" applyFont="1" applyBorder="1"/>
    <xf numFmtId="0" fontId="4" fillId="0" borderId="5" xfId="0" applyFont="1" applyBorder="1"/>
    <xf numFmtId="0" fontId="4" fillId="0" borderId="13" xfId="0" quotePrefix="1" applyFont="1" applyBorder="1"/>
    <xf numFmtId="0" fontId="4" fillId="0" borderId="12" xfId="0" applyFont="1" applyBorder="1"/>
    <xf numFmtId="0" fontId="40" fillId="0" borderId="0" xfId="0" applyFont="1" applyAlignment="1">
      <alignment horizontal="left"/>
    </xf>
    <xf numFmtId="49" fontId="10" fillId="2" borderId="34" xfId="0" applyNumberFormat="1" applyFont="1" applyFill="1" applyBorder="1" applyAlignment="1">
      <alignment horizontal="center" vertical="center" wrapText="1"/>
    </xf>
    <xf numFmtId="49" fontId="10" fillId="2" borderId="40" xfId="0" applyNumberFormat="1" applyFont="1" applyFill="1" applyBorder="1" applyAlignment="1">
      <alignment horizontal="center" vertical="center" wrapText="1"/>
    </xf>
    <xf numFmtId="0" fontId="4" fillId="0" borderId="13" xfId="0" applyFont="1" applyBorder="1"/>
    <xf numFmtId="0" fontId="4" fillId="0" borderId="4" xfId="0" quotePrefix="1" applyFont="1" applyBorder="1" applyAlignment="1">
      <alignment horizontal="center"/>
    </xf>
    <xf numFmtId="0" fontId="4" fillId="0" borderId="12" xfId="0" applyFont="1" applyBorder="1" applyAlignment="1">
      <alignment horizontal="center"/>
    </xf>
    <xf numFmtId="0" fontId="4" fillId="0" borderId="20" xfId="0" applyFont="1" applyBorder="1" applyAlignment="1">
      <alignment horizontal="left"/>
    </xf>
    <xf numFmtId="0" fontId="4" fillId="0" borderId="37" xfId="0" applyFont="1" applyBorder="1"/>
    <xf numFmtId="0" fontId="4" fillId="0" borderId="43" xfId="0" quotePrefix="1" applyFont="1" applyBorder="1" applyAlignment="1">
      <alignment horizontal="center"/>
    </xf>
    <xf numFmtId="0" fontId="4" fillId="0" borderId="38" xfId="0" applyFont="1" applyBorder="1" applyAlignment="1">
      <alignment horizontal="centerContinuous"/>
    </xf>
    <xf numFmtId="0" fontId="4" fillId="0" borderId="43" xfId="0" applyFont="1" applyBorder="1"/>
    <xf numFmtId="0" fontId="4" fillId="0" borderId="38" xfId="0" applyFont="1" applyBorder="1"/>
    <xf numFmtId="0" fontId="4" fillId="0" borderId="33" xfId="0" applyFont="1" applyBorder="1" applyAlignment="1">
      <alignment horizontal="left"/>
    </xf>
    <xf numFmtId="0" fontId="4" fillId="0" borderId="0" xfId="0" quotePrefix="1" applyFont="1" applyAlignment="1">
      <alignment horizontal="center"/>
    </xf>
    <xf numFmtId="0" fontId="4" fillId="0" borderId="17" xfId="0" applyFont="1" applyBorder="1" applyAlignment="1">
      <alignment horizontal="left"/>
    </xf>
    <xf numFmtId="0" fontId="27" fillId="0" borderId="7" xfId="0" applyFont="1" applyBorder="1"/>
    <xf numFmtId="0" fontId="27" fillId="0" borderId="9" xfId="0" applyFont="1" applyBorder="1"/>
    <xf numFmtId="0" fontId="27" fillId="0" borderId="18" xfId="0" applyFont="1" applyBorder="1"/>
    <xf numFmtId="0" fontId="31" fillId="2" borderId="34" xfId="0" applyFont="1" applyFill="1" applyBorder="1" applyAlignment="1">
      <alignment horizontal="center" vertical="center"/>
    </xf>
    <xf numFmtId="0" fontId="31" fillId="2" borderId="34" xfId="0" applyFont="1" applyFill="1" applyBorder="1" applyAlignment="1">
      <alignment horizontal="center" vertical="center" wrapText="1"/>
    </xf>
    <xf numFmtId="0" fontId="4" fillId="0" borderId="13" xfId="0" quotePrefix="1" applyFont="1" applyBorder="1" applyAlignment="1">
      <alignment horizontal="left"/>
    </xf>
    <xf numFmtId="0" fontId="3" fillId="0" borderId="29" xfId="0" applyFont="1" applyBorder="1"/>
    <xf numFmtId="0" fontId="3" fillId="0" borderId="20" xfId="0" applyFont="1" applyBorder="1"/>
    <xf numFmtId="0" fontId="3" fillId="0" borderId="53" xfId="0" applyFont="1" applyBorder="1"/>
    <xf numFmtId="0" fontId="3" fillId="0" borderId="25" xfId="0" applyFont="1" applyBorder="1"/>
    <xf numFmtId="0" fontId="3" fillId="0" borderId="29" xfId="0" applyFont="1" applyBorder="1" applyAlignment="1">
      <alignment horizontal="center" vertical="center"/>
    </xf>
    <xf numFmtId="0" fontId="3" fillId="0" borderId="20" xfId="0" applyFont="1" applyBorder="1" applyAlignment="1">
      <alignment horizontal="center" vertical="center"/>
    </xf>
    <xf numFmtId="0" fontId="3" fillId="0" borderId="53" xfId="0" applyFont="1" applyBorder="1" applyAlignment="1">
      <alignment horizontal="center" vertical="center"/>
    </xf>
    <xf numFmtId="0" fontId="3" fillId="0" borderId="30" xfId="0" applyFont="1" applyBorder="1"/>
    <xf numFmtId="0" fontId="3" fillId="0" borderId="5" xfId="0" applyFont="1" applyBorder="1"/>
    <xf numFmtId="0" fontId="3" fillId="0" borderId="65" xfId="0" applyFont="1" applyBorder="1"/>
    <xf numFmtId="0" fontId="3" fillId="0" borderId="64" xfId="0" applyFont="1" applyBorder="1"/>
    <xf numFmtId="0" fontId="3" fillId="0" borderId="54" xfId="0" applyFont="1" applyBorder="1"/>
    <xf numFmtId="0" fontId="3" fillId="0" borderId="67" xfId="0" applyFont="1" applyBorder="1"/>
    <xf numFmtId="0" fontId="3" fillId="0" borderId="68" xfId="0" applyFont="1" applyBorder="1"/>
    <xf numFmtId="0" fontId="3" fillId="0" borderId="55" xfId="0" applyFont="1" applyBorder="1"/>
    <xf numFmtId="0" fontId="4" fillId="0" borderId="0" xfId="0" applyFont="1" applyAlignment="1">
      <alignment wrapText="1"/>
    </xf>
    <xf numFmtId="165" fontId="4" fillId="0" borderId="4" xfId="4" applyFont="1" applyBorder="1" applyAlignment="1">
      <alignment horizontal="center" vertical="justify"/>
    </xf>
    <xf numFmtId="14" fontId="4" fillId="0" borderId="13" xfId="0" applyNumberFormat="1" applyFont="1" applyBorder="1" applyAlignment="1">
      <alignment horizontal="center" vertical="justify"/>
    </xf>
    <xf numFmtId="14" fontId="4" fillId="0" borderId="6" xfId="0" applyNumberFormat="1" applyFont="1" applyBorder="1" applyAlignment="1">
      <alignment horizontal="center" vertical="justify"/>
    </xf>
    <xf numFmtId="0" fontId="4" fillId="0" borderId="6" xfId="0" applyFont="1" applyBorder="1" applyAlignment="1">
      <alignment horizontal="center" vertical="justify"/>
    </xf>
    <xf numFmtId="0" fontId="4" fillId="0" borderId="3" xfId="0" applyFont="1" applyBorder="1" applyAlignment="1">
      <alignment horizontal="center" vertical="justify"/>
    </xf>
    <xf numFmtId="167" fontId="3" fillId="0" borderId="4" xfId="8" applyFont="1" applyBorder="1"/>
    <xf numFmtId="0" fontId="27" fillId="6" borderId="0" xfId="0" applyFont="1" applyFill="1"/>
  </cellXfs>
  <cellStyles count="21">
    <cellStyle name="Comma 2 2" xfId="1" xr:uid="{00000000-0005-0000-0000-000000000000}"/>
    <cellStyle name="Hipervínculo" xfId="2" builtinId="8"/>
    <cellStyle name="Hipervínculo 2" xfId="3" xr:uid="{00000000-0005-0000-0000-000002000000}"/>
    <cellStyle name="Millares" xfId="4" builtinId="3"/>
    <cellStyle name="Millares 2" xfId="5" xr:uid="{00000000-0005-0000-0000-000004000000}"/>
    <cellStyle name="Millares 2 3 2" xfId="6" xr:uid="{00000000-0005-0000-0000-000005000000}"/>
    <cellStyle name="Millares_ 02A estado pontones" xfId="7" xr:uid="{00000000-0005-0000-0000-000006000000}"/>
    <cellStyle name="Moneda" xfId="8" builtinId="4"/>
    <cellStyle name="Normal" xfId="0" builtinId="0"/>
    <cellStyle name="Normal 12" xfId="9" xr:uid="{00000000-0005-0000-0000-000009000000}"/>
    <cellStyle name="Normal 2" xfId="10" xr:uid="{00000000-0005-0000-0000-00000A000000}"/>
    <cellStyle name="Normal 2 10" xfId="11" xr:uid="{00000000-0005-0000-0000-00000B000000}"/>
    <cellStyle name="Normal 2 10 2" xfId="12" xr:uid="{00000000-0005-0000-0000-00000C000000}"/>
    <cellStyle name="Normal 2 2" xfId="13" xr:uid="{00000000-0005-0000-0000-00000D000000}"/>
    <cellStyle name="Normal 2 2 2" xfId="14" xr:uid="{00000000-0005-0000-0000-00000E000000}"/>
    <cellStyle name="Normal 2 2 3" xfId="15" xr:uid="{00000000-0005-0000-0000-00000F000000}"/>
    <cellStyle name="Normal 3" xfId="16" xr:uid="{00000000-0005-0000-0000-000010000000}"/>
    <cellStyle name="Normal 3 3 2" xfId="17" xr:uid="{00000000-0005-0000-0000-000011000000}"/>
    <cellStyle name="Normal_Lista de Puentes  tercera priorización y final" xfId="18" xr:uid="{00000000-0005-0000-0000-000012000000}"/>
    <cellStyle name="Normal_Priorizacion puentes que requieren atencion 2001 trabajo" xfId="19" xr:uid="{00000000-0005-0000-0000-000013000000}"/>
    <cellStyle name="Porcentaje" xfId="20" builtinId="5"/>
  </cellStyles>
  <dxfs count="203">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rgb="FFCC9CCC"/>
        <name val="Cambria"/>
        <scheme val="none"/>
      </font>
      <fill>
        <patternFill patternType="solid">
          <bgColor rgb="FFCC9CCC"/>
        </patternFill>
      </fill>
    </dxf>
    <dxf>
      <font>
        <color rgb="FF00FF00"/>
      </font>
      <fill>
        <patternFill patternType="solid">
          <fgColor rgb="FF00FF00"/>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rgb="FFCC9CCC"/>
        <name val="Cambria"/>
        <scheme val="none"/>
      </font>
      <fill>
        <patternFill patternType="solid">
          <bgColor rgb="FFCC9CCC"/>
        </patternFill>
      </fill>
    </dxf>
    <dxf>
      <font>
        <color rgb="FF00FF00"/>
      </font>
      <fill>
        <patternFill patternType="solid">
          <fgColor rgb="FF00FF00"/>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rgb="FFCC9CCC"/>
        <name val="Cambria"/>
        <scheme val="none"/>
      </font>
      <fill>
        <patternFill patternType="solid">
          <bgColor rgb="FFCC9CCC"/>
        </patternFill>
      </fill>
    </dxf>
    <dxf>
      <font>
        <color rgb="FF00FF00"/>
      </font>
      <fill>
        <patternFill patternType="solid">
          <fgColor rgb="FF00FF00"/>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theme="0"/>
      </font>
      <fill>
        <patternFill>
          <bgColor theme="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theme="0"/>
      </font>
      <fill>
        <patternFill>
          <bgColor theme="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ill>
        <patternFill>
          <bgColor rgb="FF00FF00"/>
        </patternFill>
      </fill>
    </dxf>
    <dxf>
      <font>
        <color auto="1"/>
      </font>
      <fill>
        <patternFill>
          <bgColor rgb="FF00FF00"/>
        </patternFill>
      </fill>
    </dxf>
    <dxf>
      <fill>
        <patternFill>
          <bgColor rgb="FFFF0000"/>
        </patternFill>
      </fill>
    </dxf>
    <dxf>
      <fill>
        <patternFill>
          <bgColor rgb="FFFFFF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6.xml"/><Relationship Id="rId47" Type="http://schemas.openxmlformats.org/officeDocument/2006/relationships/externalLink" Target="externalLinks/externalLink11.xml"/><Relationship Id="rId63" Type="http://schemas.openxmlformats.org/officeDocument/2006/relationships/externalLink" Target="externalLinks/externalLink27.xml"/><Relationship Id="rId68" Type="http://schemas.openxmlformats.org/officeDocument/2006/relationships/externalLink" Target="externalLinks/externalLink3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externalLink" Target="externalLinks/externalLink17.xml"/><Relationship Id="rId58" Type="http://schemas.openxmlformats.org/officeDocument/2006/relationships/externalLink" Target="externalLinks/externalLink22.xml"/><Relationship Id="rId66" Type="http://schemas.openxmlformats.org/officeDocument/2006/relationships/externalLink" Target="externalLinks/externalLink30.xml"/><Relationship Id="rId74"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2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externalLink" Target="externalLinks/externalLink12.xml"/><Relationship Id="rId56" Type="http://schemas.openxmlformats.org/officeDocument/2006/relationships/externalLink" Target="externalLinks/externalLink20.xml"/><Relationship Id="rId64" Type="http://schemas.openxmlformats.org/officeDocument/2006/relationships/externalLink" Target="externalLinks/externalLink28.xml"/><Relationship Id="rId69" Type="http://schemas.openxmlformats.org/officeDocument/2006/relationships/externalLink" Target="externalLinks/externalLink33.xml"/><Relationship Id="rId8" Type="http://schemas.openxmlformats.org/officeDocument/2006/relationships/worksheet" Target="worksheets/sheet8.xml"/><Relationship Id="rId51" Type="http://schemas.openxmlformats.org/officeDocument/2006/relationships/externalLink" Target="externalLinks/externalLink15.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59" Type="http://schemas.openxmlformats.org/officeDocument/2006/relationships/externalLink" Target="externalLinks/externalLink23.xml"/><Relationship Id="rId67" Type="http://schemas.openxmlformats.org/officeDocument/2006/relationships/externalLink" Target="externalLinks/externalLink31.xml"/><Relationship Id="rId20" Type="http://schemas.openxmlformats.org/officeDocument/2006/relationships/worksheet" Target="worksheets/sheet20.xml"/><Relationship Id="rId41" Type="http://schemas.openxmlformats.org/officeDocument/2006/relationships/externalLink" Target="externalLinks/externalLink5.xml"/><Relationship Id="rId54" Type="http://schemas.openxmlformats.org/officeDocument/2006/relationships/externalLink" Target="externalLinks/externalLink18.xml"/><Relationship Id="rId62" Type="http://schemas.openxmlformats.org/officeDocument/2006/relationships/externalLink" Target="externalLinks/externalLink26.xml"/><Relationship Id="rId70" Type="http://schemas.openxmlformats.org/officeDocument/2006/relationships/externalLink" Target="externalLinks/externalLink34.xml"/><Relationship Id="rId75"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3.xml"/><Relationship Id="rId57" Type="http://schemas.openxmlformats.org/officeDocument/2006/relationships/externalLink" Target="externalLinks/externalLink2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externalLink" Target="externalLinks/externalLink16.xml"/><Relationship Id="rId60" Type="http://schemas.openxmlformats.org/officeDocument/2006/relationships/externalLink" Target="externalLinks/externalLink24.xml"/><Relationship Id="rId65" Type="http://schemas.openxmlformats.org/officeDocument/2006/relationships/externalLink" Target="externalLinks/externalLink29.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3.xml"/><Relationship Id="rId34" Type="http://schemas.openxmlformats.org/officeDocument/2006/relationships/worksheet" Target="worksheets/sheet34.xml"/><Relationship Id="rId50" Type="http://schemas.openxmlformats.org/officeDocument/2006/relationships/externalLink" Target="externalLinks/externalLink14.xml"/><Relationship Id="rId55" Type="http://schemas.openxmlformats.org/officeDocument/2006/relationships/externalLink" Target="externalLinks/externalLink19.xml"/><Relationship Id="rId7" Type="http://schemas.openxmlformats.org/officeDocument/2006/relationships/worksheet" Target="worksheets/sheet7.xml"/><Relationship Id="rId71" Type="http://schemas.openxmlformats.org/officeDocument/2006/relationships/externalLink" Target="externalLinks/externalLink3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dPt>
            <c:idx val="0"/>
            <c:bubble3D val="0"/>
            <c:spPr>
              <a:solidFill>
                <a:srgbClr val="00FF00"/>
              </a:solidFill>
              <a:ln w="25400">
                <a:noFill/>
              </a:ln>
            </c:spPr>
            <c:extLst>
              <c:ext xmlns:c16="http://schemas.microsoft.com/office/drawing/2014/chart" uri="{C3380CC4-5D6E-409C-BE32-E72D297353CC}">
                <c16:uniqueId val="{00000000-940D-465F-A114-8550C4D8EC95}"/>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940D-465F-A114-8550C4D8EC95}"/>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940D-465F-A114-8550C4D8EC95}"/>
              </c:ext>
            </c:extLst>
          </c:dPt>
          <c:dLbls>
            <c:dLbl>
              <c:idx val="0"/>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40D-465F-A114-8550C4D8EC95}"/>
                </c:ext>
              </c:extLst>
            </c:dLbl>
            <c:dLbl>
              <c:idx val="1"/>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40D-465F-A114-8550C4D8EC95}"/>
                </c:ext>
              </c:extLst>
            </c:dLbl>
            <c:dLbl>
              <c:idx val="2"/>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40D-465F-A114-8550C4D8EC95}"/>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extLst>
          </c:dLbls>
          <c:val>
            <c:numRef>
              <c:f>'TORTA EST. VIAS VIS'!$G$17:$G$19</c:f>
              <c:numCache>
                <c:formatCode>0.00%</c:formatCode>
                <c:ptCount val="3"/>
                <c:pt idx="0">
                  <c:v>0.62497208783029401</c:v>
                </c:pt>
                <c:pt idx="1">
                  <c:v>0.18018235950874584</c:v>
                </c:pt>
                <c:pt idx="2">
                  <c:v>0.19484555266096021</c:v>
                </c:pt>
              </c:numCache>
            </c:numRef>
          </c:val>
          <c:extLst>
            <c:ext xmlns:c16="http://schemas.microsoft.com/office/drawing/2014/chart" uri="{C3380CC4-5D6E-409C-BE32-E72D297353CC}">
              <c16:uniqueId val="{00000003-940D-465F-A114-8550C4D8EC95}"/>
            </c:ext>
          </c:extLst>
        </c:ser>
        <c:ser>
          <c:idx val="1"/>
          <c:order val="1"/>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940D-465F-A114-8550C4D8EC95}"/>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940D-465F-A114-8550C4D8EC95}"/>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940D-465F-A114-8550C4D8EC95}"/>
              </c:ext>
            </c:extLst>
          </c:dPt>
          <c:val>
            <c:numRef>
              <c:f>'TORTA EST. VIAS VIS'!$G$17:$G$19</c:f>
              <c:numCache>
                <c:formatCode>0.00%</c:formatCode>
                <c:ptCount val="3"/>
                <c:pt idx="0">
                  <c:v>0.62497208783029401</c:v>
                </c:pt>
                <c:pt idx="1">
                  <c:v>0.18018235950874584</c:v>
                </c:pt>
                <c:pt idx="2">
                  <c:v>0.19484555266096021</c:v>
                </c:pt>
              </c:numCache>
            </c:numRef>
          </c:val>
          <c:extLst>
            <c:ext xmlns:c16="http://schemas.microsoft.com/office/drawing/2014/chart" uri="{C3380CC4-5D6E-409C-BE32-E72D297353CC}">
              <c16:uniqueId val="{00000007-940D-465F-A114-8550C4D8EC95}"/>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3.7808417326925893E-2"/>
          <c:y val="6.2499485358094707E-2"/>
          <c:w val="0.93055600785263337"/>
          <c:h val="0.85757182342430371"/>
        </c:manualLayout>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0-3202-4430-BD7A-4CE8D6BF9B6B}"/>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3202-4430-BD7A-4CE8D6BF9B6B}"/>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3202-4430-BD7A-4CE8D6BF9B6B}"/>
              </c:ext>
            </c:extLst>
          </c:dPt>
          <c:dPt>
            <c:idx val="3"/>
            <c:bubble3D val="0"/>
            <c:spPr>
              <a:solidFill>
                <a:srgbClr val="CC9CCC"/>
              </a:solidFill>
              <a:ln w="25400">
                <a:solidFill>
                  <a:schemeClr val="lt1"/>
                </a:solidFill>
              </a:ln>
              <a:effectLst/>
              <a:sp3d contourW="25400">
                <a:contourClr>
                  <a:schemeClr val="lt1"/>
                </a:contourClr>
              </a:sp3d>
            </c:spPr>
            <c:extLst>
              <c:ext xmlns:c16="http://schemas.microsoft.com/office/drawing/2014/chart" uri="{C3380CC4-5D6E-409C-BE32-E72D297353CC}">
                <c16:uniqueId val="{00000003-3202-4430-BD7A-4CE8D6BF9B6B}"/>
              </c:ext>
            </c:extLst>
          </c:dPt>
          <c:dPt>
            <c:idx val="4"/>
            <c:bubble3D val="0"/>
            <c:spPr>
              <a:solidFill>
                <a:schemeClr val="accent5"/>
              </a:solidFill>
              <a:ln w="25400">
                <a:solidFill>
                  <a:schemeClr val="lt1"/>
                </a:solidFill>
              </a:ln>
              <a:effectLst/>
              <a:sp3d contourW="25400">
                <a:contourClr>
                  <a:schemeClr val="lt1"/>
                </a:contourClr>
              </a:sp3d>
            </c:spPr>
            <c:extLst>
              <c:ext xmlns:c16="http://schemas.microsoft.com/office/drawing/2014/chart" uri="{C3380CC4-5D6E-409C-BE32-E72D297353CC}">
                <c16:uniqueId val="{00000004-3202-4430-BD7A-4CE8D6BF9B6B}"/>
              </c:ext>
            </c:extLst>
          </c:dPt>
          <c:dLbls>
            <c:spPr>
              <a:noFill/>
              <a:ln w="25400">
                <a:noFill/>
              </a:ln>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'TORTA EST. VIAS TEC'!$H$15:$H$19</c:f>
              <c:numCache>
                <c:formatCode>0.00%</c:formatCode>
                <c:ptCount val="5"/>
                <c:pt idx="0">
                  <c:v>0</c:v>
                </c:pt>
                <c:pt idx="1">
                  <c:v>7.5931388615754408E-2</c:v>
                </c:pt>
                <c:pt idx="2">
                  <c:v>0.56254779853599912</c:v>
                </c:pt>
                <c:pt idx="3">
                  <c:v>0.3615208128482465</c:v>
                </c:pt>
                <c:pt idx="4">
                  <c:v>0</c:v>
                </c:pt>
              </c:numCache>
            </c:numRef>
          </c:val>
          <c:extLst>
            <c:ext xmlns:c16="http://schemas.microsoft.com/office/drawing/2014/chart" uri="{C3380CC4-5D6E-409C-BE32-E72D297353CC}">
              <c16:uniqueId val="{00000005-3202-4430-BD7A-4CE8D6BF9B6B}"/>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3" Type="http://schemas.openxmlformats.org/officeDocument/2006/relationships/image" Target="../media/image17.jpeg"/><Relationship Id="rId18" Type="http://schemas.openxmlformats.org/officeDocument/2006/relationships/image" Target="../media/image22.jpeg"/><Relationship Id="rId26" Type="http://schemas.openxmlformats.org/officeDocument/2006/relationships/image" Target="../media/image30.jpeg"/><Relationship Id="rId39" Type="http://schemas.openxmlformats.org/officeDocument/2006/relationships/image" Target="../media/image43.jpeg"/><Relationship Id="rId21" Type="http://schemas.openxmlformats.org/officeDocument/2006/relationships/image" Target="../media/image25.jpeg"/><Relationship Id="rId34" Type="http://schemas.openxmlformats.org/officeDocument/2006/relationships/image" Target="../media/image38.jpeg"/><Relationship Id="rId42" Type="http://schemas.openxmlformats.org/officeDocument/2006/relationships/image" Target="../media/image46.jpeg"/><Relationship Id="rId47" Type="http://schemas.openxmlformats.org/officeDocument/2006/relationships/image" Target="../media/image51.jpeg"/><Relationship Id="rId50" Type="http://schemas.openxmlformats.org/officeDocument/2006/relationships/image" Target="../media/image54.jpeg"/><Relationship Id="rId55" Type="http://schemas.openxmlformats.org/officeDocument/2006/relationships/image" Target="../media/image59.jpeg"/><Relationship Id="rId7" Type="http://schemas.openxmlformats.org/officeDocument/2006/relationships/image" Target="../media/image11.jpeg"/><Relationship Id="rId2" Type="http://schemas.openxmlformats.org/officeDocument/2006/relationships/image" Target="../media/image6.jpeg"/><Relationship Id="rId16" Type="http://schemas.openxmlformats.org/officeDocument/2006/relationships/image" Target="../media/image20.jpeg"/><Relationship Id="rId29" Type="http://schemas.openxmlformats.org/officeDocument/2006/relationships/image" Target="../media/image33.jpeg"/><Relationship Id="rId11" Type="http://schemas.openxmlformats.org/officeDocument/2006/relationships/image" Target="../media/image15.jpeg"/><Relationship Id="rId24" Type="http://schemas.openxmlformats.org/officeDocument/2006/relationships/image" Target="../media/image28.jpeg"/><Relationship Id="rId32" Type="http://schemas.openxmlformats.org/officeDocument/2006/relationships/image" Target="../media/image36.jpeg"/><Relationship Id="rId37" Type="http://schemas.openxmlformats.org/officeDocument/2006/relationships/image" Target="../media/image41.jpeg"/><Relationship Id="rId40" Type="http://schemas.openxmlformats.org/officeDocument/2006/relationships/image" Target="../media/image44.jpeg"/><Relationship Id="rId45" Type="http://schemas.openxmlformats.org/officeDocument/2006/relationships/image" Target="../media/image49.jpeg"/><Relationship Id="rId53" Type="http://schemas.openxmlformats.org/officeDocument/2006/relationships/image" Target="../media/image57.jpeg"/><Relationship Id="rId58" Type="http://schemas.openxmlformats.org/officeDocument/2006/relationships/image" Target="../media/image62.jpeg"/><Relationship Id="rId5" Type="http://schemas.openxmlformats.org/officeDocument/2006/relationships/image" Target="../media/image9.jpeg"/><Relationship Id="rId19" Type="http://schemas.openxmlformats.org/officeDocument/2006/relationships/image" Target="../media/image23.jpeg"/><Relationship Id="rId4" Type="http://schemas.openxmlformats.org/officeDocument/2006/relationships/image" Target="../media/image8.jpeg"/><Relationship Id="rId9" Type="http://schemas.openxmlformats.org/officeDocument/2006/relationships/image" Target="../media/image13.jpeg"/><Relationship Id="rId14" Type="http://schemas.openxmlformats.org/officeDocument/2006/relationships/image" Target="../media/image18.jpeg"/><Relationship Id="rId22" Type="http://schemas.openxmlformats.org/officeDocument/2006/relationships/image" Target="../media/image26.jpeg"/><Relationship Id="rId27" Type="http://schemas.openxmlformats.org/officeDocument/2006/relationships/image" Target="../media/image31.jpeg"/><Relationship Id="rId30" Type="http://schemas.openxmlformats.org/officeDocument/2006/relationships/image" Target="../media/image34.jpeg"/><Relationship Id="rId35" Type="http://schemas.openxmlformats.org/officeDocument/2006/relationships/image" Target="../media/image39.jpeg"/><Relationship Id="rId43" Type="http://schemas.openxmlformats.org/officeDocument/2006/relationships/image" Target="../media/image47.jpeg"/><Relationship Id="rId48" Type="http://schemas.openxmlformats.org/officeDocument/2006/relationships/image" Target="../media/image52.jpeg"/><Relationship Id="rId56" Type="http://schemas.openxmlformats.org/officeDocument/2006/relationships/image" Target="../media/image60.jpeg"/><Relationship Id="rId8" Type="http://schemas.openxmlformats.org/officeDocument/2006/relationships/image" Target="../media/image12.jpeg"/><Relationship Id="rId51" Type="http://schemas.openxmlformats.org/officeDocument/2006/relationships/image" Target="../media/image55.jpeg"/><Relationship Id="rId3" Type="http://schemas.openxmlformats.org/officeDocument/2006/relationships/image" Target="../media/image7.jpeg"/><Relationship Id="rId12" Type="http://schemas.openxmlformats.org/officeDocument/2006/relationships/image" Target="../media/image16.jpeg"/><Relationship Id="rId17" Type="http://schemas.openxmlformats.org/officeDocument/2006/relationships/image" Target="../media/image21.jpeg"/><Relationship Id="rId25" Type="http://schemas.openxmlformats.org/officeDocument/2006/relationships/image" Target="../media/image29.jpeg"/><Relationship Id="rId33" Type="http://schemas.openxmlformats.org/officeDocument/2006/relationships/image" Target="../media/image37.jpeg"/><Relationship Id="rId38" Type="http://schemas.openxmlformats.org/officeDocument/2006/relationships/image" Target="../media/image42.jpeg"/><Relationship Id="rId46" Type="http://schemas.openxmlformats.org/officeDocument/2006/relationships/image" Target="../media/image50.jpeg"/><Relationship Id="rId20" Type="http://schemas.openxmlformats.org/officeDocument/2006/relationships/image" Target="../media/image24.jpeg"/><Relationship Id="rId41" Type="http://schemas.openxmlformats.org/officeDocument/2006/relationships/image" Target="../media/image45.jpeg"/><Relationship Id="rId54" Type="http://schemas.openxmlformats.org/officeDocument/2006/relationships/image" Target="../media/image58.jpeg"/><Relationship Id="rId1" Type="http://schemas.openxmlformats.org/officeDocument/2006/relationships/image" Target="../media/image5.jpeg"/><Relationship Id="rId6" Type="http://schemas.openxmlformats.org/officeDocument/2006/relationships/image" Target="../media/image10.jpeg"/><Relationship Id="rId15" Type="http://schemas.openxmlformats.org/officeDocument/2006/relationships/image" Target="../media/image19.jpeg"/><Relationship Id="rId23" Type="http://schemas.openxmlformats.org/officeDocument/2006/relationships/image" Target="../media/image27.jpeg"/><Relationship Id="rId28" Type="http://schemas.openxmlformats.org/officeDocument/2006/relationships/image" Target="../media/image32.jpeg"/><Relationship Id="rId36" Type="http://schemas.openxmlformats.org/officeDocument/2006/relationships/image" Target="../media/image40.jpeg"/><Relationship Id="rId49" Type="http://schemas.openxmlformats.org/officeDocument/2006/relationships/image" Target="../media/image53.jpeg"/><Relationship Id="rId57" Type="http://schemas.openxmlformats.org/officeDocument/2006/relationships/image" Target="../media/image61.jpeg"/><Relationship Id="rId10" Type="http://schemas.openxmlformats.org/officeDocument/2006/relationships/image" Target="../media/image14.jpeg"/><Relationship Id="rId31" Type="http://schemas.openxmlformats.org/officeDocument/2006/relationships/image" Target="../media/image35.jpeg"/><Relationship Id="rId44" Type="http://schemas.openxmlformats.org/officeDocument/2006/relationships/image" Target="../media/image48.jpeg"/><Relationship Id="rId52" Type="http://schemas.openxmlformats.org/officeDocument/2006/relationships/image" Target="../media/image56.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65.jpeg"/><Relationship Id="rId2" Type="http://schemas.openxmlformats.org/officeDocument/2006/relationships/image" Target="../media/image64.jpeg"/><Relationship Id="rId1" Type="http://schemas.openxmlformats.org/officeDocument/2006/relationships/image" Target="../media/image63.jpeg"/></Relationships>
</file>

<file path=xl/drawings/_rels/drawing20.xml.rels><?xml version="1.0" encoding="UTF-8" standalone="yes"?>
<Relationships xmlns="http://schemas.openxmlformats.org/package/2006/relationships"><Relationship Id="rId3" Type="http://schemas.openxmlformats.org/officeDocument/2006/relationships/image" Target="../media/image68.png"/><Relationship Id="rId2" Type="http://schemas.openxmlformats.org/officeDocument/2006/relationships/image" Target="../media/image67.png"/><Relationship Id="rId1" Type="http://schemas.openxmlformats.org/officeDocument/2006/relationships/image" Target="../media/image66.png"/><Relationship Id="rId5" Type="http://schemas.openxmlformats.org/officeDocument/2006/relationships/image" Target="../media/image70.png"/><Relationship Id="rId4" Type="http://schemas.openxmlformats.org/officeDocument/2006/relationships/image" Target="../media/image6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8.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123825</xdr:colOff>
          <xdr:row>2</xdr:row>
          <xdr:rowOff>180975</xdr:rowOff>
        </xdr:to>
        <xdr:sp macro="" textlink="">
          <xdr:nvSpPr>
            <xdr:cNvPr id="25601" name="Imagen 1" hidden="1">
              <a:extLst>
                <a:ext uri="{63B3BB69-23CF-44E3-9099-C40C66FF867C}">
                  <a14:compatExt spid="_x0000_s25601"/>
                </a:ext>
                <a:ext uri="{FF2B5EF4-FFF2-40B4-BE49-F238E27FC236}">
                  <a16:creationId xmlns:a16="http://schemas.microsoft.com/office/drawing/2014/main" id="{00000000-0008-0000-0000-0000016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552450</xdr:colOff>
          <xdr:row>4</xdr:row>
          <xdr:rowOff>200025</xdr:rowOff>
        </xdr:to>
        <xdr:sp macro="" textlink="">
          <xdr:nvSpPr>
            <xdr:cNvPr id="2050" name="Imagen 1"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28575</xdr:colOff>
      <xdr:row>10</xdr:row>
      <xdr:rowOff>161925</xdr:rowOff>
    </xdr:to>
    <xdr:sp macro="" textlink="">
      <xdr:nvSpPr>
        <xdr:cNvPr id="762317" name="Line 1">
          <a:extLst>
            <a:ext uri="{FF2B5EF4-FFF2-40B4-BE49-F238E27FC236}">
              <a16:creationId xmlns:a16="http://schemas.microsoft.com/office/drawing/2014/main" id="{00000000-0008-0000-0300-0000CDA10B00}"/>
            </a:ext>
          </a:extLst>
        </xdr:cNvPr>
        <xdr:cNvSpPr>
          <a:spLocks noChangeShapeType="1"/>
        </xdr:cNvSpPr>
      </xdr:nvSpPr>
      <xdr:spPr bwMode="auto">
        <a:xfrm>
          <a:off x="9525" y="1638300"/>
          <a:ext cx="2076450" cy="485775"/>
        </a:xfrm>
        <a:prstGeom prst="line">
          <a:avLst/>
        </a:prstGeom>
        <a:noFill/>
        <a:ln w="1714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xdr:row>
      <xdr:rowOff>0</xdr:rowOff>
    </xdr:from>
    <xdr:to>
      <xdr:col>1</xdr:col>
      <xdr:colOff>0</xdr:colOff>
      <xdr:row>11</xdr:row>
      <xdr:rowOff>0</xdr:rowOff>
    </xdr:to>
    <xdr:sp macro="" textlink="">
      <xdr:nvSpPr>
        <xdr:cNvPr id="762318" name="Line 2">
          <a:extLst>
            <a:ext uri="{FF2B5EF4-FFF2-40B4-BE49-F238E27FC236}">
              <a16:creationId xmlns:a16="http://schemas.microsoft.com/office/drawing/2014/main" id="{00000000-0008-0000-0300-0000CEA10B00}"/>
            </a:ext>
          </a:extLst>
        </xdr:cNvPr>
        <xdr:cNvSpPr>
          <a:spLocks noChangeShapeType="1"/>
        </xdr:cNvSpPr>
      </xdr:nvSpPr>
      <xdr:spPr bwMode="auto">
        <a:xfrm>
          <a:off x="20002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762319" name="Line 3">
          <a:extLst>
            <a:ext uri="{FF2B5EF4-FFF2-40B4-BE49-F238E27FC236}">
              <a16:creationId xmlns:a16="http://schemas.microsoft.com/office/drawing/2014/main" id="{00000000-0008-0000-0300-0000CFA10B00}"/>
            </a:ext>
          </a:extLst>
        </xdr:cNvPr>
        <xdr:cNvSpPr>
          <a:spLocks noChangeShapeType="1"/>
        </xdr:cNvSpPr>
      </xdr:nvSpPr>
      <xdr:spPr bwMode="auto">
        <a:xfrm>
          <a:off x="350520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762320" name="Line 4">
          <a:extLst>
            <a:ext uri="{FF2B5EF4-FFF2-40B4-BE49-F238E27FC236}">
              <a16:creationId xmlns:a16="http://schemas.microsoft.com/office/drawing/2014/main" id="{00000000-0008-0000-0300-0000D0A10B00}"/>
            </a:ext>
          </a:extLst>
        </xdr:cNvPr>
        <xdr:cNvSpPr>
          <a:spLocks noChangeShapeType="1"/>
        </xdr:cNvSpPr>
      </xdr:nvSpPr>
      <xdr:spPr bwMode="auto">
        <a:xfrm>
          <a:off x="4810125"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762321" name="Line 5">
          <a:extLst>
            <a:ext uri="{FF2B5EF4-FFF2-40B4-BE49-F238E27FC236}">
              <a16:creationId xmlns:a16="http://schemas.microsoft.com/office/drawing/2014/main" id="{00000000-0008-0000-0300-0000D1A10B00}"/>
            </a:ext>
          </a:extLst>
        </xdr:cNvPr>
        <xdr:cNvSpPr>
          <a:spLocks noChangeShapeType="1"/>
        </xdr:cNvSpPr>
      </xdr:nvSpPr>
      <xdr:spPr bwMode="auto">
        <a:xfrm>
          <a:off x="4810125"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762322" name="Line 6">
          <a:extLst>
            <a:ext uri="{FF2B5EF4-FFF2-40B4-BE49-F238E27FC236}">
              <a16:creationId xmlns:a16="http://schemas.microsoft.com/office/drawing/2014/main" id="{00000000-0008-0000-0300-0000D2A10B00}"/>
            </a:ext>
          </a:extLst>
        </xdr:cNvPr>
        <xdr:cNvSpPr>
          <a:spLocks noChangeShapeType="1"/>
        </xdr:cNvSpPr>
      </xdr:nvSpPr>
      <xdr:spPr bwMode="auto">
        <a:xfrm>
          <a:off x="61150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762323" name="Line 7">
          <a:extLst>
            <a:ext uri="{FF2B5EF4-FFF2-40B4-BE49-F238E27FC236}">
              <a16:creationId xmlns:a16="http://schemas.microsoft.com/office/drawing/2014/main" id="{00000000-0008-0000-0300-0000D3A10B00}"/>
            </a:ext>
          </a:extLst>
        </xdr:cNvPr>
        <xdr:cNvSpPr>
          <a:spLocks noChangeShapeType="1"/>
        </xdr:cNvSpPr>
      </xdr:nvSpPr>
      <xdr:spPr bwMode="auto">
        <a:xfrm>
          <a:off x="61150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762324" name="Line 8">
          <a:extLst>
            <a:ext uri="{FF2B5EF4-FFF2-40B4-BE49-F238E27FC236}">
              <a16:creationId xmlns:a16="http://schemas.microsoft.com/office/drawing/2014/main" id="{00000000-0008-0000-0300-0000D4A10B00}"/>
            </a:ext>
          </a:extLst>
        </xdr:cNvPr>
        <xdr:cNvSpPr>
          <a:spLocks noChangeShapeType="1"/>
        </xdr:cNvSpPr>
      </xdr:nvSpPr>
      <xdr:spPr bwMode="auto">
        <a:xfrm>
          <a:off x="758190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762325" name="Line 9">
          <a:extLst>
            <a:ext uri="{FF2B5EF4-FFF2-40B4-BE49-F238E27FC236}">
              <a16:creationId xmlns:a16="http://schemas.microsoft.com/office/drawing/2014/main" id="{00000000-0008-0000-0300-0000D5A10B00}"/>
            </a:ext>
          </a:extLst>
        </xdr:cNvPr>
        <xdr:cNvSpPr>
          <a:spLocks noChangeShapeType="1"/>
        </xdr:cNvSpPr>
      </xdr:nvSpPr>
      <xdr:spPr bwMode="auto">
        <a:xfrm>
          <a:off x="758190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11</xdr:row>
      <xdr:rowOff>0</xdr:rowOff>
    </xdr:from>
    <xdr:to>
      <xdr:col>10</xdr:col>
      <xdr:colOff>0</xdr:colOff>
      <xdr:row>11</xdr:row>
      <xdr:rowOff>0</xdr:rowOff>
    </xdr:to>
    <xdr:sp macro="" textlink="">
      <xdr:nvSpPr>
        <xdr:cNvPr id="762326" name="Line 10">
          <a:extLst>
            <a:ext uri="{FF2B5EF4-FFF2-40B4-BE49-F238E27FC236}">
              <a16:creationId xmlns:a16="http://schemas.microsoft.com/office/drawing/2014/main" id="{00000000-0008-0000-0300-0000D6A10B00}"/>
            </a:ext>
          </a:extLst>
        </xdr:cNvPr>
        <xdr:cNvSpPr>
          <a:spLocks noChangeShapeType="1"/>
        </xdr:cNvSpPr>
      </xdr:nvSpPr>
      <xdr:spPr bwMode="auto">
        <a:xfrm>
          <a:off x="76390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27</xdr:row>
      <xdr:rowOff>28575</xdr:rowOff>
    </xdr:from>
    <xdr:to>
      <xdr:col>2</xdr:col>
      <xdr:colOff>95250</xdr:colOff>
      <xdr:row>27</xdr:row>
      <xdr:rowOff>104775</xdr:rowOff>
    </xdr:to>
    <xdr:sp macro="" textlink="">
      <xdr:nvSpPr>
        <xdr:cNvPr id="762327" name="Oval 62">
          <a:extLst>
            <a:ext uri="{FF2B5EF4-FFF2-40B4-BE49-F238E27FC236}">
              <a16:creationId xmlns:a16="http://schemas.microsoft.com/office/drawing/2014/main" id="{00000000-0008-0000-0300-0000D7A10B00}"/>
            </a:ext>
          </a:extLst>
        </xdr:cNvPr>
        <xdr:cNvSpPr>
          <a:spLocks noChangeArrowheads="1"/>
        </xdr:cNvSpPr>
      </xdr:nvSpPr>
      <xdr:spPr bwMode="auto">
        <a:xfrm>
          <a:off x="2076450" y="6353175"/>
          <a:ext cx="76200" cy="76200"/>
        </a:xfrm>
        <a:prstGeom prst="ellipse">
          <a:avLst/>
        </a:prstGeom>
        <a:solidFill>
          <a:srgbClr val="00FF00"/>
        </a:solidFill>
        <a:ln w="9525">
          <a:solidFill>
            <a:srgbClr val="00FF00"/>
          </a:solidFill>
          <a:round/>
          <a:headEnd/>
          <a:tailEnd/>
        </a:ln>
      </xdr:spPr>
    </xdr:sp>
    <xdr:clientData/>
  </xdr:twoCellAnchor>
  <xdr:twoCellAnchor>
    <xdr:from>
      <xdr:col>4</xdr:col>
      <xdr:colOff>9525</xdr:colOff>
      <xdr:row>27</xdr:row>
      <xdr:rowOff>47625</xdr:rowOff>
    </xdr:from>
    <xdr:to>
      <xdr:col>4</xdr:col>
      <xdr:colOff>85725</xdr:colOff>
      <xdr:row>27</xdr:row>
      <xdr:rowOff>123825</xdr:rowOff>
    </xdr:to>
    <xdr:sp macro="" textlink="">
      <xdr:nvSpPr>
        <xdr:cNvPr id="762328" name="Oval 63">
          <a:extLst>
            <a:ext uri="{FF2B5EF4-FFF2-40B4-BE49-F238E27FC236}">
              <a16:creationId xmlns:a16="http://schemas.microsoft.com/office/drawing/2014/main" id="{00000000-0008-0000-0300-0000D8A10B00}"/>
            </a:ext>
          </a:extLst>
        </xdr:cNvPr>
        <xdr:cNvSpPr>
          <a:spLocks noChangeArrowheads="1"/>
        </xdr:cNvSpPr>
      </xdr:nvSpPr>
      <xdr:spPr bwMode="auto">
        <a:xfrm>
          <a:off x="3571875" y="6372225"/>
          <a:ext cx="76200" cy="76200"/>
        </a:xfrm>
        <a:prstGeom prst="ellipse">
          <a:avLst/>
        </a:prstGeom>
        <a:solidFill>
          <a:srgbClr val="FFFF00"/>
        </a:solidFill>
        <a:ln w="9525">
          <a:solidFill>
            <a:srgbClr val="FFFF00"/>
          </a:solidFill>
          <a:round/>
          <a:headEnd/>
          <a:tailEnd/>
        </a:ln>
      </xdr:spPr>
    </xdr:sp>
    <xdr:clientData/>
  </xdr:twoCellAnchor>
  <xdr:twoCellAnchor>
    <xdr:from>
      <xdr:col>6</xdr:col>
      <xdr:colOff>28575</xdr:colOff>
      <xdr:row>27</xdr:row>
      <xdr:rowOff>38100</xdr:rowOff>
    </xdr:from>
    <xdr:to>
      <xdr:col>6</xdr:col>
      <xdr:colOff>104775</xdr:colOff>
      <xdr:row>27</xdr:row>
      <xdr:rowOff>114300</xdr:rowOff>
    </xdr:to>
    <xdr:sp macro="" textlink="">
      <xdr:nvSpPr>
        <xdr:cNvPr id="762329" name="Oval 64">
          <a:extLst>
            <a:ext uri="{FF2B5EF4-FFF2-40B4-BE49-F238E27FC236}">
              <a16:creationId xmlns:a16="http://schemas.microsoft.com/office/drawing/2014/main" id="{00000000-0008-0000-0300-0000D9A10B00}"/>
            </a:ext>
          </a:extLst>
        </xdr:cNvPr>
        <xdr:cNvSpPr>
          <a:spLocks noChangeArrowheads="1"/>
        </xdr:cNvSpPr>
      </xdr:nvSpPr>
      <xdr:spPr bwMode="auto">
        <a:xfrm>
          <a:off x="4895850" y="6362700"/>
          <a:ext cx="76200" cy="76200"/>
        </a:xfrm>
        <a:prstGeom prst="ellipse">
          <a:avLst/>
        </a:prstGeom>
        <a:solidFill>
          <a:srgbClr val="FF0000"/>
        </a:solidFill>
        <a:ln w="9525">
          <a:solidFill>
            <a:srgbClr val="FF0000"/>
          </a:solidFill>
          <a:round/>
          <a:headEnd/>
          <a:tailEnd/>
        </a:ln>
      </xdr:spPr>
    </xdr:sp>
    <xdr:clientData/>
  </xdr:twoCellAnchor>
  <xdr:twoCellAnchor>
    <xdr:from>
      <xdr:col>8</xdr:col>
      <xdr:colOff>28575</xdr:colOff>
      <xdr:row>27</xdr:row>
      <xdr:rowOff>19050</xdr:rowOff>
    </xdr:from>
    <xdr:to>
      <xdr:col>8</xdr:col>
      <xdr:colOff>152400</xdr:colOff>
      <xdr:row>27</xdr:row>
      <xdr:rowOff>95250</xdr:rowOff>
    </xdr:to>
    <xdr:sp macro="" textlink="">
      <xdr:nvSpPr>
        <xdr:cNvPr id="762330" name="Rectangle 65">
          <a:extLst>
            <a:ext uri="{FF2B5EF4-FFF2-40B4-BE49-F238E27FC236}">
              <a16:creationId xmlns:a16="http://schemas.microsoft.com/office/drawing/2014/main" id="{00000000-0008-0000-0300-0000DAA10B00}"/>
            </a:ext>
          </a:extLst>
        </xdr:cNvPr>
        <xdr:cNvSpPr>
          <a:spLocks noChangeArrowheads="1"/>
        </xdr:cNvSpPr>
      </xdr:nvSpPr>
      <xdr:spPr bwMode="auto">
        <a:xfrm>
          <a:off x="6200775" y="6343650"/>
          <a:ext cx="123825" cy="76200"/>
        </a:xfrm>
        <a:prstGeom prst="rect">
          <a:avLst/>
        </a:prstGeom>
        <a:solidFill>
          <a:srgbClr val="C0C0C0"/>
        </a:solidFill>
        <a:ln w="9525">
          <a:solidFill>
            <a:srgbClr val="C0C0C0"/>
          </a:solidFill>
          <a:miter lim="800000"/>
          <a:headEnd/>
          <a:tailEnd/>
        </a:ln>
      </xdr:spPr>
    </xdr:sp>
    <xdr:clientData/>
  </xdr:twoCellAnchor>
  <xdr:twoCellAnchor>
    <xdr:from>
      <xdr:col>2</xdr:col>
      <xdr:colOff>38101</xdr:colOff>
      <xdr:row>11</xdr:row>
      <xdr:rowOff>9524</xdr:rowOff>
    </xdr:from>
    <xdr:to>
      <xdr:col>2</xdr:col>
      <xdr:colOff>1409700</xdr:colOff>
      <xdr:row>11</xdr:row>
      <xdr:rowOff>266699</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2095501" y="2143124"/>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12</xdr:row>
      <xdr:rowOff>0</xdr:rowOff>
    </xdr:from>
    <xdr:to>
      <xdr:col>2</xdr:col>
      <xdr:colOff>1409699</xdr:colOff>
      <xdr:row>12</xdr:row>
      <xdr:rowOff>257175</xdr:rowOff>
    </xdr:to>
    <xdr:sp macro="" textlink="">
      <xdr:nvSpPr>
        <xdr:cNvPr id="18" name="CuadroTexto 17">
          <a:extLst>
            <a:ext uri="{FF2B5EF4-FFF2-40B4-BE49-F238E27FC236}">
              <a16:creationId xmlns:a16="http://schemas.microsoft.com/office/drawing/2014/main" id="{00000000-0008-0000-0300-000012000000}"/>
            </a:ext>
          </a:extLst>
        </xdr:cNvPr>
        <xdr:cNvSpPr txBox="1"/>
      </xdr:nvSpPr>
      <xdr:spPr>
        <a:xfrm>
          <a:off x="2095500" y="2409825"/>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47625</xdr:colOff>
      <xdr:row>13</xdr:row>
      <xdr:rowOff>0</xdr:rowOff>
    </xdr:from>
    <xdr:to>
      <xdr:col>2</xdr:col>
      <xdr:colOff>1419224</xdr:colOff>
      <xdr:row>13</xdr:row>
      <xdr:rowOff>257175</xdr:rowOff>
    </xdr:to>
    <xdr:sp macro="" textlink="">
      <xdr:nvSpPr>
        <xdr:cNvPr id="20" name="CuadroTexto 19">
          <a:extLst>
            <a:ext uri="{FF2B5EF4-FFF2-40B4-BE49-F238E27FC236}">
              <a16:creationId xmlns:a16="http://schemas.microsoft.com/office/drawing/2014/main" id="{00000000-0008-0000-0300-000014000000}"/>
            </a:ext>
          </a:extLst>
        </xdr:cNvPr>
        <xdr:cNvSpPr txBox="1"/>
      </xdr:nvSpPr>
      <xdr:spPr>
        <a:xfrm>
          <a:off x="2105025" y="268605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57150</xdr:colOff>
      <xdr:row>14</xdr:row>
      <xdr:rowOff>0</xdr:rowOff>
    </xdr:from>
    <xdr:to>
      <xdr:col>2</xdr:col>
      <xdr:colOff>1428749</xdr:colOff>
      <xdr:row>14</xdr:row>
      <xdr:rowOff>257175</xdr:rowOff>
    </xdr:to>
    <xdr:sp macro="" textlink="">
      <xdr:nvSpPr>
        <xdr:cNvPr id="22" name="CuadroTexto 21">
          <a:extLst>
            <a:ext uri="{FF2B5EF4-FFF2-40B4-BE49-F238E27FC236}">
              <a16:creationId xmlns:a16="http://schemas.microsoft.com/office/drawing/2014/main" id="{00000000-0008-0000-0300-000016000000}"/>
            </a:ext>
          </a:extLst>
        </xdr:cNvPr>
        <xdr:cNvSpPr txBox="1"/>
      </xdr:nvSpPr>
      <xdr:spPr>
        <a:xfrm>
          <a:off x="2114550" y="2962275"/>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38101</xdr:colOff>
      <xdr:row>16</xdr:row>
      <xdr:rowOff>9525</xdr:rowOff>
    </xdr:from>
    <xdr:to>
      <xdr:col>2</xdr:col>
      <xdr:colOff>1028700</xdr:colOff>
      <xdr:row>16</xdr:row>
      <xdr:rowOff>266700</xdr:rowOff>
    </xdr:to>
    <xdr:sp macro="" textlink="">
      <xdr:nvSpPr>
        <xdr:cNvPr id="26" name="CuadroTexto 25">
          <a:extLst>
            <a:ext uri="{FF2B5EF4-FFF2-40B4-BE49-F238E27FC236}">
              <a16:creationId xmlns:a16="http://schemas.microsoft.com/office/drawing/2014/main" id="{00000000-0008-0000-0300-00001A000000}"/>
            </a:ext>
          </a:extLst>
        </xdr:cNvPr>
        <xdr:cNvSpPr txBox="1"/>
      </xdr:nvSpPr>
      <xdr:spPr>
        <a:xfrm>
          <a:off x="2095501" y="3524250"/>
          <a:ext cx="990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75</a:t>
          </a:r>
        </a:p>
      </xdr:txBody>
    </xdr:sp>
    <xdr:clientData/>
  </xdr:twoCellAnchor>
  <xdr:twoCellAnchor>
    <xdr:from>
      <xdr:col>2</xdr:col>
      <xdr:colOff>9525</xdr:colOff>
      <xdr:row>15</xdr:row>
      <xdr:rowOff>0</xdr:rowOff>
    </xdr:from>
    <xdr:to>
      <xdr:col>2</xdr:col>
      <xdr:colOff>1438275</xdr:colOff>
      <xdr:row>15</xdr:row>
      <xdr:rowOff>257175</xdr:rowOff>
    </xdr:to>
    <xdr:sp macro="" textlink="">
      <xdr:nvSpPr>
        <xdr:cNvPr id="28" name="CuadroTexto 27">
          <a:extLst>
            <a:ext uri="{FF2B5EF4-FFF2-40B4-BE49-F238E27FC236}">
              <a16:creationId xmlns:a16="http://schemas.microsoft.com/office/drawing/2014/main" id="{00000000-0008-0000-0300-00001C000000}"/>
            </a:ext>
          </a:extLst>
        </xdr:cNvPr>
        <xdr:cNvSpPr txBox="1"/>
      </xdr:nvSpPr>
      <xdr:spPr>
        <a:xfrm>
          <a:off x="2066925" y="3238500"/>
          <a:ext cx="1428750"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17</xdr:row>
      <xdr:rowOff>0</xdr:rowOff>
    </xdr:from>
    <xdr:to>
      <xdr:col>2</xdr:col>
      <xdr:colOff>1409699</xdr:colOff>
      <xdr:row>17</xdr:row>
      <xdr:rowOff>257175</xdr:rowOff>
    </xdr:to>
    <xdr:sp macro="" textlink="">
      <xdr:nvSpPr>
        <xdr:cNvPr id="30" name="CuadroTexto 29">
          <a:extLst>
            <a:ext uri="{FF2B5EF4-FFF2-40B4-BE49-F238E27FC236}">
              <a16:creationId xmlns:a16="http://schemas.microsoft.com/office/drawing/2014/main" id="{00000000-0008-0000-0300-00001E000000}"/>
            </a:ext>
          </a:extLst>
        </xdr:cNvPr>
        <xdr:cNvSpPr txBox="1"/>
      </xdr:nvSpPr>
      <xdr:spPr>
        <a:xfrm>
          <a:off x="2095500" y="379095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28575</xdr:colOff>
      <xdr:row>18</xdr:row>
      <xdr:rowOff>0</xdr:rowOff>
    </xdr:from>
    <xdr:to>
      <xdr:col>2</xdr:col>
      <xdr:colOff>1419225</xdr:colOff>
      <xdr:row>18</xdr:row>
      <xdr:rowOff>257175</xdr:rowOff>
    </xdr:to>
    <xdr:sp macro="" textlink="">
      <xdr:nvSpPr>
        <xdr:cNvPr id="32" name="CuadroTexto 31">
          <a:extLst>
            <a:ext uri="{FF2B5EF4-FFF2-40B4-BE49-F238E27FC236}">
              <a16:creationId xmlns:a16="http://schemas.microsoft.com/office/drawing/2014/main" id="{00000000-0008-0000-0300-000020000000}"/>
            </a:ext>
          </a:extLst>
        </xdr:cNvPr>
        <xdr:cNvSpPr txBox="1"/>
      </xdr:nvSpPr>
      <xdr:spPr>
        <a:xfrm>
          <a:off x="2085975" y="4067175"/>
          <a:ext cx="139065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28575</xdr:colOff>
      <xdr:row>19</xdr:row>
      <xdr:rowOff>0</xdr:rowOff>
    </xdr:from>
    <xdr:to>
      <xdr:col>2</xdr:col>
      <xdr:colOff>1400174</xdr:colOff>
      <xdr:row>19</xdr:row>
      <xdr:rowOff>257175</xdr:rowOff>
    </xdr:to>
    <xdr:sp macro="" textlink="">
      <xdr:nvSpPr>
        <xdr:cNvPr id="34" name="CuadroTexto 33">
          <a:extLst>
            <a:ext uri="{FF2B5EF4-FFF2-40B4-BE49-F238E27FC236}">
              <a16:creationId xmlns:a16="http://schemas.microsoft.com/office/drawing/2014/main" id="{00000000-0008-0000-0300-000022000000}"/>
            </a:ext>
          </a:extLst>
        </xdr:cNvPr>
        <xdr:cNvSpPr txBox="1"/>
      </xdr:nvSpPr>
      <xdr:spPr>
        <a:xfrm>
          <a:off x="2085975" y="434340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11</xdr:col>
      <xdr:colOff>361950</xdr:colOff>
      <xdr:row>16</xdr:row>
      <xdr:rowOff>28575</xdr:rowOff>
    </xdr:from>
    <xdr:to>
      <xdr:col>13</xdr:col>
      <xdr:colOff>209549</xdr:colOff>
      <xdr:row>17</xdr:row>
      <xdr:rowOff>9525</xdr:rowOff>
    </xdr:to>
    <xdr:sp macro="" textlink="">
      <xdr:nvSpPr>
        <xdr:cNvPr id="35" name="CuadroTexto 34">
          <a:extLst>
            <a:ext uri="{FF2B5EF4-FFF2-40B4-BE49-F238E27FC236}">
              <a16:creationId xmlns:a16="http://schemas.microsoft.com/office/drawing/2014/main" id="{00000000-0008-0000-0300-000023000000}"/>
            </a:ext>
          </a:extLst>
        </xdr:cNvPr>
        <xdr:cNvSpPr txBox="1"/>
      </xdr:nvSpPr>
      <xdr:spPr>
        <a:xfrm>
          <a:off x="8763000" y="354330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21</xdr:row>
      <xdr:rowOff>0</xdr:rowOff>
    </xdr:from>
    <xdr:to>
      <xdr:col>2</xdr:col>
      <xdr:colOff>1409699</xdr:colOff>
      <xdr:row>21</xdr:row>
      <xdr:rowOff>257175</xdr:rowOff>
    </xdr:to>
    <xdr:sp macro="" textlink="">
      <xdr:nvSpPr>
        <xdr:cNvPr id="37" name="CuadroTexto 36">
          <a:extLst>
            <a:ext uri="{FF2B5EF4-FFF2-40B4-BE49-F238E27FC236}">
              <a16:creationId xmlns:a16="http://schemas.microsoft.com/office/drawing/2014/main" id="{00000000-0008-0000-0300-000025000000}"/>
            </a:ext>
          </a:extLst>
        </xdr:cNvPr>
        <xdr:cNvSpPr txBox="1"/>
      </xdr:nvSpPr>
      <xdr:spPr>
        <a:xfrm>
          <a:off x="2095500" y="489585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19050</xdr:colOff>
      <xdr:row>22</xdr:row>
      <xdr:rowOff>19050</xdr:rowOff>
    </xdr:from>
    <xdr:to>
      <xdr:col>2</xdr:col>
      <xdr:colOff>1409700</xdr:colOff>
      <xdr:row>23</xdr:row>
      <xdr:rowOff>0</xdr:rowOff>
    </xdr:to>
    <xdr:sp macro="" textlink="">
      <xdr:nvSpPr>
        <xdr:cNvPr id="38" name="CuadroTexto 37">
          <a:extLst>
            <a:ext uri="{FF2B5EF4-FFF2-40B4-BE49-F238E27FC236}">
              <a16:creationId xmlns:a16="http://schemas.microsoft.com/office/drawing/2014/main" id="{00000000-0008-0000-0300-000026000000}"/>
            </a:ext>
          </a:extLst>
        </xdr:cNvPr>
        <xdr:cNvSpPr txBox="1"/>
      </xdr:nvSpPr>
      <xdr:spPr>
        <a:xfrm>
          <a:off x="2076450" y="5191125"/>
          <a:ext cx="139065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1038225</xdr:colOff>
      <xdr:row>16</xdr:row>
      <xdr:rowOff>0</xdr:rowOff>
    </xdr:from>
    <xdr:to>
      <xdr:col>2</xdr:col>
      <xdr:colOff>1428751</xdr:colOff>
      <xdr:row>16</xdr:row>
      <xdr:rowOff>257175</xdr:rowOff>
    </xdr:to>
    <xdr:sp macro="" textlink="">
      <xdr:nvSpPr>
        <xdr:cNvPr id="40" name="CuadroTexto 39">
          <a:extLst>
            <a:ext uri="{FF2B5EF4-FFF2-40B4-BE49-F238E27FC236}">
              <a16:creationId xmlns:a16="http://schemas.microsoft.com/office/drawing/2014/main" id="{00000000-0008-0000-0300-000028000000}"/>
            </a:ext>
          </a:extLst>
        </xdr:cNvPr>
        <xdr:cNvSpPr txBox="1"/>
      </xdr:nvSpPr>
      <xdr:spPr>
        <a:xfrm>
          <a:off x="3095625" y="3514725"/>
          <a:ext cx="390526"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25</a:t>
          </a:r>
        </a:p>
      </xdr:txBody>
    </xdr:sp>
    <xdr:clientData/>
  </xdr:twoCellAnchor>
  <xdr:twoCellAnchor>
    <xdr:from>
      <xdr:col>2</xdr:col>
      <xdr:colOff>47625</xdr:colOff>
      <xdr:row>23</xdr:row>
      <xdr:rowOff>0</xdr:rowOff>
    </xdr:from>
    <xdr:to>
      <xdr:col>2</xdr:col>
      <xdr:colOff>1419224</xdr:colOff>
      <xdr:row>23</xdr:row>
      <xdr:rowOff>257175</xdr:rowOff>
    </xdr:to>
    <xdr:sp macro="" textlink="">
      <xdr:nvSpPr>
        <xdr:cNvPr id="42" name="CuadroTexto 41">
          <a:extLst>
            <a:ext uri="{FF2B5EF4-FFF2-40B4-BE49-F238E27FC236}">
              <a16:creationId xmlns:a16="http://schemas.microsoft.com/office/drawing/2014/main" id="{00000000-0008-0000-0300-00002A000000}"/>
            </a:ext>
          </a:extLst>
        </xdr:cNvPr>
        <xdr:cNvSpPr txBox="1"/>
      </xdr:nvSpPr>
      <xdr:spPr>
        <a:xfrm>
          <a:off x="2105025" y="544830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47625</xdr:colOff>
      <xdr:row>24</xdr:row>
      <xdr:rowOff>0</xdr:rowOff>
    </xdr:from>
    <xdr:to>
      <xdr:col>2</xdr:col>
      <xdr:colOff>1419224</xdr:colOff>
      <xdr:row>24</xdr:row>
      <xdr:rowOff>257175</xdr:rowOff>
    </xdr:to>
    <xdr:sp macro="" textlink="">
      <xdr:nvSpPr>
        <xdr:cNvPr id="39" name="CuadroTexto 38">
          <a:extLst>
            <a:ext uri="{FF2B5EF4-FFF2-40B4-BE49-F238E27FC236}">
              <a16:creationId xmlns:a16="http://schemas.microsoft.com/office/drawing/2014/main" id="{00000000-0008-0000-0300-000027000000}"/>
            </a:ext>
          </a:extLst>
        </xdr:cNvPr>
        <xdr:cNvSpPr txBox="1"/>
      </xdr:nvSpPr>
      <xdr:spPr>
        <a:xfrm>
          <a:off x="2105025" y="5724525"/>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20</xdr:row>
      <xdr:rowOff>9525</xdr:rowOff>
    </xdr:from>
    <xdr:to>
      <xdr:col>2</xdr:col>
      <xdr:colOff>1428750</xdr:colOff>
      <xdr:row>20</xdr:row>
      <xdr:rowOff>266700</xdr:rowOff>
    </xdr:to>
    <xdr:sp macro="" textlink="">
      <xdr:nvSpPr>
        <xdr:cNvPr id="31" name="CuadroTexto 30">
          <a:extLst>
            <a:ext uri="{FF2B5EF4-FFF2-40B4-BE49-F238E27FC236}">
              <a16:creationId xmlns:a16="http://schemas.microsoft.com/office/drawing/2014/main" id="{00000000-0008-0000-0300-00001F000000}"/>
            </a:ext>
          </a:extLst>
        </xdr:cNvPr>
        <xdr:cNvSpPr txBox="1"/>
      </xdr:nvSpPr>
      <xdr:spPr>
        <a:xfrm>
          <a:off x="2095500" y="4629150"/>
          <a:ext cx="139065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41</xdr:row>
      <xdr:rowOff>9525</xdr:rowOff>
    </xdr:from>
    <xdr:to>
      <xdr:col>1</xdr:col>
      <xdr:colOff>0</xdr:colOff>
      <xdr:row>43</xdr:row>
      <xdr:rowOff>19050</xdr:rowOff>
    </xdr:to>
    <xdr:sp macro="" textlink="">
      <xdr:nvSpPr>
        <xdr:cNvPr id="785116" name="Line 113">
          <a:extLst>
            <a:ext uri="{FF2B5EF4-FFF2-40B4-BE49-F238E27FC236}">
              <a16:creationId xmlns:a16="http://schemas.microsoft.com/office/drawing/2014/main" id="{00000000-0008-0000-0500-0000DCFA0B00}"/>
            </a:ext>
          </a:extLst>
        </xdr:cNvPr>
        <xdr:cNvSpPr>
          <a:spLocks noChangeShapeType="1"/>
        </xdr:cNvSpPr>
      </xdr:nvSpPr>
      <xdr:spPr bwMode="auto">
        <a:xfrm>
          <a:off x="9525" y="8058150"/>
          <a:ext cx="1457325" cy="352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104775</xdr:colOff>
      <xdr:row>49</xdr:row>
      <xdr:rowOff>142875</xdr:rowOff>
    </xdr:from>
    <xdr:to>
      <xdr:col>35</xdr:col>
      <xdr:colOff>57150</xdr:colOff>
      <xdr:row>49</xdr:row>
      <xdr:rowOff>142875</xdr:rowOff>
    </xdr:to>
    <xdr:sp macro="" textlink="">
      <xdr:nvSpPr>
        <xdr:cNvPr id="785117" name="Rectangle 37">
          <a:extLst>
            <a:ext uri="{FF2B5EF4-FFF2-40B4-BE49-F238E27FC236}">
              <a16:creationId xmlns:a16="http://schemas.microsoft.com/office/drawing/2014/main" id="{00000000-0008-0000-0500-0000DD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190500</xdr:colOff>
      <xdr:row>49</xdr:row>
      <xdr:rowOff>142875</xdr:rowOff>
    </xdr:from>
    <xdr:to>
      <xdr:col>35</xdr:col>
      <xdr:colOff>57150</xdr:colOff>
      <xdr:row>49</xdr:row>
      <xdr:rowOff>142875</xdr:rowOff>
    </xdr:to>
    <xdr:sp macro="" textlink="">
      <xdr:nvSpPr>
        <xdr:cNvPr id="785118" name="Rectangle 38">
          <a:extLst>
            <a:ext uri="{FF2B5EF4-FFF2-40B4-BE49-F238E27FC236}">
              <a16:creationId xmlns:a16="http://schemas.microsoft.com/office/drawing/2014/main" id="{00000000-0008-0000-0500-0000DE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49</xdr:row>
      <xdr:rowOff>142875</xdr:rowOff>
    </xdr:from>
    <xdr:to>
      <xdr:col>34</xdr:col>
      <xdr:colOff>57150</xdr:colOff>
      <xdr:row>49</xdr:row>
      <xdr:rowOff>142875</xdr:rowOff>
    </xdr:to>
    <xdr:sp macro="" textlink="">
      <xdr:nvSpPr>
        <xdr:cNvPr id="785119" name="Rectangle 39">
          <a:extLst>
            <a:ext uri="{FF2B5EF4-FFF2-40B4-BE49-F238E27FC236}">
              <a16:creationId xmlns:a16="http://schemas.microsoft.com/office/drawing/2014/main" id="{00000000-0008-0000-0500-0000DFFA0B00}"/>
            </a:ext>
          </a:extLst>
        </xdr:cNvPr>
        <xdr:cNvSpPr>
          <a:spLocks noChangeArrowheads="1"/>
        </xdr:cNvSpPr>
      </xdr:nvSpPr>
      <xdr:spPr bwMode="auto">
        <a:xfrm>
          <a:off x="340995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238125</xdr:colOff>
      <xdr:row>49</xdr:row>
      <xdr:rowOff>142875</xdr:rowOff>
    </xdr:from>
    <xdr:to>
      <xdr:col>34</xdr:col>
      <xdr:colOff>57150</xdr:colOff>
      <xdr:row>49</xdr:row>
      <xdr:rowOff>142875</xdr:rowOff>
    </xdr:to>
    <xdr:sp macro="" textlink="">
      <xdr:nvSpPr>
        <xdr:cNvPr id="785120" name="Rectangle 40">
          <a:extLst>
            <a:ext uri="{FF2B5EF4-FFF2-40B4-BE49-F238E27FC236}">
              <a16:creationId xmlns:a16="http://schemas.microsoft.com/office/drawing/2014/main" id="{00000000-0008-0000-0500-0000E0FA0B00}"/>
            </a:ext>
          </a:extLst>
        </xdr:cNvPr>
        <xdr:cNvSpPr>
          <a:spLocks noChangeArrowheads="1"/>
        </xdr:cNvSpPr>
      </xdr:nvSpPr>
      <xdr:spPr bwMode="auto">
        <a:xfrm>
          <a:off x="340995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295275</xdr:colOff>
      <xdr:row>49</xdr:row>
      <xdr:rowOff>142875</xdr:rowOff>
    </xdr:from>
    <xdr:to>
      <xdr:col>34</xdr:col>
      <xdr:colOff>57150</xdr:colOff>
      <xdr:row>49</xdr:row>
      <xdr:rowOff>142875</xdr:rowOff>
    </xdr:to>
    <xdr:sp macro="" textlink="">
      <xdr:nvSpPr>
        <xdr:cNvPr id="785121" name="Rectangle 41">
          <a:extLst>
            <a:ext uri="{FF2B5EF4-FFF2-40B4-BE49-F238E27FC236}">
              <a16:creationId xmlns:a16="http://schemas.microsoft.com/office/drawing/2014/main" id="{00000000-0008-0000-0500-0000E1FA0B00}"/>
            </a:ext>
          </a:extLst>
        </xdr:cNvPr>
        <xdr:cNvSpPr>
          <a:spLocks noChangeArrowheads="1"/>
        </xdr:cNvSpPr>
      </xdr:nvSpPr>
      <xdr:spPr bwMode="auto">
        <a:xfrm>
          <a:off x="340995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9525</xdr:colOff>
      <xdr:row>49</xdr:row>
      <xdr:rowOff>142875</xdr:rowOff>
    </xdr:from>
    <xdr:to>
      <xdr:col>35</xdr:col>
      <xdr:colOff>47625</xdr:colOff>
      <xdr:row>49</xdr:row>
      <xdr:rowOff>142875</xdr:rowOff>
    </xdr:to>
    <xdr:sp macro="" textlink="">
      <xdr:nvSpPr>
        <xdr:cNvPr id="785122" name="Rectangle 42">
          <a:extLst>
            <a:ext uri="{FF2B5EF4-FFF2-40B4-BE49-F238E27FC236}">
              <a16:creationId xmlns:a16="http://schemas.microsoft.com/office/drawing/2014/main" id="{00000000-0008-0000-0500-0000E2FA0B00}"/>
            </a:ext>
          </a:extLst>
        </xdr:cNvPr>
        <xdr:cNvSpPr>
          <a:spLocks noChangeArrowheads="1"/>
        </xdr:cNvSpPr>
      </xdr:nvSpPr>
      <xdr:spPr bwMode="auto">
        <a:xfrm>
          <a:off x="3419475" y="9467850"/>
          <a:ext cx="3810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66675</xdr:colOff>
      <xdr:row>49</xdr:row>
      <xdr:rowOff>142875</xdr:rowOff>
    </xdr:from>
    <xdr:to>
      <xdr:col>35</xdr:col>
      <xdr:colOff>57150</xdr:colOff>
      <xdr:row>49</xdr:row>
      <xdr:rowOff>142875</xdr:rowOff>
    </xdr:to>
    <xdr:sp macro="" textlink="">
      <xdr:nvSpPr>
        <xdr:cNvPr id="785123" name="Rectangle 43">
          <a:extLst>
            <a:ext uri="{FF2B5EF4-FFF2-40B4-BE49-F238E27FC236}">
              <a16:creationId xmlns:a16="http://schemas.microsoft.com/office/drawing/2014/main" id="{00000000-0008-0000-0500-0000E3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142875</xdr:rowOff>
    </xdr:from>
    <xdr:to>
      <xdr:col>36</xdr:col>
      <xdr:colOff>0</xdr:colOff>
      <xdr:row>49</xdr:row>
      <xdr:rowOff>142875</xdr:rowOff>
    </xdr:to>
    <xdr:sp macro="" textlink="">
      <xdr:nvSpPr>
        <xdr:cNvPr id="785124" name="Rectangle 44">
          <a:extLst>
            <a:ext uri="{FF2B5EF4-FFF2-40B4-BE49-F238E27FC236}">
              <a16:creationId xmlns:a16="http://schemas.microsoft.com/office/drawing/2014/main" id="{00000000-0008-0000-0500-0000E4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104775</xdr:colOff>
      <xdr:row>49</xdr:row>
      <xdr:rowOff>142875</xdr:rowOff>
    </xdr:from>
    <xdr:to>
      <xdr:col>49</xdr:col>
      <xdr:colOff>57150</xdr:colOff>
      <xdr:row>49</xdr:row>
      <xdr:rowOff>142875</xdr:rowOff>
    </xdr:to>
    <xdr:sp macro="" textlink="">
      <xdr:nvSpPr>
        <xdr:cNvPr id="785125" name="Rectangle 45">
          <a:extLst>
            <a:ext uri="{FF2B5EF4-FFF2-40B4-BE49-F238E27FC236}">
              <a16:creationId xmlns:a16="http://schemas.microsoft.com/office/drawing/2014/main" id="{00000000-0008-0000-0500-0000E5FA0B00}"/>
            </a:ext>
          </a:extLst>
        </xdr:cNvPr>
        <xdr:cNvSpPr>
          <a:spLocks noChangeArrowheads="1"/>
        </xdr:cNvSpPr>
      </xdr:nvSpPr>
      <xdr:spPr bwMode="auto">
        <a:xfrm>
          <a:off x="42672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200025</xdr:colOff>
      <xdr:row>49</xdr:row>
      <xdr:rowOff>142875</xdr:rowOff>
    </xdr:from>
    <xdr:to>
      <xdr:col>49</xdr:col>
      <xdr:colOff>57150</xdr:colOff>
      <xdr:row>49</xdr:row>
      <xdr:rowOff>142875</xdr:rowOff>
    </xdr:to>
    <xdr:sp macro="" textlink="">
      <xdr:nvSpPr>
        <xdr:cNvPr id="785126" name="Rectangle 46">
          <a:extLst>
            <a:ext uri="{FF2B5EF4-FFF2-40B4-BE49-F238E27FC236}">
              <a16:creationId xmlns:a16="http://schemas.microsoft.com/office/drawing/2014/main" id="{00000000-0008-0000-0500-0000E6FA0B00}"/>
            </a:ext>
          </a:extLst>
        </xdr:cNvPr>
        <xdr:cNvSpPr>
          <a:spLocks noChangeArrowheads="1"/>
        </xdr:cNvSpPr>
      </xdr:nvSpPr>
      <xdr:spPr bwMode="auto">
        <a:xfrm>
          <a:off x="42672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266700</xdr:colOff>
      <xdr:row>49</xdr:row>
      <xdr:rowOff>142875</xdr:rowOff>
    </xdr:from>
    <xdr:to>
      <xdr:col>49</xdr:col>
      <xdr:colOff>57150</xdr:colOff>
      <xdr:row>49</xdr:row>
      <xdr:rowOff>142875</xdr:rowOff>
    </xdr:to>
    <xdr:sp macro="" textlink="">
      <xdr:nvSpPr>
        <xdr:cNvPr id="785127" name="Rectangle 47">
          <a:extLst>
            <a:ext uri="{FF2B5EF4-FFF2-40B4-BE49-F238E27FC236}">
              <a16:creationId xmlns:a16="http://schemas.microsoft.com/office/drawing/2014/main" id="{00000000-0008-0000-0500-0000E7FA0B00}"/>
            </a:ext>
          </a:extLst>
        </xdr:cNvPr>
        <xdr:cNvSpPr>
          <a:spLocks noChangeArrowheads="1"/>
        </xdr:cNvSpPr>
      </xdr:nvSpPr>
      <xdr:spPr bwMode="auto">
        <a:xfrm>
          <a:off x="42672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50</xdr:col>
      <xdr:colOff>304800</xdr:colOff>
      <xdr:row>49</xdr:row>
      <xdr:rowOff>142875</xdr:rowOff>
    </xdr:from>
    <xdr:to>
      <xdr:col>50</xdr:col>
      <xdr:colOff>57150</xdr:colOff>
      <xdr:row>49</xdr:row>
      <xdr:rowOff>142875</xdr:rowOff>
    </xdr:to>
    <xdr:sp macro="" textlink="">
      <xdr:nvSpPr>
        <xdr:cNvPr id="785128" name="Rectangle 49">
          <a:extLst>
            <a:ext uri="{FF2B5EF4-FFF2-40B4-BE49-F238E27FC236}">
              <a16:creationId xmlns:a16="http://schemas.microsoft.com/office/drawing/2014/main" id="{00000000-0008-0000-0500-0000E8FA0B00}"/>
            </a:ext>
          </a:extLst>
        </xdr:cNvPr>
        <xdr:cNvSpPr>
          <a:spLocks noChangeArrowheads="1"/>
        </xdr:cNvSpPr>
      </xdr:nvSpPr>
      <xdr:spPr bwMode="auto">
        <a:xfrm>
          <a:off x="4324350" y="9467850"/>
          <a:ext cx="0" cy="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190500</xdr:colOff>
      <xdr:row>49</xdr:row>
      <xdr:rowOff>142875</xdr:rowOff>
    </xdr:from>
    <xdr:to>
      <xdr:col>51</xdr:col>
      <xdr:colOff>57150</xdr:colOff>
      <xdr:row>49</xdr:row>
      <xdr:rowOff>142875</xdr:rowOff>
    </xdr:to>
    <xdr:sp macro="" textlink="">
      <xdr:nvSpPr>
        <xdr:cNvPr id="785129" name="Rectangle 50">
          <a:extLst>
            <a:ext uri="{FF2B5EF4-FFF2-40B4-BE49-F238E27FC236}">
              <a16:creationId xmlns:a16="http://schemas.microsoft.com/office/drawing/2014/main" id="{00000000-0008-0000-0500-0000E9FA0B00}"/>
            </a:ext>
          </a:extLst>
        </xdr:cNvPr>
        <xdr:cNvSpPr>
          <a:spLocks noChangeArrowheads="1"/>
        </xdr:cNvSpPr>
      </xdr:nvSpPr>
      <xdr:spPr bwMode="auto">
        <a:xfrm>
          <a:off x="43815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609600</xdr:colOff>
      <xdr:row>51</xdr:row>
      <xdr:rowOff>0</xdr:rowOff>
    </xdr:from>
    <xdr:to>
      <xdr:col>51</xdr:col>
      <xdr:colOff>57150</xdr:colOff>
      <xdr:row>51</xdr:row>
      <xdr:rowOff>0</xdr:rowOff>
    </xdr:to>
    <xdr:sp macro="" textlink="">
      <xdr:nvSpPr>
        <xdr:cNvPr id="785130" name="Line 2210">
          <a:extLst>
            <a:ext uri="{FF2B5EF4-FFF2-40B4-BE49-F238E27FC236}">
              <a16:creationId xmlns:a16="http://schemas.microsoft.com/office/drawing/2014/main" id="{00000000-0008-0000-0500-0000EAFA0B00}"/>
            </a:ext>
          </a:extLst>
        </xdr:cNvPr>
        <xdr:cNvSpPr>
          <a:spLocks noChangeShapeType="1"/>
        </xdr:cNvSpPr>
      </xdr:nvSpPr>
      <xdr:spPr bwMode="auto">
        <a:xfrm>
          <a:off x="4381500" y="9648825"/>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76200</xdr:colOff>
      <xdr:row>51</xdr:row>
      <xdr:rowOff>190500</xdr:rowOff>
    </xdr:from>
    <xdr:to>
      <xdr:col>33</xdr:col>
      <xdr:colOff>123825</xdr:colOff>
      <xdr:row>53</xdr:row>
      <xdr:rowOff>190500</xdr:rowOff>
    </xdr:to>
    <xdr:sp macro="" textlink="">
      <xdr:nvSpPr>
        <xdr:cNvPr id="785131" name="Rectangle 61">
          <a:extLst>
            <a:ext uri="{FF2B5EF4-FFF2-40B4-BE49-F238E27FC236}">
              <a16:creationId xmlns:a16="http://schemas.microsoft.com/office/drawing/2014/main" id="{00000000-0008-0000-0500-0000EBFA0B00}"/>
            </a:ext>
          </a:extLst>
        </xdr:cNvPr>
        <xdr:cNvSpPr>
          <a:spLocks noChangeArrowheads="1"/>
        </xdr:cNvSpPr>
      </xdr:nvSpPr>
      <xdr:spPr bwMode="auto">
        <a:xfrm>
          <a:off x="3352800" y="983932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200025</xdr:colOff>
      <xdr:row>58</xdr:row>
      <xdr:rowOff>0</xdr:rowOff>
    </xdr:from>
    <xdr:to>
      <xdr:col>35</xdr:col>
      <xdr:colOff>257175</xdr:colOff>
      <xdr:row>60</xdr:row>
      <xdr:rowOff>9525</xdr:rowOff>
    </xdr:to>
    <xdr:sp macro="" textlink="">
      <xdr:nvSpPr>
        <xdr:cNvPr id="785132" name="Rectangle 61">
          <a:extLst>
            <a:ext uri="{FF2B5EF4-FFF2-40B4-BE49-F238E27FC236}">
              <a16:creationId xmlns:a16="http://schemas.microsoft.com/office/drawing/2014/main" id="{00000000-0008-0000-0500-0000ECFA0B00}"/>
            </a:ext>
          </a:extLst>
        </xdr:cNvPr>
        <xdr:cNvSpPr>
          <a:spLocks noChangeArrowheads="1"/>
        </xdr:cNvSpPr>
      </xdr:nvSpPr>
      <xdr:spPr bwMode="auto">
        <a:xfrm>
          <a:off x="3467100" y="10810875"/>
          <a:ext cx="0" cy="33337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58</xdr:row>
      <xdr:rowOff>0</xdr:rowOff>
    </xdr:from>
    <xdr:to>
      <xdr:col>34</xdr:col>
      <xdr:colOff>238125</xdr:colOff>
      <xdr:row>60</xdr:row>
      <xdr:rowOff>0</xdr:rowOff>
    </xdr:to>
    <xdr:sp macro="" textlink="">
      <xdr:nvSpPr>
        <xdr:cNvPr id="785133" name="Rectangle 61">
          <a:extLst>
            <a:ext uri="{FF2B5EF4-FFF2-40B4-BE49-F238E27FC236}">
              <a16:creationId xmlns:a16="http://schemas.microsoft.com/office/drawing/2014/main" id="{00000000-0008-0000-0500-0000EDFA0B00}"/>
            </a:ext>
          </a:extLst>
        </xdr:cNvPr>
        <xdr:cNvSpPr>
          <a:spLocks noChangeArrowheads="1"/>
        </xdr:cNvSpPr>
      </xdr:nvSpPr>
      <xdr:spPr bwMode="auto">
        <a:xfrm>
          <a:off x="3409950" y="108108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114300</xdr:colOff>
      <xdr:row>58</xdr:row>
      <xdr:rowOff>0</xdr:rowOff>
    </xdr:from>
    <xdr:to>
      <xdr:col>35</xdr:col>
      <xdr:colOff>161925</xdr:colOff>
      <xdr:row>60</xdr:row>
      <xdr:rowOff>0</xdr:rowOff>
    </xdr:to>
    <xdr:sp macro="" textlink="">
      <xdr:nvSpPr>
        <xdr:cNvPr id="785134" name="Rectangle 127">
          <a:extLst>
            <a:ext uri="{FF2B5EF4-FFF2-40B4-BE49-F238E27FC236}">
              <a16:creationId xmlns:a16="http://schemas.microsoft.com/office/drawing/2014/main" id="{00000000-0008-0000-0500-0000EEFA0B00}"/>
            </a:ext>
          </a:extLst>
        </xdr:cNvPr>
        <xdr:cNvSpPr>
          <a:spLocks noChangeArrowheads="1"/>
        </xdr:cNvSpPr>
      </xdr:nvSpPr>
      <xdr:spPr bwMode="auto">
        <a:xfrm>
          <a:off x="3467100" y="10810875"/>
          <a:ext cx="0" cy="323850"/>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58</xdr:row>
      <xdr:rowOff>0</xdr:rowOff>
    </xdr:from>
    <xdr:to>
      <xdr:col>33</xdr:col>
      <xdr:colOff>238125</xdr:colOff>
      <xdr:row>60</xdr:row>
      <xdr:rowOff>0</xdr:rowOff>
    </xdr:to>
    <xdr:sp macro="" textlink="">
      <xdr:nvSpPr>
        <xdr:cNvPr id="785135" name="Rectangle 61">
          <a:extLst>
            <a:ext uri="{FF2B5EF4-FFF2-40B4-BE49-F238E27FC236}">
              <a16:creationId xmlns:a16="http://schemas.microsoft.com/office/drawing/2014/main" id="{00000000-0008-0000-0500-0000EFFA0B00}"/>
            </a:ext>
          </a:extLst>
        </xdr:cNvPr>
        <xdr:cNvSpPr>
          <a:spLocks noChangeArrowheads="1"/>
        </xdr:cNvSpPr>
      </xdr:nvSpPr>
      <xdr:spPr bwMode="auto">
        <a:xfrm>
          <a:off x="3352800" y="108108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99488</xdr:colOff>
      <xdr:row>48</xdr:row>
      <xdr:rowOff>1072</xdr:rowOff>
    </xdr:from>
    <xdr:to>
      <xdr:col>49</xdr:col>
      <xdr:colOff>160447</xdr:colOff>
      <xdr:row>50</xdr:row>
      <xdr:rowOff>3338</xdr:rowOff>
    </xdr:to>
    <xdr:sp macro="" textlink="">
      <xdr:nvSpPr>
        <xdr:cNvPr id="22" name="Rectangle 59">
          <a:extLst>
            <a:ext uri="{FF2B5EF4-FFF2-40B4-BE49-F238E27FC236}">
              <a16:creationId xmlns:a16="http://schemas.microsoft.com/office/drawing/2014/main" id="{00000000-0008-0000-0500-000016000000}"/>
            </a:ext>
          </a:extLst>
        </xdr:cNvPr>
        <xdr:cNvSpPr>
          <a:spLocks noChangeArrowheads="1"/>
        </xdr:cNvSpPr>
      </xdr:nvSpPr>
      <xdr:spPr bwMode="auto">
        <a:xfrm>
          <a:off x="4271438" y="9002197"/>
          <a:ext cx="0" cy="326116"/>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99488</xdr:colOff>
      <xdr:row>48</xdr:row>
      <xdr:rowOff>1071</xdr:rowOff>
    </xdr:from>
    <xdr:to>
      <xdr:col>51</xdr:col>
      <xdr:colOff>160447</xdr:colOff>
      <xdr:row>50</xdr:row>
      <xdr:rowOff>3337</xdr:rowOff>
    </xdr:to>
    <xdr:sp macro="" textlink="">
      <xdr:nvSpPr>
        <xdr:cNvPr id="23" name="Rectangle 59">
          <a:extLst>
            <a:ext uri="{FF2B5EF4-FFF2-40B4-BE49-F238E27FC236}">
              <a16:creationId xmlns:a16="http://schemas.microsoft.com/office/drawing/2014/main" id="{00000000-0008-0000-0500-000017000000}"/>
            </a:ext>
          </a:extLst>
        </xdr:cNvPr>
        <xdr:cNvSpPr>
          <a:spLocks noChangeArrowheads="1"/>
        </xdr:cNvSpPr>
      </xdr:nvSpPr>
      <xdr:spPr bwMode="auto">
        <a:xfrm>
          <a:off x="4385738" y="9002196"/>
          <a:ext cx="0" cy="326116"/>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192619</xdr:colOff>
      <xdr:row>48</xdr:row>
      <xdr:rowOff>1065</xdr:rowOff>
    </xdr:from>
    <xdr:to>
      <xdr:col>51</xdr:col>
      <xdr:colOff>253578</xdr:colOff>
      <xdr:row>50</xdr:row>
      <xdr:rowOff>3331</xdr:rowOff>
    </xdr:to>
    <xdr:sp macro="" textlink="">
      <xdr:nvSpPr>
        <xdr:cNvPr id="24" name="Rectangle 59">
          <a:extLst>
            <a:ext uri="{FF2B5EF4-FFF2-40B4-BE49-F238E27FC236}">
              <a16:creationId xmlns:a16="http://schemas.microsoft.com/office/drawing/2014/main" id="{00000000-0008-0000-0500-000018000000}"/>
            </a:ext>
          </a:extLst>
        </xdr:cNvPr>
        <xdr:cNvSpPr>
          <a:spLocks noChangeArrowheads="1"/>
        </xdr:cNvSpPr>
      </xdr:nvSpPr>
      <xdr:spPr bwMode="auto">
        <a:xfrm>
          <a:off x="4383619" y="9002190"/>
          <a:ext cx="0" cy="326116"/>
        </a:xfrm>
        <a:prstGeom prst="rect">
          <a:avLst/>
        </a:prstGeom>
        <a:solidFill>
          <a:srgbClr val="FF0000"/>
        </a:solidFill>
        <a:ln w="9525">
          <a:noFill/>
          <a:miter lim="800000"/>
          <a:headEnd/>
          <a:tailEnd/>
        </a:ln>
      </xdr:spPr>
      <xdr:txBody>
        <a:bodyPr vertOverflow="clip" wrap="square" lIns="27432" tIns="22860" rIns="0" bIns="0" anchor="t" upright="1"/>
        <a:lstStyle/>
        <a:p>
          <a:pPr algn="l" rtl="1">
            <a:defRPr sz="1000"/>
          </a:pPr>
          <a:r>
            <a:rPr lang="es-AR" sz="1000" b="0" i="0" strike="noStrike">
              <a:solidFill>
                <a:srgbClr val="00FF00"/>
              </a:solidFill>
              <a:latin typeface="Arial"/>
              <a:cs typeface="Arial"/>
            </a:rPr>
            <a:t> </a:t>
          </a:r>
        </a:p>
      </xdr:txBody>
    </xdr:sp>
    <xdr:clientData/>
  </xdr:twoCellAnchor>
  <xdr:twoCellAnchor>
    <xdr:from>
      <xdr:col>51</xdr:col>
      <xdr:colOff>619125</xdr:colOff>
      <xdr:row>51</xdr:row>
      <xdr:rowOff>0</xdr:rowOff>
    </xdr:from>
    <xdr:to>
      <xdr:col>51</xdr:col>
      <xdr:colOff>57150</xdr:colOff>
      <xdr:row>51</xdr:row>
      <xdr:rowOff>0</xdr:rowOff>
    </xdr:to>
    <xdr:sp macro="" textlink="">
      <xdr:nvSpPr>
        <xdr:cNvPr id="785139" name="Line 2210">
          <a:extLst>
            <a:ext uri="{FF2B5EF4-FFF2-40B4-BE49-F238E27FC236}">
              <a16:creationId xmlns:a16="http://schemas.microsoft.com/office/drawing/2014/main" id="{00000000-0008-0000-0500-0000F3FA0B00}"/>
            </a:ext>
          </a:extLst>
        </xdr:cNvPr>
        <xdr:cNvSpPr>
          <a:spLocks noChangeShapeType="1"/>
        </xdr:cNvSpPr>
      </xdr:nvSpPr>
      <xdr:spPr bwMode="auto">
        <a:xfrm>
          <a:off x="4381500" y="9648825"/>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85725</xdr:colOff>
      <xdr:row>49</xdr:row>
      <xdr:rowOff>190500</xdr:rowOff>
    </xdr:from>
    <xdr:to>
      <xdr:col>33</xdr:col>
      <xdr:colOff>142875</xdr:colOff>
      <xdr:row>51</xdr:row>
      <xdr:rowOff>190500</xdr:rowOff>
    </xdr:to>
    <xdr:sp macro="" textlink="">
      <xdr:nvSpPr>
        <xdr:cNvPr id="785140" name="Rectangle 61">
          <a:extLst>
            <a:ext uri="{FF2B5EF4-FFF2-40B4-BE49-F238E27FC236}">
              <a16:creationId xmlns:a16="http://schemas.microsoft.com/office/drawing/2014/main" id="{00000000-0008-0000-0500-0000F4FA0B00}"/>
            </a:ext>
          </a:extLst>
        </xdr:cNvPr>
        <xdr:cNvSpPr>
          <a:spLocks noChangeArrowheads="1"/>
        </xdr:cNvSpPr>
      </xdr:nvSpPr>
      <xdr:spPr bwMode="auto">
        <a:xfrm>
          <a:off x="33528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66675</xdr:colOff>
      <xdr:row>49</xdr:row>
      <xdr:rowOff>190500</xdr:rowOff>
    </xdr:from>
    <xdr:to>
      <xdr:col>34</xdr:col>
      <xdr:colOff>180975</xdr:colOff>
      <xdr:row>52</xdr:row>
      <xdr:rowOff>0</xdr:rowOff>
    </xdr:to>
    <xdr:sp macro="" textlink="">
      <xdr:nvSpPr>
        <xdr:cNvPr id="785141" name="Rectangle 61">
          <a:extLst>
            <a:ext uri="{FF2B5EF4-FFF2-40B4-BE49-F238E27FC236}">
              <a16:creationId xmlns:a16="http://schemas.microsoft.com/office/drawing/2014/main" id="{00000000-0008-0000-0500-0000F5FA0B00}"/>
            </a:ext>
          </a:extLst>
        </xdr:cNvPr>
        <xdr:cNvSpPr>
          <a:spLocks noChangeArrowheads="1"/>
        </xdr:cNvSpPr>
      </xdr:nvSpPr>
      <xdr:spPr bwMode="auto">
        <a:xfrm>
          <a:off x="340995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228600</xdr:colOff>
      <xdr:row>50</xdr:row>
      <xdr:rowOff>0</xdr:rowOff>
    </xdr:from>
    <xdr:to>
      <xdr:col>5</xdr:col>
      <xdr:colOff>276225</xdr:colOff>
      <xdr:row>52</xdr:row>
      <xdr:rowOff>9525</xdr:rowOff>
    </xdr:to>
    <xdr:sp macro="" textlink="">
      <xdr:nvSpPr>
        <xdr:cNvPr id="785142" name="Rectangle 61">
          <a:extLst>
            <a:ext uri="{FF2B5EF4-FFF2-40B4-BE49-F238E27FC236}">
              <a16:creationId xmlns:a16="http://schemas.microsoft.com/office/drawing/2014/main" id="{00000000-0008-0000-0500-0000F6FA0B00}"/>
            </a:ext>
          </a:extLst>
        </xdr:cNvPr>
        <xdr:cNvSpPr>
          <a:spLocks noChangeArrowheads="1"/>
        </xdr:cNvSpPr>
      </xdr:nvSpPr>
      <xdr:spPr bwMode="auto">
        <a:xfrm>
          <a:off x="1752600" y="9515475"/>
          <a:ext cx="0" cy="33337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123825</xdr:colOff>
      <xdr:row>49</xdr:row>
      <xdr:rowOff>190500</xdr:rowOff>
    </xdr:from>
    <xdr:to>
      <xdr:col>49</xdr:col>
      <xdr:colOff>200025</xdr:colOff>
      <xdr:row>52</xdr:row>
      <xdr:rowOff>0</xdr:rowOff>
    </xdr:to>
    <xdr:sp macro="" textlink="">
      <xdr:nvSpPr>
        <xdr:cNvPr id="785143" name="Rectangle 61">
          <a:extLst>
            <a:ext uri="{FF2B5EF4-FFF2-40B4-BE49-F238E27FC236}">
              <a16:creationId xmlns:a16="http://schemas.microsoft.com/office/drawing/2014/main" id="{00000000-0008-0000-0500-0000F7FA0B00}"/>
            </a:ext>
          </a:extLst>
        </xdr:cNvPr>
        <xdr:cNvSpPr>
          <a:spLocks noChangeArrowheads="1"/>
        </xdr:cNvSpPr>
      </xdr:nvSpPr>
      <xdr:spPr bwMode="auto">
        <a:xfrm>
          <a:off x="42672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190500</xdr:rowOff>
    </xdr:from>
    <xdr:to>
      <xdr:col>35</xdr:col>
      <xdr:colOff>352425</xdr:colOff>
      <xdr:row>52</xdr:row>
      <xdr:rowOff>0</xdr:rowOff>
    </xdr:to>
    <xdr:sp macro="" textlink="">
      <xdr:nvSpPr>
        <xdr:cNvPr id="785144" name="Rectangle 61">
          <a:extLst>
            <a:ext uri="{FF2B5EF4-FFF2-40B4-BE49-F238E27FC236}">
              <a16:creationId xmlns:a16="http://schemas.microsoft.com/office/drawing/2014/main" id="{00000000-0008-0000-0500-0000F8FA0B00}"/>
            </a:ext>
          </a:extLst>
        </xdr:cNvPr>
        <xdr:cNvSpPr>
          <a:spLocks noChangeArrowheads="1"/>
        </xdr:cNvSpPr>
      </xdr:nvSpPr>
      <xdr:spPr bwMode="auto">
        <a:xfrm>
          <a:off x="34671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219075</xdr:colOff>
      <xdr:row>49</xdr:row>
      <xdr:rowOff>190500</xdr:rowOff>
    </xdr:from>
    <xdr:to>
      <xdr:col>33</xdr:col>
      <xdr:colOff>266700</xdr:colOff>
      <xdr:row>51</xdr:row>
      <xdr:rowOff>190500</xdr:rowOff>
    </xdr:to>
    <xdr:sp macro="" textlink="">
      <xdr:nvSpPr>
        <xdr:cNvPr id="785145" name="Rectangle 61">
          <a:extLst>
            <a:ext uri="{FF2B5EF4-FFF2-40B4-BE49-F238E27FC236}">
              <a16:creationId xmlns:a16="http://schemas.microsoft.com/office/drawing/2014/main" id="{00000000-0008-0000-0500-0000F9FA0B00}"/>
            </a:ext>
          </a:extLst>
        </xdr:cNvPr>
        <xdr:cNvSpPr>
          <a:spLocks noChangeArrowheads="1"/>
        </xdr:cNvSpPr>
      </xdr:nvSpPr>
      <xdr:spPr bwMode="auto">
        <a:xfrm>
          <a:off x="33528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55</xdr:col>
      <xdr:colOff>0</xdr:colOff>
      <xdr:row>44</xdr:row>
      <xdr:rowOff>1034</xdr:rowOff>
    </xdr:from>
    <xdr:to>
      <xdr:col>55</xdr:col>
      <xdr:colOff>0</xdr:colOff>
      <xdr:row>46</xdr:row>
      <xdr:rowOff>3300</xdr:rowOff>
    </xdr:to>
    <xdr:sp macro="" textlink="">
      <xdr:nvSpPr>
        <xdr:cNvPr id="32" name="Rectangle 59">
          <a:extLst>
            <a:ext uri="{FF2B5EF4-FFF2-40B4-BE49-F238E27FC236}">
              <a16:creationId xmlns:a16="http://schemas.microsoft.com/office/drawing/2014/main" id="{00000000-0008-0000-0500-000020000000}"/>
            </a:ext>
          </a:extLst>
        </xdr:cNvPr>
        <xdr:cNvSpPr>
          <a:spLocks noChangeArrowheads="1"/>
        </xdr:cNvSpPr>
      </xdr:nvSpPr>
      <xdr:spPr bwMode="auto">
        <a:xfrm>
          <a:off x="4552950" y="8354459"/>
          <a:ext cx="0" cy="326116"/>
        </a:xfrm>
        <a:prstGeom prst="rect">
          <a:avLst/>
        </a:prstGeom>
        <a:solidFill>
          <a:srgbClr val="FF0000"/>
        </a:solidFill>
        <a:ln w="9525">
          <a:noFill/>
          <a:miter lim="800000"/>
          <a:headEnd/>
          <a:tailEnd/>
        </a:ln>
      </xdr:spPr>
      <xdr:txBody>
        <a:bodyPr vertOverflow="clip" wrap="square" lIns="27432" tIns="22860" rIns="0" bIns="0" anchor="t" upright="1"/>
        <a:lstStyle/>
        <a:p>
          <a:pPr algn="l" rtl="1">
            <a:defRPr sz="1000"/>
          </a:pPr>
          <a:r>
            <a:rPr lang="es-AR" sz="1000" b="0" i="0" strike="noStrike">
              <a:solidFill>
                <a:srgbClr val="00FF00"/>
              </a:solidFill>
              <a:latin typeface="Arial"/>
              <a:cs typeface="Arial"/>
            </a:rPr>
            <a:t> </a:t>
          </a:r>
        </a:p>
      </xdr:txBody>
    </xdr:sp>
    <xdr:clientData/>
  </xdr:twoCellAnchor>
  <xdr:twoCellAnchor>
    <xdr:from>
      <xdr:col>50</xdr:col>
      <xdr:colOff>200025</xdr:colOff>
      <xdr:row>50</xdr:row>
      <xdr:rowOff>0</xdr:rowOff>
    </xdr:from>
    <xdr:to>
      <xdr:col>50</xdr:col>
      <xdr:colOff>276225</xdr:colOff>
      <xdr:row>52</xdr:row>
      <xdr:rowOff>0</xdr:rowOff>
    </xdr:to>
    <xdr:sp macro="" textlink="">
      <xdr:nvSpPr>
        <xdr:cNvPr id="785147" name="Rectangle 61">
          <a:extLst>
            <a:ext uri="{FF2B5EF4-FFF2-40B4-BE49-F238E27FC236}">
              <a16:creationId xmlns:a16="http://schemas.microsoft.com/office/drawing/2014/main" id="{00000000-0008-0000-0500-0000FBFA0B00}"/>
            </a:ext>
          </a:extLst>
        </xdr:cNvPr>
        <xdr:cNvSpPr>
          <a:spLocks noChangeArrowheads="1"/>
        </xdr:cNvSpPr>
      </xdr:nvSpPr>
      <xdr:spPr bwMode="auto">
        <a:xfrm>
          <a:off x="432435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314325</xdr:colOff>
      <xdr:row>50</xdr:row>
      <xdr:rowOff>0</xdr:rowOff>
    </xdr:from>
    <xdr:to>
      <xdr:col>5</xdr:col>
      <xdr:colOff>371475</xdr:colOff>
      <xdr:row>52</xdr:row>
      <xdr:rowOff>0</xdr:rowOff>
    </xdr:to>
    <xdr:sp macro="" textlink="">
      <xdr:nvSpPr>
        <xdr:cNvPr id="785148" name="Rectangle 127">
          <a:extLst>
            <a:ext uri="{FF2B5EF4-FFF2-40B4-BE49-F238E27FC236}">
              <a16:creationId xmlns:a16="http://schemas.microsoft.com/office/drawing/2014/main" id="{00000000-0008-0000-0500-0000FCFA0B00}"/>
            </a:ext>
          </a:extLst>
        </xdr:cNvPr>
        <xdr:cNvSpPr>
          <a:spLocks noChangeArrowheads="1"/>
        </xdr:cNvSpPr>
      </xdr:nvSpPr>
      <xdr:spPr bwMode="auto">
        <a:xfrm>
          <a:off x="1752600" y="9515475"/>
          <a:ext cx="0" cy="323850"/>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95250</xdr:colOff>
      <xdr:row>50</xdr:row>
      <xdr:rowOff>0</xdr:rowOff>
    </xdr:from>
    <xdr:to>
      <xdr:col>5</xdr:col>
      <xdr:colOff>161925</xdr:colOff>
      <xdr:row>52</xdr:row>
      <xdr:rowOff>0</xdr:rowOff>
    </xdr:to>
    <xdr:sp macro="" textlink="">
      <xdr:nvSpPr>
        <xdr:cNvPr id="785149" name="Rectangle 127">
          <a:extLst>
            <a:ext uri="{FF2B5EF4-FFF2-40B4-BE49-F238E27FC236}">
              <a16:creationId xmlns:a16="http://schemas.microsoft.com/office/drawing/2014/main" id="{00000000-0008-0000-0500-0000FDFA0B00}"/>
            </a:ext>
          </a:extLst>
        </xdr:cNvPr>
        <xdr:cNvSpPr>
          <a:spLocks noChangeArrowheads="1"/>
        </xdr:cNvSpPr>
      </xdr:nvSpPr>
      <xdr:spPr bwMode="auto">
        <a:xfrm>
          <a:off x="1752600" y="9515475"/>
          <a:ext cx="0" cy="323850"/>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14</xdr:row>
      <xdr:rowOff>0</xdr:rowOff>
    </xdr:from>
    <xdr:to>
      <xdr:col>61</xdr:col>
      <xdr:colOff>381000</xdr:colOff>
      <xdr:row>35</xdr:row>
      <xdr:rowOff>180975</xdr:rowOff>
    </xdr:to>
    <xdr:pic>
      <xdr:nvPicPr>
        <xdr:cNvPr id="785150" name="55 Imagen">
          <a:extLst>
            <a:ext uri="{FF2B5EF4-FFF2-40B4-BE49-F238E27FC236}">
              <a16:creationId xmlns:a16="http://schemas.microsoft.com/office/drawing/2014/main" id="{00000000-0008-0000-0500-0000FEFA0B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r="8624"/>
        <a:stretch>
          <a:fillRect/>
        </a:stretch>
      </xdr:blipFill>
      <xdr:spPr bwMode="auto">
        <a:xfrm>
          <a:off x="0" y="2743200"/>
          <a:ext cx="7058025" cy="458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28614</xdr:colOff>
      <xdr:row>18</xdr:row>
      <xdr:rowOff>58200</xdr:rowOff>
    </xdr:from>
    <xdr:to>
      <xdr:col>56</xdr:col>
      <xdr:colOff>246529</xdr:colOff>
      <xdr:row>20</xdr:row>
      <xdr:rowOff>100853</xdr:rowOff>
    </xdr:to>
    <xdr:sp macro="" textlink="">
      <xdr:nvSpPr>
        <xdr:cNvPr id="37" name="36 CuadroTexto">
          <a:extLst>
            <a:ext uri="{FF2B5EF4-FFF2-40B4-BE49-F238E27FC236}">
              <a16:creationId xmlns:a16="http://schemas.microsoft.com/office/drawing/2014/main" id="{00000000-0008-0000-0500-000025000000}"/>
            </a:ext>
          </a:extLst>
        </xdr:cNvPr>
        <xdr:cNvSpPr txBox="1"/>
      </xdr:nvSpPr>
      <xdr:spPr>
        <a:xfrm>
          <a:off x="2867064" y="3449100"/>
          <a:ext cx="1932415" cy="461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FRONTERA PR 67+0700</a:t>
          </a:r>
        </a:p>
      </xdr:txBody>
    </xdr:sp>
    <xdr:clientData/>
  </xdr:twoCellAnchor>
  <xdr:twoCellAnchor>
    <xdr:from>
      <xdr:col>0</xdr:col>
      <xdr:colOff>209550</xdr:colOff>
      <xdr:row>15</xdr:row>
      <xdr:rowOff>77252</xdr:rowOff>
    </xdr:from>
    <xdr:to>
      <xdr:col>8</xdr:col>
      <xdr:colOff>34925</xdr:colOff>
      <xdr:row>17</xdr:row>
      <xdr:rowOff>24335</xdr:rowOff>
    </xdr:to>
    <xdr:sp macro="" textlink="">
      <xdr:nvSpPr>
        <xdr:cNvPr id="38" name="37 CuadroTexto">
          <a:extLst>
            <a:ext uri="{FF2B5EF4-FFF2-40B4-BE49-F238E27FC236}">
              <a16:creationId xmlns:a16="http://schemas.microsoft.com/office/drawing/2014/main" id="{00000000-0008-0000-0500-000026000000}"/>
            </a:ext>
          </a:extLst>
        </xdr:cNvPr>
        <xdr:cNvSpPr txBox="1"/>
      </xdr:nvSpPr>
      <xdr:spPr>
        <a:xfrm>
          <a:off x="209550" y="2839502"/>
          <a:ext cx="1692275" cy="3661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UNIÓN PR 49+0000</a:t>
          </a:r>
        </a:p>
      </xdr:txBody>
    </xdr:sp>
    <xdr:clientData/>
  </xdr:twoCellAnchor>
  <xdr:twoCellAnchor>
    <xdr:from>
      <xdr:col>21</xdr:col>
      <xdr:colOff>42333</xdr:colOff>
      <xdr:row>34</xdr:row>
      <xdr:rowOff>29625</xdr:rowOff>
    </xdr:from>
    <xdr:to>
      <xdr:col>53</xdr:col>
      <xdr:colOff>15875</xdr:colOff>
      <xdr:row>35</xdr:row>
      <xdr:rowOff>188375</xdr:rowOff>
    </xdr:to>
    <xdr:sp macro="" textlink="">
      <xdr:nvSpPr>
        <xdr:cNvPr id="39" name="38 CuadroTexto">
          <a:extLst>
            <a:ext uri="{FF2B5EF4-FFF2-40B4-BE49-F238E27FC236}">
              <a16:creationId xmlns:a16="http://schemas.microsoft.com/office/drawing/2014/main" id="{00000000-0008-0000-0500-000027000000}"/>
            </a:ext>
          </a:extLst>
        </xdr:cNvPr>
        <xdr:cNvSpPr txBox="1"/>
      </xdr:nvSpPr>
      <xdr:spPr>
        <a:xfrm>
          <a:off x="2652183" y="6773325"/>
          <a:ext cx="1802342" cy="368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SONSÓN PR 103+0000</a:t>
          </a:r>
        </a:p>
      </xdr:txBody>
    </xdr:sp>
    <xdr:clientData/>
  </xdr:twoCellAnchor>
  <xdr:twoCellAnchor>
    <xdr:from>
      <xdr:col>11</xdr:col>
      <xdr:colOff>9525</xdr:colOff>
      <xdr:row>20</xdr:row>
      <xdr:rowOff>94191</xdr:rowOff>
    </xdr:from>
    <xdr:to>
      <xdr:col>34</xdr:col>
      <xdr:colOff>2117</xdr:colOff>
      <xdr:row>22</xdr:row>
      <xdr:rowOff>41275</xdr:rowOff>
    </xdr:to>
    <xdr:sp macro="" textlink="">
      <xdr:nvSpPr>
        <xdr:cNvPr id="40" name="39 CuadroTexto">
          <a:extLst>
            <a:ext uri="{FF2B5EF4-FFF2-40B4-BE49-F238E27FC236}">
              <a16:creationId xmlns:a16="http://schemas.microsoft.com/office/drawing/2014/main" id="{00000000-0008-0000-0500-000028000000}"/>
            </a:ext>
          </a:extLst>
        </xdr:cNvPr>
        <xdr:cNvSpPr txBox="1"/>
      </xdr:nvSpPr>
      <xdr:spPr>
        <a:xfrm>
          <a:off x="2047875" y="3904191"/>
          <a:ext cx="1307042" cy="3661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MESOPOTAMIA</a:t>
          </a:r>
        </a:p>
      </xdr:txBody>
    </xdr:sp>
    <xdr:clientData/>
  </xdr:twoCellAnchor>
  <xdr:twoCellAnchor>
    <xdr:from>
      <xdr:col>0</xdr:col>
      <xdr:colOff>1200151</xdr:colOff>
      <xdr:row>14</xdr:row>
      <xdr:rowOff>85723</xdr:rowOff>
    </xdr:from>
    <xdr:to>
      <xdr:col>51</xdr:col>
      <xdr:colOff>9525</xdr:colOff>
      <xdr:row>34</xdr:row>
      <xdr:rowOff>180974</xdr:rowOff>
    </xdr:to>
    <xdr:sp macro="" textlink="">
      <xdr:nvSpPr>
        <xdr:cNvPr id="41" name="40 Forma libre">
          <a:extLst>
            <a:ext uri="{FF2B5EF4-FFF2-40B4-BE49-F238E27FC236}">
              <a16:creationId xmlns:a16="http://schemas.microsoft.com/office/drawing/2014/main" id="{00000000-0008-0000-0500-000029000000}"/>
            </a:ext>
          </a:extLst>
        </xdr:cNvPr>
        <xdr:cNvSpPr/>
      </xdr:nvSpPr>
      <xdr:spPr>
        <a:xfrm>
          <a:off x="1200151" y="2638423"/>
          <a:ext cx="3133724" cy="4286251"/>
        </a:xfrm>
        <a:custGeom>
          <a:avLst/>
          <a:gdLst>
            <a:gd name="connsiteX0" fmla="*/ 0 w 2984500"/>
            <a:gd name="connsiteY0" fmla="*/ 52916 h 4572000"/>
            <a:gd name="connsiteX1" fmla="*/ 359833 w 2984500"/>
            <a:gd name="connsiteY1" fmla="*/ 52916 h 4572000"/>
            <a:gd name="connsiteX2" fmla="*/ 423333 w 2984500"/>
            <a:gd name="connsiteY2" fmla="*/ 31750 h 4572000"/>
            <a:gd name="connsiteX3" fmla="*/ 455083 w 2984500"/>
            <a:gd name="connsiteY3" fmla="*/ 21166 h 4572000"/>
            <a:gd name="connsiteX4" fmla="*/ 486833 w 2984500"/>
            <a:gd name="connsiteY4" fmla="*/ 0 h 4572000"/>
            <a:gd name="connsiteX5" fmla="*/ 571500 w 2984500"/>
            <a:gd name="connsiteY5" fmla="*/ 10583 h 4572000"/>
            <a:gd name="connsiteX6" fmla="*/ 592666 w 2984500"/>
            <a:gd name="connsiteY6" fmla="*/ 42333 h 4572000"/>
            <a:gd name="connsiteX7" fmla="*/ 624416 w 2984500"/>
            <a:gd name="connsiteY7" fmla="*/ 52916 h 4572000"/>
            <a:gd name="connsiteX8" fmla="*/ 687916 w 2984500"/>
            <a:gd name="connsiteY8" fmla="*/ 95250 h 4572000"/>
            <a:gd name="connsiteX9" fmla="*/ 804333 w 2984500"/>
            <a:gd name="connsiteY9" fmla="*/ 63500 h 4572000"/>
            <a:gd name="connsiteX10" fmla="*/ 910166 w 2984500"/>
            <a:gd name="connsiteY10" fmla="*/ 74083 h 4572000"/>
            <a:gd name="connsiteX11" fmla="*/ 931333 w 2984500"/>
            <a:gd name="connsiteY11" fmla="*/ 105833 h 4572000"/>
            <a:gd name="connsiteX12" fmla="*/ 1058333 w 2984500"/>
            <a:gd name="connsiteY12" fmla="*/ 169333 h 4572000"/>
            <a:gd name="connsiteX13" fmla="*/ 1153583 w 2984500"/>
            <a:gd name="connsiteY13" fmla="*/ 201083 h 4572000"/>
            <a:gd name="connsiteX14" fmla="*/ 1185333 w 2984500"/>
            <a:gd name="connsiteY14" fmla="*/ 211666 h 4572000"/>
            <a:gd name="connsiteX15" fmla="*/ 1217083 w 2984500"/>
            <a:gd name="connsiteY15" fmla="*/ 275166 h 4572000"/>
            <a:gd name="connsiteX16" fmla="*/ 1248833 w 2984500"/>
            <a:gd name="connsiteY16" fmla="*/ 285750 h 4572000"/>
            <a:gd name="connsiteX17" fmla="*/ 1280583 w 2984500"/>
            <a:gd name="connsiteY17" fmla="*/ 306916 h 4572000"/>
            <a:gd name="connsiteX18" fmla="*/ 1291166 w 2984500"/>
            <a:gd name="connsiteY18" fmla="*/ 338666 h 4572000"/>
            <a:gd name="connsiteX19" fmla="*/ 1322916 w 2984500"/>
            <a:gd name="connsiteY19" fmla="*/ 349250 h 4572000"/>
            <a:gd name="connsiteX20" fmla="*/ 1397000 w 2984500"/>
            <a:gd name="connsiteY20" fmla="*/ 381000 h 4572000"/>
            <a:gd name="connsiteX21" fmla="*/ 1428750 w 2984500"/>
            <a:gd name="connsiteY21" fmla="*/ 444500 h 4572000"/>
            <a:gd name="connsiteX22" fmla="*/ 1439333 w 2984500"/>
            <a:gd name="connsiteY22" fmla="*/ 476250 h 4572000"/>
            <a:gd name="connsiteX23" fmla="*/ 1428750 w 2984500"/>
            <a:gd name="connsiteY23" fmla="*/ 539750 h 4572000"/>
            <a:gd name="connsiteX24" fmla="*/ 1407583 w 2984500"/>
            <a:gd name="connsiteY24" fmla="*/ 571500 h 4572000"/>
            <a:gd name="connsiteX25" fmla="*/ 1397000 w 2984500"/>
            <a:gd name="connsiteY25" fmla="*/ 603250 h 4572000"/>
            <a:gd name="connsiteX26" fmla="*/ 1386416 w 2984500"/>
            <a:gd name="connsiteY26" fmla="*/ 677333 h 4572000"/>
            <a:gd name="connsiteX27" fmla="*/ 1407583 w 2984500"/>
            <a:gd name="connsiteY27" fmla="*/ 836083 h 4572000"/>
            <a:gd name="connsiteX28" fmla="*/ 1418166 w 2984500"/>
            <a:gd name="connsiteY28" fmla="*/ 878416 h 4572000"/>
            <a:gd name="connsiteX29" fmla="*/ 1439333 w 2984500"/>
            <a:gd name="connsiteY29" fmla="*/ 941916 h 4572000"/>
            <a:gd name="connsiteX30" fmla="*/ 1449916 w 2984500"/>
            <a:gd name="connsiteY30" fmla="*/ 973666 h 4572000"/>
            <a:gd name="connsiteX31" fmla="*/ 1471083 w 2984500"/>
            <a:gd name="connsiteY31" fmla="*/ 1005416 h 4572000"/>
            <a:gd name="connsiteX32" fmla="*/ 1481666 w 2984500"/>
            <a:gd name="connsiteY32" fmla="*/ 1037166 h 4572000"/>
            <a:gd name="connsiteX33" fmla="*/ 1524000 w 2984500"/>
            <a:gd name="connsiteY33" fmla="*/ 1100666 h 4572000"/>
            <a:gd name="connsiteX34" fmla="*/ 1534583 w 2984500"/>
            <a:gd name="connsiteY34" fmla="*/ 1132416 h 4572000"/>
            <a:gd name="connsiteX35" fmla="*/ 1598083 w 2984500"/>
            <a:gd name="connsiteY35" fmla="*/ 1111250 h 4572000"/>
            <a:gd name="connsiteX36" fmla="*/ 1651000 w 2984500"/>
            <a:gd name="connsiteY36" fmla="*/ 1153583 h 4572000"/>
            <a:gd name="connsiteX37" fmla="*/ 1714500 w 2984500"/>
            <a:gd name="connsiteY37" fmla="*/ 1185333 h 4572000"/>
            <a:gd name="connsiteX38" fmla="*/ 1746250 w 2984500"/>
            <a:gd name="connsiteY38" fmla="*/ 1206500 h 4572000"/>
            <a:gd name="connsiteX39" fmla="*/ 1809750 w 2984500"/>
            <a:gd name="connsiteY39" fmla="*/ 1227666 h 4572000"/>
            <a:gd name="connsiteX40" fmla="*/ 1852083 w 2984500"/>
            <a:gd name="connsiteY40" fmla="*/ 1270000 h 4572000"/>
            <a:gd name="connsiteX41" fmla="*/ 1873250 w 2984500"/>
            <a:gd name="connsiteY41" fmla="*/ 1301750 h 4572000"/>
            <a:gd name="connsiteX42" fmla="*/ 1905000 w 2984500"/>
            <a:gd name="connsiteY42" fmla="*/ 1322916 h 4572000"/>
            <a:gd name="connsiteX43" fmla="*/ 1926166 w 2984500"/>
            <a:gd name="connsiteY43" fmla="*/ 1354666 h 4572000"/>
            <a:gd name="connsiteX44" fmla="*/ 1957916 w 2984500"/>
            <a:gd name="connsiteY44" fmla="*/ 1365250 h 4572000"/>
            <a:gd name="connsiteX45" fmla="*/ 1968500 w 2984500"/>
            <a:gd name="connsiteY45" fmla="*/ 1397000 h 4572000"/>
            <a:gd name="connsiteX46" fmla="*/ 2000250 w 2984500"/>
            <a:gd name="connsiteY46" fmla="*/ 1418166 h 4572000"/>
            <a:gd name="connsiteX47" fmla="*/ 2042583 w 2984500"/>
            <a:gd name="connsiteY47" fmla="*/ 1481666 h 4572000"/>
            <a:gd name="connsiteX48" fmla="*/ 2074333 w 2984500"/>
            <a:gd name="connsiteY48" fmla="*/ 1545166 h 4572000"/>
            <a:gd name="connsiteX49" fmla="*/ 2084916 w 2984500"/>
            <a:gd name="connsiteY49" fmla="*/ 1576916 h 4572000"/>
            <a:gd name="connsiteX50" fmla="*/ 2116666 w 2984500"/>
            <a:gd name="connsiteY50" fmla="*/ 1598083 h 4572000"/>
            <a:gd name="connsiteX51" fmla="*/ 2137833 w 2984500"/>
            <a:gd name="connsiteY51" fmla="*/ 1629833 h 4572000"/>
            <a:gd name="connsiteX52" fmla="*/ 2169583 w 2984500"/>
            <a:gd name="connsiteY52" fmla="*/ 1693333 h 4572000"/>
            <a:gd name="connsiteX53" fmla="*/ 2180166 w 2984500"/>
            <a:gd name="connsiteY53" fmla="*/ 1725083 h 4572000"/>
            <a:gd name="connsiteX54" fmla="*/ 2190750 w 2984500"/>
            <a:gd name="connsiteY54" fmla="*/ 1862666 h 4572000"/>
            <a:gd name="connsiteX55" fmla="*/ 2211916 w 2984500"/>
            <a:gd name="connsiteY55" fmla="*/ 1894416 h 4572000"/>
            <a:gd name="connsiteX56" fmla="*/ 2233083 w 2984500"/>
            <a:gd name="connsiteY56" fmla="*/ 1957916 h 4572000"/>
            <a:gd name="connsiteX57" fmla="*/ 2264833 w 2984500"/>
            <a:gd name="connsiteY57" fmla="*/ 2169583 h 4572000"/>
            <a:gd name="connsiteX58" fmla="*/ 2264833 w 2984500"/>
            <a:gd name="connsiteY58" fmla="*/ 2169583 h 4572000"/>
            <a:gd name="connsiteX59" fmla="*/ 2275416 w 2984500"/>
            <a:gd name="connsiteY59" fmla="*/ 2233083 h 4572000"/>
            <a:gd name="connsiteX60" fmla="*/ 2317750 w 2984500"/>
            <a:gd name="connsiteY60" fmla="*/ 2296583 h 4572000"/>
            <a:gd name="connsiteX61" fmla="*/ 2328333 w 2984500"/>
            <a:gd name="connsiteY61" fmla="*/ 2328333 h 4572000"/>
            <a:gd name="connsiteX62" fmla="*/ 2286000 w 2984500"/>
            <a:gd name="connsiteY62" fmla="*/ 2391833 h 4572000"/>
            <a:gd name="connsiteX63" fmla="*/ 2317750 w 2984500"/>
            <a:gd name="connsiteY63" fmla="*/ 2614083 h 4572000"/>
            <a:gd name="connsiteX64" fmla="*/ 2328333 w 2984500"/>
            <a:gd name="connsiteY64" fmla="*/ 2645833 h 4572000"/>
            <a:gd name="connsiteX65" fmla="*/ 2338916 w 2984500"/>
            <a:gd name="connsiteY65" fmla="*/ 2677583 h 4572000"/>
            <a:gd name="connsiteX66" fmla="*/ 2370666 w 2984500"/>
            <a:gd name="connsiteY66" fmla="*/ 2688166 h 4572000"/>
            <a:gd name="connsiteX67" fmla="*/ 2391833 w 2984500"/>
            <a:gd name="connsiteY67" fmla="*/ 3058583 h 4572000"/>
            <a:gd name="connsiteX68" fmla="*/ 2413000 w 2984500"/>
            <a:gd name="connsiteY68" fmla="*/ 3122083 h 4572000"/>
            <a:gd name="connsiteX69" fmla="*/ 2455333 w 2984500"/>
            <a:gd name="connsiteY69" fmla="*/ 3164416 h 4572000"/>
            <a:gd name="connsiteX70" fmla="*/ 2487083 w 2984500"/>
            <a:gd name="connsiteY70" fmla="*/ 3196166 h 4572000"/>
            <a:gd name="connsiteX71" fmla="*/ 2550583 w 2984500"/>
            <a:gd name="connsiteY71" fmla="*/ 3217333 h 4572000"/>
            <a:gd name="connsiteX72" fmla="*/ 2825750 w 2984500"/>
            <a:gd name="connsiteY72" fmla="*/ 3206750 h 4572000"/>
            <a:gd name="connsiteX73" fmla="*/ 2889250 w 2984500"/>
            <a:gd name="connsiteY73" fmla="*/ 3217333 h 4572000"/>
            <a:gd name="connsiteX74" fmla="*/ 2878666 w 2984500"/>
            <a:gd name="connsiteY74" fmla="*/ 3280833 h 4572000"/>
            <a:gd name="connsiteX75" fmla="*/ 2815166 w 2984500"/>
            <a:gd name="connsiteY75" fmla="*/ 3312583 h 4572000"/>
            <a:gd name="connsiteX76" fmla="*/ 2794000 w 2984500"/>
            <a:gd name="connsiteY76" fmla="*/ 3344333 h 4572000"/>
            <a:gd name="connsiteX77" fmla="*/ 2762250 w 2984500"/>
            <a:gd name="connsiteY77" fmla="*/ 3365500 h 4572000"/>
            <a:gd name="connsiteX78" fmla="*/ 2751666 w 2984500"/>
            <a:gd name="connsiteY78" fmla="*/ 3397250 h 4572000"/>
            <a:gd name="connsiteX79" fmla="*/ 2762250 w 2984500"/>
            <a:gd name="connsiteY79" fmla="*/ 3492500 h 4572000"/>
            <a:gd name="connsiteX80" fmla="*/ 2783416 w 2984500"/>
            <a:gd name="connsiteY80" fmla="*/ 3556000 h 4572000"/>
            <a:gd name="connsiteX81" fmla="*/ 2794000 w 2984500"/>
            <a:gd name="connsiteY81" fmla="*/ 3598333 h 4572000"/>
            <a:gd name="connsiteX82" fmla="*/ 2804583 w 2984500"/>
            <a:gd name="connsiteY82" fmla="*/ 3873500 h 4572000"/>
            <a:gd name="connsiteX83" fmla="*/ 2846916 w 2984500"/>
            <a:gd name="connsiteY83" fmla="*/ 3937000 h 4572000"/>
            <a:gd name="connsiteX84" fmla="*/ 2868083 w 2984500"/>
            <a:gd name="connsiteY84" fmla="*/ 4000500 h 4572000"/>
            <a:gd name="connsiteX85" fmla="*/ 2878666 w 2984500"/>
            <a:gd name="connsiteY85" fmla="*/ 4032250 h 4572000"/>
            <a:gd name="connsiteX86" fmla="*/ 2889250 w 2984500"/>
            <a:gd name="connsiteY86" fmla="*/ 4064000 h 4572000"/>
            <a:gd name="connsiteX87" fmla="*/ 2899833 w 2984500"/>
            <a:gd name="connsiteY87" fmla="*/ 4307416 h 4572000"/>
            <a:gd name="connsiteX88" fmla="*/ 2921000 w 2984500"/>
            <a:gd name="connsiteY88" fmla="*/ 4370916 h 4572000"/>
            <a:gd name="connsiteX89" fmla="*/ 2931583 w 2984500"/>
            <a:gd name="connsiteY89" fmla="*/ 4402666 h 4572000"/>
            <a:gd name="connsiteX90" fmla="*/ 2952750 w 2984500"/>
            <a:gd name="connsiteY90" fmla="*/ 4476750 h 4572000"/>
            <a:gd name="connsiteX91" fmla="*/ 2973916 w 2984500"/>
            <a:gd name="connsiteY91" fmla="*/ 4540250 h 4572000"/>
            <a:gd name="connsiteX92" fmla="*/ 2984500 w 2984500"/>
            <a:gd name="connsiteY92" fmla="*/ 4572000 h 457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Lst>
          <a:rect l="l" t="t" r="r" b="b"/>
          <a:pathLst>
            <a:path w="2984500" h="4572000">
              <a:moveTo>
                <a:pt x="0" y="52916"/>
              </a:moveTo>
              <a:cubicBezTo>
                <a:pt x="155374" y="64869"/>
                <a:pt x="182191" y="72654"/>
                <a:pt x="359833" y="52916"/>
              </a:cubicBezTo>
              <a:cubicBezTo>
                <a:pt x="382008" y="50452"/>
                <a:pt x="402166" y="38806"/>
                <a:pt x="423333" y="31750"/>
              </a:cubicBezTo>
              <a:cubicBezTo>
                <a:pt x="433916" y="28222"/>
                <a:pt x="445801" y="27354"/>
                <a:pt x="455083" y="21166"/>
              </a:cubicBezTo>
              <a:lnTo>
                <a:pt x="486833" y="0"/>
              </a:lnTo>
              <a:cubicBezTo>
                <a:pt x="515055" y="3528"/>
                <a:pt x="545092" y="20"/>
                <a:pt x="571500" y="10583"/>
              </a:cubicBezTo>
              <a:cubicBezTo>
                <a:pt x="583310" y="15307"/>
                <a:pt x="582734" y="34387"/>
                <a:pt x="592666" y="42333"/>
              </a:cubicBezTo>
              <a:cubicBezTo>
                <a:pt x="601377" y="49302"/>
                <a:pt x="613833" y="49388"/>
                <a:pt x="624416" y="52916"/>
              </a:cubicBezTo>
              <a:cubicBezTo>
                <a:pt x="645583" y="67027"/>
                <a:pt x="663236" y="101420"/>
                <a:pt x="687916" y="95250"/>
              </a:cubicBezTo>
              <a:cubicBezTo>
                <a:pt x="783406" y="71377"/>
                <a:pt x="744985" y="83282"/>
                <a:pt x="804333" y="63500"/>
              </a:cubicBezTo>
              <a:cubicBezTo>
                <a:pt x="839611" y="67028"/>
                <a:pt x="876532" y="62872"/>
                <a:pt x="910166" y="74083"/>
              </a:cubicBezTo>
              <a:cubicBezTo>
                <a:pt x="922233" y="78105"/>
                <a:pt x="921760" y="97457"/>
                <a:pt x="931333" y="105833"/>
              </a:cubicBezTo>
              <a:cubicBezTo>
                <a:pt x="981833" y="150020"/>
                <a:pt x="998383" y="149350"/>
                <a:pt x="1058333" y="169333"/>
              </a:cubicBezTo>
              <a:lnTo>
                <a:pt x="1153583" y="201083"/>
              </a:lnTo>
              <a:lnTo>
                <a:pt x="1185333" y="211666"/>
              </a:lnTo>
              <a:cubicBezTo>
                <a:pt x="1192305" y="232583"/>
                <a:pt x="1198431" y="260244"/>
                <a:pt x="1217083" y="275166"/>
              </a:cubicBezTo>
              <a:cubicBezTo>
                <a:pt x="1225794" y="282135"/>
                <a:pt x="1238855" y="280761"/>
                <a:pt x="1248833" y="285750"/>
              </a:cubicBezTo>
              <a:cubicBezTo>
                <a:pt x="1260210" y="291438"/>
                <a:pt x="1270000" y="299861"/>
                <a:pt x="1280583" y="306916"/>
              </a:cubicBezTo>
              <a:cubicBezTo>
                <a:pt x="1284111" y="317499"/>
                <a:pt x="1283278" y="330778"/>
                <a:pt x="1291166" y="338666"/>
              </a:cubicBezTo>
              <a:cubicBezTo>
                <a:pt x="1299054" y="346554"/>
                <a:pt x="1312938" y="344261"/>
                <a:pt x="1322916" y="349250"/>
              </a:cubicBezTo>
              <a:cubicBezTo>
                <a:pt x="1396002" y="385793"/>
                <a:pt x="1308896" y="358973"/>
                <a:pt x="1397000" y="381000"/>
              </a:cubicBezTo>
              <a:cubicBezTo>
                <a:pt x="1423601" y="460804"/>
                <a:pt x="1387718" y="362436"/>
                <a:pt x="1428750" y="444500"/>
              </a:cubicBezTo>
              <a:cubicBezTo>
                <a:pt x="1433739" y="454478"/>
                <a:pt x="1435805" y="465667"/>
                <a:pt x="1439333" y="476250"/>
              </a:cubicBezTo>
              <a:cubicBezTo>
                <a:pt x="1435805" y="497417"/>
                <a:pt x="1435536" y="519393"/>
                <a:pt x="1428750" y="539750"/>
              </a:cubicBezTo>
              <a:cubicBezTo>
                <a:pt x="1424728" y="551817"/>
                <a:pt x="1413271" y="560123"/>
                <a:pt x="1407583" y="571500"/>
              </a:cubicBezTo>
              <a:cubicBezTo>
                <a:pt x="1402594" y="581478"/>
                <a:pt x="1400528" y="592667"/>
                <a:pt x="1397000" y="603250"/>
              </a:cubicBezTo>
              <a:cubicBezTo>
                <a:pt x="1393472" y="627944"/>
                <a:pt x="1386416" y="652388"/>
                <a:pt x="1386416" y="677333"/>
              </a:cubicBezTo>
              <a:cubicBezTo>
                <a:pt x="1386416" y="820888"/>
                <a:pt x="1386590" y="762605"/>
                <a:pt x="1407583" y="836083"/>
              </a:cubicBezTo>
              <a:cubicBezTo>
                <a:pt x="1411579" y="850069"/>
                <a:pt x="1413986" y="864484"/>
                <a:pt x="1418166" y="878416"/>
              </a:cubicBezTo>
              <a:cubicBezTo>
                <a:pt x="1424577" y="899787"/>
                <a:pt x="1432277" y="920749"/>
                <a:pt x="1439333" y="941916"/>
              </a:cubicBezTo>
              <a:lnTo>
                <a:pt x="1449916" y="973666"/>
              </a:lnTo>
              <a:cubicBezTo>
                <a:pt x="1453938" y="985733"/>
                <a:pt x="1464027" y="994833"/>
                <a:pt x="1471083" y="1005416"/>
              </a:cubicBezTo>
              <a:cubicBezTo>
                <a:pt x="1474611" y="1015999"/>
                <a:pt x="1476248" y="1027414"/>
                <a:pt x="1481666" y="1037166"/>
              </a:cubicBezTo>
              <a:cubicBezTo>
                <a:pt x="1494020" y="1059404"/>
                <a:pt x="1524000" y="1100666"/>
                <a:pt x="1524000" y="1100666"/>
              </a:cubicBezTo>
              <a:cubicBezTo>
                <a:pt x="1527528" y="1111249"/>
                <a:pt x="1523539" y="1130838"/>
                <a:pt x="1534583" y="1132416"/>
              </a:cubicBezTo>
              <a:cubicBezTo>
                <a:pt x="1556670" y="1135572"/>
                <a:pt x="1598083" y="1111250"/>
                <a:pt x="1598083" y="1111250"/>
              </a:cubicBezTo>
              <a:cubicBezTo>
                <a:pt x="1659893" y="1131853"/>
                <a:pt x="1603130" y="1105713"/>
                <a:pt x="1651000" y="1153583"/>
              </a:cubicBezTo>
              <a:cubicBezTo>
                <a:pt x="1671517" y="1174100"/>
                <a:pt x="1688676" y="1176725"/>
                <a:pt x="1714500" y="1185333"/>
              </a:cubicBezTo>
              <a:cubicBezTo>
                <a:pt x="1725083" y="1192389"/>
                <a:pt x="1734627" y="1201334"/>
                <a:pt x="1746250" y="1206500"/>
              </a:cubicBezTo>
              <a:cubicBezTo>
                <a:pt x="1766639" y="1215562"/>
                <a:pt x="1809750" y="1227666"/>
                <a:pt x="1809750" y="1227666"/>
              </a:cubicBezTo>
              <a:cubicBezTo>
                <a:pt x="1832840" y="1296938"/>
                <a:pt x="1800771" y="1228950"/>
                <a:pt x="1852083" y="1270000"/>
              </a:cubicBezTo>
              <a:cubicBezTo>
                <a:pt x="1862015" y="1277946"/>
                <a:pt x="1864256" y="1292756"/>
                <a:pt x="1873250" y="1301750"/>
              </a:cubicBezTo>
              <a:cubicBezTo>
                <a:pt x="1882244" y="1310744"/>
                <a:pt x="1894417" y="1315861"/>
                <a:pt x="1905000" y="1322916"/>
              </a:cubicBezTo>
              <a:cubicBezTo>
                <a:pt x="1912055" y="1333499"/>
                <a:pt x="1916234" y="1346720"/>
                <a:pt x="1926166" y="1354666"/>
              </a:cubicBezTo>
              <a:cubicBezTo>
                <a:pt x="1934877" y="1361635"/>
                <a:pt x="1950028" y="1357362"/>
                <a:pt x="1957916" y="1365250"/>
              </a:cubicBezTo>
              <a:cubicBezTo>
                <a:pt x="1965804" y="1373138"/>
                <a:pt x="1961531" y="1388289"/>
                <a:pt x="1968500" y="1397000"/>
              </a:cubicBezTo>
              <a:cubicBezTo>
                <a:pt x="1976446" y="1406932"/>
                <a:pt x="1989667" y="1411111"/>
                <a:pt x="2000250" y="1418166"/>
              </a:cubicBezTo>
              <a:cubicBezTo>
                <a:pt x="2014361" y="1439333"/>
                <a:pt x="2034539" y="1457532"/>
                <a:pt x="2042583" y="1481666"/>
              </a:cubicBezTo>
              <a:cubicBezTo>
                <a:pt x="2057188" y="1525483"/>
                <a:pt x="2046978" y="1504134"/>
                <a:pt x="2074333" y="1545166"/>
              </a:cubicBezTo>
              <a:cubicBezTo>
                <a:pt x="2077861" y="1555749"/>
                <a:pt x="2077947" y="1568205"/>
                <a:pt x="2084916" y="1576916"/>
              </a:cubicBezTo>
              <a:cubicBezTo>
                <a:pt x="2092862" y="1586848"/>
                <a:pt x="2107672" y="1589089"/>
                <a:pt x="2116666" y="1598083"/>
              </a:cubicBezTo>
              <a:cubicBezTo>
                <a:pt x="2125660" y="1607077"/>
                <a:pt x="2130777" y="1619250"/>
                <a:pt x="2137833" y="1629833"/>
              </a:cubicBezTo>
              <a:cubicBezTo>
                <a:pt x="2164434" y="1709637"/>
                <a:pt x="2128551" y="1611269"/>
                <a:pt x="2169583" y="1693333"/>
              </a:cubicBezTo>
              <a:cubicBezTo>
                <a:pt x="2174572" y="1703311"/>
                <a:pt x="2176638" y="1714500"/>
                <a:pt x="2180166" y="1725083"/>
              </a:cubicBezTo>
              <a:cubicBezTo>
                <a:pt x="2183694" y="1770944"/>
                <a:pt x="2182273" y="1817457"/>
                <a:pt x="2190750" y="1862666"/>
              </a:cubicBezTo>
              <a:cubicBezTo>
                <a:pt x="2193094" y="1875168"/>
                <a:pt x="2206750" y="1882793"/>
                <a:pt x="2211916" y="1894416"/>
              </a:cubicBezTo>
              <a:cubicBezTo>
                <a:pt x="2220978" y="1914805"/>
                <a:pt x="2233083" y="1957916"/>
                <a:pt x="2233083" y="1957916"/>
              </a:cubicBezTo>
              <a:cubicBezTo>
                <a:pt x="2245256" y="2128338"/>
                <a:pt x="2228008" y="2059109"/>
                <a:pt x="2264833" y="2169583"/>
              </a:cubicBezTo>
              <a:lnTo>
                <a:pt x="2264833" y="2169583"/>
              </a:lnTo>
              <a:cubicBezTo>
                <a:pt x="2268361" y="2190750"/>
                <a:pt x="2267163" y="2213275"/>
                <a:pt x="2275416" y="2233083"/>
              </a:cubicBezTo>
              <a:cubicBezTo>
                <a:pt x="2285200" y="2256565"/>
                <a:pt x="2317750" y="2296583"/>
                <a:pt x="2317750" y="2296583"/>
              </a:cubicBezTo>
              <a:cubicBezTo>
                <a:pt x="2321278" y="2307166"/>
                <a:pt x="2328333" y="2317177"/>
                <a:pt x="2328333" y="2328333"/>
              </a:cubicBezTo>
              <a:cubicBezTo>
                <a:pt x="2328333" y="2358966"/>
                <a:pt x="2305090" y="2372743"/>
                <a:pt x="2286000" y="2391833"/>
              </a:cubicBezTo>
              <a:cubicBezTo>
                <a:pt x="2298067" y="2572851"/>
                <a:pt x="2279812" y="2500268"/>
                <a:pt x="2317750" y="2614083"/>
              </a:cubicBezTo>
              <a:lnTo>
                <a:pt x="2328333" y="2645833"/>
              </a:lnTo>
              <a:cubicBezTo>
                <a:pt x="2331861" y="2656416"/>
                <a:pt x="2328333" y="2674055"/>
                <a:pt x="2338916" y="2677583"/>
              </a:cubicBezTo>
              <a:lnTo>
                <a:pt x="2370666" y="2688166"/>
              </a:lnTo>
              <a:cubicBezTo>
                <a:pt x="2419128" y="2833542"/>
                <a:pt x="2359038" y="2643179"/>
                <a:pt x="2391833" y="3058583"/>
              </a:cubicBezTo>
              <a:cubicBezTo>
                <a:pt x="2393589" y="3080825"/>
                <a:pt x="2405944" y="3100916"/>
                <a:pt x="2413000" y="3122083"/>
              </a:cubicBezTo>
              <a:cubicBezTo>
                <a:pt x="2427111" y="3164416"/>
                <a:pt x="2412999" y="3150305"/>
                <a:pt x="2455333" y="3164416"/>
              </a:cubicBezTo>
              <a:cubicBezTo>
                <a:pt x="2465916" y="3174999"/>
                <a:pt x="2473999" y="3188897"/>
                <a:pt x="2487083" y="3196166"/>
              </a:cubicBezTo>
              <a:cubicBezTo>
                <a:pt x="2506587" y="3207002"/>
                <a:pt x="2550583" y="3217333"/>
                <a:pt x="2550583" y="3217333"/>
              </a:cubicBezTo>
              <a:cubicBezTo>
                <a:pt x="2642305" y="3213805"/>
                <a:pt x="2733960" y="3206750"/>
                <a:pt x="2825750" y="3206750"/>
              </a:cubicBezTo>
              <a:cubicBezTo>
                <a:pt x="2847209" y="3206750"/>
                <a:pt x="2876777" y="3199871"/>
                <a:pt x="2889250" y="3217333"/>
              </a:cubicBezTo>
              <a:cubicBezTo>
                <a:pt x="2901723" y="3234795"/>
                <a:pt x="2888263" y="3261640"/>
                <a:pt x="2878666" y="3280833"/>
              </a:cubicBezTo>
              <a:cubicBezTo>
                <a:pt x="2870459" y="3297247"/>
                <a:pt x="2830194" y="3307574"/>
                <a:pt x="2815166" y="3312583"/>
              </a:cubicBezTo>
              <a:cubicBezTo>
                <a:pt x="2808111" y="3323166"/>
                <a:pt x="2802994" y="3335339"/>
                <a:pt x="2794000" y="3344333"/>
              </a:cubicBezTo>
              <a:cubicBezTo>
                <a:pt x="2785006" y="3353327"/>
                <a:pt x="2770196" y="3355568"/>
                <a:pt x="2762250" y="3365500"/>
              </a:cubicBezTo>
              <a:cubicBezTo>
                <a:pt x="2755281" y="3374211"/>
                <a:pt x="2755194" y="3386667"/>
                <a:pt x="2751666" y="3397250"/>
              </a:cubicBezTo>
              <a:cubicBezTo>
                <a:pt x="2755194" y="3429000"/>
                <a:pt x="2755985" y="3461175"/>
                <a:pt x="2762250" y="3492500"/>
              </a:cubicBezTo>
              <a:cubicBezTo>
                <a:pt x="2766626" y="3514378"/>
                <a:pt x="2776361" y="3534833"/>
                <a:pt x="2783416" y="3556000"/>
              </a:cubicBezTo>
              <a:cubicBezTo>
                <a:pt x="2788016" y="3569799"/>
                <a:pt x="2790472" y="3584222"/>
                <a:pt x="2794000" y="3598333"/>
              </a:cubicBezTo>
              <a:cubicBezTo>
                <a:pt x="2797528" y="3690055"/>
                <a:pt x="2790413" y="3782810"/>
                <a:pt x="2804583" y="3873500"/>
              </a:cubicBezTo>
              <a:cubicBezTo>
                <a:pt x="2808510" y="3898634"/>
                <a:pt x="2832805" y="3915833"/>
                <a:pt x="2846916" y="3937000"/>
              </a:cubicBezTo>
              <a:cubicBezTo>
                <a:pt x="2859292" y="3955564"/>
                <a:pt x="2861027" y="3979333"/>
                <a:pt x="2868083" y="4000500"/>
              </a:cubicBezTo>
              <a:lnTo>
                <a:pt x="2878666" y="4032250"/>
              </a:lnTo>
              <a:lnTo>
                <a:pt x="2889250" y="4064000"/>
              </a:lnTo>
              <a:cubicBezTo>
                <a:pt x="2892778" y="4145139"/>
                <a:pt x="2891476" y="4226632"/>
                <a:pt x="2899833" y="4307416"/>
              </a:cubicBezTo>
              <a:cubicBezTo>
                <a:pt x="2902129" y="4329609"/>
                <a:pt x="2913944" y="4349749"/>
                <a:pt x="2921000" y="4370916"/>
              </a:cubicBezTo>
              <a:lnTo>
                <a:pt x="2931583" y="4402666"/>
              </a:lnTo>
              <a:cubicBezTo>
                <a:pt x="2967149" y="4509367"/>
                <a:pt x="2912883" y="4343860"/>
                <a:pt x="2952750" y="4476750"/>
              </a:cubicBezTo>
              <a:cubicBezTo>
                <a:pt x="2959161" y="4498121"/>
                <a:pt x="2966860" y="4519083"/>
                <a:pt x="2973916" y="4540250"/>
              </a:cubicBezTo>
              <a:lnTo>
                <a:pt x="2984500" y="4572000"/>
              </a:lnTo>
            </a:path>
          </a:pathLst>
        </a:custGeom>
        <a:ln w="3492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24</xdr:col>
      <xdr:colOff>14288</xdr:colOff>
      <xdr:row>19</xdr:row>
      <xdr:rowOff>61913</xdr:rowOff>
    </xdr:from>
    <xdr:to>
      <xdr:col>27</xdr:col>
      <xdr:colOff>20108</xdr:colOff>
      <xdr:row>19</xdr:row>
      <xdr:rowOff>206373</xdr:rowOff>
    </xdr:to>
    <xdr:sp macro="" textlink="">
      <xdr:nvSpPr>
        <xdr:cNvPr id="42" name="41 Explosión 1">
          <a:extLst>
            <a:ext uri="{FF2B5EF4-FFF2-40B4-BE49-F238E27FC236}">
              <a16:creationId xmlns:a16="http://schemas.microsoft.com/office/drawing/2014/main" id="{00000000-0008-0000-0500-00002A000000}"/>
            </a:ext>
          </a:extLst>
        </xdr:cNvPr>
        <xdr:cNvSpPr/>
      </xdr:nvSpPr>
      <xdr:spPr>
        <a:xfrm>
          <a:off x="2795588" y="3662363"/>
          <a:ext cx="177270" cy="144460"/>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0</xdr:col>
      <xdr:colOff>990588</xdr:colOff>
      <xdr:row>14</xdr:row>
      <xdr:rowOff>47625</xdr:rowOff>
    </xdr:from>
    <xdr:to>
      <xdr:col>0</xdr:col>
      <xdr:colOff>1212839</xdr:colOff>
      <xdr:row>15</xdr:row>
      <xdr:rowOff>37041</xdr:rowOff>
    </xdr:to>
    <xdr:sp macro="" textlink="">
      <xdr:nvSpPr>
        <xdr:cNvPr id="43" name="42 Explosión 1">
          <a:extLst>
            <a:ext uri="{FF2B5EF4-FFF2-40B4-BE49-F238E27FC236}">
              <a16:creationId xmlns:a16="http://schemas.microsoft.com/office/drawing/2014/main" id="{00000000-0008-0000-0500-00002B000000}"/>
            </a:ext>
          </a:extLst>
        </xdr:cNvPr>
        <xdr:cNvSpPr/>
      </xdr:nvSpPr>
      <xdr:spPr>
        <a:xfrm>
          <a:off x="990588" y="2600325"/>
          <a:ext cx="222251" cy="198966"/>
        </a:xfrm>
        <a:prstGeom prst="irregularSeal1">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22</xdr:col>
      <xdr:colOff>31668</xdr:colOff>
      <xdr:row>19</xdr:row>
      <xdr:rowOff>190461</xdr:rowOff>
    </xdr:from>
    <xdr:to>
      <xdr:col>26</xdr:col>
      <xdr:colOff>42252</xdr:colOff>
      <xdr:row>20</xdr:row>
      <xdr:rowOff>179876</xdr:rowOff>
    </xdr:to>
    <xdr:sp macro="" textlink="">
      <xdr:nvSpPr>
        <xdr:cNvPr id="44" name="43 Explosión 1">
          <a:extLst>
            <a:ext uri="{FF2B5EF4-FFF2-40B4-BE49-F238E27FC236}">
              <a16:creationId xmlns:a16="http://schemas.microsoft.com/office/drawing/2014/main" id="{00000000-0008-0000-0500-00002C000000}"/>
            </a:ext>
          </a:extLst>
        </xdr:cNvPr>
        <xdr:cNvSpPr/>
      </xdr:nvSpPr>
      <xdr:spPr>
        <a:xfrm>
          <a:off x="2698668" y="3790911"/>
          <a:ext cx="239184" cy="19896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51</xdr:col>
      <xdr:colOff>21178</xdr:colOff>
      <xdr:row>34</xdr:row>
      <xdr:rowOff>169321</xdr:rowOff>
    </xdr:from>
    <xdr:to>
      <xdr:col>55</xdr:col>
      <xdr:colOff>0</xdr:colOff>
      <xdr:row>35</xdr:row>
      <xdr:rowOff>158736</xdr:rowOff>
    </xdr:to>
    <xdr:sp macro="" textlink="">
      <xdr:nvSpPr>
        <xdr:cNvPr id="45" name="44 Explosión 1">
          <a:extLst>
            <a:ext uri="{FF2B5EF4-FFF2-40B4-BE49-F238E27FC236}">
              <a16:creationId xmlns:a16="http://schemas.microsoft.com/office/drawing/2014/main" id="{00000000-0008-0000-0500-00002D000000}"/>
            </a:ext>
          </a:extLst>
        </xdr:cNvPr>
        <xdr:cNvSpPr/>
      </xdr:nvSpPr>
      <xdr:spPr>
        <a:xfrm>
          <a:off x="4345528" y="6913021"/>
          <a:ext cx="207422" cy="198965"/>
        </a:xfrm>
        <a:prstGeom prst="irregularSeal1">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25</xdr:col>
      <xdr:colOff>21167</xdr:colOff>
      <xdr:row>19</xdr:row>
      <xdr:rowOff>158750</xdr:rowOff>
    </xdr:from>
    <xdr:to>
      <xdr:col>25</xdr:col>
      <xdr:colOff>21167</xdr:colOff>
      <xdr:row>20</xdr:row>
      <xdr:rowOff>63500</xdr:rowOff>
    </xdr:to>
    <xdr:sp macro="" textlink="">
      <xdr:nvSpPr>
        <xdr:cNvPr id="46" name="45 Forma libre">
          <a:extLst>
            <a:ext uri="{FF2B5EF4-FFF2-40B4-BE49-F238E27FC236}">
              <a16:creationId xmlns:a16="http://schemas.microsoft.com/office/drawing/2014/main" id="{00000000-0008-0000-0500-00002E000000}"/>
            </a:ext>
          </a:extLst>
        </xdr:cNvPr>
        <xdr:cNvSpPr/>
      </xdr:nvSpPr>
      <xdr:spPr>
        <a:xfrm>
          <a:off x="2859617" y="3759200"/>
          <a:ext cx="0" cy="114300"/>
        </a:xfrm>
        <a:custGeom>
          <a:avLst/>
          <a:gdLst>
            <a:gd name="connsiteX0" fmla="*/ 0 w 0"/>
            <a:gd name="connsiteY0" fmla="*/ 0 h 116417"/>
            <a:gd name="connsiteX1" fmla="*/ 0 w 0"/>
            <a:gd name="connsiteY1" fmla="*/ 116417 h 116417"/>
          </a:gdLst>
          <a:ahLst/>
          <a:cxnLst>
            <a:cxn ang="0">
              <a:pos x="connsiteX0" y="connsiteY0"/>
            </a:cxn>
            <a:cxn ang="0">
              <a:pos x="connsiteX1" y="connsiteY1"/>
            </a:cxn>
          </a:cxnLst>
          <a:rect l="l" t="t" r="r" b="b"/>
          <a:pathLst>
            <a:path h="116417">
              <a:moveTo>
                <a:pt x="0" y="0"/>
              </a:moveTo>
              <a:lnTo>
                <a:pt x="0" y="116417"/>
              </a:lnTo>
            </a:path>
          </a:pathLst>
        </a:custGeom>
        <a:ln w="2540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0</xdr:col>
      <xdr:colOff>1207111</xdr:colOff>
      <xdr:row>14</xdr:row>
      <xdr:rowOff>112169</xdr:rowOff>
    </xdr:from>
    <xdr:to>
      <xdr:col>0</xdr:col>
      <xdr:colOff>1294424</xdr:colOff>
      <xdr:row>14</xdr:row>
      <xdr:rowOff>157888</xdr:rowOff>
    </xdr:to>
    <xdr:sp macro="" textlink="">
      <xdr:nvSpPr>
        <xdr:cNvPr id="47" name="Diagrama de flujo: proceso 50">
          <a:extLst>
            <a:ext uri="{FF2B5EF4-FFF2-40B4-BE49-F238E27FC236}">
              <a16:creationId xmlns:a16="http://schemas.microsoft.com/office/drawing/2014/main" id="{00000000-0008-0000-0500-00002F000000}"/>
            </a:ext>
          </a:extLst>
        </xdr:cNvPr>
        <xdr:cNvSpPr/>
      </xdr:nvSpPr>
      <xdr:spPr>
        <a:xfrm>
          <a:off x="1207111" y="2664869"/>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1283073</xdr:colOff>
      <xdr:row>14</xdr:row>
      <xdr:rowOff>117662</xdr:rowOff>
    </xdr:from>
    <xdr:to>
      <xdr:col>0</xdr:col>
      <xdr:colOff>1370386</xdr:colOff>
      <xdr:row>14</xdr:row>
      <xdr:rowOff>163381</xdr:rowOff>
    </xdr:to>
    <xdr:sp macro="" textlink="">
      <xdr:nvSpPr>
        <xdr:cNvPr id="48" name="Diagrama de flujo: proceso 55">
          <a:extLst>
            <a:ext uri="{FF2B5EF4-FFF2-40B4-BE49-F238E27FC236}">
              <a16:creationId xmlns:a16="http://schemas.microsoft.com/office/drawing/2014/main" id="{00000000-0008-0000-0500-000030000000}"/>
            </a:ext>
          </a:extLst>
        </xdr:cNvPr>
        <xdr:cNvSpPr/>
      </xdr:nvSpPr>
      <xdr:spPr>
        <a:xfrm>
          <a:off x="1283073" y="2670362"/>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xdr:col>
      <xdr:colOff>17930</xdr:colOff>
      <xdr:row>14</xdr:row>
      <xdr:rowOff>90767</xdr:rowOff>
    </xdr:from>
    <xdr:to>
      <xdr:col>4</xdr:col>
      <xdr:colOff>49213</xdr:colOff>
      <xdr:row>14</xdr:row>
      <xdr:rowOff>136486</xdr:rowOff>
    </xdr:to>
    <xdr:sp macro="" textlink="">
      <xdr:nvSpPr>
        <xdr:cNvPr id="49" name="Diagrama de flujo: proceso 67">
          <a:extLst>
            <a:ext uri="{FF2B5EF4-FFF2-40B4-BE49-F238E27FC236}">
              <a16:creationId xmlns:a16="http://schemas.microsoft.com/office/drawing/2014/main" id="{00000000-0008-0000-0500-000031000000}"/>
            </a:ext>
          </a:extLst>
        </xdr:cNvPr>
        <xdr:cNvSpPr/>
      </xdr:nvSpPr>
      <xdr:spPr>
        <a:xfrm rot="20072796">
          <a:off x="1599080" y="264346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1374962</xdr:colOff>
      <xdr:row>14</xdr:row>
      <xdr:rowOff>119903</xdr:rowOff>
    </xdr:from>
    <xdr:to>
      <xdr:col>0</xdr:col>
      <xdr:colOff>1462275</xdr:colOff>
      <xdr:row>14</xdr:row>
      <xdr:rowOff>165622</xdr:rowOff>
    </xdr:to>
    <xdr:sp macro="" textlink="">
      <xdr:nvSpPr>
        <xdr:cNvPr id="50" name="Diagrama de flujo: proceso 68">
          <a:extLst>
            <a:ext uri="{FF2B5EF4-FFF2-40B4-BE49-F238E27FC236}">
              <a16:creationId xmlns:a16="http://schemas.microsoft.com/office/drawing/2014/main" id="{00000000-0008-0000-0500-000032000000}"/>
            </a:ext>
          </a:extLst>
        </xdr:cNvPr>
        <xdr:cNvSpPr/>
      </xdr:nvSpPr>
      <xdr:spPr>
        <a:xfrm>
          <a:off x="1374962" y="2672603"/>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xdr:col>
      <xdr:colOff>8964</xdr:colOff>
      <xdr:row>14</xdr:row>
      <xdr:rowOff>109818</xdr:rowOff>
    </xdr:from>
    <xdr:to>
      <xdr:col>3</xdr:col>
      <xdr:colOff>40248</xdr:colOff>
      <xdr:row>14</xdr:row>
      <xdr:rowOff>155537</xdr:rowOff>
    </xdr:to>
    <xdr:sp macro="" textlink="">
      <xdr:nvSpPr>
        <xdr:cNvPr id="51" name="Diagrama de flujo: proceso 69">
          <a:extLst>
            <a:ext uri="{FF2B5EF4-FFF2-40B4-BE49-F238E27FC236}">
              <a16:creationId xmlns:a16="http://schemas.microsoft.com/office/drawing/2014/main" id="{00000000-0008-0000-0500-000033000000}"/>
            </a:ext>
          </a:extLst>
        </xdr:cNvPr>
        <xdr:cNvSpPr/>
      </xdr:nvSpPr>
      <xdr:spPr>
        <a:xfrm rot="21220144">
          <a:off x="1532964" y="2662518"/>
          <a:ext cx="8843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1450041</xdr:colOff>
      <xdr:row>14</xdr:row>
      <xdr:rowOff>116541</xdr:rowOff>
    </xdr:from>
    <xdr:to>
      <xdr:col>2</xdr:col>
      <xdr:colOff>13354</xdr:colOff>
      <xdr:row>14</xdr:row>
      <xdr:rowOff>162260</xdr:rowOff>
    </xdr:to>
    <xdr:sp macro="" textlink="">
      <xdr:nvSpPr>
        <xdr:cNvPr id="52" name="Diagrama de flujo: proceso 70">
          <a:extLst>
            <a:ext uri="{FF2B5EF4-FFF2-40B4-BE49-F238E27FC236}">
              <a16:creationId xmlns:a16="http://schemas.microsoft.com/office/drawing/2014/main" id="{00000000-0008-0000-0500-000034000000}"/>
            </a:ext>
          </a:extLst>
        </xdr:cNvPr>
        <xdr:cNvSpPr/>
      </xdr:nvSpPr>
      <xdr:spPr>
        <a:xfrm>
          <a:off x="1450041" y="2669241"/>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8</xdr:col>
      <xdr:colOff>22625</xdr:colOff>
      <xdr:row>14</xdr:row>
      <xdr:rowOff>154759</xdr:rowOff>
    </xdr:from>
    <xdr:to>
      <xdr:col>9</xdr:col>
      <xdr:colOff>12314</xdr:colOff>
      <xdr:row>14</xdr:row>
      <xdr:rowOff>200478</xdr:rowOff>
    </xdr:to>
    <xdr:sp macro="" textlink="">
      <xdr:nvSpPr>
        <xdr:cNvPr id="53" name="Diagrama de flujo: proceso 71">
          <a:extLst>
            <a:ext uri="{FF2B5EF4-FFF2-40B4-BE49-F238E27FC236}">
              <a16:creationId xmlns:a16="http://schemas.microsoft.com/office/drawing/2014/main" id="{00000000-0008-0000-0500-000035000000}"/>
            </a:ext>
          </a:extLst>
        </xdr:cNvPr>
        <xdr:cNvSpPr/>
      </xdr:nvSpPr>
      <xdr:spPr>
        <a:xfrm rot="1831118">
          <a:off x="1889525" y="2707459"/>
          <a:ext cx="46839"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7</xdr:col>
      <xdr:colOff>6724</xdr:colOff>
      <xdr:row>14</xdr:row>
      <xdr:rowOff>118783</xdr:rowOff>
    </xdr:from>
    <xdr:to>
      <xdr:col>8</xdr:col>
      <xdr:colOff>38008</xdr:colOff>
      <xdr:row>14</xdr:row>
      <xdr:rowOff>164502</xdr:rowOff>
    </xdr:to>
    <xdr:sp macro="" textlink="">
      <xdr:nvSpPr>
        <xdr:cNvPr id="54" name="Diagrama de flujo: proceso 72">
          <a:extLst>
            <a:ext uri="{FF2B5EF4-FFF2-40B4-BE49-F238E27FC236}">
              <a16:creationId xmlns:a16="http://schemas.microsoft.com/office/drawing/2014/main" id="{00000000-0008-0000-0500-000036000000}"/>
            </a:ext>
          </a:extLst>
        </xdr:cNvPr>
        <xdr:cNvSpPr/>
      </xdr:nvSpPr>
      <xdr:spPr>
        <a:xfrm rot="2072008">
          <a:off x="1816474" y="2671483"/>
          <a:ext cx="8843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xdr:col>
      <xdr:colOff>52667</xdr:colOff>
      <xdr:row>14</xdr:row>
      <xdr:rowOff>80682</xdr:rowOff>
    </xdr:from>
    <xdr:to>
      <xdr:col>7</xdr:col>
      <xdr:colOff>27921</xdr:colOff>
      <xdr:row>14</xdr:row>
      <xdr:rowOff>126401</xdr:rowOff>
    </xdr:to>
    <xdr:sp macro="" textlink="">
      <xdr:nvSpPr>
        <xdr:cNvPr id="55" name="Diagrama de flujo: proceso 73">
          <a:extLst>
            <a:ext uri="{FF2B5EF4-FFF2-40B4-BE49-F238E27FC236}">
              <a16:creationId xmlns:a16="http://schemas.microsoft.com/office/drawing/2014/main" id="{00000000-0008-0000-0500-000037000000}"/>
            </a:ext>
          </a:extLst>
        </xdr:cNvPr>
        <xdr:cNvSpPr/>
      </xdr:nvSpPr>
      <xdr:spPr>
        <a:xfrm rot="1401795">
          <a:off x="1748117" y="2633382"/>
          <a:ext cx="8955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xdr:col>
      <xdr:colOff>36980</xdr:colOff>
      <xdr:row>14</xdr:row>
      <xdr:rowOff>70596</xdr:rowOff>
    </xdr:from>
    <xdr:to>
      <xdr:col>6</xdr:col>
      <xdr:colOff>12234</xdr:colOff>
      <xdr:row>14</xdr:row>
      <xdr:rowOff>116315</xdr:rowOff>
    </xdr:to>
    <xdr:sp macro="" textlink="">
      <xdr:nvSpPr>
        <xdr:cNvPr id="56" name="Diagrama de flujo: proceso 74">
          <a:extLst>
            <a:ext uri="{FF2B5EF4-FFF2-40B4-BE49-F238E27FC236}">
              <a16:creationId xmlns:a16="http://schemas.microsoft.com/office/drawing/2014/main" id="{00000000-0008-0000-0500-000038000000}"/>
            </a:ext>
          </a:extLst>
        </xdr:cNvPr>
        <xdr:cNvSpPr/>
      </xdr:nvSpPr>
      <xdr:spPr>
        <a:xfrm rot="398547">
          <a:off x="1675280" y="2623296"/>
          <a:ext cx="8955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12</xdr:col>
      <xdr:colOff>42862</xdr:colOff>
      <xdr:row>14</xdr:row>
      <xdr:rowOff>157163</xdr:rowOff>
    </xdr:from>
    <xdr:to>
      <xdr:col>14</xdr:col>
      <xdr:colOff>16995</xdr:colOff>
      <xdr:row>14</xdr:row>
      <xdr:rowOff>202882</xdr:rowOff>
    </xdr:to>
    <xdr:sp macro="" textlink="">
      <xdr:nvSpPr>
        <xdr:cNvPr id="57" name="Diagrama de flujo: proceso 75">
          <a:extLst>
            <a:ext uri="{FF2B5EF4-FFF2-40B4-BE49-F238E27FC236}">
              <a16:creationId xmlns:a16="http://schemas.microsoft.com/office/drawing/2014/main" id="{00000000-0008-0000-0500-000039000000}"/>
            </a:ext>
          </a:extLst>
        </xdr:cNvPr>
        <xdr:cNvSpPr/>
      </xdr:nvSpPr>
      <xdr:spPr>
        <a:xfrm rot="2131573">
          <a:off x="2138362" y="2709863"/>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11</xdr:col>
      <xdr:colOff>28575</xdr:colOff>
      <xdr:row>14</xdr:row>
      <xdr:rowOff>123825</xdr:rowOff>
    </xdr:from>
    <xdr:to>
      <xdr:col>13</xdr:col>
      <xdr:colOff>2708</xdr:colOff>
      <xdr:row>14</xdr:row>
      <xdr:rowOff>169544</xdr:rowOff>
    </xdr:to>
    <xdr:sp macro="" textlink="">
      <xdr:nvSpPr>
        <xdr:cNvPr id="58" name="Diagrama de flujo: proceso 76">
          <a:extLst>
            <a:ext uri="{FF2B5EF4-FFF2-40B4-BE49-F238E27FC236}">
              <a16:creationId xmlns:a16="http://schemas.microsoft.com/office/drawing/2014/main" id="{00000000-0008-0000-0500-00003A000000}"/>
            </a:ext>
          </a:extLst>
        </xdr:cNvPr>
        <xdr:cNvSpPr/>
      </xdr:nvSpPr>
      <xdr:spPr>
        <a:xfrm rot="332554">
          <a:off x="2066925" y="267652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10</xdr:col>
      <xdr:colOff>23811</xdr:colOff>
      <xdr:row>14</xdr:row>
      <xdr:rowOff>128587</xdr:rowOff>
    </xdr:from>
    <xdr:to>
      <xdr:col>11</xdr:col>
      <xdr:colOff>55094</xdr:colOff>
      <xdr:row>14</xdr:row>
      <xdr:rowOff>174306</xdr:rowOff>
    </xdr:to>
    <xdr:sp macro="" textlink="">
      <xdr:nvSpPr>
        <xdr:cNvPr id="59" name="Diagrama de flujo: proceso 77">
          <a:extLst>
            <a:ext uri="{FF2B5EF4-FFF2-40B4-BE49-F238E27FC236}">
              <a16:creationId xmlns:a16="http://schemas.microsoft.com/office/drawing/2014/main" id="{00000000-0008-0000-0500-00003B000000}"/>
            </a:ext>
          </a:extLst>
        </xdr:cNvPr>
        <xdr:cNvSpPr/>
      </xdr:nvSpPr>
      <xdr:spPr>
        <a:xfrm rot="21020120">
          <a:off x="2005011" y="268128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8</xdr:col>
      <xdr:colOff>52388</xdr:colOff>
      <xdr:row>14</xdr:row>
      <xdr:rowOff>142874</xdr:rowOff>
    </xdr:from>
    <xdr:to>
      <xdr:col>10</xdr:col>
      <xdr:colOff>26521</xdr:colOff>
      <xdr:row>14</xdr:row>
      <xdr:rowOff>188593</xdr:rowOff>
    </xdr:to>
    <xdr:sp macro="" textlink="">
      <xdr:nvSpPr>
        <xdr:cNvPr id="60" name="Diagrama de flujo: proceso 78">
          <a:extLst>
            <a:ext uri="{FF2B5EF4-FFF2-40B4-BE49-F238E27FC236}">
              <a16:creationId xmlns:a16="http://schemas.microsoft.com/office/drawing/2014/main" id="{00000000-0008-0000-0500-00003C000000}"/>
            </a:ext>
          </a:extLst>
        </xdr:cNvPr>
        <xdr:cNvSpPr/>
      </xdr:nvSpPr>
      <xdr:spPr>
        <a:xfrm rot="20922158">
          <a:off x="1919288" y="2695574"/>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18</xdr:col>
      <xdr:colOff>38098</xdr:colOff>
      <xdr:row>15</xdr:row>
      <xdr:rowOff>123825</xdr:rowOff>
    </xdr:from>
    <xdr:to>
      <xdr:col>20</xdr:col>
      <xdr:colOff>12231</xdr:colOff>
      <xdr:row>15</xdr:row>
      <xdr:rowOff>169544</xdr:rowOff>
    </xdr:to>
    <xdr:sp macro="" textlink="">
      <xdr:nvSpPr>
        <xdr:cNvPr id="61" name="Diagrama de flujo: proceso 79">
          <a:extLst>
            <a:ext uri="{FF2B5EF4-FFF2-40B4-BE49-F238E27FC236}">
              <a16:creationId xmlns:a16="http://schemas.microsoft.com/office/drawing/2014/main" id="{00000000-0008-0000-0500-00003D000000}"/>
            </a:ext>
          </a:extLst>
        </xdr:cNvPr>
        <xdr:cNvSpPr/>
      </xdr:nvSpPr>
      <xdr:spPr>
        <a:xfrm rot="1825103">
          <a:off x="2476498" y="288607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18</xdr:col>
      <xdr:colOff>7069</xdr:colOff>
      <xdr:row>15</xdr:row>
      <xdr:rowOff>69130</xdr:rowOff>
    </xdr:from>
    <xdr:to>
      <xdr:col>18</xdr:col>
      <xdr:colOff>52788</xdr:colOff>
      <xdr:row>15</xdr:row>
      <xdr:rowOff>157563</xdr:rowOff>
    </xdr:to>
    <xdr:sp macro="" textlink="">
      <xdr:nvSpPr>
        <xdr:cNvPr id="62" name="Diagrama de flujo: proceso 80">
          <a:extLst>
            <a:ext uri="{FF2B5EF4-FFF2-40B4-BE49-F238E27FC236}">
              <a16:creationId xmlns:a16="http://schemas.microsoft.com/office/drawing/2014/main" id="{00000000-0008-0000-0500-00003E000000}"/>
            </a:ext>
          </a:extLst>
        </xdr:cNvPr>
        <xdr:cNvSpPr/>
      </xdr:nvSpPr>
      <xdr:spPr>
        <a:xfrm rot="3358090">
          <a:off x="2424112" y="285273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16</xdr:col>
      <xdr:colOff>38099</xdr:colOff>
      <xdr:row>15</xdr:row>
      <xdr:rowOff>52387</xdr:rowOff>
    </xdr:from>
    <xdr:to>
      <xdr:col>18</xdr:col>
      <xdr:colOff>12232</xdr:colOff>
      <xdr:row>15</xdr:row>
      <xdr:rowOff>98106</xdr:rowOff>
    </xdr:to>
    <xdr:sp macro="" textlink="">
      <xdr:nvSpPr>
        <xdr:cNvPr id="63" name="Diagrama de flujo: proceso 81">
          <a:extLst>
            <a:ext uri="{FF2B5EF4-FFF2-40B4-BE49-F238E27FC236}">
              <a16:creationId xmlns:a16="http://schemas.microsoft.com/office/drawing/2014/main" id="{00000000-0008-0000-0500-00003F000000}"/>
            </a:ext>
          </a:extLst>
        </xdr:cNvPr>
        <xdr:cNvSpPr/>
      </xdr:nvSpPr>
      <xdr:spPr>
        <a:xfrm rot="1282939">
          <a:off x="2362199" y="281463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15</xdr:col>
      <xdr:colOff>19049</xdr:colOff>
      <xdr:row>15</xdr:row>
      <xdr:rowOff>19051</xdr:rowOff>
    </xdr:from>
    <xdr:to>
      <xdr:col>16</xdr:col>
      <xdr:colOff>50332</xdr:colOff>
      <xdr:row>15</xdr:row>
      <xdr:rowOff>64770</xdr:rowOff>
    </xdr:to>
    <xdr:sp macro="" textlink="">
      <xdr:nvSpPr>
        <xdr:cNvPr id="64" name="Diagrama de flujo: proceso 82">
          <a:extLst>
            <a:ext uri="{FF2B5EF4-FFF2-40B4-BE49-F238E27FC236}">
              <a16:creationId xmlns:a16="http://schemas.microsoft.com/office/drawing/2014/main" id="{00000000-0008-0000-0500-000040000000}"/>
            </a:ext>
          </a:extLst>
        </xdr:cNvPr>
        <xdr:cNvSpPr/>
      </xdr:nvSpPr>
      <xdr:spPr>
        <a:xfrm rot="1137682">
          <a:off x="2285999" y="2781301"/>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14</xdr:col>
      <xdr:colOff>4763</xdr:colOff>
      <xdr:row>14</xdr:row>
      <xdr:rowOff>200026</xdr:rowOff>
    </xdr:from>
    <xdr:to>
      <xdr:col>15</xdr:col>
      <xdr:colOff>36046</xdr:colOff>
      <xdr:row>15</xdr:row>
      <xdr:rowOff>36195</xdr:rowOff>
    </xdr:to>
    <xdr:sp macro="" textlink="">
      <xdr:nvSpPr>
        <xdr:cNvPr id="65" name="Diagrama de flujo: proceso 83">
          <a:extLst>
            <a:ext uri="{FF2B5EF4-FFF2-40B4-BE49-F238E27FC236}">
              <a16:creationId xmlns:a16="http://schemas.microsoft.com/office/drawing/2014/main" id="{00000000-0008-0000-0500-000041000000}"/>
            </a:ext>
          </a:extLst>
        </xdr:cNvPr>
        <xdr:cNvSpPr/>
      </xdr:nvSpPr>
      <xdr:spPr>
        <a:xfrm rot="1173135">
          <a:off x="2214563" y="2752726"/>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30882</xdr:colOff>
      <xdr:row>17</xdr:row>
      <xdr:rowOff>121520</xdr:rowOff>
    </xdr:from>
    <xdr:to>
      <xdr:col>22</xdr:col>
      <xdr:colOff>19451</xdr:colOff>
      <xdr:row>18</xdr:row>
      <xdr:rowOff>403</xdr:rowOff>
    </xdr:to>
    <xdr:sp macro="" textlink="">
      <xdr:nvSpPr>
        <xdr:cNvPr id="66" name="Diagrama de flujo: proceso 84">
          <a:extLst>
            <a:ext uri="{FF2B5EF4-FFF2-40B4-BE49-F238E27FC236}">
              <a16:creationId xmlns:a16="http://schemas.microsoft.com/office/drawing/2014/main" id="{00000000-0008-0000-0500-000042000000}"/>
            </a:ext>
          </a:extLst>
        </xdr:cNvPr>
        <xdr:cNvSpPr/>
      </xdr:nvSpPr>
      <xdr:spPr>
        <a:xfrm rot="15994209">
          <a:off x="2619375" y="332422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26121</xdr:colOff>
      <xdr:row>17</xdr:row>
      <xdr:rowOff>35793</xdr:rowOff>
    </xdr:from>
    <xdr:to>
      <xdr:col>22</xdr:col>
      <xdr:colOff>14690</xdr:colOff>
      <xdr:row>17</xdr:row>
      <xdr:rowOff>124226</xdr:rowOff>
    </xdr:to>
    <xdr:sp macro="" textlink="">
      <xdr:nvSpPr>
        <xdr:cNvPr id="67" name="Diagrama de flujo: proceso 85">
          <a:extLst>
            <a:ext uri="{FF2B5EF4-FFF2-40B4-BE49-F238E27FC236}">
              <a16:creationId xmlns:a16="http://schemas.microsoft.com/office/drawing/2014/main" id="{00000000-0008-0000-0500-000043000000}"/>
            </a:ext>
          </a:extLst>
        </xdr:cNvPr>
        <xdr:cNvSpPr/>
      </xdr:nvSpPr>
      <xdr:spPr>
        <a:xfrm rot="5619005">
          <a:off x="2614614" y="3238500"/>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49933</xdr:colOff>
      <xdr:row>16</xdr:row>
      <xdr:rowOff>173905</xdr:rowOff>
    </xdr:from>
    <xdr:to>
      <xdr:col>22</xdr:col>
      <xdr:colOff>38502</xdr:colOff>
      <xdr:row>17</xdr:row>
      <xdr:rowOff>52788</xdr:rowOff>
    </xdr:to>
    <xdr:sp macro="" textlink="">
      <xdr:nvSpPr>
        <xdr:cNvPr id="68" name="Diagrama de flujo: proceso 86">
          <a:extLst>
            <a:ext uri="{FF2B5EF4-FFF2-40B4-BE49-F238E27FC236}">
              <a16:creationId xmlns:a16="http://schemas.microsoft.com/office/drawing/2014/main" id="{00000000-0008-0000-0500-000044000000}"/>
            </a:ext>
          </a:extLst>
        </xdr:cNvPr>
        <xdr:cNvSpPr/>
      </xdr:nvSpPr>
      <xdr:spPr>
        <a:xfrm rot="7013233">
          <a:off x="2638426" y="3167062"/>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21357</xdr:colOff>
      <xdr:row>16</xdr:row>
      <xdr:rowOff>92943</xdr:rowOff>
    </xdr:from>
    <xdr:to>
      <xdr:col>23</xdr:col>
      <xdr:colOff>9926</xdr:colOff>
      <xdr:row>16</xdr:row>
      <xdr:rowOff>181376</xdr:rowOff>
    </xdr:to>
    <xdr:sp macro="" textlink="">
      <xdr:nvSpPr>
        <xdr:cNvPr id="69" name="Diagrama de flujo: proceso 87">
          <a:extLst>
            <a:ext uri="{FF2B5EF4-FFF2-40B4-BE49-F238E27FC236}">
              <a16:creationId xmlns:a16="http://schemas.microsoft.com/office/drawing/2014/main" id="{00000000-0008-0000-0500-000045000000}"/>
            </a:ext>
          </a:extLst>
        </xdr:cNvPr>
        <xdr:cNvSpPr/>
      </xdr:nvSpPr>
      <xdr:spPr>
        <a:xfrm rot="5981490">
          <a:off x="2667000" y="3086100"/>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2307</xdr:colOff>
      <xdr:row>16</xdr:row>
      <xdr:rowOff>26268</xdr:rowOff>
    </xdr:from>
    <xdr:to>
      <xdr:col>22</xdr:col>
      <xdr:colOff>48026</xdr:colOff>
      <xdr:row>16</xdr:row>
      <xdr:rowOff>114701</xdr:rowOff>
    </xdr:to>
    <xdr:sp macro="" textlink="">
      <xdr:nvSpPr>
        <xdr:cNvPr id="70" name="Diagrama de flujo: proceso 88">
          <a:extLst>
            <a:ext uri="{FF2B5EF4-FFF2-40B4-BE49-F238E27FC236}">
              <a16:creationId xmlns:a16="http://schemas.microsoft.com/office/drawing/2014/main" id="{00000000-0008-0000-0500-000046000000}"/>
            </a:ext>
          </a:extLst>
        </xdr:cNvPr>
        <xdr:cNvSpPr/>
      </xdr:nvSpPr>
      <xdr:spPr>
        <a:xfrm rot="3791227">
          <a:off x="2647950" y="301942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20</xdr:col>
      <xdr:colOff>47625</xdr:colOff>
      <xdr:row>15</xdr:row>
      <xdr:rowOff>204789</xdr:rowOff>
    </xdr:from>
    <xdr:to>
      <xdr:col>22</xdr:col>
      <xdr:colOff>21758</xdr:colOff>
      <xdr:row>16</xdr:row>
      <xdr:rowOff>40958</xdr:rowOff>
    </xdr:to>
    <xdr:sp macro="" textlink="">
      <xdr:nvSpPr>
        <xdr:cNvPr id="71" name="Diagrama de flujo: proceso 89">
          <a:extLst>
            <a:ext uri="{FF2B5EF4-FFF2-40B4-BE49-F238E27FC236}">
              <a16:creationId xmlns:a16="http://schemas.microsoft.com/office/drawing/2014/main" id="{00000000-0008-0000-0500-000047000000}"/>
            </a:ext>
          </a:extLst>
        </xdr:cNvPr>
        <xdr:cNvSpPr/>
      </xdr:nvSpPr>
      <xdr:spPr>
        <a:xfrm rot="1685804">
          <a:off x="2600325" y="2967039"/>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19</xdr:col>
      <xdr:colOff>38100</xdr:colOff>
      <xdr:row>15</xdr:row>
      <xdr:rowOff>171449</xdr:rowOff>
    </xdr:from>
    <xdr:to>
      <xdr:col>21</xdr:col>
      <xdr:colOff>12233</xdr:colOff>
      <xdr:row>16</xdr:row>
      <xdr:rowOff>7618</xdr:rowOff>
    </xdr:to>
    <xdr:sp macro="" textlink="">
      <xdr:nvSpPr>
        <xdr:cNvPr id="72" name="Diagrama de flujo: proceso 90">
          <a:extLst>
            <a:ext uri="{FF2B5EF4-FFF2-40B4-BE49-F238E27FC236}">
              <a16:creationId xmlns:a16="http://schemas.microsoft.com/office/drawing/2014/main" id="{00000000-0008-0000-0500-000048000000}"/>
            </a:ext>
          </a:extLst>
        </xdr:cNvPr>
        <xdr:cNvSpPr/>
      </xdr:nvSpPr>
      <xdr:spPr>
        <a:xfrm rot="2140543">
          <a:off x="2533650" y="2933699"/>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27</xdr:col>
      <xdr:colOff>4762</xdr:colOff>
      <xdr:row>19</xdr:row>
      <xdr:rowOff>133351</xdr:rowOff>
    </xdr:from>
    <xdr:to>
      <xdr:col>28</xdr:col>
      <xdr:colOff>36045</xdr:colOff>
      <xdr:row>19</xdr:row>
      <xdr:rowOff>179070</xdr:rowOff>
    </xdr:to>
    <xdr:sp macro="" textlink="">
      <xdr:nvSpPr>
        <xdr:cNvPr id="73" name="Diagrama de flujo: proceso 91">
          <a:extLst>
            <a:ext uri="{FF2B5EF4-FFF2-40B4-BE49-F238E27FC236}">
              <a16:creationId xmlns:a16="http://schemas.microsoft.com/office/drawing/2014/main" id="{00000000-0008-0000-0500-000049000000}"/>
            </a:ext>
          </a:extLst>
        </xdr:cNvPr>
        <xdr:cNvSpPr/>
      </xdr:nvSpPr>
      <xdr:spPr>
        <a:xfrm rot="1586846">
          <a:off x="2957512" y="3733801"/>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28</xdr:col>
      <xdr:colOff>19051</xdr:colOff>
      <xdr:row>19</xdr:row>
      <xdr:rowOff>166686</xdr:rowOff>
    </xdr:from>
    <xdr:to>
      <xdr:col>29</xdr:col>
      <xdr:colOff>50334</xdr:colOff>
      <xdr:row>20</xdr:row>
      <xdr:rowOff>2855</xdr:rowOff>
    </xdr:to>
    <xdr:sp macro="" textlink="">
      <xdr:nvSpPr>
        <xdr:cNvPr id="74" name="Diagrama de flujo: proceso 92">
          <a:extLst>
            <a:ext uri="{FF2B5EF4-FFF2-40B4-BE49-F238E27FC236}">
              <a16:creationId xmlns:a16="http://schemas.microsoft.com/office/drawing/2014/main" id="{00000000-0008-0000-0500-00004A000000}"/>
            </a:ext>
          </a:extLst>
        </xdr:cNvPr>
        <xdr:cNvSpPr/>
      </xdr:nvSpPr>
      <xdr:spPr>
        <a:xfrm rot="1078677">
          <a:off x="3028951" y="3767136"/>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23</xdr:col>
      <xdr:colOff>30882</xdr:colOff>
      <xdr:row>19</xdr:row>
      <xdr:rowOff>2456</xdr:rowOff>
    </xdr:from>
    <xdr:to>
      <xdr:col>24</xdr:col>
      <xdr:colOff>19451</xdr:colOff>
      <xdr:row>19</xdr:row>
      <xdr:rowOff>90889</xdr:rowOff>
    </xdr:to>
    <xdr:sp macro="" textlink="">
      <xdr:nvSpPr>
        <xdr:cNvPr id="75" name="Diagrama de flujo: proceso 93">
          <a:extLst>
            <a:ext uri="{FF2B5EF4-FFF2-40B4-BE49-F238E27FC236}">
              <a16:creationId xmlns:a16="http://schemas.microsoft.com/office/drawing/2014/main" id="{00000000-0008-0000-0500-00004B000000}"/>
            </a:ext>
          </a:extLst>
        </xdr:cNvPr>
        <xdr:cNvSpPr/>
      </xdr:nvSpPr>
      <xdr:spPr>
        <a:xfrm rot="2826615">
          <a:off x="2733675" y="3624263"/>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45170</xdr:colOff>
      <xdr:row>18</xdr:row>
      <xdr:rowOff>140568</xdr:rowOff>
    </xdr:from>
    <xdr:to>
      <xdr:col>23</xdr:col>
      <xdr:colOff>33739</xdr:colOff>
      <xdr:row>19</xdr:row>
      <xdr:rowOff>19451</xdr:rowOff>
    </xdr:to>
    <xdr:sp macro="" textlink="">
      <xdr:nvSpPr>
        <xdr:cNvPr id="76" name="Diagrama de flujo: proceso 94">
          <a:extLst>
            <a:ext uri="{FF2B5EF4-FFF2-40B4-BE49-F238E27FC236}">
              <a16:creationId xmlns:a16="http://schemas.microsoft.com/office/drawing/2014/main" id="{00000000-0008-0000-0500-00004C000000}"/>
            </a:ext>
          </a:extLst>
        </xdr:cNvPr>
        <xdr:cNvSpPr/>
      </xdr:nvSpPr>
      <xdr:spPr>
        <a:xfrm rot="4031437">
          <a:off x="2690813" y="355282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16596</xdr:colOff>
      <xdr:row>18</xdr:row>
      <xdr:rowOff>69132</xdr:rowOff>
    </xdr:from>
    <xdr:to>
      <xdr:col>23</xdr:col>
      <xdr:colOff>5165</xdr:colOff>
      <xdr:row>18</xdr:row>
      <xdr:rowOff>157565</xdr:rowOff>
    </xdr:to>
    <xdr:sp macro="" textlink="">
      <xdr:nvSpPr>
        <xdr:cNvPr id="77" name="Diagrama de flujo: proceso 95">
          <a:extLst>
            <a:ext uri="{FF2B5EF4-FFF2-40B4-BE49-F238E27FC236}">
              <a16:creationId xmlns:a16="http://schemas.microsoft.com/office/drawing/2014/main" id="{00000000-0008-0000-0500-00004D000000}"/>
            </a:ext>
          </a:extLst>
        </xdr:cNvPr>
        <xdr:cNvSpPr/>
      </xdr:nvSpPr>
      <xdr:spPr>
        <a:xfrm rot="4138517">
          <a:off x="2662239" y="3481389"/>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45169</xdr:colOff>
      <xdr:row>17</xdr:row>
      <xdr:rowOff>202481</xdr:rowOff>
    </xdr:from>
    <xdr:to>
      <xdr:col>22</xdr:col>
      <xdr:colOff>33738</xdr:colOff>
      <xdr:row>18</xdr:row>
      <xdr:rowOff>81364</xdr:rowOff>
    </xdr:to>
    <xdr:sp macro="" textlink="">
      <xdr:nvSpPr>
        <xdr:cNvPr id="78" name="Diagrama de flujo: proceso 96">
          <a:extLst>
            <a:ext uri="{FF2B5EF4-FFF2-40B4-BE49-F238E27FC236}">
              <a16:creationId xmlns:a16="http://schemas.microsoft.com/office/drawing/2014/main" id="{00000000-0008-0000-0500-00004E000000}"/>
            </a:ext>
          </a:extLst>
        </xdr:cNvPr>
        <xdr:cNvSpPr/>
      </xdr:nvSpPr>
      <xdr:spPr>
        <a:xfrm rot="4390399">
          <a:off x="2633662" y="3405188"/>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36</xdr:col>
      <xdr:colOff>5315</xdr:colOff>
      <xdr:row>22</xdr:row>
      <xdr:rowOff>34791</xdr:rowOff>
    </xdr:from>
    <xdr:to>
      <xdr:col>36</xdr:col>
      <xdr:colOff>51034</xdr:colOff>
      <xdr:row>22</xdr:row>
      <xdr:rowOff>121218</xdr:rowOff>
    </xdr:to>
    <xdr:sp macro="" textlink="">
      <xdr:nvSpPr>
        <xdr:cNvPr id="79" name="Diagrama de flujo: proceso 97">
          <a:extLst>
            <a:ext uri="{FF2B5EF4-FFF2-40B4-BE49-F238E27FC236}">
              <a16:creationId xmlns:a16="http://schemas.microsoft.com/office/drawing/2014/main" id="{00000000-0008-0000-0500-00004F000000}"/>
            </a:ext>
          </a:extLst>
        </xdr:cNvPr>
        <xdr:cNvSpPr/>
      </xdr:nvSpPr>
      <xdr:spPr>
        <a:xfrm rot="4859322">
          <a:off x="3452061" y="4284245"/>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35</xdr:col>
      <xdr:colOff>42411</xdr:colOff>
      <xdr:row>21</xdr:row>
      <xdr:rowOff>167139</xdr:rowOff>
    </xdr:from>
    <xdr:to>
      <xdr:col>36</xdr:col>
      <xdr:colOff>32985</xdr:colOff>
      <xdr:row>22</xdr:row>
      <xdr:rowOff>43013</xdr:rowOff>
    </xdr:to>
    <xdr:sp macro="" textlink="">
      <xdr:nvSpPr>
        <xdr:cNvPr id="80" name="Diagrama de flujo: proceso 98">
          <a:extLst>
            <a:ext uri="{FF2B5EF4-FFF2-40B4-BE49-F238E27FC236}">
              <a16:creationId xmlns:a16="http://schemas.microsoft.com/office/drawing/2014/main" id="{00000000-0008-0000-0500-000050000000}"/>
            </a:ext>
          </a:extLst>
        </xdr:cNvPr>
        <xdr:cNvSpPr/>
      </xdr:nvSpPr>
      <xdr:spPr>
        <a:xfrm rot="3732269">
          <a:off x="3433511" y="4205539"/>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34</xdr:col>
      <xdr:colOff>54443</xdr:colOff>
      <xdr:row>21</xdr:row>
      <xdr:rowOff>98959</xdr:rowOff>
    </xdr:from>
    <xdr:to>
      <xdr:col>35</xdr:col>
      <xdr:colOff>45018</xdr:colOff>
      <xdr:row>21</xdr:row>
      <xdr:rowOff>185386</xdr:rowOff>
    </xdr:to>
    <xdr:sp macro="" textlink="">
      <xdr:nvSpPr>
        <xdr:cNvPr id="81" name="Diagrama de flujo: proceso 99">
          <a:extLst>
            <a:ext uri="{FF2B5EF4-FFF2-40B4-BE49-F238E27FC236}">
              <a16:creationId xmlns:a16="http://schemas.microsoft.com/office/drawing/2014/main" id="{00000000-0008-0000-0500-000051000000}"/>
            </a:ext>
          </a:extLst>
        </xdr:cNvPr>
        <xdr:cNvSpPr/>
      </xdr:nvSpPr>
      <xdr:spPr>
        <a:xfrm rot="3868007">
          <a:off x="3387892" y="4137860"/>
          <a:ext cx="86427"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34</xdr:col>
      <xdr:colOff>1304</xdr:colOff>
      <xdr:row>21</xdr:row>
      <xdr:rowOff>25768</xdr:rowOff>
    </xdr:from>
    <xdr:to>
      <xdr:col>34</xdr:col>
      <xdr:colOff>47023</xdr:colOff>
      <xdr:row>21</xdr:row>
      <xdr:rowOff>112195</xdr:rowOff>
    </xdr:to>
    <xdr:sp macro="" textlink="">
      <xdr:nvSpPr>
        <xdr:cNvPr id="82" name="Diagrama de flujo: proceso 100">
          <a:extLst>
            <a:ext uri="{FF2B5EF4-FFF2-40B4-BE49-F238E27FC236}">
              <a16:creationId xmlns:a16="http://schemas.microsoft.com/office/drawing/2014/main" id="{00000000-0008-0000-0500-000052000000}"/>
            </a:ext>
          </a:extLst>
        </xdr:cNvPr>
        <xdr:cNvSpPr/>
      </xdr:nvSpPr>
      <xdr:spPr>
        <a:xfrm rot="3362167">
          <a:off x="3333750" y="4065672"/>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33</xdr:col>
      <xdr:colOff>8323</xdr:colOff>
      <xdr:row>20</xdr:row>
      <xdr:rowOff>163128</xdr:rowOff>
    </xdr:from>
    <xdr:to>
      <xdr:col>33</xdr:col>
      <xdr:colOff>54042</xdr:colOff>
      <xdr:row>21</xdr:row>
      <xdr:rowOff>39002</xdr:rowOff>
    </xdr:to>
    <xdr:sp macro="" textlink="">
      <xdr:nvSpPr>
        <xdr:cNvPr id="83" name="Diagrama de flujo: proceso 101">
          <a:extLst>
            <a:ext uri="{FF2B5EF4-FFF2-40B4-BE49-F238E27FC236}">
              <a16:creationId xmlns:a16="http://schemas.microsoft.com/office/drawing/2014/main" id="{00000000-0008-0000-0500-000053000000}"/>
            </a:ext>
          </a:extLst>
        </xdr:cNvPr>
        <xdr:cNvSpPr/>
      </xdr:nvSpPr>
      <xdr:spPr>
        <a:xfrm rot="3533635">
          <a:off x="3284121" y="3992980"/>
          <a:ext cx="8542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30</xdr:col>
      <xdr:colOff>29378</xdr:colOff>
      <xdr:row>20</xdr:row>
      <xdr:rowOff>13986</xdr:rowOff>
    </xdr:from>
    <xdr:to>
      <xdr:col>31</xdr:col>
      <xdr:colOff>19952</xdr:colOff>
      <xdr:row>20</xdr:row>
      <xdr:rowOff>100413</xdr:rowOff>
    </xdr:to>
    <xdr:sp macro="" textlink="">
      <xdr:nvSpPr>
        <xdr:cNvPr id="84" name="Diagrama de flujo: proceso 102">
          <a:extLst>
            <a:ext uri="{FF2B5EF4-FFF2-40B4-BE49-F238E27FC236}">
              <a16:creationId xmlns:a16="http://schemas.microsoft.com/office/drawing/2014/main" id="{00000000-0008-0000-0500-000054000000}"/>
            </a:ext>
          </a:extLst>
        </xdr:cNvPr>
        <xdr:cNvSpPr/>
      </xdr:nvSpPr>
      <xdr:spPr>
        <a:xfrm rot="2864506">
          <a:off x="3134226" y="3843338"/>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29</xdr:col>
      <xdr:colOff>29076</xdr:colOff>
      <xdr:row>20</xdr:row>
      <xdr:rowOff>9027</xdr:rowOff>
    </xdr:from>
    <xdr:to>
      <xdr:col>31</xdr:col>
      <xdr:colOff>5214</xdr:colOff>
      <xdr:row>20</xdr:row>
      <xdr:rowOff>54746</xdr:rowOff>
    </xdr:to>
    <xdr:sp macro="" textlink="">
      <xdr:nvSpPr>
        <xdr:cNvPr id="85" name="Diagrama de flujo: proceso 104">
          <a:extLst>
            <a:ext uri="{FF2B5EF4-FFF2-40B4-BE49-F238E27FC236}">
              <a16:creationId xmlns:a16="http://schemas.microsoft.com/office/drawing/2014/main" id="{00000000-0008-0000-0500-000055000000}"/>
            </a:ext>
          </a:extLst>
        </xdr:cNvPr>
        <xdr:cNvSpPr/>
      </xdr:nvSpPr>
      <xdr:spPr>
        <a:xfrm rot="2330212">
          <a:off x="3096126" y="3819027"/>
          <a:ext cx="90438"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37</xdr:col>
      <xdr:colOff>10327</xdr:colOff>
      <xdr:row>23</xdr:row>
      <xdr:rowOff>145080</xdr:rowOff>
    </xdr:from>
    <xdr:to>
      <xdr:col>38</xdr:col>
      <xdr:colOff>901</xdr:colOff>
      <xdr:row>24</xdr:row>
      <xdr:rowOff>20954</xdr:rowOff>
    </xdr:to>
    <xdr:sp macro="" textlink="">
      <xdr:nvSpPr>
        <xdr:cNvPr id="86" name="Diagrama de flujo: proceso 105">
          <a:extLst>
            <a:ext uri="{FF2B5EF4-FFF2-40B4-BE49-F238E27FC236}">
              <a16:creationId xmlns:a16="http://schemas.microsoft.com/office/drawing/2014/main" id="{00000000-0008-0000-0500-000056000000}"/>
            </a:ext>
          </a:extLst>
        </xdr:cNvPr>
        <xdr:cNvSpPr/>
      </xdr:nvSpPr>
      <xdr:spPr>
        <a:xfrm rot="4845027">
          <a:off x="3515727" y="4602580"/>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37</xdr:col>
      <xdr:colOff>2306</xdr:colOff>
      <xdr:row>23</xdr:row>
      <xdr:rowOff>61862</xdr:rowOff>
    </xdr:from>
    <xdr:to>
      <xdr:col>37</xdr:col>
      <xdr:colOff>48025</xdr:colOff>
      <xdr:row>23</xdr:row>
      <xdr:rowOff>148289</xdr:rowOff>
    </xdr:to>
    <xdr:sp macro="" textlink="">
      <xdr:nvSpPr>
        <xdr:cNvPr id="87" name="Diagrama de flujo: proceso 106">
          <a:extLst>
            <a:ext uri="{FF2B5EF4-FFF2-40B4-BE49-F238E27FC236}">
              <a16:creationId xmlns:a16="http://schemas.microsoft.com/office/drawing/2014/main" id="{00000000-0008-0000-0500-000057000000}"/>
            </a:ext>
          </a:extLst>
        </xdr:cNvPr>
        <xdr:cNvSpPr/>
      </xdr:nvSpPr>
      <xdr:spPr>
        <a:xfrm rot="5400000">
          <a:off x="3506202" y="4520866"/>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36</xdr:col>
      <xdr:colOff>39405</xdr:colOff>
      <xdr:row>22</xdr:row>
      <xdr:rowOff>189195</xdr:rowOff>
    </xdr:from>
    <xdr:to>
      <xdr:col>37</xdr:col>
      <xdr:colOff>29979</xdr:colOff>
      <xdr:row>23</xdr:row>
      <xdr:rowOff>65070</xdr:rowOff>
    </xdr:to>
    <xdr:sp macro="" textlink="">
      <xdr:nvSpPr>
        <xdr:cNvPr id="88" name="Diagrama de flujo: proceso 107">
          <a:extLst>
            <a:ext uri="{FF2B5EF4-FFF2-40B4-BE49-F238E27FC236}">
              <a16:creationId xmlns:a16="http://schemas.microsoft.com/office/drawing/2014/main" id="{00000000-0008-0000-0500-000058000000}"/>
            </a:ext>
          </a:extLst>
        </xdr:cNvPr>
        <xdr:cNvSpPr/>
      </xdr:nvSpPr>
      <xdr:spPr>
        <a:xfrm rot="4554718">
          <a:off x="3487654" y="4437146"/>
          <a:ext cx="85425"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41410</xdr:colOff>
      <xdr:row>27</xdr:row>
      <xdr:rowOff>60857</xdr:rowOff>
    </xdr:from>
    <xdr:to>
      <xdr:col>40</xdr:col>
      <xdr:colOff>31984</xdr:colOff>
      <xdr:row>27</xdr:row>
      <xdr:rowOff>147284</xdr:rowOff>
    </xdr:to>
    <xdr:sp macro="" textlink="">
      <xdr:nvSpPr>
        <xdr:cNvPr id="89" name="Diagrama de flujo: proceso 108">
          <a:extLst>
            <a:ext uri="{FF2B5EF4-FFF2-40B4-BE49-F238E27FC236}">
              <a16:creationId xmlns:a16="http://schemas.microsoft.com/office/drawing/2014/main" id="{00000000-0008-0000-0500-000059000000}"/>
            </a:ext>
          </a:extLst>
        </xdr:cNvPr>
        <xdr:cNvSpPr/>
      </xdr:nvSpPr>
      <xdr:spPr>
        <a:xfrm rot="5026887">
          <a:off x="3660608" y="5357059"/>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36</xdr:col>
      <xdr:colOff>18347</xdr:colOff>
      <xdr:row>22</xdr:row>
      <xdr:rowOff>112995</xdr:rowOff>
    </xdr:from>
    <xdr:to>
      <xdr:col>37</xdr:col>
      <xdr:colOff>8921</xdr:colOff>
      <xdr:row>22</xdr:row>
      <xdr:rowOff>199422</xdr:rowOff>
    </xdr:to>
    <xdr:sp macro="" textlink="">
      <xdr:nvSpPr>
        <xdr:cNvPr id="90" name="Diagrama de flujo: proceso 109">
          <a:extLst>
            <a:ext uri="{FF2B5EF4-FFF2-40B4-BE49-F238E27FC236}">
              <a16:creationId xmlns:a16="http://schemas.microsoft.com/office/drawing/2014/main" id="{00000000-0008-0000-0500-00005A000000}"/>
            </a:ext>
          </a:extLst>
        </xdr:cNvPr>
        <xdr:cNvSpPr/>
      </xdr:nvSpPr>
      <xdr:spPr>
        <a:xfrm rot="4423127">
          <a:off x="3466095" y="4361447"/>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301</xdr:colOff>
      <xdr:row>25</xdr:row>
      <xdr:rowOff>4714</xdr:rowOff>
    </xdr:from>
    <xdr:to>
      <xdr:col>38</xdr:col>
      <xdr:colOff>46020</xdr:colOff>
      <xdr:row>25</xdr:row>
      <xdr:rowOff>91141</xdr:rowOff>
    </xdr:to>
    <xdr:sp macro="" textlink="">
      <xdr:nvSpPr>
        <xdr:cNvPr id="91" name="Diagrama de flujo: proceso 110">
          <a:extLst>
            <a:ext uri="{FF2B5EF4-FFF2-40B4-BE49-F238E27FC236}">
              <a16:creationId xmlns:a16="http://schemas.microsoft.com/office/drawing/2014/main" id="{00000000-0008-0000-0500-00005B000000}"/>
            </a:ext>
          </a:extLst>
        </xdr:cNvPr>
        <xdr:cNvSpPr/>
      </xdr:nvSpPr>
      <xdr:spPr>
        <a:xfrm rot="15798131">
          <a:off x="3561347" y="4882818"/>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27373</xdr:colOff>
      <xdr:row>24</xdr:row>
      <xdr:rowOff>147085</xdr:rowOff>
    </xdr:from>
    <xdr:to>
      <xdr:col>39</xdr:col>
      <xdr:colOff>17948</xdr:colOff>
      <xdr:row>25</xdr:row>
      <xdr:rowOff>22960</xdr:rowOff>
    </xdr:to>
    <xdr:sp macro="" textlink="">
      <xdr:nvSpPr>
        <xdr:cNvPr id="92" name="Diagrama de flujo: proceso 111">
          <a:extLst>
            <a:ext uri="{FF2B5EF4-FFF2-40B4-BE49-F238E27FC236}">
              <a16:creationId xmlns:a16="http://schemas.microsoft.com/office/drawing/2014/main" id="{00000000-0008-0000-0500-00005C000000}"/>
            </a:ext>
          </a:extLst>
        </xdr:cNvPr>
        <xdr:cNvSpPr/>
      </xdr:nvSpPr>
      <xdr:spPr>
        <a:xfrm rot="18121146">
          <a:off x="3589923" y="4814135"/>
          <a:ext cx="85425"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37</xdr:col>
      <xdr:colOff>45146</xdr:colOff>
      <xdr:row>24</xdr:row>
      <xdr:rowOff>13736</xdr:rowOff>
    </xdr:from>
    <xdr:to>
      <xdr:col>38</xdr:col>
      <xdr:colOff>35720</xdr:colOff>
      <xdr:row>24</xdr:row>
      <xdr:rowOff>196616</xdr:rowOff>
    </xdr:to>
    <xdr:sp macro="" textlink="">
      <xdr:nvSpPr>
        <xdr:cNvPr id="93" name="Diagrama de flujo: proceso 113">
          <a:extLst>
            <a:ext uri="{FF2B5EF4-FFF2-40B4-BE49-F238E27FC236}">
              <a16:creationId xmlns:a16="http://schemas.microsoft.com/office/drawing/2014/main" id="{00000000-0008-0000-0500-00005D000000}"/>
            </a:ext>
          </a:extLst>
        </xdr:cNvPr>
        <xdr:cNvSpPr/>
      </xdr:nvSpPr>
      <xdr:spPr>
        <a:xfrm rot="4404803">
          <a:off x="3501818" y="4729514"/>
          <a:ext cx="182880"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22112</xdr:colOff>
      <xdr:row>25</xdr:row>
      <xdr:rowOff>165482</xdr:rowOff>
    </xdr:from>
    <xdr:to>
      <xdr:col>39</xdr:col>
      <xdr:colOff>12687</xdr:colOff>
      <xdr:row>26</xdr:row>
      <xdr:rowOff>10500</xdr:rowOff>
    </xdr:to>
    <xdr:sp macro="" textlink="">
      <xdr:nvSpPr>
        <xdr:cNvPr id="94" name="Diagrama de flujo: proceso 114">
          <a:extLst>
            <a:ext uri="{FF2B5EF4-FFF2-40B4-BE49-F238E27FC236}">
              <a16:creationId xmlns:a16="http://schemas.microsoft.com/office/drawing/2014/main" id="{00000000-0008-0000-0500-00005E000000}"/>
            </a:ext>
          </a:extLst>
        </xdr:cNvPr>
        <xdr:cNvSpPr/>
      </xdr:nvSpPr>
      <xdr:spPr>
        <a:xfrm rot="4669093">
          <a:off x="3600091" y="5026653"/>
          <a:ext cx="54568"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2308</xdr:colOff>
      <xdr:row>25</xdr:row>
      <xdr:rowOff>91941</xdr:rowOff>
    </xdr:from>
    <xdr:to>
      <xdr:col>38</xdr:col>
      <xdr:colOff>48027</xdr:colOff>
      <xdr:row>25</xdr:row>
      <xdr:rowOff>178368</xdr:rowOff>
    </xdr:to>
    <xdr:sp macro="" textlink="">
      <xdr:nvSpPr>
        <xdr:cNvPr id="95" name="Diagrama de flujo: proceso 115">
          <a:extLst>
            <a:ext uri="{FF2B5EF4-FFF2-40B4-BE49-F238E27FC236}">
              <a16:creationId xmlns:a16="http://schemas.microsoft.com/office/drawing/2014/main" id="{00000000-0008-0000-0500-00005F000000}"/>
            </a:ext>
          </a:extLst>
        </xdr:cNvPr>
        <xdr:cNvSpPr/>
      </xdr:nvSpPr>
      <xdr:spPr>
        <a:xfrm rot="4959554">
          <a:off x="3563354" y="4970045"/>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25367</xdr:colOff>
      <xdr:row>26</xdr:row>
      <xdr:rowOff>64871</xdr:rowOff>
    </xdr:from>
    <xdr:to>
      <xdr:col>40</xdr:col>
      <xdr:colOff>15941</xdr:colOff>
      <xdr:row>26</xdr:row>
      <xdr:rowOff>151298</xdr:rowOff>
    </xdr:to>
    <xdr:sp macro="" textlink="">
      <xdr:nvSpPr>
        <xdr:cNvPr id="96" name="Diagrama de flujo: proceso 116">
          <a:extLst>
            <a:ext uri="{FF2B5EF4-FFF2-40B4-BE49-F238E27FC236}">
              <a16:creationId xmlns:a16="http://schemas.microsoft.com/office/drawing/2014/main" id="{00000000-0008-0000-0500-000060000000}"/>
            </a:ext>
          </a:extLst>
        </xdr:cNvPr>
        <xdr:cNvSpPr/>
      </xdr:nvSpPr>
      <xdr:spPr>
        <a:xfrm rot="3152983">
          <a:off x="3644565" y="5151523"/>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42408</xdr:colOff>
      <xdr:row>26</xdr:row>
      <xdr:rowOff>1704</xdr:rowOff>
    </xdr:from>
    <xdr:to>
      <xdr:col>39</xdr:col>
      <xdr:colOff>32983</xdr:colOff>
      <xdr:row>26</xdr:row>
      <xdr:rowOff>88131</xdr:rowOff>
    </xdr:to>
    <xdr:sp macro="" textlink="">
      <xdr:nvSpPr>
        <xdr:cNvPr id="97" name="Diagrama de flujo: proceso 117">
          <a:extLst>
            <a:ext uri="{FF2B5EF4-FFF2-40B4-BE49-F238E27FC236}">
              <a16:creationId xmlns:a16="http://schemas.microsoft.com/office/drawing/2014/main" id="{00000000-0008-0000-0500-000061000000}"/>
            </a:ext>
          </a:extLst>
        </xdr:cNvPr>
        <xdr:cNvSpPr/>
      </xdr:nvSpPr>
      <xdr:spPr>
        <a:xfrm rot="4208476">
          <a:off x="3604457" y="5088355"/>
          <a:ext cx="86427"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35393</xdr:colOff>
      <xdr:row>26</xdr:row>
      <xdr:rowOff>205238</xdr:rowOff>
    </xdr:from>
    <xdr:to>
      <xdr:col>40</xdr:col>
      <xdr:colOff>25967</xdr:colOff>
      <xdr:row>27</xdr:row>
      <xdr:rowOff>81112</xdr:rowOff>
    </xdr:to>
    <xdr:sp macro="" textlink="">
      <xdr:nvSpPr>
        <xdr:cNvPr id="98" name="Diagrama de flujo: proceso 118">
          <a:extLst>
            <a:ext uri="{FF2B5EF4-FFF2-40B4-BE49-F238E27FC236}">
              <a16:creationId xmlns:a16="http://schemas.microsoft.com/office/drawing/2014/main" id="{00000000-0008-0000-0500-000062000000}"/>
            </a:ext>
          </a:extLst>
        </xdr:cNvPr>
        <xdr:cNvSpPr/>
      </xdr:nvSpPr>
      <xdr:spPr>
        <a:xfrm rot="4940861">
          <a:off x="3655093" y="5291388"/>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37398</xdr:colOff>
      <xdr:row>26</xdr:row>
      <xdr:rowOff>132046</xdr:rowOff>
    </xdr:from>
    <xdr:to>
      <xdr:col>40</xdr:col>
      <xdr:colOff>27972</xdr:colOff>
      <xdr:row>27</xdr:row>
      <xdr:rowOff>7920</xdr:rowOff>
    </xdr:to>
    <xdr:sp macro="" textlink="">
      <xdr:nvSpPr>
        <xdr:cNvPr id="99" name="Diagrama de flujo: proceso 119">
          <a:extLst>
            <a:ext uri="{FF2B5EF4-FFF2-40B4-BE49-F238E27FC236}">
              <a16:creationId xmlns:a16="http://schemas.microsoft.com/office/drawing/2014/main" id="{00000000-0008-0000-0500-000063000000}"/>
            </a:ext>
          </a:extLst>
        </xdr:cNvPr>
        <xdr:cNvSpPr/>
      </xdr:nvSpPr>
      <xdr:spPr>
        <a:xfrm rot="5592153">
          <a:off x="3657098" y="5218196"/>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27</xdr:col>
      <xdr:colOff>53916</xdr:colOff>
      <xdr:row>19</xdr:row>
      <xdr:rowOff>162833</xdr:rowOff>
    </xdr:from>
    <xdr:to>
      <xdr:col>29</xdr:col>
      <xdr:colOff>34231</xdr:colOff>
      <xdr:row>20</xdr:row>
      <xdr:rowOff>2178</xdr:rowOff>
    </xdr:to>
    <xdr:sp macro="" textlink="">
      <xdr:nvSpPr>
        <xdr:cNvPr id="100" name="Diagrama de flujo: proceso 120">
          <a:extLst>
            <a:ext uri="{FF2B5EF4-FFF2-40B4-BE49-F238E27FC236}">
              <a16:creationId xmlns:a16="http://schemas.microsoft.com/office/drawing/2014/main" id="{00000000-0008-0000-0500-000064000000}"/>
            </a:ext>
          </a:extLst>
        </xdr:cNvPr>
        <xdr:cNvSpPr/>
      </xdr:nvSpPr>
      <xdr:spPr>
        <a:xfrm rot="18606262">
          <a:off x="3029526" y="3740423"/>
          <a:ext cx="48895" cy="94615"/>
        </a:xfrm>
        <a:prstGeom prst="flowChartProces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31</xdr:col>
      <xdr:colOff>5093</xdr:colOff>
      <xdr:row>20</xdr:row>
      <xdr:rowOff>130233</xdr:rowOff>
    </xdr:from>
    <xdr:to>
      <xdr:col>34</xdr:col>
      <xdr:colOff>21286</xdr:colOff>
      <xdr:row>20</xdr:row>
      <xdr:rowOff>180646</xdr:rowOff>
    </xdr:to>
    <xdr:sp macro="" textlink="">
      <xdr:nvSpPr>
        <xdr:cNvPr id="101" name="Diagrama de flujo: proceso 122">
          <a:extLst>
            <a:ext uri="{FF2B5EF4-FFF2-40B4-BE49-F238E27FC236}">
              <a16:creationId xmlns:a16="http://schemas.microsoft.com/office/drawing/2014/main" id="{00000000-0008-0000-0500-000065000000}"/>
            </a:ext>
          </a:extLst>
        </xdr:cNvPr>
        <xdr:cNvSpPr/>
      </xdr:nvSpPr>
      <xdr:spPr>
        <a:xfrm rot="2152109">
          <a:off x="3186443" y="3940233"/>
          <a:ext cx="187643" cy="5041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40633</xdr:colOff>
      <xdr:row>28</xdr:row>
      <xdr:rowOff>123722</xdr:rowOff>
    </xdr:from>
    <xdr:to>
      <xdr:col>43</xdr:col>
      <xdr:colOff>12821</xdr:colOff>
      <xdr:row>28</xdr:row>
      <xdr:rowOff>172505</xdr:rowOff>
    </xdr:to>
    <xdr:sp macro="" textlink="">
      <xdr:nvSpPr>
        <xdr:cNvPr id="102" name="Diagrama de flujo: proceso 128">
          <a:extLst>
            <a:ext uri="{FF2B5EF4-FFF2-40B4-BE49-F238E27FC236}">
              <a16:creationId xmlns:a16="http://schemas.microsoft.com/office/drawing/2014/main" id="{00000000-0008-0000-0500-000066000000}"/>
            </a:ext>
          </a:extLst>
        </xdr:cNvPr>
        <xdr:cNvSpPr/>
      </xdr:nvSpPr>
      <xdr:spPr>
        <a:xfrm rot="1054079">
          <a:off x="3793483" y="5610122"/>
          <a:ext cx="86488"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40</xdr:col>
      <xdr:colOff>26809</xdr:colOff>
      <xdr:row>28</xdr:row>
      <xdr:rowOff>94336</xdr:rowOff>
    </xdr:from>
    <xdr:to>
      <xdr:col>41</xdr:col>
      <xdr:colOff>52850</xdr:colOff>
      <xdr:row>28</xdr:row>
      <xdr:rowOff>143119</xdr:rowOff>
    </xdr:to>
    <xdr:sp macro="" textlink="">
      <xdr:nvSpPr>
        <xdr:cNvPr id="103" name="Diagrama de flujo: proceso 129">
          <a:extLst>
            <a:ext uri="{FF2B5EF4-FFF2-40B4-BE49-F238E27FC236}">
              <a16:creationId xmlns:a16="http://schemas.microsoft.com/office/drawing/2014/main" id="{00000000-0008-0000-0500-000067000000}"/>
            </a:ext>
          </a:extLst>
        </xdr:cNvPr>
        <xdr:cNvSpPr/>
      </xdr:nvSpPr>
      <xdr:spPr>
        <a:xfrm rot="1831375">
          <a:off x="3722509" y="5580736"/>
          <a:ext cx="83191"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40</xdr:col>
      <xdr:colOff>5509</xdr:colOff>
      <xdr:row>28</xdr:row>
      <xdr:rowOff>19517</xdr:rowOff>
    </xdr:from>
    <xdr:to>
      <xdr:col>40</xdr:col>
      <xdr:colOff>54292</xdr:colOff>
      <xdr:row>28</xdr:row>
      <xdr:rowOff>103765</xdr:rowOff>
    </xdr:to>
    <xdr:sp macro="" textlink="">
      <xdr:nvSpPr>
        <xdr:cNvPr id="104" name="Diagrama de flujo: proceso 130">
          <a:extLst>
            <a:ext uri="{FF2B5EF4-FFF2-40B4-BE49-F238E27FC236}">
              <a16:creationId xmlns:a16="http://schemas.microsoft.com/office/drawing/2014/main" id="{00000000-0008-0000-0500-000068000000}"/>
            </a:ext>
          </a:extLst>
        </xdr:cNvPr>
        <xdr:cNvSpPr/>
      </xdr:nvSpPr>
      <xdr:spPr>
        <a:xfrm rot="4800348">
          <a:off x="3683477" y="5523649"/>
          <a:ext cx="84248"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49896</xdr:colOff>
      <xdr:row>27</xdr:row>
      <xdr:rowOff>142972</xdr:rowOff>
    </xdr:from>
    <xdr:to>
      <xdr:col>40</xdr:col>
      <xdr:colOff>42649</xdr:colOff>
      <xdr:row>28</xdr:row>
      <xdr:rowOff>19911</xdr:rowOff>
    </xdr:to>
    <xdr:sp macro="" textlink="">
      <xdr:nvSpPr>
        <xdr:cNvPr id="105" name="Diagrama de flujo: proceso 131">
          <a:extLst>
            <a:ext uri="{FF2B5EF4-FFF2-40B4-BE49-F238E27FC236}">
              <a16:creationId xmlns:a16="http://schemas.microsoft.com/office/drawing/2014/main" id="{00000000-0008-0000-0500-000069000000}"/>
            </a:ext>
          </a:extLst>
        </xdr:cNvPr>
        <xdr:cNvSpPr/>
      </xdr:nvSpPr>
      <xdr:spPr>
        <a:xfrm rot="5002211">
          <a:off x="3670153" y="5438115"/>
          <a:ext cx="86489" cy="4990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44</xdr:col>
      <xdr:colOff>11560</xdr:colOff>
      <xdr:row>28</xdr:row>
      <xdr:rowOff>133558</xdr:rowOff>
    </xdr:from>
    <xdr:to>
      <xdr:col>45</xdr:col>
      <xdr:colOff>39777</xdr:colOff>
      <xdr:row>28</xdr:row>
      <xdr:rowOff>182341</xdr:rowOff>
    </xdr:to>
    <xdr:sp macro="" textlink="">
      <xdr:nvSpPr>
        <xdr:cNvPr id="106" name="Diagrama de flujo: proceso 133">
          <a:extLst>
            <a:ext uri="{FF2B5EF4-FFF2-40B4-BE49-F238E27FC236}">
              <a16:creationId xmlns:a16="http://schemas.microsoft.com/office/drawing/2014/main" id="{00000000-0008-0000-0500-00006A000000}"/>
            </a:ext>
          </a:extLst>
        </xdr:cNvPr>
        <xdr:cNvSpPr/>
      </xdr:nvSpPr>
      <xdr:spPr>
        <a:xfrm>
          <a:off x="3935860" y="5619958"/>
          <a:ext cx="85367"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47853</xdr:colOff>
      <xdr:row>28</xdr:row>
      <xdr:rowOff>138102</xdr:rowOff>
    </xdr:from>
    <xdr:to>
      <xdr:col>44</xdr:col>
      <xdr:colOff>17864</xdr:colOff>
      <xdr:row>28</xdr:row>
      <xdr:rowOff>186885</xdr:rowOff>
    </xdr:to>
    <xdr:sp macro="" textlink="">
      <xdr:nvSpPr>
        <xdr:cNvPr id="107" name="Diagrama de flujo: proceso 134">
          <a:extLst>
            <a:ext uri="{FF2B5EF4-FFF2-40B4-BE49-F238E27FC236}">
              <a16:creationId xmlns:a16="http://schemas.microsoft.com/office/drawing/2014/main" id="{00000000-0008-0000-0500-00006B000000}"/>
            </a:ext>
          </a:extLst>
        </xdr:cNvPr>
        <xdr:cNvSpPr/>
      </xdr:nvSpPr>
      <xdr:spPr>
        <a:xfrm>
          <a:off x="3857853" y="5624502"/>
          <a:ext cx="84311"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49</xdr:col>
      <xdr:colOff>16807</xdr:colOff>
      <xdr:row>33</xdr:row>
      <xdr:rowOff>133977</xdr:rowOff>
    </xdr:from>
    <xdr:to>
      <xdr:col>50</xdr:col>
      <xdr:colOff>23665</xdr:colOff>
      <xdr:row>34</xdr:row>
      <xdr:rowOff>107307</xdr:rowOff>
    </xdr:to>
    <xdr:sp macro="" textlink="">
      <xdr:nvSpPr>
        <xdr:cNvPr id="108" name="Diagrama de flujo: proceso 136">
          <a:extLst>
            <a:ext uri="{FF2B5EF4-FFF2-40B4-BE49-F238E27FC236}">
              <a16:creationId xmlns:a16="http://schemas.microsoft.com/office/drawing/2014/main" id="{00000000-0008-0000-0500-00006C000000}"/>
            </a:ext>
          </a:extLst>
        </xdr:cNvPr>
        <xdr:cNvSpPr/>
      </xdr:nvSpPr>
      <xdr:spPr>
        <a:xfrm rot="4414595">
          <a:off x="4167421" y="6727563"/>
          <a:ext cx="182880" cy="64008"/>
        </a:xfrm>
        <a:prstGeom prst="flowChartProces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22226</xdr:colOff>
      <xdr:row>34</xdr:row>
      <xdr:rowOff>100542</xdr:rowOff>
    </xdr:from>
    <xdr:to>
      <xdr:col>51</xdr:col>
      <xdr:colOff>12801</xdr:colOff>
      <xdr:row>34</xdr:row>
      <xdr:rowOff>186969</xdr:rowOff>
    </xdr:to>
    <xdr:sp macro="" textlink="">
      <xdr:nvSpPr>
        <xdr:cNvPr id="109" name="Diagrama de flujo: proceso 137">
          <a:extLst>
            <a:ext uri="{FF2B5EF4-FFF2-40B4-BE49-F238E27FC236}">
              <a16:creationId xmlns:a16="http://schemas.microsoft.com/office/drawing/2014/main" id="{00000000-0008-0000-0500-00006D000000}"/>
            </a:ext>
          </a:extLst>
        </xdr:cNvPr>
        <xdr:cNvSpPr/>
      </xdr:nvSpPr>
      <xdr:spPr>
        <a:xfrm rot="3907876">
          <a:off x="4270075" y="6863593"/>
          <a:ext cx="86427"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46</xdr:col>
      <xdr:colOff>37042</xdr:colOff>
      <xdr:row>28</xdr:row>
      <xdr:rowOff>138517</xdr:rowOff>
    </xdr:from>
    <xdr:to>
      <xdr:col>48</xdr:col>
      <xdr:colOff>7051</xdr:colOff>
      <xdr:row>28</xdr:row>
      <xdr:rowOff>187300</xdr:rowOff>
    </xdr:to>
    <xdr:sp macro="" textlink="">
      <xdr:nvSpPr>
        <xdr:cNvPr id="110" name="Diagrama de flujo: proceso 138">
          <a:extLst>
            <a:ext uri="{FF2B5EF4-FFF2-40B4-BE49-F238E27FC236}">
              <a16:creationId xmlns:a16="http://schemas.microsoft.com/office/drawing/2014/main" id="{00000000-0008-0000-0500-00006E000000}"/>
            </a:ext>
          </a:extLst>
        </xdr:cNvPr>
        <xdr:cNvSpPr/>
      </xdr:nvSpPr>
      <xdr:spPr>
        <a:xfrm>
          <a:off x="4075642" y="5624917"/>
          <a:ext cx="84309"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45</xdr:col>
      <xdr:colOff>30693</xdr:colOff>
      <xdr:row>28</xdr:row>
      <xdr:rowOff>132480</xdr:rowOff>
    </xdr:from>
    <xdr:to>
      <xdr:col>47</xdr:col>
      <xdr:colOff>703</xdr:colOff>
      <xdr:row>28</xdr:row>
      <xdr:rowOff>176904</xdr:rowOff>
    </xdr:to>
    <xdr:sp macro="" textlink="">
      <xdr:nvSpPr>
        <xdr:cNvPr id="111" name="Diagrama de flujo: proceso 139">
          <a:extLst>
            <a:ext uri="{FF2B5EF4-FFF2-40B4-BE49-F238E27FC236}">
              <a16:creationId xmlns:a16="http://schemas.microsoft.com/office/drawing/2014/main" id="{00000000-0008-0000-0500-00006F000000}"/>
            </a:ext>
          </a:extLst>
        </xdr:cNvPr>
        <xdr:cNvSpPr/>
      </xdr:nvSpPr>
      <xdr:spPr>
        <a:xfrm rot="328493">
          <a:off x="4012143" y="5618880"/>
          <a:ext cx="84310" cy="444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1195461</xdr:colOff>
      <xdr:row>14</xdr:row>
      <xdr:rowOff>114090</xdr:rowOff>
    </xdr:from>
    <xdr:to>
      <xdr:col>0</xdr:col>
      <xdr:colOff>1286901</xdr:colOff>
      <xdr:row>14</xdr:row>
      <xdr:rowOff>159809</xdr:rowOff>
    </xdr:to>
    <xdr:sp macro="" textlink="">
      <xdr:nvSpPr>
        <xdr:cNvPr id="112" name="Diagrama de flujo: proceso 49">
          <a:extLst>
            <a:ext uri="{FF2B5EF4-FFF2-40B4-BE49-F238E27FC236}">
              <a16:creationId xmlns:a16="http://schemas.microsoft.com/office/drawing/2014/main" id="{00000000-0008-0000-0500-000070000000}"/>
            </a:ext>
          </a:extLst>
        </xdr:cNvPr>
        <xdr:cNvSpPr/>
      </xdr:nvSpPr>
      <xdr:spPr>
        <a:xfrm rot="341005">
          <a:off x="1195461" y="2666790"/>
          <a:ext cx="91440" cy="45719"/>
        </a:xfrm>
        <a:prstGeom prst="flowChartProcess">
          <a:avLst/>
        </a:prstGeom>
        <a:solidFill>
          <a:srgbClr val="FF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48</xdr:col>
      <xdr:colOff>7914</xdr:colOff>
      <xdr:row>31</xdr:row>
      <xdr:rowOff>127086</xdr:rowOff>
    </xdr:from>
    <xdr:to>
      <xdr:col>49</xdr:col>
      <xdr:colOff>7917</xdr:colOff>
      <xdr:row>32</xdr:row>
      <xdr:rowOff>100416</xdr:rowOff>
    </xdr:to>
    <xdr:sp macro="" textlink="">
      <xdr:nvSpPr>
        <xdr:cNvPr id="113" name="Diagrama de flujo: proceso 136">
          <a:extLst>
            <a:ext uri="{FF2B5EF4-FFF2-40B4-BE49-F238E27FC236}">
              <a16:creationId xmlns:a16="http://schemas.microsoft.com/office/drawing/2014/main" id="{00000000-0008-0000-0500-000071000000}"/>
            </a:ext>
          </a:extLst>
        </xdr:cNvPr>
        <xdr:cNvSpPr/>
      </xdr:nvSpPr>
      <xdr:spPr>
        <a:xfrm rot="4414595">
          <a:off x="4097951" y="6304999"/>
          <a:ext cx="182880" cy="57153"/>
        </a:xfrm>
        <a:prstGeom prst="flowChartProces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47</xdr:col>
      <xdr:colOff>3396</xdr:colOff>
      <xdr:row>30</xdr:row>
      <xdr:rowOff>65301</xdr:rowOff>
    </xdr:from>
    <xdr:to>
      <xdr:col>48</xdr:col>
      <xdr:colOff>3400</xdr:colOff>
      <xdr:row>30</xdr:row>
      <xdr:rowOff>156741</xdr:rowOff>
    </xdr:to>
    <xdr:sp macro="" textlink="">
      <xdr:nvSpPr>
        <xdr:cNvPr id="114" name="Diagrama de flujo: proceso 136">
          <a:extLst>
            <a:ext uri="{FF2B5EF4-FFF2-40B4-BE49-F238E27FC236}">
              <a16:creationId xmlns:a16="http://schemas.microsoft.com/office/drawing/2014/main" id="{00000000-0008-0000-0500-000072000000}"/>
            </a:ext>
          </a:extLst>
        </xdr:cNvPr>
        <xdr:cNvSpPr/>
      </xdr:nvSpPr>
      <xdr:spPr>
        <a:xfrm rot="4414595">
          <a:off x="4082003" y="5987944"/>
          <a:ext cx="91440" cy="57154"/>
        </a:xfrm>
        <a:prstGeom prst="flowChartProces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48</xdr:col>
      <xdr:colOff>7914</xdr:colOff>
      <xdr:row>28</xdr:row>
      <xdr:rowOff>119083</xdr:rowOff>
    </xdr:from>
    <xdr:to>
      <xdr:col>48</xdr:col>
      <xdr:colOff>55542</xdr:colOff>
      <xdr:row>28</xdr:row>
      <xdr:rowOff>187261</xdr:rowOff>
    </xdr:to>
    <xdr:sp macro="" textlink="">
      <xdr:nvSpPr>
        <xdr:cNvPr id="115" name="Diagrama de flujo: proceso 127">
          <a:extLst>
            <a:ext uri="{FF2B5EF4-FFF2-40B4-BE49-F238E27FC236}">
              <a16:creationId xmlns:a16="http://schemas.microsoft.com/office/drawing/2014/main" id="{00000000-0008-0000-0500-000073000000}"/>
            </a:ext>
          </a:extLst>
        </xdr:cNvPr>
        <xdr:cNvSpPr/>
      </xdr:nvSpPr>
      <xdr:spPr>
        <a:xfrm rot="7372118">
          <a:off x="4150539" y="5615758"/>
          <a:ext cx="68178" cy="47628"/>
        </a:xfrm>
        <a:prstGeom prst="flowChartProces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981075</xdr:colOff>
      <xdr:row>47</xdr:row>
      <xdr:rowOff>0</xdr:rowOff>
    </xdr:from>
    <xdr:to>
      <xdr:col>1</xdr:col>
      <xdr:colOff>0</xdr:colOff>
      <xdr:row>48</xdr:row>
      <xdr:rowOff>0</xdr:rowOff>
    </xdr:to>
    <xdr:sp macro="" textlink="">
      <xdr:nvSpPr>
        <xdr:cNvPr id="756822" name="Rectangle 12">
          <a:extLst>
            <a:ext uri="{FF2B5EF4-FFF2-40B4-BE49-F238E27FC236}">
              <a16:creationId xmlns:a16="http://schemas.microsoft.com/office/drawing/2014/main" id="{00000000-0008-0000-0600-0000568C0B00}"/>
            </a:ext>
          </a:extLst>
        </xdr:cNvPr>
        <xdr:cNvSpPr>
          <a:spLocks noChangeArrowheads="1"/>
        </xdr:cNvSpPr>
      </xdr:nvSpPr>
      <xdr:spPr bwMode="auto">
        <a:xfrm>
          <a:off x="981075" y="5219700"/>
          <a:ext cx="7334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48</xdr:row>
      <xdr:rowOff>0</xdr:rowOff>
    </xdr:from>
    <xdr:to>
      <xdr:col>1</xdr:col>
      <xdr:colOff>0</xdr:colOff>
      <xdr:row>49</xdr:row>
      <xdr:rowOff>0</xdr:rowOff>
    </xdr:to>
    <xdr:sp macro="" textlink="">
      <xdr:nvSpPr>
        <xdr:cNvPr id="756823" name="Rectangle 13">
          <a:extLst>
            <a:ext uri="{FF2B5EF4-FFF2-40B4-BE49-F238E27FC236}">
              <a16:creationId xmlns:a16="http://schemas.microsoft.com/office/drawing/2014/main" id="{00000000-0008-0000-0600-0000578C0B00}"/>
            </a:ext>
          </a:extLst>
        </xdr:cNvPr>
        <xdr:cNvSpPr>
          <a:spLocks noChangeArrowheads="1"/>
        </xdr:cNvSpPr>
      </xdr:nvSpPr>
      <xdr:spPr bwMode="auto">
        <a:xfrm>
          <a:off x="981075" y="5381625"/>
          <a:ext cx="7334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49</xdr:row>
      <xdr:rowOff>0</xdr:rowOff>
    </xdr:from>
    <xdr:to>
      <xdr:col>1</xdr:col>
      <xdr:colOff>0</xdr:colOff>
      <xdr:row>50</xdr:row>
      <xdr:rowOff>0</xdr:rowOff>
    </xdr:to>
    <xdr:sp macro="" textlink="">
      <xdr:nvSpPr>
        <xdr:cNvPr id="756824" name="Rectangle 14">
          <a:extLst>
            <a:ext uri="{FF2B5EF4-FFF2-40B4-BE49-F238E27FC236}">
              <a16:creationId xmlns:a16="http://schemas.microsoft.com/office/drawing/2014/main" id="{00000000-0008-0000-0600-0000588C0B00}"/>
            </a:ext>
          </a:extLst>
        </xdr:cNvPr>
        <xdr:cNvSpPr>
          <a:spLocks noChangeArrowheads="1"/>
        </xdr:cNvSpPr>
      </xdr:nvSpPr>
      <xdr:spPr bwMode="auto">
        <a:xfrm>
          <a:off x="981075" y="5543550"/>
          <a:ext cx="733425" cy="161925"/>
        </a:xfrm>
        <a:prstGeom prst="rect">
          <a:avLst/>
        </a:prstGeom>
        <a:solidFill>
          <a:srgbClr val="FF0000"/>
        </a:solidFill>
        <a:ln w="9525">
          <a:solidFill>
            <a:srgbClr val="000000"/>
          </a:solidFill>
          <a:miter lim="800000"/>
          <a:headEnd/>
          <a:tailEnd/>
        </a:ln>
      </xdr:spPr>
    </xdr:sp>
    <xdr:clientData/>
  </xdr:twoCellAnchor>
  <xdr:twoCellAnchor>
    <xdr:from>
      <xdr:col>2</xdr:col>
      <xdr:colOff>28575</xdr:colOff>
      <xdr:row>15</xdr:row>
      <xdr:rowOff>57150</xdr:rowOff>
    </xdr:from>
    <xdr:to>
      <xdr:col>2</xdr:col>
      <xdr:colOff>2200275</xdr:colOff>
      <xdr:row>24</xdr:row>
      <xdr:rowOff>95250</xdr:rowOff>
    </xdr:to>
    <xdr:graphicFrame macro="">
      <xdr:nvGraphicFramePr>
        <xdr:cNvPr id="756825" name="Gráfico 2">
          <a:extLst>
            <a:ext uri="{FF2B5EF4-FFF2-40B4-BE49-F238E27FC236}">
              <a16:creationId xmlns:a16="http://schemas.microsoft.com/office/drawing/2014/main" id="{00000000-0008-0000-0600-0000598C0B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28575</xdr:colOff>
      <xdr:row>15</xdr:row>
      <xdr:rowOff>47625</xdr:rowOff>
    </xdr:from>
    <xdr:to>
      <xdr:col>1</xdr:col>
      <xdr:colOff>2209800</xdr:colOff>
      <xdr:row>24</xdr:row>
      <xdr:rowOff>95250</xdr:rowOff>
    </xdr:to>
    <xdr:pic>
      <xdr:nvPicPr>
        <xdr:cNvPr id="756826" name="Imagen 2">
          <a:extLst>
            <a:ext uri="{FF2B5EF4-FFF2-40B4-BE49-F238E27FC236}">
              <a16:creationId xmlns:a16="http://schemas.microsoft.com/office/drawing/2014/main" id="{00000000-0008-0000-0600-00005A8C0B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43075" y="3152775"/>
          <a:ext cx="218122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40</xdr:row>
      <xdr:rowOff>9525</xdr:rowOff>
    </xdr:from>
    <xdr:to>
      <xdr:col>2</xdr:col>
      <xdr:colOff>19050</xdr:colOff>
      <xdr:row>42</xdr:row>
      <xdr:rowOff>9525</xdr:rowOff>
    </xdr:to>
    <xdr:sp macro="" textlink="">
      <xdr:nvSpPr>
        <xdr:cNvPr id="789010" name="Line 21">
          <a:extLst>
            <a:ext uri="{FF2B5EF4-FFF2-40B4-BE49-F238E27FC236}">
              <a16:creationId xmlns:a16="http://schemas.microsoft.com/office/drawing/2014/main" id="{00000000-0008-0000-0800-0000120A0C00}"/>
            </a:ext>
          </a:extLst>
        </xdr:cNvPr>
        <xdr:cNvSpPr>
          <a:spLocks noChangeShapeType="1"/>
        </xdr:cNvSpPr>
      </xdr:nvSpPr>
      <xdr:spPr bwMode="auto">
        <a:xfrm>
          <a:off x="9525" y="7648575"/>
          <a:ext cx="129540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104775</xdr:colOff>
      <xdr:row>49</xdr:row>
      <xdr:rowOff>142875</xdr:rowOff>
    </xdr:from>
    <xdr:to>
      <xdr:col>35</xdr:col>
      <xdr:colOff>57150</xdr:colOff>
      <xdr:row>49</xdr:row>
      <xdr:rowOff>142875</xdr:rowOff>
    </xdr:to>
    <xdr:sp macro="" textlink="">
      <xdr:nvSpPr>
        <xdr:cNvPr id="789011" name="Rectangle 37">
          <a:extLst>
            <a:ext uri="{FF2B5EF4-FFF2-40B4-BE49-F238E27FC236}">
              <a16:creationId xmlns:a16="http://schemas.microsoft.com/office/drawing/2014/main" id="{00000000-0008-0000-0800-000013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190500</xdr:colOff>
      <xdr:row>49</xdr:row>
      <xdr:rowOff>142875</xdr:rowOff>
    </xdr:from>
    <xdr:to>
      <xdr:col>35</xdr:col>
      <xdr:colOff>57150</xdr:colOff>
      <xdr:row>49</xdr:row>
      <xdr:rowOff>142875</xdr:rowOff>
    </xdr:to>
    <xdr:sp macro="" textlink="">
      <xdr:nvSpPr>
        <xdr:cNvPr id="789012" name="Rectangle 38">
          <a:extLst>
            <a:ext uri="{FF2B5EF4-FFF2-40B4-BE49-F238E27FC236}">
              <a16:creationId xmlns:a16="http://schemas.microsoft.com/office/drawing/2014/main" id="{00000000-0008-0000-0800-000014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49</xdr:row>
      <xdr:rowOff>142875</xdr:rowOff>
    </xdr:from>
    <xdr:to>
      <xdr:col>34</xdr:col>
      <xdr:colOff>57150</xdr:colOff>
      <xdr:row>49</xdr:row>
      <xdr:rowOff>142875</xdr:rowOff>
    </xdr:to>
    <xdr:sp macro="" textlink="">
      <xdr:nvSpPr>
        <xdr:cNvPr id="789013" name="Rectangle 39">
          <a:extLst>
            <a:ext uri="{FF2B5EF4-FFF2-40B4-BE49-F238E27FC236}">
              <a16:creationId xmlns:a16="http://schemas.microsoft.com/office/drawing/2014/main" id="{00000000-0008-0000-0800-0000150A0C00}"/>
            </a:ext>
          </a:extLst>
        </xdr:cNvPr>
        <xdr:cNvSpPr>
          <a:spLocks noChangeArrowheads="1"/>
        </xdr:cNvSpPr>
      </xdr:nvSpPr>
      <xdr:spPr bwMode="auto">
        <a:xfrm>
          <a:off x="317182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238125</xdr:colOff>
      <xdr:row>49</xdr:row>
      <xdr:rowOff>142875</xdr:rowOff>
    </xdr:from>
    <xdr:to>
      <xdr:col>34</xdr:col>
      <xdr:colOff>57150</xdr:colOff>
      <xdr:row>49</xdr:row>
      <xdr:rowOff>142875</xdr:rowOff>
    </xdr:to>
    <xdr:sp macro="" textlink="">
      <xdr:nvSpPr>
        <xdr:cNvPr id="789014" name="Rectangle 40">
          <a:extLst>
            <a:ext uri="{FF2B5EF4-FFF2-40B4-BE49-F238E27FC236}">
              <a16:creationId xmlns:a16="http://schemas.microsoft.com/office/drawing/2014/main" id="{00000000-0008-0000-0800-0000160A0C00}"/>
            </a:ext>
          </a:extLst>
        </xdr:cNvPr>
        <xdr:cNvSpPr>
          <a:spLocks noChangeArrowheads="1"/>
        </xdr:cNvSpPr>
      </xdr:nvSpPr>
      <xdr:spPr bwMode="auto">
        <a:xfrm>
          <a:off x="317182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295275</xdr:colOff>
      <xdr:row>49</xdr:row>
      <xdr:rowOff>142875</xdr:rowOff>
    </xdr:from>
    <xdr:to>
      <xdr:col>34</xdr:col>
      <xdr:colOff>57150</xdr:colOff>
      <xdr:row>49</xdr:row>
      <xdr:rowOff>142875</xdr:rowOff>
    </xdr:to>
    <xdr:sp macro="" textlink="">
      <xdr:nvSpPr>
        <xdr:cNvPr id="789015" name="Rectangle 41">
          <a:extLst>
            <a:ext uri="{FF2B5EF4-FFF2-40B4-BE49-F238E27FC236}">
              <a16:creationId xmlns:a16="http://schemas.microsoft.com/office/drawing/2014/main" id="{00000000-0008-0000-0800-0000170A0C00}"/>
            </a:ext>
          </a:extLst>
        </xdr:cNvPr>
        <xdr:cNvSpPr>
          <a:spLocks noChangeArrowheads="1"/>
        </xdr:cNvSpPr>
      </xdr:nvSpPr>
      <xdr:spPr bwMode="auto">
        <a:xfrm>
          <a:off x="317182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9525</xdr:colOff>
      <xdr:row>49</xdr:row>
      <xdr:rowOff>142875</xdr:rowOff>
    </xdr:from>
    <xdr:to>
      <xdr:col>35</xdr:col>
      <xdr:colOff>47625</xdr:colOff>
      <xdr:row>49</xdr:row>
      <xdr:rowOff>142875</xdr:rowOff>
    </xdr:to>
    <xdr:sp macro="" textlink="">
      <xdr:nvSpPr>
        <xdr:cNvPr id="789016" name="Rectangle 42">
          <a:extLst>
            <a:ext uri="{FF2B5EF4-FFF2-40B4-BE49-F238E27FC236}">
              <a16:creationId xmlns:a16="http://schemas.microsoft.com/office/drawing/2014/main" id="{00000000-0008-0000-0800-0000180A0C00}"/>
            </a:ext>
          </a:extLst>
        </xdr:cNvPr>
        <xdr:cNvSpPr>
          <a:spLocks noChangeArrowheads="1"/>
        </xdr:cNvSpPr>
      </xdr:nvSpPr>
      <xdr:spPr bwMode="auto">
        <a:xfrm>
          <a:off x="3181350" y="9239250"/>
          <a:ext cx="3810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66675</xdr:colOff>
      <xdr:row>49</xdr:row>
      <xdr:rowOff>142875</xdr:rowOff>
    </xdr:from>
    <xdr:to>
      <xdr:col>35</xdr:col>
      <xdr:colOff>57150</xdr:colOff>
      <xdr:row>49</xdr:row>
      <xdr:rowOff>142875</xdr:rowOff>
    </xdr:to>
    <xdr:sp macro="" textlink="">
      <xdr:nvSpPr>
        <xdr:cNvPr id="789017" name="Rectangle 43">
          <a:extLst>
            <a:ext uri="{FF2B5EF4-FFF2-40B4-BE49-F238E27FC236}">
              <a16:creationId xmlns:a16="http://schemas.microsoft.com/office/drawing/2014/main" id="{00000000-0008-0000-0800-000019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142875</xdr:rowOff>
    </xdr:from>
    <xdr:to>
      <xdr:col>36</xdr:col>
      <xdr:colOff>0</xdr:colOff>
      <xdr:row>49</xdr:row>
      <xdr:rowOff>142875</xdr:rowOff>
    </xdr:to>
    <xdr:sp macro="" textlink="">
      <xdr:nvSpPr>
        <xdr:cNvPr id="789018" name="Rectangle 44">
          <a:extLst>
            <a:ext uri="{FF2B5EF4-FFF2-40B4-BE49-F238E27FC236}">
              <a16:creationId xmlns:a16="http://schemas.microsoft.com/office/drawing/2014/main" id="{00000000-0008-0000-0800-00001A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104775</xdr:colOff>
      <xdr:row>49</xdr:row>
      <xdr:rowOff>142875</xdr:rowOff>
    </xdr:from>
    <xdr:to>
      <xdr:col>49</xdr:col>
      <xdr:colOff>57150</xdr:colOff>
      <xdr:row>49</xdr:row>
      <xdr:rowOff>142875</xdr:rowOff>
    </xdr:to>
    <xdr:sp macro="" textlink="">
      <xdr:nvSpPr>
        <xdr:cNvPr id="789019" name="Rectangle 45">
          <a:extLst>
            <a:ext uri="{FF2B5EF4-FFF2-40B4-BE49-F238E27FC236}">
              <a16:creationId xmlns:a16="http://schemas.microsoft.com/office/drawing/2014/main" id="{00000000-0008-0000-0800-00001B0A0C00}"/>
            </a:ext>
          </a:extLst>
        </xdr:cNvPr>
        <xdr:cNvSpPr>
          <a:spLocks noChangeArrowheads="1"/>
        </xdr:cNvSpPr>
      </xdr:nvSpPr>
      <xdr:spPr bwMode="auto">
        <a:xfrm>
          <a:off x="40290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200025</xdr:colOff>
      <xdr:row>49</xdr:row>
      <xdr:rowOff>142875</xdr:rowOff>
    </xdr:from>
    <xdr:to>
      <xdr:col>49</xdr:col>
      <xdr:colOff>57150</xdr:colOff>
      <xdr:row>49</xdr:row>
      <xdr:rowOff>142875</xdr:rowOff>
    </xdr:to>
    <xdr:sp macro="" textlink="">
      <xdr:nvSpPr>
        <xdr:cNvPr id="789020" name="Rectangle 46">
          <a:extLst>
            <a:ext uri="{FF2B5EF4-FFF2-40B4-BE49-F238E27FC236}">
              <a16:creationId xmlns:a16="http://schemas.microsoft.com/office/drawing/2014/main" id="{00000000-0008-0000-0800-00001C0A0C00}"/>
            </a:ext>
          </a:extLst>
        </xdr:cNvPr>
        <xdr:cNvSpPr>
          <a:spLocks noChangeArrowheads="1"/>
        </xdr:cNvSpPr>
      </xdr:nvSpPr>
      <xdr:spPr bwMode="auto">
        <a:xfrm>
          <a:off x="40290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266700</xdr:colOff>
      <xdr:row>49</xdr:row>
      <xdr:rowOff>142875</xdr:rowOff>
    </xdr:from>
    <xdr:to>
      <xdr:col>49</xdr:col>
      <xdr:colOff>57150</xdr:colOff>
      <xdr:row>49</xdr:row>
      <xdr:rowOff>142875</xdr:rowOff>
    </xdr:to>
    <xdr:sp macro="" textlink="">
      <xdr:nvSpPr>
        <xdr:cNvPr id="789021" name="Rectangle 47">
          <a:extLst>
            <a:ext uri="{FF2B5EF4-FFF2-40B4-BE49-F238E27FC236}">
              <a16:creationId xmlns:a16="http://schemas.microsoft.com/office/drawing/2014/main" id="{00000000-0008-0000-0800-00001D0A0C00}"/>
            </a:ext>
          </a:extLst>
        </xdr:cNvPr>
        <xdr:cNvSpPr>
          <a:spLocks noChangeArrowheads="1"/>
        </xdr:cNvSpPr>
      </xdr:nvSpPr>
      <xdr:spPr bwMode="auto">
        <a:xfrm>
          <a:off x="40290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50</xdr:col>
      <xdr:colOff>304800</xdr:colOff>
      <xdr:row>49</xdr:row>
      <xdr:rowOff>142875</xdr:rowOff>
    </xdr:from>
    <xdr:to>
      <xdr:col>50</xdr:col>
      <xdr:colOff>57150</xdr:colOff>
      <xdr:row>49</xdr:row>
      <xdr:rowOff>142875</xdr:rowOff>
    </xdr:to>
    <xdr:sp macro="" textlink="">
      <xdr:nvSpPr>
        <xdr:cNvPr id="789022" name="Rectangle 49">
          <a:extLst>
            <a:ext uri="{FF2B5EF4-FFF2-40B4-BE49-F238E27FC236}">
              <a16:creationId xmlns:a16="http://schemas.microsoft.com/office/drawing/2014/main" id="{00000000-0008-0000-0800-00001E0A0C00}"/>
            </a:ext>
          </a:extLst>
        </xdr:cNvPr>
        <xdr:cNvSpPr>
          <a:spLocks noChangeArrowheads="1"/>
        </xdr:cNvSpPr>
      </xdr:nvSpPr>
      <xdr:spPr bwMode="auto">
        <a:xfrm>
          <a:off x="4086225" y="9239250"/>
          <a:ext cx="0" cy="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190500</xdr:colOff>
      <xdr:row>49</xdr:row>
      <xdr:rowOff>142875</xdr:rowOff>
    </xdr:from>
    <xdr:to>
      <xdr:col>51</xdr:col>
      <xdr:colOff>57150</xdr:colOff>
      <xdr:row>49</xdr:row>
      <xdr:rowOff>142875</xdr:rowOff>
    </xdr:to>
    <xdr:sp macro="" textlink="">
      <xdr:nvSpPr>
        <xdr:cNvPr id="789023" name="Rectangle 50">
          <a:extLst>
            <a:ext uri="{FF2B5EF4-FFF2-40B4-BE49-F238E27FC236}">
              <a16:creationId xmlns:a16="http://schemas.microsoft.com/office/drawing/2014/main" id="{00000000-0008-0000-0800-00001F0A0C00}"/>
            </a:ext>
          </a:extLst>
        </xdr:cNvPr>
        <xdr:cNvSpPr>
          <a:spLocks noChangeArrowheads="1"/>
        </xdr:cNvSpPr>
      </xdr:nvSpPr>
      <xdr:spPr bwMode="auto">
        <a:xfrm>
          <a:off x="41433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609600</xdr:colOff>
      <xdr:row>51</xdr:row>
      <xdr:rowOff>0</xdr:rowOff>
    </xdr:from>
    <xdr:to>
      <xdr:col>51</xdr:col>
      <xdr:colOff>57150</xdr:colOff>
      <xdr:row>51</xdr:row>
      <xdr:rowOff>0</xdr:rowOff>
    </xdr:to>
    <xdr:sp macro="" textlink="">
      <xdr:nvSpPr>
        <xdr:cNvPr id="789024" name="Line 2210">
          <a:extLst>
            <a:ext uri="{FF2B5EF4-FFF2-40B4-BE49-F238E27FC236}">
              <a16:creationId xmlns:a16="http://schemas.microsoft.com/office/drawing/2014/main" id="{00000000-0008-0000-0800-0000200A0C00}"/>
            </a:ext>
          </a:extLst>
        </xdr:cNvPr>
        <xdr:cNvSpPr>
          <a:spLocks noChangeShapeType="1"/>
        </xdr:cNvSpPr>
      </xdr:nvSpPr>
      <xdr:spPr bwMode="auto">
        <a:xfrm>
          <a:off x="4143375" y="9429750"/>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76200</xdr:colOff>
      <xdr:row>51</xdr:row>
      <xdr:rowOff>190500</xdr:rowOff>
    </xdr:from>
    <xdr:to>
      <xdr:col>33</xdr:col>
      <xdr:colOff>123825</xdr:colOff>
      <xdr:row>53</xdr:row>
      <xdr:rowOff>190500</xdr:rowOff>
    </xdr:to>
    <xdr:sp macro="" textlink="">
      <xdr:nvSpPr>
        <xdr:cNvPr id="789025" name="Rectangle 61">
          <a:extLst>
            <a:ext uri="{FF2B5EF4-FFF2-40B4-BE49-F238E27FC236}">
              <a16:creationId xmlns:a16="http://schemas.microsoft.com/office/drawing/2014/main" id="{00000000-0008-0000-0800-0000210A0C00}"/>
            </a:ext>
          </a:extLst>
        </xdr:cNvPr>
        <xdr:cNvSpPr>
          <a:spLocks noChangeArrowheads="1"/>
        </xdr:cNvSpPr>
      </xdr:nvSpPr>
      <xdr:spPr bwMode="auto">
        <a:xfrm>
          <a:off x="3114675" y="9553575"/>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200025</xdr:colOff>
      <xdr:row>58</xdr:row>
      <xdr:rowOff>0</xdr:rowOff>
    </xdr:from>
    <xdr:to>
      <xdr:col>35</xdr:col>
      <xdr:colOff>257175</xdr:colOff>
      <xdr:row>60</xdr:row>
      <xdr:rowOff>9525</xdr:rowOff>
    </xdr:to>
    <xdr:sp macro="" textlink="">
      <xdr:nvSpPr>
        <xdr:cNvPr id="789026" name="Rectangle 61">
          <a:extLst>
            <a:ext uri="{FF2B5EF4-FFF2-40B4-BE49-F238E27FC236}">
              <a16:creationId xmlns:a16="http://schemas.microsoft.com/office/drawing/2014/main" id="{00000000-0008-0000-0800-0000220A0C00}"/>
            </a:ext>
          </a:extLst>
        </xdr:cNvPr>
        <xdr:cNvSpPr>
          <a:spLocks noChangeArrowheads="1"/>
        </xdr:cNvSpPr>
      </xdr:nvSpPr>
      <xdr:spPr bwMode="auto">
        <a:xfrm>
          <a:off x="3228975" y="10496550"/>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58</xdr:row>
      <xdr:rowOff>0</xdr:rowOff>
    </xdr:from>
    <xdr:to>
      <xdr:col>34</xdr:col>
      <xdr:colOff>238125</xdr:colOff>
      <xdr:row>60</xdr:row>
      <xdr:rowOff>0</xdr:rowOff>
    </xdr:to>
    <xdr:sp macro="" textlink="">
      <xdr:nvSpPr>
        <xdr:cNvPr id="789027" name="Rectangle 61">
          <a:extLst>
            <a:ext uri="{FF2B5EF4-FFF2-40B4-BE49-F238E27FC236}">
              <a16:creationId xmlns:a16="http://schemas.microsoft.com/office/drawing/2014/main" id="{00000000-0008-0000-0800-0000230A0C00}"/>
            </a:ext>
          </a:extLst>
        </xdr:cNvPr>
        <xdr:cNvSpPr>
          <a:spLocks noChangeArrowheads="1"/>
        </xdr:cNvSpPr>
      </xdr:nvSpPr>
      <xdr:spPr bwMode="auto">
        <a:xfrm>
          <a:off x="3171825" y="104965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114300</xdr:colOff>
      <xdr:row>58</xdr:row>
      <xdr:rowOff>0</xdr:rowOff>
    </xdr:from>
    <xdr:to>
      <xdr:col>35</xdr:col>
      <xdr:colOff>161925</xdr:colOff>
      <xdr:row>60</xdr:row>
      <xdr:rowOff>0</xdr:rowOff>
    </xdr:to>
    <xdr:sp macro="" textlink="">
      <xdr:nvSpPr>
        <xdr:cNvPr id="789028" name="Rectangle 127">
          <a:extLst>
            <a:ext uri="{FF2B5EF4-FFF2-40B4-BE49-F238E27FC236}">
              <a16:creationId xmlns:a16="http://schemas.microsoft.com/office/drawing/2014/main" id="{00000000-0008-0000-0800-0000240A0C00}"/>
            </a:ext>
          </a:extLst>
        </xdr:cNvPr>
        <xdr:cNvSpPr>
          <a:spLocks noChangeArrowheads="1"/>
        </xdr:cNvSpPr>
      </xdr:nvSpPr>
      <xdr:spPr bwMode="auto">
        <a:xfrm>
          <a:off x="3228975" y="10496550"/>
          <a:ext cx="0" cy="31432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58</xdr:row>
      <xdr:rowOff>0</xdr:rowOff>
    </xdr:from>
    <xdr:to>
      <xdr:col>33</xdr:col>
      <xdr:colOff>238125</xdr:colOff>
      <xdr:row>60</xdr:row>
      <xdr:rowOff>0</xdr:rowOff>
    </xdr:to>
    <xdr:sp macro="" textlink="">
      <xdr:nvSpPr>
        <xdr:cNvPr id="789029" name="Rectangle 61">
          <a:extLst>
            <a:ext uri="{FF2B5EF4-FFF2-40B4-BE49-F238E27FC236}">
              <a16:creationId xmlns:a16="http://schemas.microsoft.com/office/drawing/2014/main" id="{00000000-0008-0000-0800-0000250A0C00}"/>
            </a:ext>
          </a:extLst>
        </xdr:cNvPr>
        <xdr:cNvSpPr>
          <a:spLocks noChangeArrowheads="1"/>
        </xdr:cNvSpPr>
      </xdr:nvSpPr>
      <xdr:spPr bwMode="auto">
        <a:xfrm>
          <a:off x="3114675" y="104965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99488</xdr:colOff>
      <xdr:row>48</xdr:row>
      <xdr:rowOff>1072</xdr:rowOff>
    </xdr:from>
    <xdr:to>
      <xdr:col>49</xdr:col>
      <xdr:colOff>160447</xdr:colOff>
      <xdr:row>50</xdr:row>
      <xdr:rowOff>3338</xdr:rowOff>
    </xdr:to>
    <xdr:sp macro="" textlink="">
      <xdr:nvSpPr>
        <xdr:cNvPr id="22" name="Rectangle 59">
          <a:extLst>
            <a:ext uri="{FF2B5EF4-FFF2-40B4-BE49-F238E27FC236}">
              <a16:creationId xmlns:a16="http://schemas.microsoft.com/office/drawing/2014/main" id="{00000000-0008-0000-0800-000016000000}"/>
            </a:ext>
          </a:extLst>
        </xdr:cNvPr>
        <xdr:cNvSpPr>
          <a:spLocks noChangeArrowheads="1"/>
        </xdr:cNvSpPr>
      </xdr:nvSpPr>
      <xdr:spPr bwMode="auto">
        <a:xfrm>
          <a:off x="4033313" y="8925997"/>
          <a:ext cx="0" cy="316591"/>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99488</xdr:colOff>
      <xdr:row>48</xdr:row>
      <xdr:rowOff>1071</xdr:rowOff>
    </xdr:from>
    <xdr:to>
      <xdr:col>51</xdr:col>
      <xdr:colOff>160447</xdr:colOff>
      <xdr:row>50</xdr:row>
      <xdr:rowOff>3337</xdr:rowOff>
    </xdr:to>
    <xdr:sp macro="" textlink="">
      <xdr:nvSpPr>
        <xdr:cNvPr id="23" name="Rectangle 59">
          <a:extLst>
            <a:ext uri="{FF2B5EF4-FFF2-40B4-BE49-F238E27FC236}">
              <a16:creationId xmlns:a16="http://schemas.microsoft.com/office/drawing/2014/main" id="{00000000-0008-0000-0800-000017000000}"/>
            </a:ext>
          </a:extLst>
        </xdr:cNvPr>
        <xdr:cNvSpPr>
          <a:spLocks noChangeArrowheads="1"/>
        </xdr:cNvSpPr>
      </xdr:nvSpPr>
      <xdr:spPr bwMode="auto">
        <a:xfrm>
          <a:off x="4147613" y="8925996"/>
          <a:ext cx="0" cy="316591"/>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192619</xdr:colOff>
      <xdr:row>48</xdr:row>
      <xdr:rowOff>1065</xdr:rowOff>
    </xdr:from>
    <xdr:to>
      <xdr:col>51</xdr:col>
      <xdr:colOff>253578</xdr:colOff>
      <xdr:row>50</xdr:row>
      <xdr:rowOff>3331</xdr:rowOff>
    </xdr:to>
    <xdr:sp macro="" textlink="">
      <xdr:nvSpPr>
        <xdr:cNvPr id="24" name="Rectangle 59">
          <a:extLst>
            <a:ext uri="{FF2B5EF4-FFF2-40B4-BE49-F238E27FC236}">
              <a16:creationId xmlns:a16="http://schemas.microsoft.com/office/drawing/2014/main" id="{00000000-0008-0000-0800-000018000000}"/>
            </a:ext>
          </a:extLst>
        </xdr:cNvPr>
        <xdr:cNvSpPr>
          <a:spLocks noChangeArrowheads="1"/>
        </xdr:cNvSpPr>
      </xdr:nvSpPr>
      <xdr:spPr bwMode="auto">
        <a:xfrm>
          <a:off x="4145494" y="8925990"/>
          <a:ext cx="0" cy="316591"/>
        </a:xfrm>
        <a:prstGeom prst="rect">
          <a:avLst/>
        </a:prstGeom>
        <a:solidFill>
          <a:srgbClr val="FF0000"/>
        </a:solidFill>
        <a:ln w="9525">
          <a:noFill/>
          <a:miter lim="800000"/>
          <a:headEnd/>
          <a:tailEnd/>
        </a:ln>
      </xdr:spPr>
      <xdr:txBody>
        <a:bodyPr vertOverflow="clip" wrap="square" lIns="27432" tIns="22860" rIns="0" bIns="0" anchor="t" upright="1"/>
        <a:lstStyle/>
        <a:p>
          <a:pPr algn="l" rtl="1">
            <a:defRPr sz="1000"/>
          </a:pPr>
          <a:r>
            <a:rPr lang="es-AR" sz="1000" b="0" i="0" strike="noStrike">
              <a:solidFill>
                <a:srgbClr val="00FF00"/>
              </a:solidFill>
              <a:latin typeface="Arial"/>
              <a:cs typeface="Arial"/>
            </a:rPr>
            <a:t> </a:t>
          </a:r>
        </a:p>
      </xdr:txBody>
    </xdr:sp>
    <xdr:clientData/>
  </xdr:twoCellAnchor>
  <xdr:twoCellAnchor>
    <xdr:from>
      <xdr:col>51</xdr:col>
      <xdr:colOff>619125</xdr:colOff>
      <xdr:row>51</xdr:row>
      <xdr:rowOff>0</xdr:rowOff>
    </xdr:from>
    <xdr:to>
      <xdr:col>51</xdr:col>
      <xdr:colOff>57150</xdr:colOff>
      <xdr:row>51</xdr:row>
      <xdr:rowOff>0</xdr:rowOff>
    </xdr:to>
    <xdr:sp macro="" textlink="">
      <xdr:nvSpPr>
        <xdr:cNvPr id="789033" name="Line 2210">
          <a:extLst>
            <a:ext uri="{FF2B5EF4-FFF2-40B4-BE49-F238E27FC236}">
              <a16:creationId xmlns:a16="http://schemas.microsoft.com/office/drawing/2014/main" id="{00000000-0008-0000-0800-0000290A0C00}"/>
            </a:ext>
          </a:extLst>
        </xdr:cNvPr>
        <xdr:cNvSpPr>
          <a:spLocks noChangeShapeType="1"/>
        </xdr:cNvSpPr>
      </xdr:nvSpPr>
      <xdr:spPr bwMode="auto">
        <a:xfrm>
          <a:off x="4143375" y="9429750"/>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85725</xdr:colOff>
      <xdr:row>49</xdr:row>
      <xdr:rowOff>190500</xdr:rowOff>
    </xdr:from>
    <xdr:to>
      <xdr:col>33</xdr:col>
      <xdr:colOff>142875</xdr:colOff>
      <xdr:row>51</xdr:row>
      <xdr:rowOff>190500</xdr:rowOff>
    </xdr:to>
    <xdr:sp macro="" textlink="">
      <xdr:nvSpPr>
        <xdr:cNvPr id="789034" name="Rectangle 61">
          <a:extLst>
            <a:ext uri="{FF2B5EF4-FFF2-40B4-BE49-F238E27FC236}">
              <a16:creationId xmlns:a16="http://schemas.microsoft.com/office/drawing/2014/main" id="{00000000-0008-0000-0800-00002A0A0C00}"/>
            </a:ext>
          </a:extLst>
        </xdr:cNvPr>
        <xdr:cNvSpPr>
          <a:spLocks noChangeArrowheads="1"/>
        </xdr:cNvSpPr>
      </xdr:nvSpPr>
      <xdr:spPr bwMode="auto">
        <a:xfrm>
          <a:off x="31146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66675</xdr:colOff>
      <xdr:row>49</xdr:row>
      <xdr:rowOff>190500</xdr:rowOff>
    </xdr:from>
    <xdr:to>
      <xdr:col>34</xdr:col>
      <xdr:colOff>180975</xdr:colOff>
      <xdr:row>52</xdr:row>
      <xdr:rowOff>0</xdr:rowOff>
    </xdr:to>
    <xdr:sp macro="" textlink="">
      <xdr:nvSpPr>
        <xdr:cNvPr id="789035" name="Rectangle 61">
          <a:extLst>
            <a:ext uri="{FF2B5EF4-FFF2-40B4-BE49-F238E27FC236}">
              <a16:creationId xmlns:a16="http://schemas.microsoft.com/office/drawing/2014/main" id="{00000000-0008-0000-0800-00002B0A0C00}"/>
            </a:ext>
          </a:extLst>
        </xdr:cNvPr>
        <xdr:cNvSpPr>
          <a:spLocks noChangeArrowheads="1"/>
        </xdr:cNvSpPr>
      </xdr:nvSpPr>
      <xdr:spPr bwMode="auto">
        <a:xfrm>
          <a:off x="317182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228600</xdr:colOff>
      <xdr:row>50</xdr:row>
      <xdr:rowOff>0</xdr:rowOff>
    </xdr:from>
    <xdr:to>
      <xdr:col>5</xdr:col>
      <xdr:colOff>276225</xdr:colOff>
      <xdr:row>52</xdr:row>
      <xdr:rowOff>9525</xdr:rowOff>
    </xdr:to>
    <xdr:sp macro="" textlink="">
      <xdr:nvSpPr>
        <xdr:cNvPr id="789036" name="Rectangle 61">
          <a:extLst>
            <a:ext uri="{FF2B5EF4-FFF2-40B4-BE49-F238E27FC236}">
              <a16:creationId xmlns:a16="http://schemas.microsoft.com/office/drawing/2014/main" id="{00000000-0008-0000-0800-00002C0A0C00}"/>
            </a:ext>
          </a:extLst>
        </xdr:cNvPr>
        <xdr:cNvSpPr>
          <a:spLocks noChangeArrowheads="1"/>
        </xdr:cNvSpPr>
      </xdr:nvSpPr>
      <xdr:spPr bwMode="auto">
        <a:xfrm>
          <a:off x="1514475" y="9239250"/>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123825</xdr:colOff>
      <xdr:row>49</xdr:row>
      <xdr:rowOff>190500</xdr:rowOff>
    </xdr:from>
    <xdr:to>
      <xdr:col>49</xdr:col>
      <xdr:colOff>200025</xdr:colOff>
      <xdr:row>52</xdr:row>
      <xdr:rowOff>0</xdr:rowOff>
    </xdr:to>
    <xdr:sp macro="" textlink="">
      <xdr:nvSpPr>
        <xdr:cNvPr id="789037" name="Rectangle 61">
          <a:extLst>
            <a:ext uri="{FF2B5EF4-FFF2-40B4-BE49-F238E27FC236}">
              <a16:creationId xmlns:a16="http://schemas.microsoft.com/office/drawing/2014/main" id="{00000000-0008-0000-0800-00002D0A0C00}"/>
            </a:ext>
          </a:extLst>
        </xdr:cNvPr>
        <xdr:cNvSpPr>
          <a:spLocks noChangeArrowheads="1"/>
        </xdr:cNvSpPr>
      </xdr:nvSpPr>
      <xdr:spPr bwMode="auto">
        <a:xfrm>
          <a:off x="40290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190500</xdr:rowOff>
    </xdr:from>
    <xdr:to>
      <xdr:col>35</xdr:col>
      <xdr:colOff>352425</xdr:colOff>
      <xdr:row>52</xdr:row>
      <xdr:rowOff>0</xdr:rowOff>
    </xdr:to>
    <xdr:sp macro="" textlink="">
      <xdr:nvSpPr>
        <xdr:cNvPr id="789038" name="Rectangle 61">
          <a:extLst>
            <a:ext uri="{FF2B5EF4-FFF2-40B4-BE49-F238E27FC236}">
              <a16:creationId xmlns:a16="http://schemas.microsoft.com/office/drawing/2014/main" id="{00000000-0008-0000-0800-00002E0A0C00}"/>
            </a:ext>
          </a:extLst>
        </xdr:cNvPr>
        <xdr:cNvSpPr>
          <a:spLocks noChangeArrowheads="1"/>
        </xdr:cNvSpPr>
      </xdr:nvSpPr>
      <xdr:spPr bwMode="auto">
        <a:xfrm>
          <a:off x="32289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219075</xdr:colOff>
      <xdr:row>49</xdr:row>
      <xdr:rowOff>190500</xdr:rowOff>
    </xdr:from>
    <xdr:to>
      <xdr:col>33</xdr:col>
      <xdr:colOff>266700</xdr:colOff>
      <xdr:row>51</xdr:row>
      <xdr:rowOff>190500</xdr:rowOff>
    </xdr:to>
    <xdr:sp macro="" textlink="">
      <xdr:nvSpPr>
        <xdr:cNvPr id="789039" name="Rectangle 61">
          <a:extLst>
            <a:ext uri="{FF2B5EF4-FFF2-40B4-BE49-F238E27FC236}">
              <a16:creationId xmlns:a16="http://schemas.microsoft.com/office/drawing/2014/main" id="{00000000-0008-0000-0800-00002F0A0C00}"/>
            </a:ext>
          </a:extLst>
        </xdr:cNvPr>
        <xdr:cNvSpPr>
          <a:spLocks noChangeArrowheads="1"/>
        </xdr:cNvSpPr>
      </xdr:nvSpPr>
      <xdr:spPr bwMode="auto">
        <a:xfrm>
          <a:off x="31146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50</xdr:col>
      <xdr:colOff>200025</xdr:colOff>
      <xdr:row>50</xdr:row>
      <xdr:rowOff>0</xdr:rowOff>
    </xdr:from>
    <xdr:to>
      <xdr:col>50</xdr:col>
      <xdr:colOff>276225</xdr:colOff>
      <xdr:row>52</xdr:row>
      <xdr:rowOff>0</xdr:rowOff>
    </xdr:to>
    <xdr:sp macro="" textlink="">
      <xdr:nvSpPr>
        <xdr:cNvPr id="789040" name="Rectangle 61">
          <a:extLst>
            <a:ext uri="{FF2B5EF4-FFF2-40B4-BE49-F238E27FC236}">
              <a16:creationId xmlns:a16="http://schemas.microsoft.com/office/drawing/2014/main" id="{00000000-0008-0000-0800-0000300A0C00}"/>
            </a:ext>
          </a:extLst>
        </xdr:cNvPr>
        <xdr:cNvSpPr>
          <a:spLocks noChangeArrowheads="1"/>
        </xdr:cNvSpPr>
      </xdr:nvSpPr>
      <xdr:spPr bwMode="auto">
        <a:xfrm>
          <a:off x="408622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314325</xdr:colOff>
      <xdr:row>50</xdr:row>
      <xdr:rowOff>0</xdr:rowOff>
    </xdr:from>
    <xdr:to>
      <xdr:col>5</xdr:col>
      <xdr:colOff>371475</xdr:colOff>
      <xdr:row>52</xdr:row>
      <xdr:rowOff>0</xdr:rowOff>
    </xdr:to>
    <xdr:sp macro="" textlink="">
      <xdr:nvSpPr>
        <xdr:cNvPr id="789041" name="Rectangle 127">
          <a:extLst>
            <a:ext uri="{FF2B5EF4-FFF2-40B4-BE49-F238E27FC236}">
              <a16:creationId xmlns:a16="http://schemas.microsoft.com/office/drawing/2014/main" id="{00000000-0008-0000-0800-0000310A0C00}"/>
            </a:ext>
          </a:extLst>
        </xdr:cNvPr>
        <xdr:cNvSpPr>
          <a:spLocks noChangeArrowheads="1"/>
        </xdr:cNvSpPr>
      </xdr:nvSpPr>
      <xdr:spPr bwMode="auto">
        <a:xfrm>
          <a:off x="1514475" y="9239250"/>
          <a:ext cx="0" cy="31432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95250</xdr:colOff>
      <xdr:row>50</xdr:row>
      <xdr:rowOff>0</xdr:rowOff>
    </xdr:from>
    <xdr:to>
      <xdr:col>5</xdr:col>
      <xdr:colOff>161925</xdr:colOff>
      <xdr:row>52</xdr:row>
      <xdr:rowOff>0</xdr:rowOff>
    </xdr:to>
    <xdr:sp macro="" textlink="">
      <xdr:nvSpPr>
        <xdr:cNvPr id="789042" name="Rectangle 127">
          <a:extLst>
            <a:ext uri="{FF2B5EF4-FFF2-40B4-BE49-F238E27FC236}">
              <a16:creationId xmlns:a16="http://schemas.microsoft.com/office/drawing/2014/main" id="{00000000-0008-0000-0800-0000320A0C00}"/>
            </a:ext>
          </a:extLst>
        </xdr:cNvPr>
        <xdr:cNvSpPr>
          <a:spLocks noChangeArrowheads="1"/>
        </xdr:cNvSpPr>
      </xdr:nvSpPr>
      <xdr:spPr bwMode="auto">
        <a:xfrm>
          <a:off x="1514475" y="9239250"/>
          <a:ext cx="0" cy="31432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38100</xdr:colOff>
      <xdr:row>11</xdr:row>
      <xdr:rowOff>171450</xdr:rowOff>
    </xdr:from>
    <xdr:to>
      <xdr:col>63</xdr:col>
      <xdr:colOff>47625</xdr:colOff>
      <xdr:row>36</xdr:row>
      <xdr:rowOff>123825</xdr:rowOff>
    </xdr:to>
    <xdr:pic>
      <xdr:nvPicPr>
        <xdr:cNvPr id="789043" name="39 Imagen">
          <a:extLst>
            <a:ext uri="{FF2B5EF4-FFF2-40B4-BE49-F238E27FC236}">
              <a16:creationId xmlns:a16="http://schemas.microsoft.com/office/drawing/2014/main" id="{00000000-0008-0000-0800-0000330A0C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295525"/>
          <a:ext cx="7600950" cy="471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50837</xdr:colOff>
      <xdr:row>18</xdr:row>
      <xdr:rowOff>86778</xdr:rowOff>
    </xdr:from>
    <xdr:to>
      <xdr:col>30</xdr:col>
      <xdr:colOff>44488</xdr:colOff>
      <xdr:row>19</xdr:row>
      <xdr:rowOff>97360</xdr:rowOff>
    </xdr:to>
    <xdr:sp macro="" textlink="">
      <xdr:nvSpPr>
        <xdr:cNvPr id="36" name="35 Explosión 1">
          <a:extLst>
            <a:ext uri="{FF2B5EF4-FFF2-40B4-BE49-F238E27FC236}">
              <a16:creationId xmlns:a16="http://schemas.microsoft.com/office/drawing/2014/main" id="{00000000-0008-0000-0800-000024000000}"/>
            </a:ext>
          </a:extLst>
        </xdr:cNvPr>
        <xdr:cNvSpPr/>
      </xdr:nvSpPr>
      <xdr:spPr>
        <a:xfrm>
          <a:off x="2708312" y="3544353"/>
          <a:ext cx="222251" cy="201082"/>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28</xdr:col>
      <xdr:colOff>36021</xdr:colOff>
      <xdr:row>16</xdr:row>
      <xdr:rowOff>123817</xdr:rowOff>
    </xdr:from>
    <xdr:to>
      <xdr:col>57</xdr:col>
      <xdr:colOff>104774</xdr:colOff>
      <xdr:row>19</xdr:row>
      <xdr:rowOff>66675</xdr:rowOff>
    </xdr:to>
    <xdr:sp macro="" textlink="">
      <xdr:nvSpPr>
        <xdr:cNvPr id="37" name="36 CuadroTexto">
          <a:extLst>
            <a:ext uri="{FF2B5EF4-FFF2-40B4-BE49-F238E27FC236}">
              <a16:creationId xmlns:a16="http://schemas.microsoft.com/office/drawing/2014/main" id="{00000000-0008-0000-0800-000025000000}"/>
            </a:ext>
          </a:extLst>
        </xdr:cNvPr>
        <xdr:cNvSpPr txBox="1"/>
      </xdr:nvSpPr>
      <xdr:spPr>
        <a:xfrm>
          <a:off x="2807796" y="3200392"/>
          <a:ext cx="2430953" cy="5143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FRONTERA PR 67+0700</a:t>
          </a:r>
        </a:p>
      </xdr:txBody>
    </xdr:sp>
    <xdr:clientData/>
  </xdr:twoCellAnchor>
  <xdr:twoCellAnchor>
    <xdr:from>
      <xdr:col>0</xdr:col>
      <xdr:colOff>247650</xdr:colOff>
      <xdr:row>13</xdr:row>
      <xdr:rowOff>153450</xdr:rowOff>
    </xdr:from>
    <xdr:to>
      <xdr:col>13</xdr:col>
      <xdr:colOff>0</xdr:colOff>
      <xdr:row>15</xdr:row>
      <xdr:rowOff>142867</xdr:rowOff>
    </xdr:to>
    <xdr:sp macro="" textlink="">
      <xdr:nvSpPr>
        <xdr:cNvPr id="38" name="37 CuadroTexto">
          <a:extLst>
            <a:ext uri="{FF2B5EF4-FFF2-40B4-BE49-F238E27FC236}">
              <a16:creationId xmlns:a16="http://schemas.microsoft.com/office/drawing/2014/main" id="{00000000-0008-0000-0800-000026000000}"/>
            </a:ext>
          </a:extLst>
        </xdr:cNvPr>
        <xdr:cNvSpPr txBox="1"/>
      </xdr:nvSpPr>
      <xdr:spPr>
        <a:xfrm>
          <a:off x="247650" y="2658525"/>
          <a:ext cx="1666875"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UNIÓN PR 49+0000</a:t>
          </a:r>
        </a:p>
      </xdr:txBody>
    </xdr:sp>
    <xdr:clientData/>
  </xdr:twoCellAnchor>
  <xdr:twoCellAnchor>
    <xdr:from>
      <xdr:col>25</xdr:col>
      <xdr:colOff>9525</xdr:colOff>
      <xdr:row>34</xdr:row>
      <xdr:rowOff>52909</xdr:rowOff>
    </xdr:from>
    <xdr:to>
      <xdr:col>54</xdr:col>
      <xdr:colOff>19050</xdr:colOff>
      <xdr:row>36</xdr:row>
      <xdr:rowOff>42326</xdr:rowOff>
    </xdr:to>
    <xdr:sp macro="" textlink="">
      <xdr:nvSpPr>
        <xdr:cNvPr id="39" name="38 CuadroTexto">
          <a:extLst>
            <a:ext uri="{FF2B5EF4-FFF2-40B4-BE49-F238E27FC236}">
              <a16:creationId xmlns:a16="http://schemas.microsoft.com/office/drawing/2014/main" id="{00000000-0008-0000-0800-000027000000}"/>
            </a:ext>
          </a:extLst>
        </xdr:cNvPr>
        <xdr:cNvSpPr txBox="1"/>
      </xdr:nvSpPr>
      <xdr:spPr>
        <a:xfrm>
          <a:off x="2609850" y="6558484"/>
          <a:ext cx="1666875"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SONSÓN PR 103+0000</a:t>
          </a:r>
        </a:p>
      </xdr:txBody>
    </xdr:sp>
    <xdr:clientData/>
  </xdr:twoCellAnchor>
  <xdr:twoCellAnchor>
    <xdr:from>
      <xdr:col>13</xdr:col>
      <xdr:colOff>39687</xdr:colOff>
      <xdr:row>19</xdr:row>
      <xdr:rowOff>19051</xdr:rowOff>
    </xdr:from>
    <xdr:to>
      <xdr:col>36</xdr:col>
      <xdr:colOff>28575</xdr:colOff>
      <xdr:row>21</xdr:row>
      <xdr:rowOff>8468</xdr:rowOff>
    </xdr:to>
    <xdr:sp macro="" textlink="">
      <xdr:nvSpPr>
        <xdr:cNvPr id="40" name="39 CuadroTexto">
          <a:extLst>
            <a:ext uri="{FF2B5EF4-FFF2-40B4-BE49-F238E27FC236}">
              <a16:creationId xmlns:a16="http://schemas.microsoft.com/office/drawing/2014/main" id="{00000000-0008-0000-0800-000028000000}"/>
            </a:ext>
          </a:extLst>
        </xdr:cNvPr>
        <xdr:cNvSpPr txBox="1"/>
      </xdr:nvSpPr>
      <xdr:spPr>
        <a:xfrm>
          <a:off x="1954212" y="3667126"/>
          <a:ext cx="1303338"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MESOPOTAMIA</a:t>
          </a:r>
        </a:p>
      </xdr:txBody>
    </xdr:sp>
    <xdr:clientData/>
  </xdr:twoCellAnchor>
  <xdr:twoCellAnchor>
    <xdr:from>
      <xdr:col>2</xdr:col>
      <xdr:colOff>0</xdr:colOff>
      <xdr:row>12</xdr:row>
      <xdr:rowOff>95251</xdr:rowOff>
    </xdr:from>
    <xdr:to>
      <xdr:col>54</xdr:col>
      <xdr:colOff>35719</xdr:colOff>
      <xdr:row>35</xdr:row>
      <xdr:rowOff>57151</xdr:rowOff>
    </xdr:to>
    <xdr:sp macro="" textlink="">
      <xdr:nvSpPr>
        <xdr:cNvPr id="41" name="40 Forma libre">
          <a:extLst>
            <a:ext uri="{FF2B5EF4-FFF2-40B4-BE49-F238E27FC236}">
              <a16:creationId xmlns:a16="http://schemas.microsoft.com/office/drawing/2014/main" id="{00000000-0008-0000-0800-000029000000}"/>
            </a:ext>
          </a:extLst>
        </xdr:cNvPr>
        <xdr:cNvSpPr/>
      </xdr:nvSpPr>
      <xdr:spPr>
        <a:xfrm>
          <a:off x="1285875" y="2409826"/>
          <a:ext cx="3007519" cy="4343400"/>
        </a:xfrm>
        <a:custGeom>
          <a:avLst/>
          <a:gdLst>
            <a:gd name="connsiteX0" fmla="*/ 0 w 2984500"/>
            <a:gd name="connsiteY0" fmla="*/ 52916 h 4572000"/>
            <a:gd name="connsiteX1" fmla="*/ 359833 w 2984500"/>
            <a:gd name="connsiteY1" fmla="*/ 52916 h 4572000"/>
            <a:gd name="connsiteX2" fmla="*/ 423333 w 2984500"/>
            <a:gd name="connsiteY2" fmla="*/ 31750 h 4572000"/>
            <a:gd name="connsiteX3" fmla="*/ 455083 w 2984500"/>
            <a:gd name="connsiteY3" fmla="*/ 21166 h 4572000"/>
            <a:gd name="connsiteX4" fmla="*/ 486833 w 2984500"/>
            <a:gd name="connsiteY4" fmla="*/ 0 h 4572000"/>
            <a:gd name="connsiteX5" fmla="*/ 571500 w 2984500"/>
            <a:gd name="connsiteY5" fmla="*/ 10583 h 4572000"/>
            <a:gd name="connsiteX6" fmla="*/ 592666 w 2984500"/>
            <a:gd name="connsiteY6" fmla="*/ 42333 h 4572000"/>
            <a:gd name="connsiteX7" fmla="*/ 624416 w 2984500"/>
            <a:gd name="connsiteY7" fmla="*/ 52916 h 4572000"/>
            <a:gd name="connsiteX8" fmla="*/ 687916 w 2984500"/>
            <a:gd name="connsiteY8" fmla="*/ 95250 h 4572000"/>
            <a:gd name="connsiteX9" fmla="*/ 804333 w 2984500"/>
            <a:gd name="connsiteY9" fmla="*/ 63500 h 4572000"/>
            <a:gd name="connsiteX10" fmla="*/ 910166 w 2984500"/>
            <a:gd name="connsiteY10" fmla="*/ 74083 h 4572000"/>
            <a:gd name="connsiteX11" fmla="*/ 931333 w 2984500"/>
            <a:gd name="connsiteY11" fmla="*/ 105833 h 4572000"/>
            <a:gd name="connsiteX12" fmla="*/ 1058333 w 2984500"/>
            <a:gd name="connsiteY12" fmla="*/ 169333 h 4572000"/>
            <a:gd name="connsiteX13" fmla="*/ 1153583 w 2984500"/>
            <a:gd name="connsiteY13" fmla="*/ 201083 h 4572000"/>
            <a:gd name="connsiteX14" fmla="*/ 1185333 w 2984500"/>
            <a:gd name="connsiteY14" fmla="*/ 211666 h 4572000"/>
            <a:gd name="connsiteX15" fmla="*/ 1217083 w 2984500"/>
            <a:gd name="connsiteY15" fmla="*/ 275166 h 4572000"/>
            <a:gd name="connsiteX16" fmla="*/ 1248833 w 2984500"/>
            <a:gd name="connsiteY16" fmla="*/ 285750 h 4572000"/>
            <a:gd name="connsiteX17" fmla="*/ 1280583 w 2984500"/>
            <a:gd name="connsiteY17" fmla="*/ 306916 h 4572000"/>
            <a:gd name="connsiteX18" fmla="*/ 1291166 w 2984500"/>
            <a:gd name="connsiteY18" fmla="*/ 338666 h 4572000"/>
            <a:gd name="connsiteX19" fmla="*/ 1322916 w 2984500"/>
            <a:gd name="connsiteY19" fmla="*/ 349250 h 4572000"/>
            <a:gd name="connsiteX20" fmla="*/ 1397000 w 2984500"/>
            <a:gd name="connsiteY20" fmla="*/ 381000 h 4572000"/>
            <a:gd name="connsiteX21" fmla="*/ 1428750 w 2984500"/>
            <a:gd name="connsiteY21" fmla="*/ 444500 h 4572000"/>
            <a:gd name="connsiteX22" fmla="*/ 1439333 w 2984500"/>
            <a:gd name="connsiteY22" fmla="*/ 476250 h 4572000"/>
            <a:gd name="connsiteX23" fmla="*/ 1428750 w 2984500"/>
            <a:gd name="connsiteY23" fmla="*/ 539750 h 4572000"/>
            <a:gd name="connsiteX24" fmla="*/ 1407583 w 2984500"/>
            <a:gd name="connsiteY24" fmla="*/ 571500 h 4572000"/>
            <a:gd name="connsiteX25" fmla="*/ 1397000 w 2984500"/>
            <a:gd name="connsiteY25" fmla="*/ 603250 h 4572000"/>
            <a:gd name="connsiteX26" fmla="*/ 1386416 w 2984500"/>
            <a:gd name="connsiteY26" fmla="*/ 677333 h 4572000"/>
            <a:gd name="connsiteX27" fmla="*/ 1407583 w 2984500"/>
            <a:gd name="connsiteY27" fmla="*/ 836083 h 4572000"/>
            <a:gd name="connsiteX28" fmla="*/ 1418166 w 2984500"/>
            <a:gd name="connsiteY28" fmla="*/ 878416 h 4572000"/>
            <a:gd name="connsiteX29" fmla="*/ 1439333 w 2984500"/>
            <a:gd name="connsiteY29" fmla="*/ 941916 h 4572000"/>
            <a:gd name="connsiteX30" fmla="*/ 1449916 w 2984500"/>
            <a:gd name="connsiteY30" fmla="*/ 973666 h 4572000"/>
            <a:gd name="connsiteX31" fmla="*/ 1471083 w 2984500"/>
            <a:gd name="connsiteY31" fmla="*/ 1005416 h 4572000"/>
            <a:gd name="connsiteX32" fmla="*/ 1481666 w 2984500"/>
            <a:gd name="connsiteY32" fmla="*/ 1037166 h 4572000"/>
            <a:gd name="connsiteX33" fmla="*/ 1524000 w 2984500"/>
            <a:gd name="connsiteY33" fmla="*/ 1100666 h 4572000"/>
            <a:gd name="connsiteX34" fmla="*/ 1534583 w 2984500"/>
            <a:gd name="connsiteY34" fmla="*/ 1132416 h 4572000"/>
            <a:gd name="connsiteX35" fmla="*/ 1598083 w 2984500"/>
            <a:gd name="connsiteY35" fmla="*/ 1111250 h 4572000"/>
            <a:gd name="connsiteX36" fmla="*/ 1651000 w 2984500"/>
            <a:gd name="connsiteY36" fmla="*/ 1153583 h 4572000"/>
            <a:gd name="connsiteX37" fmla="*/ 1714500 w 2984500"/>
            <a:gd name="connsiteY37" fmla="*/ 1185333 h 4572000"/>
            <a:gd name="connsiteX38" fmla="*/ 1746250 w 2984500"/>
            <a:gd name="connsiteY38" fmla="*/ 1206500 h 4572000"/>
            <a:gd name="connsiteX39" fmla="*/ 1809750 w 2984500"/>
            <a:gd name="connsiteY39" fmla="*/ 1227666 h 4572000"/>
            <a:gd name="connsiteX40" fmla="*/ 1852083 w 2984500"/>
            <a:gd name="connsiteY40" fmla="*/ 1270000 h 4572000"/>
            <a:gd name="connsiteX41" fmla="*/ 1873250 w 2984500"/>
            <a:gd name="connsiteY41" fmla="*/ 1301750 h 4572000"/>
            <a:gd name="connsiteX42" fmla="*/ 1905000 w 2984500"/>
            <a:gd name="connsiteY42" fmla="*/ 1322916 h 4572000"/>
            <a:gd name="connsiteX43" fmla="*/ 1926166 w 2984500"/>
            <a:gd name="connsiteY43" fmla="*/ 1354666 h 4572000"/>
            <a:gd name="connsiteX44" fmla="*/ 1957916 w 2984500"/>
            <a:gd name="connsiteY44" fmla="*/ 1365250 h 4572000"/>
            <a:gd name="connsiteX45" fmla="*/ 1968500 w 2984500"/>
            <a:gd name="connsiteY45" fmla="*/ 1397000 h 4572000"/>
            <a:gd name="connsiteX46" fmla="*/ 2000250 w 2984500"/>
            <a:gd name="connsiteY46" fmla="*/ 1418166 h 4572000"/>
            <a:gd name="connsiteX47" fmla="*/ 2042583 w 2984500"/>
            <a:gd name="connsiteY47" fmla="*/ 1481666 h 4572000"/>
            <a:gd name="connsiteX48" fmla="*/ 2074333 w 2984500"/>
            <a:gd name="connsiteY48" fmla="*/ 1545166 h 4572000"/>
            <a:gd name="connsiteX49" fmla="*/ 2084916 w 2984500"/>
            <a:gd name="connsiteY49" fmla="*/ 1576916 h 4572000"/>
            <a:gd name="connsiteX50" fmla="*/ 2116666 w 2984500"/>
            <a:gd name="connsiteY50" fmla="*/ 1598083 h 4572000"/>
            <a:gd name="connsiteX51" fmla="*/ 2137833 w 2984500"/>
            <a:gd name="connsiteY51" fmla="*/ 1629833 h 4572000"/>
            <a:gd name="connsiteX52" fmla="*/ 2169583 w 2984500"/>
            <a:gd name="connsiteY52" fmla="*/ 1693333 h 4572000"/>
            <a:gd name="connsiteX53" fmla="*/ 2180166 w 2984500"/>
            <a:gd name="connsiteY53" fmla="*/ 1725083 h 4572000"/>
            <a:gd name="connsiteX54" fmla="*/ 2190750 w 2984500"/>
            <a:gd name="connsiteY54" fmla="*/ 1862666 h 4572000"/>
            <a:gd name="connsiteX55" fmla="*/ 2211916 w 2984500"/>
            <a:gd name="connsiteY55" fmla="*/ 1894416 h 4572000"/>
            <a:gd name="connsiteX56" fmla="*/ 2233083 w 2984500"/>
            <a:gd name="connsiteY56" fmla="*/ 1957916 h 4572000"/>
            <a:gd name="connsiteX57" fmla="*/ 2264833 w 2984500"/>
            <a:gd name="connsiteY57" fmla="*/ 2169583 h 4572000"/>
            <a:gd name="connsiteX58" fmla="*/ 2264833 w 2984500"/>
            <a:gd name="connsiteY58" fmla="*/ 2169583 h 4572000"/>
            <a:gd name="connsiteX59" fmla="*/ 2275416 w 2984500"/>
            <a:gd name="connsiteY59" fmla="*/ 2233083 h 4572000"/>
            <a:gd name="connsiteX60" fmla="*/ 2317750 w 2984500"/>
            <a:gd name="connsiteY60" fmla="*/ 2296583 h 4572000"/>
            <a:gd name="connsiteX61" fmla="*/ 2328333 w 2984500"/>
            <a:gd name="connsiteY61" fmla="*/ 2328333 h 4572000"/>
            <a:gd name="connsiteX62" fmla="*/ 2286000 w 2984500"/>
            <a:gd name="connsiteY62" fmla="*/ 2391833 h 4572000"/>
            <a:gd name="connsiteX63" fmla="*/ 2317750 w 2984500"/>
            <a:gd name="connsiteY63" fmla="*/ 2614083 h 4572000"/>
            <a:gd name="connsiteX64" fmla="*/ 2328333 w 2984500"/>
            <a:gd name="connsiteY64" fmla="*/ 2645833 h 4572000"/>
            <a:gd name="connsiteX65" fmla="*/ 2338916 w 2984500"/>
            <a:gd name="connsiteY65" fmla="*/ 2677583 h 4572000"/>
            <a:gd name="connsiteX66" fmla="*/ 2370666 w 2984500"/>
            <a:gd name="connsiteY66" fmla="*/ 2688166 h 4572000"/>
            <a:gd name="connsiteX67" fmla="*/ 2391833 w 2984500"/>
            <a:gd name="connsiteY67" fmla="*/ 3058583 h 4572000"/>
            <a:gd name="connsiteX68" fmla="*/ 2413000 w 2984500"/>
            <a:gd name="connsiteY68" fmla="*/ 3122083 h 4572000"/>
            <a:gd name="connsiteX69" fmla="*/ 2455333 w 2984500"/>
            <a:gd name="connsiteY69" fmla="*/ 3164416 h 4572000"/>
            <a:gd name="connsiteX70" fmla="*/ 2487083 w 2984500"/>
            <a:gd name="connsiteY70" fmla="*/ 3196166 h 4572000"/>
            <a:gd name="connsiteX71" fmla="*/ 2550583 w 2984500"/>
            <a:gd name="connsiteY71" fmla="*/ 3217333 h 4572000"/>
            <a:gd name="connsiteX72" fmla="*/ 2825750 w 2984500"/>
            <a:gd name="connsiteY72" fmla="*/ 3206750 h 4572000"/>
            <a:gd name="connsiteX73" fmla="*/ 2889250 w 2984500"/>
            <a:gd name="connsiteY73" fmla="*/ 3217333 h 4572000"/>
            <a:gd name="connsiteX74" fmla="*/ 2878666 w 2984500"/>
            <a:gd name="connsiteY74" fmla="*/ 3280833 h 4572000"/>
            <a:gd name="connsiteX75" fmla="*/ 2815166 w 2984500"/>
            <a:gd name="connsiteY75" fmla="*/ 3312583 h 4572000"/>
            <a:gd name="connsiteX76" fmla="*/ 2794000 w 2984500"/>
            <a:gd name="connsiteY76" fmla="*/ 3344333 h 4572000"/>
            <a:gd name="connsiteX77" fmla="*/ 2762250 w 2984500"/>
            <a:gd name="connsiteY77" fmla="*/ 3365500 h 4572000"/>
            <a:gd name="connsiteX78" fmla="*/ 2751666 w 2984500"/>
            <a:gd name="connsiteY78" fmla="*/ 3397250 h 4572000"/>
            <a:gd name="connsiteX79" fmla="*/ 2762250 w 2984500"/>
            <a:gd name="connsiteY79" fmla="*/ 3492500 h 4572000"/>
            <a:gd name="connsiteX80" fmla="*/ 2783416 w 2984500"/>
            <a:gd name="connsiteY80" fmla="*/ 3556000 h 4572000"/>
            <a:gd name="connsiteX81" fmla="*/ 2794000 w 2984500"/>
            <a:gd name="connsiteY81" fmla="*/ 3598333 h 4572000"/>
            <a:gd name="connsiteX82" fmla="*/ 2804583 w 2984500"/>
            <a:gd name="connsiteY82" fmla="*/ 3873500 h 4572000"/>
            <a:gd name="connsiteX83" fmla="*/ 2846916 w 2984500"/>
            <a:gd name="connsiteY83" fmla="*/ 3937000 h 4572000"/>
            <a:gd name="connsiteX84" fmla="*/ 2868083 w 2984500"/>
            <a:gd name="connsiteY84" fmla="*/ 4000500 h 4572000"/>
            <a:gd name="connsiteX85" fmla="*/ 2878666 w 2984500"/>
            <a:gd name="connsiteY85" fmla="*/ 4032250 h 4572000"/>
            <a:gd name="connsiteX86" fmla="*/ 2889250 w 2984500"/>
            <a:gd name="connsiteY86" fmla="*/ 4064000 h 4572000"/>
            <a:gd name="connsiteX87" fmla="*/ 2899833 w 2984500"/>
            <a:gd name="connsiteY87" fmla="*/ 4307416 h 4572000"/>
            <a:gd name="connsiteX88" fmla="*/ 2921000 w 2984500"/>
            <a:gd name="connsiteY88" fmla="*/ 4370916 h 4572000"/>
            <a:gd name="connsiteX89" fmla="*/ 2931583 w 2984500"/>
            <a:gd name="connsiteY89" fmla="*/ 4402666 h 4572000"/>
            <a:gd name="connsiteX90" fmla="*/ 2952750 w 2984500"/>
            <a:gd name="connsiteY90" fmla="*/ 4476750 h 4572000"/>
            <a:gd name="connsiteX91" fmla="*/ 2973916 w 2984500"/>
            <a:gd name="connsiteY91" fmla="*/ 4540250 h 4572000"/>
            <a:gd name="connsiteX92" fmla="*/ 2984500 w 2984500"/>
            <a:gd name="connsiteY92" fmla="*/ 4572000 h 457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Lst>
          <a:rect l="l" t="t" r="r" b="b"/>
          <a:pathLst>
            <a:path w="2984500" h="4572000">
              <a:moveTo>
                <a:pt x="0" y="52916"/>
              </a:moveTo>
              <a:cubicBezTo>
                <a:pt x="155374" y="64869"/>
                <a:pt x="182191" y="72654"/>
                <a:pt x="359833" y="52916"/>
              </a:cubicBezTo>
              <a:cubicBezTo>
                <a:pt x="382008" y="50452"/>
                <a:pt x="402166" y="38806"/>
                <a:pt x="423333" y="31750"/>
              </a:cubicBezTo>
              <a:cubicBezTo>
                <a:pt x="433916" y="28222"/>
                <a:pt x="445801" y="27354"/>
                <a:pt x="455083" y="21166"/>
              </a:cubicBezTo>
              <a:lnTo>
                <a:pt x="486833" y="0"/>
              </a:lnTo>
              <a:cubicBezTo>
                <a:pt x="515055" y="3528"/>
                <a:pt x="545092" y="20"/>
                <a:pt x="571500" y="10583"/>
              </a:cubicBezTo>
              <a:cubicBezTo>
                <a:pt x="583310" y="15307"/>
                <a:pt x="582734" y="34387"/>
                <a:pt x="592666" y="42333"/>
              </a:cubicBezTo>
              <a:cubicBezTo>
                <a:pt x="601377" y="49302"/>
                <a:pt x="613833" y="49388"/>
                <a:pt x="624416" y="52916"/>
              </a:cubicBezTo>
              <a:cubicBezTo>
                <a:pt x="645583" y="67027"/>
                <a:pt x="663236" y="101420"/>
                <a:pt x="687916" y="95250"/>
              </a:cubicBezTo>
              <a:cubicBezTo>
                <a:pt x="783406" y="71377"/>
                <a:pt x="744985" y="83282"/>
                <a:pt x="804333" y="63500"/>
              </a:cubicBezTo>
              <a:cubicBezTo>
                <a:pt x="839611" y="67028"/>
                <a:pt x="876532" y="62872"/>
                <a:pt x="910166" y="74083"/>
              </a:cubicBezTo>
              <a:cubicBezTo>
                <a:pt x="922233" y="78105"/>
                <a:pt x="921760" y="97457"/>
                <a:pt x="931333" y="105833"/>
              </a:cubicBezTo>
              <a:cubicBezTo>
                <a:pt x="981833" y="150020"/>
                <a:pt x="998383" y="149350"/>
                <a:pt x="1058333" y="169333"/>
              </a:cubicBezTo>
              <a:lnTo>
                <a:pt x="1153583" y="201083"/>
              </a:lnTo>
              <a:lnTo>
                <a:pt x="1185333" y="211666"/>
              </a:lnTo>
              <a:cubicBezTo>
                <a:pt x="1192305" y="232583"/>
                <a:pt x="1198431" y="260244"/>
                <a:pt x="1217083" y="275166"/>
              </a:cubicBezTo>
              <a:cubicBezTo>
                <a:pt x="1225794" y="282135"/>
                <a:pt x="1238855" y="280761"/>
                <a:pt x="1248833" y="285750"/>
              </a:cubicBezTo>
              <a:cubicBezTo>
                <a:pt x="1260210" y="291438"/>
                <a:pt x="1270000" y="299861"/>
                <a:pt x="1280583" y="306916"/>
              </a:cubicBezTo>
              <a:cubicBezTo>
                <a:pt x="1284111" y="317499"/>
                <a:pt x="1283278" y="330778"/>
                <a:pt x="1291166" y="338666"/>
              </a:cubicBezTo>
              <a:cubicBezTo>
                <a:pt x="1299054" y="346554"/>
                <a:pt x="1312938" y="344261"/>
                <a:pt x="1322916" y="349250"/>
              </a:cubicBezTo>
              <a:cubicBezTo>
                <a:pt x="1396002" y="385793"/>
                <a:pt x="1308896" y="358973"/>
                <a:pt x="1397000" y="381000"/>
              </a:cubicBezTo>
              <a:cubicBezTo>
                <a:pt x="1423601" y="460804"/>
                <a:pt x="1387718" y="362436"/>
                <a:pt x="1428750" y="444500"/>
              </a:cubicBezTo>
              <a:cubicBezTo>
                <a:pt x="1433739" y="454478"/>
                <a:pt x="1435805" y="465667"/>
                <a:pt x="1439333" y="476250"/>
              </a:cubicBezTo>
              <a:cubicBezTo>
                <a:pt x="1435805" y="497417"/>
                <a:pt x="1435536" y="519393"/>
                <a:pt x="1428750" y="539750"/>
              </a:cubicBezTo>
              <a:cubicBezTo>
                <a:pt x="1424728" y="551817"/>
                <a:pt x="1413271" y="560123"/>
                <a:pt x="1407583" y="571500"/>
              </a:cubicBezTo>
              <a:cubicBezTo>
                <a:pt x="1402594" y="581478"/>
                <a:pt x="1400528" y="592667"/>
                <a:pt x="1397000" y="603250"/>
              </a:cubicBezTo>
              <a:cubicBezTo>
                <a:pt x="1393472" y="627944"/>
                <a:pt x="1386416" y="652388"/>
                <a:pt x="1386416" y="677333"/>
              </a:cubicBezTo>
              <a:cubicBezTo>
                <a:pt x="1386416" y="820888"/>
                <a:pt x="1386590" y="762605"/>
                <a:pt x="1407583" y="836083"/>
              </a:cubicBezTo>
              <a:cubicBezTo>
                <a:pt x="1411579" y="850069"/>
                <a:pt x="1413986" y="864484"/>
                <a:pt x="1418166" y="878416"/>
              </a:cubicBezTo>
              <a:cubicBezTo>
                <a:pt x="1424577" y="899787"/>
                <a:pt x="1432277" y="920749"/>
                <a:pt x="1439333" y="941916"/>
              </a:cubicBezTo>
              <a:lnTo>
                <a:pt x="1449916" y="973666"/>
              </a:lnTo>
              <a:cubicBezTo>
                <a:pt x="1453938" y="985733"/>
                <a:pt x="1464027" y="994833"/>
                <a:pt x="1471083" y="1005416"/>
              </a:cubicBezTo>
              <a:cubicBezTo>
                <a:pt x="1474611" y="1015999"/>
                <a:pt x="1476248" y="1027414"/>
                <a:pt x="1481666" y="1037166"/>
              </a:cubicBezTo>
              <a:cubicBezTo>
                <a:pt x="1494020" y="1059404"/>
                <a:pt x="1524000" y="1100666"/>
                <a:pt x="1524000" y="1100666"/>
              </a:cubicBezTo>
              <a:cubicBezTo>
                <a:pt x="1527528" y="1111249"/>
                <a:pt x="1523539" y="1130838"/>
                <a:pt x="1534583" y="1132416"/>
              </a:cubicBezTo>
              <a:cubicBezTo>
                <a:pt x="1556670" y="1135572"/>
                <a:pt x="1598083" y="1111250"/>
                <a:pt x="1598083" y="1111250"/>
              </a:cubicBezTo>
              <a:cubicBezTo>
                <a:pt x="1659893" y="1131853"/>
                <a:pt x="1603130" y="1105713"/>
                <a:pt x="1651000" y="1153583"/>
              </a:cubicBezTo>
              <a:cubicBezTo>
                <a:pt x="1671517" y="1174100"/>
                <a:pt x="1688676" y="1176725"/>
                <a:pt x="1714500" y="1185333"/>
              </a:cubicBezTo>
              <a:cubicBezTo>
                <a:pt x="1725083" y="1192389"/>
                <a:pt x="1734627" y="1201334"/>
                <a:pt x="1746250" y="1206500"/>
              </a:cubicBezTo>
              <a:cubicBezTo>
                <a:pt x="1766639" y="1215562"/>
                <a:pt x="1809750" y="1227666"/>
                <a:pt x="1809750" y="1227666"/>
              </a:cubicBezTo>
              <a:cubicBezTo>
                <a:pt x="1832840" y="1296938"/>
                <a:pt x="1800771" y="1228950"/>
                <a:pt x="1852083" y="1270000"/>
              </a:cubicBezTo>
              <a:cubicBezTo>
                <a:pt x="1862015" y="1277946"/>
                <a:pt x="1864256" y="1292756"/>
                <a:pt x="1873250" y="1301750"/>
              </a:cubicBezTo>
              <a:cubicBezTo>
                <a:pt x="1882244" y="1310744"/>
                <a:pt x="1894417" y="1315861"/>
                <a:pt x="1905000" y="1322916"/>
              </a:cubicBezTo>
              <a:cubicBezTo>
                <a:pt x="1912055" y="1333499"/>
                <a:pt x="1916234" y="1346720"/>
                <a:pt x="1926166" y="1354666"/>
              </a:cubicBezTo>
              <a:cubicBezTo>
                <a:pt x="1934877" y="1361635"/>
                <a:pt x="1950028" y="1357362"/>
                <a:pt x="1957916" y="1365250"/>
              </a:cubicBezTo>
              <a:cubicBezTo>
                <a:pt x="1965804" y="1373138"/>
                <a:pt x="1961531" y="1388289"/>
                <a:pt x="1968500" y="1397000"/>
              </a:cubicBezTo>
              <a:cubicBezTo>
                <a:pt x="1976446" y="1406932"/>
                <a:pt x="1989667" y="1411111"/>
                <a:pt x="2000250" y="1418166"/>
              </a:cubicBezTo>
              <a:cubicBezTo>
                <a:pt x="2014361" y="1439333"/>
                <a:pt x="2034539" y="1457532"/>
                <a:pt x="2042583" y="1481666"/>
              </a:cubicBezTo>
              <a:cubicBezTo>
                <a:pt x="2057188" y="1525483"/>
                <a:pt x="2046978" y="1504134"/>
                <a:pt x="2074333" y="1545166"/>
              </a:cubicBezTo>
              <a:cubicBezTo>
                <a:pt x="2077861" y="1555749"/>
                <a:pt x="2077947" y="1568205"/>
                <a:pt x="2084916" y="1576916"/>
              </a:cubicBezTo>
              <a:cubicBezTo>
                <a:pt x="2092862" y="1586848"/>
                <a:pt x="2107672" y="1589089"/>
                <a:pt x="2116666" y="1598083"/>
              </a:cubicBezTo>
              <a:cubicBezTo>
                <a:pt x="2125660" y="1607077"/>
                <a:pt x="2130777" y="1619250"/>
                <a:pt x="2137833" y="1629833"/>
              </a:cubicBezTo>
              <a:cubicBezTo>
                <a:pt x="2164434" y="1709637"/>
                <a:pt x="2128551" y="1611269"/>
                <a:pt x="2169583" y="1693333"/>
              </a:cubicBezTo>
              <a:cubicBezTo>
                <a:pt x="2174572" y="1703311"/>
                <a:pt x="2176638" y="1714500"/>
                <a:pt x="2180166" y="1725083"/>
              </a:cubicBezTo>
              <a:cubicBezTo>
                <a:pt x="2183694" y="1770944"/>
                <a:pt x="2182273" y="1817457"/>
                <a:pt x="2190750" y="1862666"/>
              </a:cubicBezTo>
              <a:cubicBezTo>
                <a:pt x="2193094" y="1875168"/>
                <a:pt x="2206750" y="1882793"/>
                <a:pt x="2211916" y="1894416"/>
              </a:cubicBezTo>
              <a:cubicBezTo>
                <a:pt x="2220978" y="1914805"/>
                <a:pt x="2233083" y="1957916"/>
                <a:pt x="2233083" y="1957916"/>
              </a:cubicBezTo>
              <a:cubicBezTo>
                <a:pt x="2245256" y="2128338"/>
                <a:pt x="2228008" y="2059109"/>
                <a:pt x="2264833" y="2169583"/>
              </a:cubicBezTo>
              <a:lnTo>
                <a:pt x="2264833" y="2169583"/>
              </a:lnTo>
              <a:cubicBezTo>
                <a:pt x="2268361" y="2190750"/>
                <a:pt x="2267163" y="2213275"/>
                <a:pt x="2275416" y="2233083"/>
              </a:cubicBezTo>
              <a:cubicBezTo>
                <a:pt x="2285200" y="2256565"/>
                <a:pt x="2317750" y="2296583"/>
                <a:pt x="2317750" y="2296583"/>
              </a:cubicBezTo>
              <a:cubicBezTo>
                <a:pt x="2321278" y="2307166"/>
                <a:pt x="2328333" y="2317177"/>
                <a:pt x="2328333" y="2328333"/>
              </a:cubicBezTo>
              <a:cubicBezTo>
                <a:pt x="2328333" y="2358966"/>
                <a:pt x="2305090" y="2372743"/>
                <a:pt x="2286000" y="2391833"/>
              </a:cubicBezTo>
              <a:cubicBezTo>
                <a:pt x="2298067" y="2572851"/>
                <a:pt x="2279812" y="2500268"/>
                <a:pt x="2317750" y="2614083"/>
              </a:cubicBezTo>
              <a:lnTo>
                <a:pt x="2328333" y="2645833"/>
              </a:lnTo>
              <a:cubicBezTo>
                <a:pt x="2331861" y="2656416"/>
                <a:pt x="2328333" y="2674055"/>
                <a:pt x="2338916" y="2677583"/>
              </a:cubicBezTo>
              <a:lnTo>
                <a:pt x="2370666" y="2688166"/>
              </a:lnTo>
              <a:cubicBezTo>
                <a:pt x="2419128" y="2833542"/>
                <a:pt x="2359038" y="2643179"/>
                <a:pt x="2391833" y="3058583"/>
              </a:cubicBezTo>
              <a:cubicBezTo>
                <a:pt x="2393589" y="3080825"/>
                <a:pt x="2405944" y="3100916"/>
                <a:pt x="2413000" y="3122083"/>
              </a:cubicBezTo>
              <a:cubicBezTo>
                <a:pt x="2427111" y="3164416"/>
                <a:pt x="2412999" y="3150305"/>
                <a:pt x="2455333" y="3164416"/>
              </a:cubicBezTo>
              <a:cubicBezTo>
                <a:pt x="2465916" y="3174999"/>
                <a:pt x="2473999" y="3188897"/>
                <a:pt x="2487083" y="3196166"/>
              </a:cubicBezTo>
              <a:cubicBezTo>
                <a:pt x="2506587" y="3207002"/>
                <a:pt x="2550583" y="3217333"/>
                <a:pt x="2550583" y="3217333"/>
              </a:cubicBezTo>
              <a:cubicBezTo>
                <a:pt x="2642305" y="3213805"/>
                <a:pt x="2733960" y="3206750"/>
                <a:pt x="2825750" y="3206750"/>
              </a:cubicBezTo>
              <a:cubicBezTo>
                <a:pt x="2847209" y="3206750"/>
                <a:pt x="2876777" y="3199871"/>
                <a:pt x="2889250" y="3217333"/>
              </a:cubicBezTo>
              <a:cubicBezTo>
                <a:pt x="2901723" y="3234795"/>
                <a:pt x="2888263" y="3261640"/>
                <a:pt x="2878666" y="3280833"/>
              </a:cubicBezTo>
              <a:cubicBezTo>
                <a:pt x="2870459" y="3297247"/>
                <a:pt x="2830194" y="3307574"/>
                <a:pt x="2815166" y="3312583"/>
              </a:cubicBezTo>
              <a:cubicBezTo>
                <a:pt x="2808111" y="3323166"/>
                <a:pt x="2802994" y="3335339"/>
                <a:pt x="2794000" y="3344333"/>
              </a:cubicBezTo>
              <a:cubicBezTo>
                <a:pt x="2785006" y="3353327"/>
                <a:pt x="2770196" y="3355568"/>
                <a:pt x="2762250" y="3365500"/>
              </a:cubicBezTo>
              <a:cubicBezTo>
                <a:pt x="2755281" y="3374211"/>
                <a:pt x="2755194" y="3386667"/>
                <a:pt x="2751666" y="3397250"/>
              </a:cubicBezTo>
              <a:cubicBezTo>
                <a:pt x="2755194" y="3429000"/>
                <a:pt x="2755985" y="3461175"/>
                <a:pt x="2762250" y="3492500"/>
              </a:cubicBezTo>
              <a:cubicBezTo>
                <a:pt x="2766626" y="3514378"/>
                <a:pt x="2776361" y="3534833"/>
                <a:pt x="2783416" y="3556000"/>
              </a:cubicBezTo>
              <a:cubicBezTo>
                <a:pt x="2788016" y="3569799"/>
                <a:pt x="2790472" y="3584222"/>
                <a:pt x="2794000" y="3598333"/>
              </a:cubicBezTo>
              <a:cubicBezTo>
                <a:pt x="2797528" y="3690055"/>
                <a:pt x="2790413" y="3782810"/>
                <a:pt x="2804583" y="3873500"/>
              </a:cubicBezTo>
              <a:cubicBezTo>
                <a:pt x="2808510" y="3898634"/>
                <a:pt x="2832805" y="3915833"/>
                <a:pt x="2846916" y="3937000"/>
              </a:cubicBezTo>
              <a:cubicBezTo>
                <a:pt x="2859292" y="3955564"/>
                <a:pt x="2861027" y="3979333"/>
                <a:pt x="2868083" y="4000500"/>
              </a:cubicBezTo>
              <a:lnTo>
                <a:pt x="2878666" y="4032250"/>
              </a:lnTo>
              <a:lnTo>
                <a:pt x="2889250" y="4064000"/>
              </a:lnTo>
              <a:cubicBezTo>
                <a:pt x="2892778" y="4145139"/>
                <a:pt x="2891476" y="4226632"/>
                <a:pt x="2899833" y="4307416"/>
              </a:cubicBezTo>
              <a:cubicBezTo>
                <a:pt x="2902129" y="4329609"/>
                <a:pt x="2913944" y="4349749"/>
                <a:pt x="2921000" y="4370916"/>
              </a:cubicBezTo>
              <a:lnTo>
                <a:pt x="2931583" y="4402666"/>
              </a:lnTo>
              <a:cubicBezTo>
                <a:pt x="2967149" y="4509367"/>
                <a:pt x="2912883" y="4343860"/>
                <a:pt x="2952750" y="4476750"/>
              </a:cubicBezTo>
              <a:cubicBezTo>
                <a:pt x="2959161" y="4498121"/>
                <a:pt x="2966860" y="4519083"/>
                <a:pt x="2973916" y="4540250"/>
              </a:cubicBezTo>
              <a:lnTo>
                <a:pt x="2984500" y="4572000"/>
              </a:lnTo>
            </a:path>
          </a:pathLst>
        </a:custGeom>
        <a:ln w="3492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53</xdr:col>
      <xdr:colOff>7259</xdr:colOff>
      <xdr:row>34</xdr:row>
      <xdr:rowOff>80114</xdr:rowOff>
    </xdr:from>
    <xdr:to>
      <xdr:col>55</xdr:col>
      <xdr:colOff>33618</xdr:colOff>
      <xdr:row>35</xdr:row>
      <xdr:rowOff>90696</xdr:rowOff>
    </xdr:to>
    <xdr:sp macro="" textlink="">
      <xdr:nvSpPr>
        <xdr:cNvPr id="42" name="41 Explosión 1">
          <a:extLst>
            <a:ext uri="{FF2B5EF4-FFF2-40B4-BE49-F238E27FC236}">
              <a16:creationId xmlns:a16="http://schemas.microsoft.com/office/drawing/2014/main" id="{00000000-0008-0000-0800-00002A000000}"/>
            </a:ext>
          </a:extLst>
        </xdr:cNvPr>
        <xdr:cNvSpPr/>
      </xdr:nvSpPr>
      <xdr:spPr>
        <a:xfrm>
          <a:off x="4207784" y="6585689"/>
          <a:ext cx="140659" cy="201082"/>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27</xdr:col>
      <xdr:colOff>28575</xdr:colOff>
      <xdr:row>17</xdr:row>
      <xdr:rowOff>114302</xdr:rowOff>
    </xdr:from>
    <xdr:to>
      <xdr:col>30</xdr:col>
      <xdr:colOff>38100</xdr:colOff>
      <xdr:row>18</xdr:row>
      <xdr:rowOff>66676</xdr:rowOff>
    </xdr:to>
    <xdr:sp macro="" textlink="">
      <xdr:nvSpPr>
        <xdr:cNvPr id="43" name="42 Explosión 1">
          <a:extLst>
            <a:ext uri="{FF2B5EF4-FFF2-40B4-BE49-F238E27FC236}">
              <a16:creationId xmlns:a16="http://schemas.microsoft.com/office/drawing/2014/main" id="{00000000-0008-0000-0800-00002B000000}"/>
            </a:ext>
          </a:extLst>
        </xdr:cNvPr>
        <xdr:cNvSpPr/>
      </xdr:nvSpPr>
      <xdr:spPr>
        <a:xfrm>
          <a:off x="2743200" y="3381377"/>
          <a:ext cx="180975" cy="142874"/>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0</xdr:col>
      <xdr:colOff>1095363</xdr:colOff>
      <xdr:row>12</xdr:row>
      <xdr:rowOff>38101</xdr:rowOff>
    </xdr:from>
    <xdr:to>
      <xdr:col>2</xdr:col>
      <xdr:colOff>31739</xdr:colOff>
      <xdr:row>13</xdr:row>
      <xdr:rowOff>48683</xdr:rowOff>
    </xdr:to>
    <xdr:sp macro="" textlink="">
      <xdr:nvSpPr>
        <xdr:cNvPr id="44" name="43 Explosión 1">
          <a:extLst>
            <a:ext uri="{FF2B5EF4-FFF2-40B4-BE49-F238E27FC236}">
              <a16:creationId xmlns:a16="http://schemas.microsoft.com/office/drawing/2014/main" id="{00000000-0008-0000-0800-00002C000000}"/>
            </a:ext>
          </a:extLst>
        </xdr:cNvPr>
        <xdr:cNvSpPr/>
      </xdr:nvSpPr>
      <xdr:spPr>
        <a:xfrm>
          <a:off x="1095363" y="2352676"/>
          <a:ext cx="222251" cy="201082"/>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29</xdr:col>
      <xdr:colOff>9525</xdr:colOff>
      <xdr:row>18</xdr:row>
      <xdr:rowOff>28576</xdr:rowOff>
    </xdr:from>
    <xdr:to>
      <xdr:col>29</xdr:col>
      <xdr:colOff>9525</xdr:colOff>
      <xdr:row>18</xdr:row>
      <xdr:rowOff>144993</xdr:rowOff>
    </xdr:to>
    <xdr:sp macro="" textlink="">
      <xdr:nvSpPr>
        <xdr:cNvPr id="45" name="44 Forma libre">
          <a:extLst>
            <a:ext uri="{FF2B5EF4-FFF2-40B4-BE49-F238E27FC236}">
              <a16:creationId xmlns:a16="http://schemas.microsoft.com/office/drawing/2014/main" id="{00000000-0008-0000-0800-00002D000000}"/>
            </a:ext>
          </a:extLst>
        </xdr:cNvPr>
        <xdr:cNvSpPr/>
      </xdr:nvSpPr>
      <xdr:spPr>
        <a:xfrm>
          <a:off x="2838450" y="3486151"/>
          <a:ext cx="0" cy="116417"/>
        </a:xfrm>
        <a:custGeom>
          <a:avLst/>
          <a:gdLst>
            <a:gd name="connsiteX0" fmla="*/ 0 w 0"/>
            <a:gd name="connsiteY0" fmla="*/ 0 h 116417"/>
            <a:gd name="connsiteX1" fmla="*/ 0 w 0"/>
            <a:gd name="connsiteY1" fmla="*/ 116417 h 116417"/>
          </a:gdLst>
          <a:ahLst/>
          <a:cxnLst>
            <a:cxn ang="0">
              <a:pos x="connsiteX0" y="connsiteY0"/>
            </a:cxn>
            <a:cxn ang="0">
              <a:pos x="connsiteX1" y="connsiteY1"/>
            </a:cxn>
          </a:cxnLst>
          <a:rect l="l" t="t" r="r" b="b"/>
          <a:pathLst>
            <a:path h="116417">
              <a:moveTo>
                <a:pt x="0" y="0"/>
              </a:moveTo>
              <a:lnTo>
                <a:pt x="0" y="116417"/>
              </a:lnTo>
            </a:path>
          </a:pathLst>
        </a:custGeom>
        <a:ln w="2540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33</xdr:col>
      <xdr:colOff>26613</xdr:colOff>
      <xdr:row>18</xdr:row>
      <xdr:rowOff>130726</xdr:rowOff>
    </xdr:from>
    <xdr:to>
      <xdr:col>35</xdr:col>
      <xdr:colOff>20060</xdr:colOff>
      <xdr:row>18</xdr:row>
      <xdr:rowOff>185297</xdr:rowOff>
    </xdr:to>
    <xdr:sp macro="" textlink="">
      <xdr:nvSpPr>
        <xdr:cNvPr id="47" name="Diagrama de flujo: proceso 49">
          <a:extLst>
            <a:ext uri="{FF2B5EF4-FFF2-40B4-BE49-F238E27FC236}">
              <a16:creationId xmlns:a16="http://schemas.microsoft.com/office/drawing/2014/main" id="{00000000-0008-0000-0800-00002F000000}"/>
            </a:ext>
          </a:extLst>
        </xdr:cNvPr>
        <xdr:cNvSpPr/>
      </xdr:nvSpPr>
      <xdr:spPr>
        <a:xfrm rot="2445048">
          <a:off x="3084138" y="3588301"/>
          <a:ext cx="107747" cy="54571"/>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32</xdr:col>
      <xdr:colOff>17858</xdr:colOff>
      <xdr:row>18</xdr:row>
      <xdr:rowOff>83874</xdr:rowOff>
    </xdr:from>
    <xdr:to>
      <xdr:col>33</xdr:col>
      <xdr:colOff>46963</xdr:colOff>
      <xdr:row>18</xdr:row>
      <xdr:rowOff>128269</xdr:rowOff>
    </xdr:to>
    <xdr:sp macro="" textlink="">
      <xdr:nvSpPr>
        <xdr:cNvPr id="48" name="Diagrama de flujo: proceso 52">
          <a:extLst>
            <a:ext uri="{FF2B5EF4-FFF2-40B4-BE49-F238E27FC236}">
              <a16:creationId xmlns:a16="http://schemas.microsoft.com/office/drawing/2014/main" id="{00000000-0008-0000-0800-000030000000}"/>
            </a:ext>
          </a:extLst>
        </xdr:cNvPr>
        <xdr:cNvSpPr/>
      </xdr:nvSpPr>
      <xdr:spPr>
        <a:xfrm rot="1618315">
          <a:off x="3018233" y="3541449"/>
          <a:ext cx="86255" cy="4439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30</xdr:col>
      <xdr:colOff>44514</xdr:colOff>
      <xdr:row>18</xdr:row>
      <xdr:rowOff>49489</xdr:rowOff>
    </xdr:from>
    <xdr:to>
      <xdr:col>32</xdr:col>
      <xdr:colOff>27810</xdr:colOff>
      <xdr:row>18</xdr:row>
      <xdr:rowOff>104167</xdr:rowOff>
    </xdr:to>
    <xdr:sp macro="" textlink="">
      <xdr:nvSpPr>
        <xdr:cNvPr id="49" name="Diagrama de flujo: proceso 53">
          <a:extLst>
            <a:ext uri="{FF2B5EF4-FFF2-40B4-BE49-F238E27FC236}">
              <a16:creationId xmlns:a16="http://schemas.microsoft.com/office/drawing/2014/main" id="{00000000-0008-0000-0800-000031000000}"/>
            </a:ext>
          </a:extLst>
        </xdr:cNvPr>
        <xdr:cNvSpPr/>
      </xdr:nvSpPr>
      <xdr:spPr>
        <a:xfrm rot="1134812">
          <a:off x="2930589" y="3507064"/>
          <a:ext cx="97596" cy="5467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34</xdr:col>
      <xdr:colOff>21932</xdr:colOff>
      <xdr:row>18</xdr:row>
      <xdr:rowOff>177167</xdr:rowOff>
    </xdr:from>
    <xdr:to>
      <xdr:col>35</xdr:col>
      <xdr:colOff>51037</xdr:colOff>
      <xdr:row>19</xdr:row>
      <xdr:rowOff>31063</xdr:rowOff>
    </xdr:to>
    <xdr:sp macro="" textlink="">
      <xdr:nvSpPr>
        <xdr:cNvPr id="50" name="Diagrama de flujo: proceso 54">
          <a:extLst>
            <a:ext uri="{FF2B5EF4-FFF2-40B4-BE49-F238E27FC236}">
              <a16:creationId xmlns:a16="http://schemas.microsoft.com/office/drawing/2014/main" id="{00000000-0008-0000-0800-000032000000}"/>
            </a:ext>
          </a:extLst>
        </xdr:cNvPr>
        <xdr:cNvSpPr/>
      </xdr:nvSpPr>
      <xdr:spPr>
        <a:xfrm rot="2272105">
          <a:off x="3136607" y="3634742"/>
          <a:ext cx="86255" cy="4439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53139</xdr:colOff>
      <xdr:row>27</xdr:row>
      <xdr:rowOff>111981</xdr:rowOff>
    </xdr:from>
    <xdr:to>
      <xdr:col>44</xdr:col>
      <xdr:colOff>43714</xdr:colOff>
      <xdr:row>28</xdr:row>
      <xdr:rowOff>8794</xdr:rowOff>
    </xdr:to>
    <xdr:sp macro="" textlink="">
      <xdr:nvSpPr>
        <xdr:cNvPr id="51" name="Diagrama de flujo: proceso 55">
          <a:extLst>
            <a:ext uri="{FF2B5EF4-FFF2-40B4-BE49-F238E27FC236}">
              <a16:creationId xmlns:a16="http://schemas.microsoft.com/office/drawing/2014/main" id="{00000000-0008-0000-0800-000033000000}"/>
            </a:ext>
          </a:extLst>
        </xdr:cNvPr>
        <xdr:cNvSpPr/>
      </xdr:nvSpPr>
      <xdr:spPr>
        <a:xfrm rot="4528713">
          <a:off x="3662370" y="5303850"/>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44</xdr:col>
      <xdr:colOff>20240</xdr:colOff>
      <xdr:row>27</xdr:row>
      <xdr:rowOff>187805</xdr:rowOff>
    </xdr:from>
    <xdr:to>
      <xdr:col>45</xdr:col>
      <xdr:colOff>6428</xdr:colOff>
      <xdr:row>28</xdr:row>
      <xdr:rowOff>84618</xdr:rowOff>
    </xdr:to>
    <xdr:sp macro="" textlink="">
      <xdr:nvSpPr>
        <xdr:cNvPr id="52" name="Diagrama de flujo: proceso 56">
          <a:extLst>
            <a:ext uri="{FF2B5EF4-FFF2-40B4-BE49-F238E27FC236}">
              <a16:creationId xmlns:a16="http://schemas.microsoft.com/office/drawing/2014/main" id="{00000000-0008-0000-0800-000034000000}"/>
            </a:ext>
          </a:extLst>
        </xdr:cNvPr>
        <xdr:cNvSpPr/>
      </xdr:nvSpPr>
      <xdr:spPr>
        <a:xfrm rot="3337139">
          <a:off x="3684427" y="5381868"/>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45</xdr:col>
      <xdr:colOff>8968</xdr:colOff>
      <xdr:row>28</xdr:row>
      <xdr:rowOff>56514</xdr:rowOff>
    </xdr:from>
    <xdr:to>
      <xdr:col>46</xdr:col>
      <xdr:colOff>36750</xdr:colOff>
      <xdr:row>28</xdr:row>
      <xdr:rowOff>102233</xdr:rowOff>
    </xdr:to>
    <xdr:sp macro="" textlink="">
      <xdr:nvSpPr>
        <xdr:cNvPr id="53" name="Diagrama de flujo: proceso 57">
          <a:extLst>
            <a:ext uri="{FF2B5EF4-FFF2-40B4-BE49-F238E27FC236}">
              <a16:creationId xmlns:a16="http://schemas.microsoft.com/office/drawing/2014/main" id="{00000000-0008-0000-0800-000035000000}"/>
            </a:ext>
          </a:extLst>
        </xdr:cNvPr>
        <xdr:cNvSpPr/>
      </xdr:nvSpPr>
      <xdr:spPr>
        <a:xfrm rot="1566772">
          <a:off x="3752293" y="5419089"/>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17859</xdr:colOff>
      <xdr:row>28</xdr:row>
      <xdr:rowOff>71438</xdr:rowOff>
    </xdr:from>
    <xdr:to>
      <xdr:col>51</xdr:col>
      <xdr:colOff>45641</xdr:colOff>
      <xdr:row>28</xdr:row>
      <xdr:rowOff>117157</xdr:rowOff>
    </xdr:to>
    <xdr:sp macro="" textlink="">
      <xdr:nvSpPr>
        <xdr:cNvPr id="54" name="Diagrama de flujo: proceso 58">
          <a:extLst>
            <a:ext uri="{FF2B5EF4-FFF2-40B4-BE49-F238E27FC236}">
              <a16:creationId xmlns:a16="http://schemas.microsoft.com/office/drawing/2014/main" id="{00000000-0008-0000-0800-000036000000}"/>
            </a:ext>
          </a:extLst>
        </xdr:cNvPr>
        <xdr:cNvSpPr/>
      </xdr:nvSpPr>
      <xdr:spPr>
        <a:xfrm>
          <a:off x="4046934" y="5434013"/>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49</xdr:col>
      <xdr:colOff>3571</xdr:colOff>
      <xdr:row>28</xdr:row>
      <xdr:rowOff>69055</xdr:rowOff>
    </xdr:from>
    <xdr:to>
      <xdr:col>50</xdr:col>
      <xdr:colOff>31353</xdr:colOff>
      <xdr:row>28</xdr:row>
      <xdr:rowOff>114774</xdr:rowOff>
    </xdr:to>
    <xdr:sp macro="" textlink="">
      <xdr:nvSpPr>
        <xdr:cNvPr id="55" name="Diagrama de flujo: proceso 59">
          <a:extLst>
            <a:ext uri="{FF2B5EF4-FFF2-40B4-BE49-F238E27FC236}">
              <a16:creationId xmlns:a16="http://schemas.microsoft.com/office/drawing/2014/main" id="{00000000-0008-0000-0800-000037000000}"/>
            </a:ext>
          </a:extLst>
        </xdr:cNvPr>
        <xdr:cNvSpPr/>
      </xdr:nvSpPr>
      <xdr:spPr>
        <a:xfrm>
          <a:off x="3975496" y="5431630"/>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46</xdr:col>
      <xdr:colOff>25004</xdr:colOff>
      <xdr:row>28</xdr:row>
      <xdr:rowOff>78580</xdr:rowOff>
    </xdr:from>
    <xdr:to>
      <xdr:col>47</xdr:col>
      <xdr:colOff>52786</xdr:colOff>
      <xdr:row>28</xdr:row>
      <xdr:rowOff>124299</xdr:rowOff>
    </xdr:to>
    <xdr:sp macro="" textlink="">
      <xdr:nvSpPr>
        <xdr:cNvPr id="56" name="Diagrama de flujo: proceso 60">
          <a:extLst>
            <a:ext uri="{FF2B5EF4-FFF2-40B4-BE49-F238E27FC236}">
              <a16:creationId xmlns:a16="http://schemas.microsoft.com/office/drawing/2014/main" id="{00000000-0008-0000-0800-000038000000}"/>
            </a:ext>
          </a:extLst>
        </xdr:cNvPr>
        <xdr:cNvSpPr/>
      </xdr:nvSpPr>
      <xdr:spPr>
        <a:xfrm rot="326624">
          <a:off x="3825479" y="5441155"/>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47</xdr:col>
      <xdr:colOff>42863</xdr:colOff>
      <xdr:row>28</xdr:row>
      <xdr:rowOff>72628</xdr:rowOff>
    </xdr:from>
    <xdr:to>
      <xdr:col>49</xdr:col>
      <xdr:colOff>11113</xdr:colOff>
      <xdr:row>28</xdr:row>
      <xdr:rowOff>118347</xdr:rowOff>
    </xdr:to>
    <xdr:sp macro="" textlink="">
      <xdr:nvSpPr>
        <xdr:cNvPr id="57" name="Diagrama de flujo: proceso 61">
          <a:extLst>
            <a:ext uri="{FF2B5EF4-FFF2-40B4-BE49-F238E27FC236}">
              <a16:creationId xmlns:a16="http://schemas.microsoft.com/office/drawing/2014/main" id="{00000000-0008-0000-0800-000039000000}"/>
            </a:ext>
          </a:extLst>
        </xdr:cNvPr>
        <xdr:cNvSpPr/>
      </xdr:nvSpPr>
      <xdr:spPr>
        <a:xfrm>
          <a:off x="3900488" y="5435203"/>
          <a:ext cx="82550"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17860</xdr:colOff>
      <xdr:row>28</xdr:row>
      <xdr:rowOff>71436</xdr:rowOff>
    </xdr:from>
    <xdr:to>
      <xdr:col>52</xdr:col>
      <xdr:colOff>45641</xdr:colOff>
      <xdr:row>28</xdr:row>
      <xdr:rowOff>117155</xdr:rowOff>
    </xdr:to>
    <xdr:sp macro="" textlink="">
      <xdr:nvSpPr>
        <xdr:cNvPr id="58" name="Diagrama de flujo: proceso 62">
          <a:extLst>
            <a:ext uri="{FF2B5EF4-FFF2-40B4-BE49-F238E27FC236}">
              <a16:creationId xmlns:a16="http://schemas.microsoft.com/office/drawing/2014/main" id="{00000000-0008-0000-0800-00003A000000}"/>
            </a:ext>
          </a:extLst>
        </xdr:cNvPr>
        <xdr:cNvSpPr/>
      </xdr:nvSpPr>
      <xdr:spPr>
        <a:xfrm rot="21356180">
          <a:off x="4104085" y="5434011"/>
          <a:ext cx="84931"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15866</xdr:colOff>
      <xdr:row>28</xdr:row>
      <xdr:rowOff>111944</xdr:rowOff>
    </xdr:from>
    <xdr:to>
      <xdr:col>53</xdr:col>
      <xdr:colOff>11041</xdr:colOff>
      <xdr:row>28</xdr:row>
      <xdr:rowOff>177988</xdr:rowOff>
    </xdr:to>
    <xdr:sp macro="" textlink="">
      <xdr:nvSpPr>
        <xdr:cNvPr id="59" name="Diagrama de flujo: proceso 63">
          <a:extLst>
            <a:ext uri="{FF2B5EF4-FFF2-40B4-BE49-F238E27FC236}">
              <a16:creationId xmlns:a16="http://schemas.microsoft.com/office/drawing/2014/main" id="{00000000-0008-0000-0800-00003B000000}"/>
            </a:ext>
          </a:extLst>
        </xdr:cNvPr>
        <xdr:cNvSpPr/>
      </xdr:nvSpPr>
      <xdr:spPr>
        <a:xfrm rot="6192053">
          <a:off x="4152382" y="5481378"/>
          <a:ext cx="66044" cy="523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19050</xdr:colOff>
      <xdr:row>28</xdr:row>
      <xdr:rowOff>167876</xdr:rowOff>
    </xdr:from>
    <xdr:to>
      <xdr:col>52</xdr:col>
      <xdr:colOff>46831</xdr:colOff>
      <xdr:row>29</xdr:row>
      <xdr:rowOff>23095</xdr:rowOff>
    </xdr:to>
    <xdr:sp macro="" textlink="">
      <xdr:nvSpPr>
        <xdr:cNvPr id="60" name="Diagrama de flujo: proceso 64">
          <a:extLst>
            <a:ext uri="{FF2B5EF4-FFF2-40B4-BE49-F238E27FC236}">
              <a16:creationId xmlns:a16="http://schemas.microsoft.com/office/drawing/2014/main" id="{00000000-0008-0000-0800-00003C000000}"/>
            </a:ext>
          </a:extLst>
        </xdr:cNvPr>
        <xdr:cNvSpPr/>
      </xdr:nvSpPr>
      <xdr:spPr>
        <a:xfrm rot="9127205">
          <a:off x="4105275" y="5530451"/>
          <a:ext cx="84931"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50564</xdr:colOff>
      <xdr:row>31</xdr:row>
      <xdr:rowOff>50641</xdr:rowOff>
    </xdr:from>
    <xdr:to>
      <xdr:col>51</xdr:col>
      <xdr:colOff>36752</xdr:colOff>
      <xdr:row>31</xdr:row>
      <xdr:rowOff>137954</xdr:rowOff>
    </xdr:to>
    <xdr:sp macro="" textlink="">
      <xdr:nvSpPr>
        <xdr:cNvPr id="61" name="Diagrama de flujo: proceso 65">
          <a:extLst>
            <a:ext uri="{FF2B5EF4-FFF2-40B4-BE49-F238E27FC236}">
              <a16:creationId xmlns:a16="http://schemas.microsoft.com/office/drawing/2014/main" id="{00000000-0008-0000-0800-00003D000000}"/>
            </a:ext>
          </a:extLst>
        </xdr:cNvPr>
        <xdr:cNvSpPr/>
      </xdr:nvSpPr>
      <xdr:spPr>
        <a:xfrm rot="5711254">
          <a:off x="4057651" y="6006704"/>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18417</xdr:colOff>
      <xdr:row>29</xdr:row>
      <xdr:rowOff>125651</xdr:rowOff>
    </xdr:from>
    <xdr:to>
      <xdr:col>51</xdr:col>
      <xdr:colOff>4605</xdr:colOff>
      <xdr:row>30</xdr:row>
      <xdr:rowOff>22464</xdr:rowOff>
    </xdr:to>
    <xdr:sp macro="" textlink="">
      <xdr:nvSpPr>
        <xdr:cNvPr id="62" name="Diagrama de flujo: proceso 66">
          <a:extLst>
            <a:ext uri="{FF2B5EF4-FFF2-40B4-BE49-F238E27FC236}">
              <a16:creationId xmlns:a16="http://schemas.microsoft.com/office/drawing/2014/main" id="{00000000-0008-0000-0800-00003E000000}"/>
            </a:ext>
          </a:extLst>
        </xdr:cNvPr>
        <xdr:cNvSpPr/>
      </xdr:nvSpPr>
      <xdr:spPr>
        <a:xfrm rot="4554077">
          <a:off x="4025504" y="5700714"/>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10081</xdr:colOff>
      <xdr:row>29</xdr:row>
      <xdr:rowOff>45878</xdr:rowOff>
    </xdr:from>
    <xdr:to>
      <xdr:col>50</xdr:col>
      <xdr:colOff>55800</xdr:colOff>
      <xdr:row>29</xdr:row>
      <xdr:rowOff>133191</xdr:rowOff>
    </xdr:to>
    <xdr:sp macro="" textlink="">
      <xdr:nvSpPr>
        <xdr:cNvPr id="63" name="Diagrama de flujo: proceso 67">
          <a:extLst>
            <a:ext uri="{FF2B5EF4-FFF2-40B4-BE49-F238E27FC236}">
              <a16:creationId xmlns:a16="http://schemas.microsoft.com/office/drawing/2014/main" id="{00000000-0008-0000-0800-00003F000000}"/>
            </a:ext>
          </a:extLst>
        </xdr:cNvPr>
        <xdr:cNvSpPr/>
      </xdr:nvSpPr>
      <xdr:spPr>
        <a:xfrm rot="5400000">
          <a:off x="4018359" y="5619750"/>
          <a:ext cx="87313"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10716</xdr:colOff>
      <xdr:row>29</xdr:row>
      <xdr:rowOff>22622</xdr:rowOff>
    </xdr:from>
    <xdr:to>
      <xdr:col>51</xdr:col>
      <xdr:colOff>38498</xdr:colOff>
      <xdr:row>29</xdr:row>
      <xdr:rowOff>68341</xdr:rowOff>
    </xdr:to>
    <xdr:sp macro="" textlink="">
      <xdr:nvSpPr>
        <xdr:cNvPr id="64" name="Diagrama de flujo: proceso 68">
          <a:extLst>
            <a:ext uri="{FF2B5EF4-FFF2-40B4-BE49-F238E27FC236}">
              <a16:creationId xmlns:a16="http://schemas.microsoft.com/office/drawing/2014/main" id="{00000000-0008-0000-0800-000040000000}"/>
            </a:ext>
          </a:extLst>
        </xdr:cNvPr>
        <xdr:cNvSpPr/>
      </xdr:nvSpPr>
      <xdr:spPr>
        <a:xfrm rot="8207649">
          <a:off x="4039791" y="5575697"/>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53578</xdr:colOff>
      <xdr:row>30</xdr:row>
      <xdr:rowOff>160734</xdr:rowOff>
    </xdr:from>
    <xdr:to>
      <xdr:col>51</xdr:col>
      <xdr:colOff>39766</xdr:colOff>
      <xdr:row>31</xdr:row>
      <xdr:rowOff>57547</xdr:rowOff>
    </xdr:to>
    <xdr:sp macro="" textlink="">
      <xdr:nvSpPr>
        <xdr:cNvPr id="65" name="Diagrama de flujo: proceso 69">
          <a:extLst>
            <a:ext uri="{FF2B5EF4-FFF2-40B4-BE49-F238E27FC236}">
              <a16:creationId xmlns:a16="http://schemas.microsoft.com/office/drawing/2014/main" id="{00000000-0008-0000-0800-000041000000}"/>
            </a:ext>
          </a:extLst>
        </xdr:cNvPr>
        <xdr:cNvSpPr/>
      </xdr:nvSpPr>
      <xdr:spPr>
        <a:xfrm rot="5400000">
          <a:off x="4060665" y="5926297"/>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51198</xdr:colOff>
      <xdr:row>30</xdr:row>
      <xdr:rowOff>80963</xdr:rowOff>
    </xdr:from>
    <xdr:to>
      <xdr:col>51</xdr:col>
      <xdr:colOff>37386</xdr:colOff>
      <xdr:row>30</xdr:row>
      <xdr:rowOff>168276</xdr:rowOff>
    </xdr:to>
    <xdr:sp macro="" textlink="">
      <xdr:nvSpPr>
        <xdr:cNvPr id="66" name="Diagrama de flujo: proceso 70">
          <a:extLst>
            <a:ext uri="{FF2B5EF4-FFF2-40B4-BE49-F238E27FC236}">
              <a16:creationId xmlns:a16="http://schemas.microsoft.com/office/drawing/2014/main" id="{00000000-0008-0000-0800-000042000000}"/>
            </a:ext>
          </a:extLst>
        </xdr:cNvPr>
        <xdr:cNvSpPr/>
      </xdr:nvSpPr>
      <xdr:spPr>
        <a:xfrm rot="5400000">
          <a:off x="4058285" y="5846526"/>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42862</xdr:colOff>
      <xdr:row>30</xdr:row>
      <xdr:rowOff>1192</xdr:rowOff>
    </xdr:from>
    <xdr:to>
      <xdr:col>51</xdr:col>
      <xdr:colOff>29050</xdr:colOff>
      <xdr:row>30</xdr:row>
      <xdr:rowOff>88505</xdr:rowOff>
    </xdr:to>
    <xdr:sp macro="" textlink="">
      <xdr:nvSpPr>
        <xdr:cNvPr id="67" name="Diagrama de flujo: proceso 71">
          <a:extLst>
            <a:ext uri="{FF2B5EF4-FFF2-40B4-BE49-F238E27FC236}">
              <a16:creationId xmlns:a16="http://schemas.microsoft.com/office/drawing/2014/main" id="{00000000-0008-0000-0800-000043000000}"/>
            </a:ext>
          </a:extLst>
        </xdr:cNvPr>
        <xdr:cNvSpPr/>
      </xdr:nvSpPr>
      <xdr:spPr>
        <a:xfrm rot="4473524">
          <a:off x="4049949" y="5766755"/>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28574</xdr:colOff>
      <xdr:row>28</xdr:row>
      <xdr:rowOff>58339</xdr:rowOff>
    </xdr:from>
    <xdr:to>
      <xdr:col>53</xdr:col>
      <xdr:colOff>14762</xdr:colOff>
      <xdr:row>28</xdr:row>
      <xdr:rowOff>145652</xdr:rowOff>
    </xdr:to>
    <xdr:sp macro="" textlink="">
      <xdr:nvSpPr>
        <xdr:cNvPr id="68" name="Diagrama de flujo: proceso 72">
          <a:extLst>
            <a:ext uri="{FF2B5EF4-FFF2-40B4-BE49-F238E27FC236}">
              <a16:creationId xmlns:a16="http://schemas.microsoft.com/office/drawing/2014/main" id="{00000000-0008-0000-0800-000044000000}"/>
            </a:ext>
          </a:extLst>
        </xdr:cNvPr>
        <xdr:cNvSpPr/>
      </xdr:nvSpPr>
      <xdr:spPr>
        <a:xfrm rot="4554077">
          <a:off x="4149961" y="544290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5953</xdr:colOff>
      <xdr:row>32</xdr:row>
      <xdr:rowOff>47625</xdr:rowOff>
    </xdr:from>
    <xdr:to>
      <xdr:col>52</xdr:col>
      <xdr:colOff>51672</xdr:colOff>
      <xdr:row>32</xdr:row>
      <xdr:rowOff>134938</xdr:rowOff>
    </xdr:to>
    <xdr:sp macro="" textlink="">
      <xdr:nvSpPr>
        <xdr:cNvPr id="69" name="Diagrama de flujo: proceso 74">
          <a:extLst>
            <a:ext uri="{FF2B5EF4-FFF2-40B4-BE49-F238E27FC236}">
              <a16:creationId xmlns:a16="http://schemas.microsoft.com/office/drawing/2014/main" id="{00000000-0008-0000-0800-000045000000}"/>
            </a:ext>
          </a:extLst>
        </xdr:cNvPr>
        <xdr:cNvSpPr/>
      </xdr:nvSpPr>
      <xdr:spPr>
        <a:xfrm rot="4168677">
          <a:off x="4128531" y="6192997"/>
          <a:ext cx="87313"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39291</xdr:colOff>
      <xdr:row>32</xdr:row>
      <xdr:rowOff>128589</xdr:rowOff>
    </xdr:from>
    <xdr:to>
      <xdr:col>53</xdr:col>
      <xdr:colOff>25479</xdr:colOff>
      <xdr:row>33</xdr:row>
      <xdr:rowOff>25402</xdr:rowOff>
    </xdr:to>
    <xdr:sp macro="" textlink="">
      <xdr:nvSpPr>
        <xdr:cNvPr id="70" name="Diagrama de flujo: proceso 75">
          <a:extLst>
            <a:ext uri="{FF2B5EF4-FFF2-40B4-BE49-F238E27FC236}">
              <a16:creationId xmlns:a16="http://schemas.microsoft.com/office/drawing/2014/main" id="{00000000-0008-0000-0800-000046000000}"/>
            </a:ext>
          </a:extLst>
        </xdr:cNvPr>
        <xdr:cNvSpPr/>
      </xdr:nvSpPr>
      <xdr:spPr>
        <a:xfrm rot="5026943">
          <a:off x="4160678" y="627515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36909</xdr:colOff>
      <xdr:row>31</xdr:row>
      <xdr:rowOff>179784</xdr:rowOff>
    </xdr:from>
    <xdr:to>
      <xdr:col>52</xdr:col>
      <xdr:colOff>23096</xdr:colOff>
      <xdr:row>32</xdr:row>
      <xdr:rowOff>76597</xdr:rowOff>
    </xdr:to>
    <xdr:sp macro="" textlink="">
      <xdr:nvSpPr>
        <xdr:cNvPr id="71" name="Diagrama de flujo: proceso 76">
          <a:extLst>
            <a:ext uri="{FF2B5EF4-FFF2-40B4-BE49-F238E27FC236}">
              <a16:creationId xmlns:a16="http://schemas.microsoft.com/office/drawing/2014/main" id="{00000000-0008-0000-0800-000047000000}"/>
            </a:ext>
          </a:extLst>
        </xdr:cNvPr>
        <xdr:cNvSpPr/>
      </xdr:nvSpPr>
      <xdr:spPr>
        <a:xfrm rot="3480997">
          <a:off x="4101146" y="6135847"/>
          <a:ext cx="87313" cy="4333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4764</xdr:colOff>
      <xdr:row>31</xdr:row>
      <xdr:rowOff>123825</xdr:rowOff>
    </xdr:from>
    <xdr:to>
      <xdr:col>51</xdr:col>
      <xdr:colOff>50483</xdr:colOff>
      <xdr:row>32</xdr:row>
      <xdr:rowOff>20638</xdr:rowOff>
    </xdr:to>
    <xdr:sp macro="" textlink="">
      <xdr:nvSpPr>
        <xdr:cNvPr id="72" name="Diagrama de flujo: proceso 77">
          <a:extLst>
            <a:ext uri="{FF2B5EF4-FFF2-40B4-BE49-F238E27FC236}">
              <a16:creationId xmlns:a16="http://schemas.microsoft.com/office/drawing/2014/main" id="{00000000-0008-0000-0800-000048000000}"/>
            </a:ext>
          </a:extLst>
        </xdr:cNvPr>
        <xdr:cNvSpPr/>
      </xdr:nvSpPr>
      <xdr:spPr>
        <a:xfrm rot="4047140">
          <a:off x="4070192" y="6078697"/>
          <a:ext cx="87313"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47625</xdr:colOff>
      <xdr:row>33</xdr:row>
      <xdr:rowOff>130969</xdr:rowOff>
    </xdr:from>
    <xdr:to>
      <xdr:col>53</xdr:col>
      <xdr:colOff>33813</xdr:colOff>
      <xdr:row>34</xdr:row>
      <xdr:rowOff>27782</xdr:rowOff>
    </xdr:to>
    <xdr:sp macro="" textlink="">
      <xdr:nvSpPr>
        <xdr:cNvPr id="73" name="Diagrama de flujo: proceso 78">
          <a:extLst>
            <a:ext uri="{FF2B5EF4-FFF2-40B4-BE49-F238E27FC236}">
              <a16:creationId xmlns:a16="http://schemas.microsoft.com/office/drawing/2014/main" id="{00000000-0008-0000-0800-000049000000}"/>
            </a:ext>
          </a:extLst>
        </xdr:cNvPr>
        <xdr:cNvSpPr/>
      </xdr:nvSpPr>
      <xdr:spPr>
        <a:xfrm rot="4554077">
          <a:off x="4169012" y="646803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45244</xdr:colOff>
      <xdr:row>33</xdr:row>
      <xdr:rowOff>110729</xdr:rowOff>
    </xdr:from>
    <xdr:to>
      <xdr:col>53</xdr:col>
      <xdr:colOff>31432</xdr:colOff>
      <xdr:row>34</xdr:row>
      <xdr:rowOff>7542</xdr:rowOff>
    </xdr:to>
    <xdr:sp macro="" textlink="">
      <xdr:nvSpPr>
        <xdr:cNvPr id="74" name="Diagrama de flujo: proceso 79">
          <a:extLst>
            <a:ext uri="{FF2B5EF4-FFF2-40B4-BE49-F238E27FC236}">
              <a16:creationId xmlns:a16="http://schemas.microsoft.com/office/drawing/2014/main" id="{00000000-0008-0000-0800-00004A000000}"/>
            </a:ext>
          </a:extLst>
        </xdr:cNvPr>
        <xdr:cNvSpPr/>
      </xdr:nvSpPr>
      <xdr:spPr>
        <a:xfrm rot="5400000">
          <a:off x="4166631" y="644779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42863</xdr:colOff>
      <xdr:row>33</xdr:row>
      <xdr:rowOff>25004</xdr:rowOff>
    </xdr:from>
    <xdr:to>
      <xdr:col>53</xdr:col>
      <xdr:colOff>29051</xdr:colOff>
      <xdr:row>33</xdr:row>
      <xdr:rowOff>112317</xdr:rowOff>
    </xdr:to>
    <xdr:sp macro="" textlink="">
      <xdr:nvSpPr>
        <xdr:cNvPr id="75" name="Diagrama de flujo: proceso 80">
          <a:extLst>
            <a:ext uri="{FF2B5EF4-FFF2-40B4-BE49-F238E27FC236}">
              <a16:creationId xmlns:a16="http://schemas.microsoft.com/office/drawing/2014/main" id="{00000000-0008-0000-0800-00004B000000}"/>
            </a:ext>
          </a:extLst>
        </xdr:cNvPr>
        <xdr:cNvSpPr/>
      </xdr:nvSpPr>
      <xdr:spPr>
        <a:xfrm rot="5116485">
          <a:off x="4164250" y="6362067"/>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53</xdr:col>
      <xdr:colOff>17859</xdr:colOff>
      <xdr:row>34</xdr:row>
      <xdr:rowOff>17861</xdr:rowOff>
    </xdr:from>
    <xdr:to>
      <xdr:col>54</xdr:col>
      <xdr:colOff>4047</xdr:colOff>
      <xdr:row>34</xdr:row>
      <xdr:rowOff>105174</xdr:rowOff>
    </xdr:to>
    <xdr:sp macro="" textlink="">
      <xdr:nvSpPr>
        <xdr:cNvPr id="76" name="Diagrama de flujo: proceso 81">
          <a:extLst>
            <a:ext uri="{FF2B5EF4-FFF2-40B4-BE49-F238E27FC236}">
              <a16:creationId xmlns:a16="http://schemas.microsoft.com/office/drawing/2014/main" id="{00000000-0008-0000-0800-00004C000000}"/>
            </a:ext>
          </a:extLst>
        </xdr:cNvPr>
        <xdr:cNvSpPr/>
      </xdr:nvSpPr>
      <xdr:spPr>
        <a:xfrm rot="3755807">
          <a:off x="4196396" y="6545424"/>
          <a:ext cx="87313" cy="43338"/>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23813</xdr:colOff>
      <xdr:row>25</xdr:row>
      <xdr:rowOff>154782</xdr:rowOff>
    </xdr:from>
    <xdr:to>
      <xdr:col>44</xdr:col>
      <xdr:colOff>14388</xdr:colOff>
      <xdr:row>26</xdr:row>
      <xdr:rowOff>51595</xdr:rowOff>
    </xdr:to>
    <xdr:sp macro="" textlink="">
      <xdr:nvSpPr>
        <xdr:cNvPr id="77" name="Diagrama de flujo: proceso 82">
          <a:extLst>
            <a:ext uri="{FF2B5EF4-FFF2-40B4-BE49-F238E27FC236}">
              <a16:creationId xmlns:a16="http://schemas.microsoft.com/office/drawing/2014/main" id="{00000000-0008-0000-0800-00004D000000}"/>
            </a:ext>
          </a:extLst>
        </xdr:cNvPr>
        <xdr:cNvSpPr/>
      </xdr:nvSpPr>
      <xdr:spPr>
        <a:xfrm rot="4528713">
          <a:off x="3633044" y="4965651"/>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33338</xdr:colOff>
      <xdr:row>26</xdr:row>
      <xdr:rowOff>45243</xdr:rowOff>
    </xdr:from>
    <xdr:to>
      <xdr:col>44</xdr:col>
      <xdr:colOff>23913</xdr:colOff>
      <xdr:row>26</xdr:row>
      <xdr:rowOff>132556</xdr:rowOff>
    </xdr:to>
    <xdr:sp macro="" textlink="">
      <xdr:nvSpPr>
        <xdr:cNvPr id="78" name="Diagrama de flujo: proceso 83">
          <a:extLst>
            <a:ext uri="{FF2B5EF4-FFF2-40B4-BE49-F238E27FC236}">
              <a16:creationId xmlns:a16="http://schemas.microsoft.com/office/drawing/2014/main" id="{00000000-0008-0000-0800-00004E000000}"/>
            </a:ext>
          </a:extLst>
        </xdr:cNvPr>
        <xdr:cNvSpPr/>
      </xdr:nvSpPr>
      <xdr:spPr>
        <a:xfrm rot="5400000">
          <a:off x="3642569" y="5046612"/>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36909</xdr:colOff>
      <xdr:row>26</xdr:row>
      <xdr:rowOff>138112</xdr:rowOff>
    </xdr:from>
    <xdr:to>
      <xdr:col>44</xdr:col>
      <xdr:colOff>27484</xdr:colOff>
      <xdr:row>27</xdr:row>
      <xdr:rowOff>34925</xdr:rowOff>
    </xdr:to>
    <xdr:sp macro="" textlink="">
      <xdr:nvSpPr>
        <xdr:cNvPr id="79" name="Diagrama de flujo: proceso 84">
          <a:extLst>
            <a:ext uri="{FF2B5EF4-FFF2-40B4-BE49-F238E27FC236}">
              <a16:creationId xmlns:a16="http://schemas.microsoft.com/office/drawing/2014/main" id="{00000000-0008-0000-0800-00004F000000}"/>
            </a:ext>
          </a:extLst>
        </xdr:cNvPr>
        <xdr:cNvSpPr/>
      </xdr:nvSpPr>
      <xdr:spPr>
        <a:xfrm rot="5400000">
          <a:off x="3646140" y="5139481"/>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34529</xdr:colOff>
      <xdr:row>27</xdr:row>
      <xdr:rowOff>28574</xdr:rowOff>
    </xdr:from>
    <xdr:to>
      <xdr:col>44</xdr:col>
      <xdr:colOff>25104</xdr:colOff>
      <xdr:row>27</xdr:row>
      <xdr:rowOff>115887</xdr:rowOff>
    </xdr:to>
    <xdr:sp macro="" textlink="">
      <xdr:nvSpPr>
        <xdr:cNvPr id="80" name="Diagrama de flujo: proceso 85">
          <a:extLst>
            <a:ext uri="{FF2B5EF4-FFF2-40B4-BE49-F238E27FC236}">
              <a16:creationId xmlns:a16="http://schemas.microsoft.com/office/drawing/2014/main" id="{00000000-0008-0000-0800-000050000000}"/>
            </a:ext>
          </a:extLst>
        </xdr:cNvPr>
        <xdr:cNvSpPr/>
      </xdr:nvSpPr>
      <xdr:spPr>
        <a:xfrm rot="4840941">
          <a:off x="3643760" y="5220443"/>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1</xdr:colOff>
      <xdr:row>24</xdr:row>
      <xdr:rowOff>136922</xdr:rowOff>
    </xdr:from>
    <xdr:to>
      <xdr:col>42</xdr:col>
      <xdr:colOff>50108</xdr:colOff>
      <xdr:row>25</xdr:row>
      <xdr:rowOff>33735</xdr:rowOff>
    </xdr:to>
    <xdr:sp macro="" textlink="">
      <xdr:nvSpPr>
        <xdr:cNvPr id="81" name="Diagrama de flujo: proceso 86">
          <a:extLst>
            <a:ext uri="{FF2B5EF4-FFF2-40B4-BE49-F238E27FC236}">
              <a16:creationId xmlns:a16="http://schemas.microsoft.com/office/drawing/2014/main" id="{00000000-0008-0000-0800-000051000000}"/>
            </a:ext>
          </a:extLst>
        </xdr:cNvPr>
        <xdr:cNvSpPr/>
      </xdr:nvSpPr>
      <xdr:spPr>
        <a:xfrm rot="5128935">
          <a:off x="3553273" y="4756100"/>
          <a:ext cx="87313" cy="5010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3573</xdr:colOff>
      <xdr:row>25</xdr:row>
      <xdr:rowOff>15479</xdr:rowOff>
    </xdr:from>
    <xdr:to>
      <xdr:col>42</xdr:col>
      <xdr:colOff>53680</xdr:colOff>
      <xdr:row>25</xdr:row>
      <xdr:rowOff>102792</xdr:rowOff>
    </xdr:to>
    <xdr:sp macro="" textlink="">
      <xdr:nvSpPr>
        <xdr:cNvPr id="82" name="Diagrama de flujo: proceso 87">
          <a:extLst>
            <a:ext uri="{FF2B5EF4-FFF2-40B4-BE49-F238E27FC236}">
              <a16:creationId xmlns:a16="http://schemas.microsoft.com/office/drawing/2014/main" id="{00000000-0008-0000-0800-000052000000}"/>
            </a:ext>
          </a:extLst>
        </xdr:cNvPr>
        <xdr:cNvSpPr/>
      </xdr:nvSpPr>
      <xdr:spPr>
        <a:xfrm rot="4528713">
          <a:off x="3556845" y="4825157"/>
          <a:ext cx="87313" cy="5010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42863</xdr:colOff>
      <xdr:row>25</xdr:row>
      <xdr:rowOff>96441</xdr:rowOff>
    </xdr:from>
    <xdr:to>
      <xdr:col>43</xdr:col>
      <xdr:colOff>33439</xdr:colOff>
      <xdr:row>25</xdr:row>
      <xdr:rowOff>183754</xdr:rowOff>
    </xdr:to>
    <xdr:sp macro="" textlink="">
      <xdr:nvSpPr>
        <xdr:cNvPr id="83" name="Diagrama de flujo: proceso 88">
          <a:extLst>
            <a:ext uri="{FF2B5EF4-FFF2-40B4-BE49-F238E27FC236}">
              <a16:creationId xmlns:a16="http://schemas.microsoft.com/office/drawing/2014/main" id="{00000000-0008-0000-0800-000053000000}"/>
            </a:ext>
          </a:extLst>
        </xdr:cNvPr>
        <xdr:cNvSpPr/>
      </xdr:nvSpPr>
      <xdr:spPr>
        <a:xfrm rot="3620934">
          <a:off x="3594944" y="4907310"/>
          <a:ext cx="87313" cy="477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23813</xdr:colOff>
      <xdr:row>24</xdr:row>
      <xdr:rowOff>11906</xdr:rowOff>
    </xdr:from>
    <xdr:to>
      <xdr:col>43</xdr:col>
      <xdr:colOff>14389</xdr:colOff>
      <xdr:row>24</xdr:row>
      <xdr:rowOff>99219</xdr:rowOff>
    </xdr:to>
    <xdr:sp macro="" textlink="">
      <xdr:nvSpPr>
        <xdr:cNvPr id="84" name="Diagrama de flujo: proceso 89">
          <a:extLst>
            <a:ext uri="{FF2B5EF4-FFF2-40B4-BE49-F238E27FC236}">
              <a16:creationId xmlns:a16="http://schemas.microsoft.com/office/drawing/2014/main" id="{00000000-0008-0000-0800-000054000000}"/>
            </a:ext>
          </a:extLst>
        </xdr:cNvPr>
        <xdr:cNvSpPr/>
      </xdr:nvSpPr>
      <xdr:spPr>
        <a:xfrm rot="7642088">
          <a:off x="3575894" y="4632275"/>
          <a:ext cx="87313" cy="477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45244</xdr:colOff>
      <xdr:row>24</xdr:row>
      <xdr:rowOff>51197</xdr:rowOff>
    </xdr:from>
    <xdr:to>
      <xdr:col>42</xdr:col>
      <xdr:colOff>35820</xdr:colOff>
      <xdr:row>24</xdr:row>
      <xdr:rowOff>138510</xdr:rowOff>
    </xdr:to>
    <xdr:sp macro="" textlink="">
      <xdr:nvSpPr>
        <xdr:cNvPr id="85" name="Diagrama de flujo: proceso 90">
          <a:extLst>
            <a:ext uri="{FF2B5EF4-FFF2-40B4-BE49-F238E27FC236}">
              <a16:creationId xmlns:a16="http://schemas.microsoft.com/office/drawing/2014/main" id="{00000000-0008-0000-0800-000055000000}"/>
            </a:ext>
          </a:extLst>
        </xdr:cNvPr>
        <xdr:cNvSpPr/>
      </xdr:nvSpPr>
      <xdr:spPr>
        <a:xfrm rot="4940042">
          <a:off x="3540175" y="4671566"/>
          <a:ext cx="87313" cy="477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37042</xdr:colOff>
      <xdr:row>23</xdr:row>
      <xdr:rowOff>47626</xdr:rowOff>
    </xdr:from>
    <xdr:to>
      <xdr:col>42</xdr:col>
      <xdr:colOff>23230</xdr:colOff>
      <xdr:row>23</xdr:row>
      <xdr:rowOff>134939</xdr:rowOff>
    </xdr:to>
    <xdr:sp macro="" textlink="">
      <xdr:nvSpPr>
        <xdr:cNvPr id="86" name="Diagrama de flujo: proceso 91">
          <a:extLst>
            <a:ext uri="{FF2B5EF4-FFF2-40B4-BE49-F238E27FC236}">
              <a16:creationId xmlns:a16="http://schemas.microsoft.com/office/drawing/2014/main" id="{00000000-0008-0000-0800-000056000000}"/>
            </a:ext>
          </a:extLst>
        </xdr:cNvPr>
        <xdr:cNvSpPr/>
      </xdr:nvSpPr>
      <xdr:spPr>
        <a:xfrm rot="4872694">
          <a:off x="3529779" y="4479689"/>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20110</xdr:colOff>
      <xdr:row>22</xdr:row>
      <xdr:rowOff>157692</xdr:rowOff>
    </xdr:from>
    <xdr:to>
      <xdr:col>42</xdr:col>
      <xdr:colOff>6298</xdr:colOff>
      <xdr:row>23</xdr:row>
      <xdr:rowOff>54505</xdr:rowOff>
    </xdr:to>
    <xdr:sp macro="" textlink="">
      <xdr:nvSpPr>
        <xdr:cNvPr id="87" name="Diagrama de flujo: proceso 92">
          <a:extLst>
            <a:ext uri="{FF2B5EF4-FFF2-40B4-BE49-F238E27FC236}">
              <a16:creationId xmlns:a16="http://schemas.microsoft.com/office/drawing/2014/main" id="{00000000-0008-0000-0800-000057000000}"/>
            </a:ext>
          </a:extLst>
        </xdr:cNvPr>
        <xdr:cNvSpPr/>
      </xdr:nvSpPr>
      <xdr:spPr>
        <a:xfrm rot="3716382">
          <a:off x="3512847" y="4399255"/>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8467</xdr:colOff>
      <xdr:row>22</xdr:row>
      <xdr:rowOff>77259</xdr:rowOff>
    </xdr:from>
    <xdr:to>
      <xdr:col>41</xdr:col>
      <xdr:colOff>52863</xdr:colOff>
      <xdr:row>22</xdr:row>
      <xdr:rowOff>164572</xdr:rowOff>
    </xdr:to>
    <xdr:sp macro="" textlink="">
      <xdr:nvSpPr>
        <xdr:cNvPr id="88" name="Diagrama de flujo: proceso 93">
          <a:extLst>
            <a:ext uri="{FF2B5EF4-FFF2-40B4-BE49-F238E27FC236}">
              <a16:creationId xmlns:a16="http://schemas.microsoft.com/office/drawing/2014/main" id="{00000000-0008-0000-0800-000058000000}"/>
            </a:ext>
          </a:extLst>
        </xdr:cNvPr>
        <xdr:cNvSpPr/>
      </xdr:nvSpPr>
      <xdr:spPr>
        <a:xfrm rot="5400000">
          <a:off x="3501733" y="4318293"/>
          <a:ext cx="87313" cy="4439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2117</xdr:colOff>
      <xdr:row>22</xdr:row>
      <xdr:rowOff>2118</xdr:rowOff>
    </xdr:from>
    <xdr:to>
      <xdr:col>41</xdr:col>
      <xdr:colOff>46513</xdr:colOff>
      <xdr:row>22</xdr:row>
      <xdr:rowOff>89431</xdr:rowOff>
    </xdr:to>
    <xdr:sp macro="" textlink="">
      <xdr:nvSpPr>
        <xdr:cNvPr id="89" name="Diagrama de flujo: proceso 94">
          <a:extLst>
            <a:ext uri="{FF2B5EF4-FFF2-40B4-BE49-F238E27FC236}">
              <a16:creationId xmlns:a16="http://schemas.microsoft.com/office/drawing/2014/main" id="{00000000-0008-0000-0800-000059000000}"/>
            </a:ext>
          </a:extLst>
        </xdr:cNvPr>
        <xdr:cNvSpPr/>
      </xdr:nvSpPr>
      <xdr:spPr>
        <a:xfrm rot="4401981">
          <a:off x="3495383" y="4243152"/>
          <a:ext cx="87313" cy="4439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15876</xdr:colOff>
      <xdr:row>23</xdr:row>
      <xdr:rowOff>127001</xdr:rowOff>
    </xdr:from>
    <xdr:to>
      <xdr:col>43</xdr:col>
      <xdr:colOff>2063</xdr:colOff>
      <xdr:row>24</xdr:row>
      <xdr:rowOff>23814</xdr:rowOff>
    </xdr:to>
    <xdr:sp macro="" textlink="">
      <xdr:nvSpPr>
        <xdr:cNvPr id="90" name="Diagrama de flujo: proceso 95">
          <a:extLst>
            <a:ext uri="{FF2B5EF4-FFF2-40B4-BE49-F238E27FC236}">
              <a16:creationId xmlns:a16="http://schemas.microsoft.com/office/drawing/2014/main" id="{00000000-0008-0000-0800-00005A000000}"/>
            </a:ext>
          </a:extLst>
        </xdr:cNvPr>
        <xdr:cNvSpPr/>
      </xdr:nvSpPr>
      <xdr:spPr>
        <a:xfrm rot="3489414">
          <a:off x="3565763" y="4559064"/>
          <a:ext cx="87313" cy="4333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xdr:col>
      <xdr:colOff>38100</xdr:colOff>
      <xdr:row>12</xdr:row>
      <xdr:rowOff>95250</xdr:rowOff>
    </xdr:from>
    <xdr:to>
      <xdr:col>12</xdr:col>
      <xdr:colOff>47625</xdr:colOff>
      <xdr:row>12</xdr:row>
      <xdr:rowOff>161925</xdr:rowOff>
    </xdr:to>
    <xdr:sp macro="" textlink="">
      <xdr:nvSpPr>
        <xdr:cNvPr id="789098" name="Forma libre 1">
          <a:extLst>
            <a:ext uri="{FF2B5EF4-FFF2-40B4-BE49-F238E27FC236}">
              <a16:creationId xmlns:a16="http://schemas.microsoft.com/office/drawing/2014/main" id="{00000000-0008-0000-0800-00006A0A0C00}"/>
            </a:ext>
          </a:extLst>
        </xdr:cNvPr>
        <xdr:cNvSpPr>
          <a:spLocks/>
        </xdr:cNvSpPr>
      </xdr:nvSpPr>
      <xdr:spPr bwMode="auto">
        <a:xfrm>
          <a:off x="1438275" y="2409825"/>
          <a:ext cx="466725" cy="66675"/>
        </a:xfrm>
        <a:custGeom>
          <a:avLst/>
          <a:gdLst>
            <a:gd name="T0" fmla="*/ 0 w 466725"/>
            <a:gd name="T1" fmla="*/ 57150 h 66675"/>
            <a:gd name="T2" fmla="*/ 276225 w 466725"/>
            <a:gd name="T3" fmla="*/ 47625 h 66675"/>
            <a:gd name="T4" fmla="*/ 295275 w 466725"/>
            <a:gd name="T5" fmla="*/ 19050 h 66675"/>
            <a:gd name="T6" fmla="*/ 323850 w 466725"/>
            <a:gd name="T7" fmla="*/ 0 h 66675"/>
            <a:gd name="T8" fmla="*/ 400050 w 466725"/>
            <a:gd name="T9" fmla="*/ 9525 h 66675"/>
            <a:gd name="T10" fmla="*/ 428625 w 466725"/>
            <a:gd name="T11" fmla="*/ 38100 h 66675"/>
            <a:gd name="T12" fmla="*/ 466725 w 466725"/>
            <a:gd name="T13" fmla="*/ 66675 h 66675"/>
            <a:gd name="T14" fmla="*/ 0 60000 65536"/>
            <a:gd name="T15" fmla="*/ 0 60000 65536"/>
            <a:gd name="T16" fmla="*/ 0 60000 65536"/>
            <a:gd name="T17" fmla="*/ 0 60000 65536"/>
            <a:gd name="T18" fmla="*/ 0 60000 65536"/>
            <a:gd name="T19" fmla="*/ 0 60000 65536"/>
            <a:gd name="T20" fmla="*/ 0 60000 65536"/>
          </a:gdLst>
          <a:ahLst/>
          <a:cxnLst>
            <a:cxn ang="T14">
              <a:pos x="T0" y="T1"/>
            </a:cxn>
            <a:cxn ang="T15">
              <a:pos x="T2" y="T3"/>
            </a:cxn>
            <a:cxn ang="T16">
              <a:pos x="T4" y="T5"/>
            </a:cxn>
            <a:cxn ang="T17">
              <a:pos x="T6" y="T7"/>
            </a:cxn>
            <a:cxn ang="T18">
              <a:pos x="T8" y="T9"/>
            </a:cxn>
            <a:cxn ang="T19">
              <a:pos x="T10" y="T11"/>
            </a:cxn>
            <a:cxn ang="T20">
              <a:pos x="T12" y="T13"/>
            </a:cxn>
          </a:cxnLst>
          <a:rect l="0" t="0" r="r" b="b"/>
          <a:pathLst>
            <a:path w="466725" h="66675">
              <a:moveTo>
                <a:pt x="0" y="57150"/>
              </a:moveTo>
              <a:cubicBezTo>
                <a:pt x="92075" y="53975"/>
                <a:pt x="184853" y="59415"/>
                <a:pt x="276225" y="47625"/>
              </a:cubicBezTo>
              <a:cubicBezTo>
                <a:pt x="287579" y="46160"/>
                <a:pt x="287180" y="27145"/>
                <a:pt x="295275" y="19050"/>
              </a:cubicBezTo>
              <a:cubicBezTo>
                <a:pt x="303370" y="10955"/>
                <a:pt x="314325" y="6350"/>
                <a:pt x="323850" y="0"/>
              </a:cubicBezTo>
              <a:cubicBezTo>
                <a:pt x="349250" y="3175"/>
                <a:pt x="375993" y="777"/>
                <a:pt x="400050" y="9525"/>
              </a:cubicBezTo>
              <a:cubicBezTo>
                <a:pt x="412709" y="14128"/>
                <a:pt x="418277" y="29476"/>
                <a:pt x="428625" y="38100"/>
              </a:cubicBezTo>
              <a:cubicBezTo>
                <a:pt x="493247" y="91952"/>
                <a:pt x="436432" y="36382"/>
                <a:pt x="466725" y="66675"/>
              </a:cubicBezTo>
            </a:path>
          </a:pathLst>
        </a:custGeom>
        <a:noFill/>
        <a:ln w="38100" cap="flat" cmpd="sng" algn="ctr">
          <a:solidFill>
            <a:srgbClr val="00FF00"/>
          </a:solidFill>
          <a:prstDash val="solid"/>
          <a:round/>
          <a:headEnd type="none" w="med" len="med"/>
          <a:tailEnd type="none" w="med" len="me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981075</xdr:colOff>
      <xdr:row>27</xdr:row>
      <xdr:rowOff>0</xdr:rowOff>
    </xdr:from>
    <xdr:to>
      <xdr:col>1</xdr:col>
      <xdr:colOff>0</xdr:colOff>
      <xdr:row>28</xdr:row>
      <xdr:rowOff>0</xdr:rowOff>
    </xdr:to>
    <xdr:sp macro="" textlink="">
      <xdr:nvSpPr>
        <xdr:cNvPr id="692522" name="Rectangle 1">
          <a:extLst>
            <a:ext uri="{FF2B5EF4-FFF2-40B4-BE49-F238E27FC236}">
              <a16:creationId xmlns:a16="http://schemas.microsoft.com/office/drawing/2014/main" id="{00000000-0008-0000-0900-00002A910A00}"/>
            </a:ext>
          </a:extLst>
        </xdr:cNvPr>
        <xdr:cNvSpPr>
          <a:spLocks noChangeArrowheads="1"/>
        </xdr:cNvSpPr>
      </xdr:nvSpPr>
      <xdr:spPr bwMode="auto">
        <a:xfrm>
          <a:off x="981075" y="4743450"/>
          <a:ext cx="7334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28</xdr:row>
      <xdr:rowOff>0</xdr:rowOff>
    </xdr:from>
    <xdr:to>
      <xdr:col>1</xdr:col>
      <xdr:colOff>0</xdr:colOff>
      <xdr:row>29</xdr:row>
      <xdr:rowOff>0</xdr:rowOff>
    </xdr:to>
    <xdr:sp macro="" textlink="">
      <xdr:nvSpPr>
        <xdr:cNvPr id="692523" name="Rectangle 2">
          <a:extLst>
            <a:ext uri="{FF2B5EF4-FFF2-40B4-BE49-F238E27FC236}">
              <a16:creationId xmlns:a16="http://schemas.microsoft.com/office/drawing/2014/main" id="{00000000-0008-0000-0900-00002B910A00}"/>
            </a:ext>
          </a:extLst>
        </xdr:cNvPr>
        <xdr:cNvSpPr>
          <a:spLocks noChangeArrowheads="1"/>
        </xdr:cNvSpPr>
      </xdr:nvSpPr>
      <xdr:spPr bwMode="auto">
        <a:xfrm>
          <a:off x="981075" y="4905375"/>
          <a:ext cx="7334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29</xdr:row>
      <xdr:rowOff>0</xdr:rowOff>
    </xdr:from>
    <xdr:to>
      <xdr:col>1</xdr:col>
      <xdr:colOff>0</xdr:colOff>
      <xdr:row>30</xdr:row>
      <xdr:rowOff>0</xdr:rowOff>
    </xdr:to>
    <xdr:sp macro="" textlink="">
      <xdr:nvSpPr>
        <xdr:cNvPr id="692524" name="Rectangle 3">
          <a:extLst>
            <a:ext uri="{FF2B5EF4-FFF2-40B4-BE49-F238E27FC236}">
              <a16:creationId xmlns:a16="http://schemas.microsoft.com/office/drawing/2014/main" id="{00000000-0008-0000-0900-00002C910A00}"/>
            </a:ext>
          </a:extLst>
        </xdr:cNvPr>
        <xdr:cNvSpPr>
          <a:spLocks noChangeArrowheads="1"/>
        </xdr:cNvSpPr>
      </xdr:nvSpPr>
      <xdr:spPr bwMode="auto">
        <a:xfrm>
          <a:off x="981075" y="5067300"/>
          <a:ext cx="733425" cy="161925"/>
        </a:xfrm>
        <a:prstGeom prst="rect">
          <a:avLst/>
        </a:prstGeom>
        <a:solidFill>
          <a:srgbClr val="CC9CCC"/>
        </a:solidFill>
        <a:ln w="9525">
          <a:solidFill>
            <a:srgbClr val="000000"/>
          </a:solidFill>
          <a:miter lim="800000"/>
          <a:headEnd/>
          <a:tailEnd/>
        </a:ln>
      </xdr:spPr>
    </xdr:sp>
    <xdr:clientData/>
  </xdr:twoCellAnchor>
  <xdr:twoCellAnchor>
    <xdr:from>
      <xdr:col>0</xdr:col>
      <xdr:colOff>981075</xdr:colOff>
      <xdr:row>26</xdr:row>
      <xdr:rowOff>0</xdr:rowOff>
    </xdr:from>
    <xdr:to>
      <xdr:col>1</xdr:col>
      <xdr:colOff>0</xdr:colOff>
      <xdr:row>27</xdr:row>
      <xdr:rowOff>0</xdr:rowOff>
    </xdr:to>
    <xdr:sp macro="" textlink="">
      <xdr:nvSpPr>
        <xdr:cNvPr id="692525" name="Rectangle 4">
          <a:extLst>
            <a:ext uri="{FF2B5EF4-FFF2-40B4-BE49-F238E27FC236}">
              <a16:creationId xmlns:a16="http://schemas.microsoft.com/office/drawing/2014/main" id="{00000000-0008-0000-0900-00002D910A00}"/>
            </a:ext>
          </a:extLst>
        </xdr:cNvPr>
        <xdr:cNvSpPr>
          <a:spLocks noChangeArrowheads="1"/>
        </xdr:cNvSpPr>
      </xdr:nvSpPr>
      <xdr:spPr bwMode="auto">
        <a:xfrm>
          <a:off x="981075" y="4581525"/>
          <a:ext cx="733425" cy="161925"/>
        </a:xfrm>
        <a:prstGeom prst="rect">
          <a:avLst/>
        </a:prstGeom>
        <a:solidFill>
          <a:srgbClr val="A6CAF0"/>
        </a:solidFill>
        <a:ln w="9525">
          <a:solidFill>
            <a:srgbClr val="000000"/>
          </a:solidFill>
          <a:miter lim="800000"/>
          <a:headEnd/>
          <a:tailEnd/>
        </a:ln>
      </xdr:spPr>
    </xdr:sp>
    <xdr:clientData/>
  </xdr:twoCellAnchor>
  <xdr:twoCellAnchor>
    <xdr:from>
      <xdr:col>0</xdr:col>
      <xdr:colOff>981075</xdr:colOff>
      <xdr:row>30</xdr:row>
      <xdr:rowOff>0</xdr:rowOff>
    </xdr:from>
    <xdr:to>
      <xdr:col>1</xdr:col>
      <xdr:colOff>0</xdr:colOff>
      <xdr:row>31</xdr:row>
      <xdr:rowOff>0</xdr:rowOff>
    </xdr:to>
    <xdr:sp macro="" textlink="">
      <xdr:nvSpPr>
        <xdr:cNvPr id="692526" name="Rectangle 5">
          <a:extLst>
            <a:ext uri="{FF2B5EF4-FFF2-40B4-BE49-F238E27FC236}">
              <a16:creationId xmlns:a16="http://schemas.microsoft.com/office/drawing/2014/main" id="{00000000-0008-0000-0900-00002E910A00}"/>
            </a:ext>
          </a:extLst>
        </xdr:cNvPr>
        <xdr:cNvSpPr>
          <a:spLocks noChangeArrowheads="1"/>
        </xdr:cNvSpPr>
      </xdr:nvSpPr>
      <xdr:spPr bwMode="auto">
        <a:xfrm>
          <a:off x="981075" y="5229225"/>
          <a:ext cx="733425" cy="161925"/>
        </a:xfrm>
        <a:prstGeom prst="rect">
          <a:avLst/>
        </a:prstGeom>
        <a:solidFill>
          <a:srgbClr val="FF0000"/>
        </a:solidFill>
        <a:ln w="9525">
          <a:solidFill>
            <a:srgbClr val="000000"/>
          </a:solidFill>
          <a:miter lim="800000"/>
          <a:headEnd/>
          <a:tailEnd/>
        </a:ln>
      </xdr:spPr>
    </xdr:sp>
    <xdr:clientData/>
  </xdr:twoCellAnchor>
  <xdr:twoCellAnchor editAs="oneCell">
    <xdr:from>
      <xdr:col>1</xdr:col>
      <xdr:colOff>47625</xdr:colOff>
      <xdr:row>15</xdr:row>
      <xdr:rowOff>47625</xdr:rowOff>
    </xdr:from>
    <xdr:to>
      <xdr:col>1</xdr:col>
      <xdr:colOff>2047875</xdr:colOff>
      <xdr:row>22</xdr:row>
      <xdr:rowOff>95250</xdr:rowOff>
    </xdr:to>
    <xdr:pic>
      <xdr:nvPicPr>
        <xdr:cNvPr id="692527" name="Imagen 2">
          <a:extLst>
            <a:ext uri="{FF2B5EF4-FFF2-40B4-BE49-F238E27FC236}">
              <a16:creationId xmlns:a16="http://schemas.microsoft.com/office/drawing/2014/main" id="{00000000-0008-0000-0900-00002F910A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19627" r="111" b="26199"/>
        <a:stretch>
          <a:fillRect/>
        </a:stretch>
      </xdr:blipFill>
      <xdr:spPr bwMode="auto">
        <a:xfrm>
          <a:off x="1762125" y="2838450"/>
          <a:ext cx="200025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57150</xdr:colOff>
      <xdr:row>14</xdr:row>
      <xdr:rowOff>85725</xdr:rowOff>
    </xdr:from>
    <xdr:to>
      <xdr:col>2</xdr:col>
      <xdr:colOff>2114550</xdr:colOff>
      <xdr:row>23</xdr:row>
      <xdr:rowOff>85725</xdr:rowOff>
    </xdr:to>
    <xdr:graphicFrame macro="">
      <xdr:nvGraphicFramePr>
        <xdr:cNvPr id="692528" name="Gráfico 3">
          <a:extLst>
            <a:ext uri="{FF2B5EF4-FFF2-40B4-BE49-F238E27FC236}">
              <a16:creationId xmlns:a16="http://schemas.microsoft.com/office/drawing/2014/main" id="{00000000-0008-0000-0900-000030910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409575</xdr:colOff>
      <xdr:row>30</xdr:row>
      <xdr:rowOff>180975</xdr:rowOff>
    </xdr:from>
    <xdr:to>
      <xdr:col>1</xdr:col>
      <xdr:colOff>561975</xdr:colOff>
      <xdr:row>31</xdr:row>
      <xdr:rowOff>123825</xdr:rowOff>
    </xdr:to>
    <xdr:sp macro="" textlink="">
      <xdr:nvSpPr>
        <xdr:cNvPr id="780122" name="Object 1" hidden="1">
          <a:extLst>
            <a:ext uri="{FF2B5EF4-FFF2-40B4-BE49-F238E27FC236}">
              <a16:creationId xmlns:a16="http://schemas.microsoft.com/office/drawing/2014/main" id="{00000000-0008-0000-0A00-00005AE70B00}"/>
            </a:ext>
          </a:extLst>
        </xdr:cNvPr>
        <xdr:cNvSpPr>
          <a:spLocks noChangeArrowheads="1"/>
        </xdr:cNvSpPr>
      </xdr:nvSpPr>
      <xdr:spPr bwMode="auto">
        <a:xfrm>
          <a:off x="1171575" y="5915025"/>
          <a:ext cx="1524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352425</xdr:colOff>
      <xdr:row>31</xdr:row>
      <xdr:rowOff>190500</xdr:rowOff>
    </xdr:from>
    <xdr:to>
      <xdr:col>1</xdr:col>
      <xdr:colOff>609600</xdr:colOff>
      <xdr:row>33</xdr:row>
      <xdr:rowOff>47625</xdr:rowOff>
    </xdr:to>
    <xdr:sp macro="" textlink="">
      <xdr:nvSpPr>
        <xdr:cNvPr id="780123" name="Object 2" hidden="1">
          <a:extLst>
            <a:ext uri="{FF2B5EF4-FFF2-40B4-BE49-F238E27FC236}">
              <a16:creationId xmlns:a16="http://schemas.microsoft.com/office/drawing/2014/main" id="{00000000-0008-0000-0A00-00005BE70B00}"/>
            </a:ext>
          </a:extLst>
        </xdr:cNvPr>
        <xdr:cNvSpPr>
          <a:spLocks noChangeArrowheads="1"/>
        </xdr:cNvSpPr>
      </xdr:nvSpPr>
      <xdr:spPr bwMode="auto">
        <a:xfrm>
          <a:off x="1114425" y="6115050"/>
          <a:ext cx="2571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114300</xdr:colOff>
      <xdr:row>9</xdr:row>
      <xdr:rowOff>19050</xdr:rowOff>
    </xdr:from>
    <xdr:to>
      <xdr:col>7</xdr:col>
      <xdr:colOff>742950</xdr:colOff>
      <xdr:row>33</xdr:row>
      <xdr:rowOff>161925</xdr:rowOff>
    </xdr:to>
    <xdr:grpSp>
      <xdr:nvGrpSpPr>
        <xdr:cNvPr id="780124" name="Grupo 2">
          <a:extLst>
            <a:ext uri="{FF2B5EF4-FFF2-40B4-BE49-F238E27FC236}">
              <a16:creationId xmlns:a16="http://schemas.microsoft.com/office/drawing/2014/main" id="{00000000-0008-0000-0A00-00005CE70B00}"/>
            </a:ext>
          </a:extLst>
        </xdr:cNvPr>
        <xdr:cNvGrpSpPr>
          <a:grpSpLocks/>
        </xdr:cNvGrpSpPr>
      </xdr:nvGrpSpPr>
      <xdr:grpSpPr bwMode="auto">
        <a:xfrm>
          <a:off x="114300" y="1752600"/>
          <a:ext cx="6562725" cy="4714875"/>
          <a:chOff x="114300" y="1733550"/>
          <a:chExt cx="6550025" cy="4714875"/>
        </a:xfrm>
      </xdr:grpSpPr>
      <xdr:sp macro="" textlink="">
        <xdr:nvSpPr>
          <xdr:cNvPr id="2" name="Rectangle 3">
            <a:extLst>
              <a:ext uri="{FF2B5EF4-FFF2-40B4-BE49-F238E27FC236}">
                <a16:creationId xmlns:a16="http://schemas.microsoft.com/office/drawing/2014/main" id="{00000000-0008-0000-0A00-000002000000}"/>
              </a:ext>
            </a:extLst>
          </xdr:cNvPr>
          <xdr:cNvSpPr>
            <a:spLocks noChangeArrowheads="1"/>
          </xdr:cNvSpPr>
        </xdr:nvSpPr>
        <xdr:spPr bwMode="auto">
          <a:xfrm>
            <a:off x="2605021" y="3152775"/>
            <a:ext cx="133092" cy="3714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endParaRPr lang="es-ES_tradnl" sz="800" b="0" i="0" strike="noStrike">
              <a:solidFill>
                <a:srgbClr val="000000"/>
              </a:solidFill>
              <a:latin typeface="Arial"/>
              <a:cs typeface="Arial"/>
            </a:endParaRPr>
          </a:p>
          <a:p>
            <a:pPr algn="ctr" rtl="0">
              <a:defRPr sz="1000"/>
            </a:pPr>
            <a:endParaRPr lang="es-ES_tradnl" sz="800" b="0" i="0" strike="noStrike">
              <a:solidFill>
                <a:srgbClr val="000000"/>
              </a:solidFill>
              <a:latin typeface="Arial"/>
              <a:cs typeface="Arial"/>
            </a:endParaRPr>
          </a:p>
        </xdr:txBody>
      </xdr:sp>
      <xdr:sp macro="" textlink="">
        <xdr:nvSpPr>
          <xdr:cNvPr id="780130" name="Rectangle 14">
            <a:extLst>
              <a:ext uri="{FF2B5EF4-FFF2-40B4-BE49-F238E27FC236}">
                <a16:creationId xmlns:a16="http://schemas.microsoft.com/office/drawing/2014/main" id="{00000000-0008-0000-0A00-000062E70B00}"/>
              </a:ext>
            </a:extLst>
          </xdr:cNvPr>
          <xdr:cNvSpPr>
            <a:spLocks noChangeArrowheads="1"/>
          </xdr:cNvSpPr>
        </xdr:nvSpPr>
        <xdr:spPr bwMode="auto">
          <a:xfrm flipH="1">
            <a:off x="2838450" y="3057525"/>
            <a:ext cx="19050" cy="952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80131" name="Rectangle 85">
            <a:extLst>
              <a:ext uri="{FF2B5EF4-FFF2-40B4-BE49-F238E27FC236}">
                <a16:creationId xmlns:a16="http://schemas.microsoft.com/office/drawing/2014/main" id="{00000000-0008-0000-0A00-000063E70B00}"/>
              </a:ext>
            </a:extLst>
          </xdr:cNvPr>
          <xdr:cNvSpPr>
            <a:spLocks noChangeArrowheads="1"/>
          </xdr:cNvSpPr>
        </xdr:nvSpPr>
        <xdr:spPr bwMode="auto">
          <a:xfrm>
            <a:off x="5918200" y="296227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780132" name="Rectangle 87">
            <a:extLst>
              <a:ext uri="{FF2B5EF4-FFF2-40B4-BE49-F238E27FC236}">
                <a16:creationId xmlns:a16="http://schemas.microsoft.com/office/drawing/2014/main" id="{00000000-0008-0000-0A00-000064E70B00}"/>
              </a:ext>
            </a:extLst>
          </xdr:cNvPr>
          <xdr:cNvSpPr>
            <a:spLocks noChangeArrowheads="1"/>
          </xdr:cNvSpPr>
        </xdr:nvSpPr>
        <xdr:spPr bwMode="auto">
          <a:xfrm>
            <a:off x="5927725" y="3543300"/>
            <a:ext cx="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pic>
        <xdr:nvPicPr>
          <xdr:cNvPr id="780133" name="Picture 2">
            <a:extLst>
              <a:ext uri="{FF2B5EF4-FFF2-40B4-BE49-F238E27FC236}">
                <a16:creationId xmlns:a16="http://schemas.microsoft.com/office/drawing/2014/main" id="{00000000-0008-0000-0A00-000065E70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425" y="6096000"/>
            <a:ext cx="2571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80134" name="8 Imagen">
            <a:extLst>
              <a:ext uri="{FF2B5EF4-FFF2-40B4-BE49-F238E27FC236}">
                <a16:creationId xmlns:a16="http://schemas.microsoft.com/office/drawing/2014/main" id="{00000000-0008-0000-0A00-000066E70B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r="13756"/>
          <a:stretch>
            <a:fillRect/>
          </a:stretch>
        </xdr:blipFill>
        <xdr:spPr bwMode="auto">
          <a:xfrm>
            <a:off x="114300" y="1733550"/>
            <a:ext cx="6550025" cy="471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0" name="9 CuadroTexto">
            <a:extLst>
              <a:ext uri="{FF2B5EF4-FFF2-40B4-BE49-F238E27FC236}">
                <a16:creationId xmlns:a16="http://schemas.microsoft.com/office/drawing/2014/main" id="{00000000-0008-0000-0A00-00000A000000}"/>
              </a:ext>
            </a:extLst>
          </xdr:cNvPr>
          <xdr:cNvSpPr txBox="1"/>
        </xdr:nvSpPr>
        <xdr:spPr>
          <a:xfrm>
            <a:off x="2766632" y="2619375"/>
            <a:ext cx="1901313"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FRONTERA PR 67+0700</a:t>
            </a:r>
          </a:p>
        </xdr:txBody>
      </xdr:sp>
      <xdr:sp macro="" textlink="">
        <xdr:nvSpPr>
          <xdr:cNvPr id="11" name="10 CuadroTexto">
            <a:extLst>
              <a:ext uri="{FF2B5EF4-FFF2-40B4-BE49-F238E27FC236}">
                <a16:creationId xmlns:a16="http://schemas.microsoft.com/office/drawing/2014/main" id="{00000000-0008-0000-0A00-00000B000000}"/>
              </a:ext>
            </a:extLst>
          </xdr:cNvPr>
          <xdr:cNvSpPr txBox="1"/>
        </xdr:nvSpPr>
        <xdr:spPr>
          <a:xfrm>
            <a:off x="209366" y="2000250"/>
            <a:ext cx="1663649"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UNIÓN PR 49+0000</a:t>
            </a:r>
          </a:p>
        </xdr:txBody>
      </xdr:sp>
      <xdr:sp macro="" textlink="">
        <xdr:nvSpPr>
          <xdr:cNvPr id="12" name="11 CuadroTexto">
            <a:extLst>
              <a:ext uri="{FF2B5EF4-FFF2-40B4-BE49-F238E27FC236}">
                <a16:creationId xmlns:a16="http://schemas.microsoft.com/office/drawing/2014/main" id="{00000000-0008-0000-0A00-00000C000000}"/>
              </a:ext>
            </a:extLst>
          </xdr:cNvPr>
          <xdr:cNvSpPr txBox="1"/>
        </xdr:nvSpPr>
        <xdr:spPr>
          <a:xfrm>
            <a:off x="2576501" y="5981700"/>
            <a:ext cx="1654143"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SONSÓN PR 103+0000</a:t>
            </a:r>
          </a:p>
        </xdr:txBody>
      </xdr:sp>
      <xdr:sp macro="" textlink="">
        <xdr:nvSpPr>
          <xdr:cNvPr id="13" name="12 CuadroTexto">
            <a:extLst>
              <a:ext uri="{FF2B5EF4-FFF2-40B4-BE49-F238E27FC236}">
                <a16:creationId xmlns:a16="http://schemas.microsoft.com/office/drawing/2014/main" id="{00000000-0008-0000-0A00-00000D000000}"/>
              </a:ext>
            </a:extLst>
          </xdr:cNvPr>
          <xdr:cNvSpPr txBox="1"/>
        </xdr:nvSpPr>
        <xdr:spPr>
          <a:xfrm>
            <a:off x="2006107" y="3228975"/>
            <a:ext cx="1216841"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MESOPOTAMIA</a:t>
            </a:r>
          </a:p>
        </xdr:txBody>
      </xdr:sp>
      <xdr:sp macro="" textlink="">
        <xdr:nvSpPr>
          <xdr:cNvPr id="14" name="13 Forma libre">
            <a:extLst>
              <a:ext uri="{FF2B5EF4-FFF2-40B4-BE49-F238E27FC236}">
                <a16:creationId xmlns:a16="http://schemas.microsoft.com/office/drawing/2014/main" id="{00000000-0008-0000-0A00-00000E000000}"/>
              </a:ext>
            </a:extLst>
          </xdr:cNvPr>
          <xdr:cNvSpPr/>
        </xdr:nvSpPr>
        <xdr:spPr>
          <a:xfrm>
            <a:off x="1217062" y="1838325"/>
            <a:ext cx="3032595" cy="4333875"/>
          </a:xfrm>
          <a:custGeom>
            <a:avLst/>
            <a:gdLst>
              <a:gd name="connsiteX0" fmla="*/ 0 w 2984500"/>
              <a:gd name="connsiteY0" fmla="*/ 52916 h 4572000"/>
              <a:gd name="connsiteX1" fmla="*/ 359833 w 2984500"/>
              <a:gd name="connsiteY1" fmla="*/ 52916 h 4572000"/>
              <a:gd name="connsiteX2" fmla="*/ 423333 w 2984500"/>
              <a:gd name="connsiteY2" fmla="*/ 31750 h 4572000"/>
              <a:gd name="connsiteX3" fmla="*/ 455083 w 2984500"/>
              <a:gd name="connsiteY3" fmla="*/ 21166 h 4572000"/>
              <a:gd name="connsiteX4" fmla="*/ 486833 w 2984500"/>
              <a:gd name="connsiteY4" fmla="*/ 0 h 4572000"/>
              <a:gd name="connsiteX5" fmla="*/ 571500 w 2984500"/>
              <a:gd name="connsiteY5" fmla="*/ 10583 h 4572000"/>
              <a:gd name="connsiteX6" fmla="*/ 592666 w 2984500"/>
              <a:gd name="connsiteY6" fmla="*/ 42333 h 4572000"/>
              <a:gd name="connsiteX7" fmla="*/ 624416 w 2984500"/>
              <a:gd name="connsiteY7" fmla="*/ 52916 h 4572000"/>
              <a:gd name="connsiteX8" fmla="*/ 687916 w 2984500"/>
              <a:gd name="connsiteY8" fmla="*/ 95250 h 4572000"/>
              <a:gd name="connsiteX9" fmla="*/ 804333 w 2984500"/>
              <a:gd name="connsiteY9" fmla="*/ 63500 h 4572000"/>
              <a:gd name="connsiteX10" fmla="*/ 910166 w 2984500"/>
              <a:gd name="connsiteY10" fmla="*/ 74083 h 4572000"/>
              <a:gd name="connsiteX11" fmla="*/ 931333 w 2984500"/>
              <a:gd name="connsiteY11" fmla="*/ 105833 h 4572000"/>
              <a:gd name="connsiteX12" fmla="*/ 1058333 w 2984500"/>
              <a:gd name="connsiteY12" fmla="*/ 169333 h 4572000"/>
              <a:gd name="connsiteX13" fmla="*/ 1153583 w 2984500"/>
              <a:gd name="connsiteY13" fmla="*/ 201083 h 4572000"/>
              <a:gd name="connsiteX14" fmla="*/ 1185333 w 2984500"/>
              <a:gd name="connsiteY14" fmla="*/ 211666 h 4572000"/>
              <a:gd name="connsiteX15" fmla="*/ 1217083 w 2984500"/>
              <a:gd name="connsiteY15" fmla="*/ 275166 h 4572000"/>
              <a:gd name="connsiteX16" fmla="*/ 1248833 w 2984500"/>
              <a:gd name="connsiteY16" fmla="*/ 285750 h 4572000"/>
              <a:gd name="connsiteX17" fmla="*/ 1280583 w 2984500"/>
              <a:gd name="connsiteY17" fmla="*/ 306916 h 4572000"/>
              <a:gd name="connsiteX18" fmla="*/ 1291166 w 2984500"/>
              <a:gd name="connsiteY18" fmla="*/ 338666 h 4572000"/>
              <a:gd name="connsiteX19" fmla="*/ 1322916 w 2984500"/>
              <a:gd name="connsiteY19" fmla="*/ 349250 h 4572000"/>
              <a:gd name="connsiteX20" fmla="*/ 1397000 w 2984500"/>
              <a:gd name="connsiteY20" fmla="*/ 381000 h 4572000"/>
              <a:gd name="connsiteX21" fmla="*/ 1428750 w 2984500"/>
              <a:gd name="connsiteY21" fmla="*/ 444500 h 4572000"/>
              <a:gd name="connsiteX22" fmla="*/ 1439333 w 2984500"/>
              <a:gd name="connsiteY22" fmla="*/ 476250 h 4572000"/>
              <a:gd name="connsiteX23" fmla="*/ 1428750 w 2984500"/>
              <a:gd name="connsiteY23" fmla="*/ 539750 h 4572000"/>
              <a:gd name="connsiteX24" fmla="*/ 1407583 w 2984500"/>
              <a:gd name="connsiteY24" fmla="*/ 571500 h 4572000"/>
              <a:gd name="connsiteX25" fmla="*/ 1397000 w 2984500"/>
              <a:gd name="connsiteY25" fmla="*/ 603250 h 4572000"/>
              <a:gd name="connsiteX26" fmla="*/ 1386416 w 2984500"/>
              <a:gd name="connsiteY26" fmla="*/ 677333 h 4572000"/>
              <a:gd name="connsiteX27" fmla="*/ 1407583 w 2984500"/>
              <a:gd name="connsiteY27" fmla="*/ 836083 h 4572000"/>
              <a:gd name="connsiteX28" fmla="*/ 1418166 w 2984500"/>
              <a:gd name="connsiteY28" fmla="*/ 878416 h 4572000"/>
              <a:gd name="connsiteX29" fmla="*/ 1439333 w 2984500"/>
              <a:gd name="connsiteY29" fmla="*/ 941916 h 4572000"/>
              <a:gd name="connsiteX30" fmla="*/ 1449916 w 2984500"/>
              <a:gd name="connsiteY30" fmla="*/ 973666 h 4572000"/>
              <a:gd name="connsiteX31" fmla="*/ 1471083 w 2984500"/>
              <a:gd name="connsiteY31" fmla="*/ 1005416 h 4572000"/>
              <a:gd name="connsiteX32" fmla="*/ 1481666 w 2984500"/>
              <a:gd name="connsiteY32" fmla="*/ 1037166 h 4572000"/>
              <a:gd name="connsiteX33" fmla="*/ 1524000 w 2984500"/>
              <a:gd name="connsiteY33" fmla="*/ 1100666 h 4572000"/>
              <a:gd name="connsiteX34" fmla="*/ 1534583 w 2984500"/>
              <a:gd name="connsiteY34" fmla="*/ 1132416 h 4572000"/>
              <a:gd name="connsiteX35" fmla="*/ 1598083 w 2984500"/>
              <a:gd name="connsiteY35" fmla="*/ 1111250 h 4572000"/>
              <a:gd name="connsiteX36" fmla="*/ 1651000 w 2984500"/>
              <a:gd name="connsiteY36" fmla="*/ 1153583 h 4572000"/>
              <a:gd name="connsiteX37" fmla="*/ 1714500 w 2984500"/>
              <a:gd name="connsiteY37" fmla="*/ 1185333 h 4572000"/>
              <a:gd name="connsiteX38" fmla="*/ 1746250 w 2984500"/>
              <a:gd name="connsiteY38" fmla="*/ 1206500 h 4572000"/>
              <a:gd name="connsiteX39" fmla="*/ 1809750 w 2984500"/>
              <a:gd name="connsiteY39" fmla="*/ 1227666 h 4572000"/>
              <a:gd name="connsiteX40" fmla="*/ 1852083 w 2984500"/>
              <a:gd name="connsiteY40" fmla="*/ 1270000 h 4572000"/>
              <a:gd name="connsiteX41" fmla="*/ 1873250 w 2984500"/>
              <a:gd name="connsiteY41" fmla="*/ 1301750 h 4572000"/>
              <a:gd name="connsiteX42" fmla="*/ 1905000 w 2984500"/>
              <a:gd name="connsiteY42" fmla="*/ 1322916 h 4572000"/>
              <a:gd name="connsiteX43" fmla="*/ 1926166 w 2984500"/>
              <a:gd name="connsiteY43" fmla="*/ 1354666 h 4572000"/>
              <a:gd name="connsiteX44" fmla="*/ 1957916 w 2984500"/>
              <a:gd name="connsiteY44" fmla="*/ 1365250 h 4572000"/>
              <a:gd name="connsiteX45" fmla="*/ 1968500 w 2984500"/>
              <a:gd name="connsiteY45" fmla="*/ 1397000 h 4572000"/>
              <a:gd name="connsiteX46" fmla="*/ 2000250 w 2984500"/>
              <a:gd name="connsiteY46" fmla="*/ 1418166 h 4572000"/>
              <a:gd name="connsiteX47" fmla="*/ 2042583 w 2984500"/>
              <a:gd name="connsiteY47" fmla="*/ 1481666 h 4572000"/>
              <a:gd name="connsiteX48" fmla="*/ 2074333 w 2984500"/>
              <a:gd name="connsiteY48" fmla="*/ 1545166 h 4572000"/>
              <a:gd name="connsiteX49" fmla="*/ 2084916 w 2984500"/>
              <a:gd name="connsiteY49" fmla="*/ 1576916 h 4572000"/>
              <a:gd name="connsiteX50" fmla="*/ 2116666 w 2984500"/>
              <a:gd name="connsiteY50" fmla="*/ 1598083 h 4572000"/>
              <a:gd name="connsiteX51" fmla="*/ 2137833 w 2984500"/>
              <a:gd name="connsiteY51" fmla="*/ 1629833 h 4572000"/>
              <a:gd name="connsiteX52" fmla="*/ 2169583 w 2984500"/>
              <a:gd name="connsiteY52" fmla="*/ 1693333 h 4572000"/>
              <a:gd name="connsiteX53" fmla="*/ 2180166 w 2984500"/>
              <a:gd name="connsiteY53" fmla="*/ 1725083 h 4572000"/>
              <a:gd name="connsiteX54" fmla="*/ 2190750 w 2984500"/>
              <a:gd name="connsiteY54" fmla="*/ 1862666 h 4572000"/>
              <a:gd name="connsiteX55" fmla="*/ 2211916 w 2984500"/>
              <a:gd name="connsiteY55" fmla="*/ 1894416 h 4572000"/>
              <a:gd name="connsiteX56" fmla="*/ 2233083 w 2984500"/>
              <a:gd name="connsiteY56" fmla="*/ 1957916 h 4572000"/>
              <a:gd name="connsiteX57" fmla="*/ 2264833 w 2984500"/>
              <a:gd name="connsiteY57" fmla="*/ 2169583 h 4572000"/>
              <a:gd name="connsiteX58" fmla="*/ 2264833 w 2984500"/>
              <a:gd name="connsiteY58" fmla="*/ 2169583 h 4572000"/>
              <a:gd name="connsiteX59" fmla="*/ 2275416 w 2984500"/>
              <a:gd name="connsiteY59" fmla="*/ 2233083 h 4572000"/>
              <a:gd name="connsiteX60" fmla="*/ 2317750 w 2984500"/>
              <a:gd name="connsiteY60" fmla="*/ 2296583 h 4572000"/>
              <a:gd name="connsiteX61" fmla="*/ 2328333 w 2984500"/>
              <a:gd name="connsiteY61" fmla="*/ 2328333 h 4572000"/>
              <a:gd name="connsiteX62" fmla="*/ 2286000 w 2984500"/>
              <a:gd name="connsiteY62" fmla="*/ 2391833 h 4572000"/>
              <a:gd name="connsiteX63" fmla="*/ 2317750 w 2984500"/>
              <a:gd name="connsiteY63" fmla="*/ 2614083 h 4572000"/>
              <a:gd name="connsiteX64" fmla="*/ 2328333 w 2984500"/>
              <a:gd name="connsiteY64" fmla="*/ 2645833 h 4572000"/>
              <a:gd name="connsiteX65" fmla="*/ 2338916 w 2984500"/>
              <a:gd name="connsiteY65" fmla="*/ 2677583 h 4572000"/>
              <a:gd name="connsiteX66" fmla="*/ 2370666 w 2984500"/>
              <a:gd name="connsiteY66" fmla="*/ 2688166 h 4572000"/>
              <a:gd name="connsiteX67" fmla="*/ 2391833 w 2984500"/>
              <a:gd name="connsiteY67" fmla="*/ 3058583 h 4572000"/>
              <a:gd name="connsiteX68" fmla="*/ 2413000 w 2984500"/>
              <a:gd name="connsiteY68" fmla="*/ 3122083 h 4572000"/>
              <a:gd name="connsiteX69" fmla="*/ 2455333 w 2984500"/>
              <a:gd name="connsiteY69" fmla="*/ 3164416 h 4572000"/>
              <a:gd name="connsiteX70" fmla="*/ 2487083 w 2984500"/>
              <a:gd name="connsiteY70" fmla="*/ 3196166 h 4572000"/>
              <a:gd name="connsiteX71" fmla="*/ 2550583 w 2984500"/>
              <a:gd name="connsiteY71" fmla="*/ 3217333 h 4572000"/>
              <a:gd name="connsiteX72" fmla="*/ 2825750 w 2984500"/>
              <a:gd name="connsiteY72" fmla="*/ 3206750 h 4572000"/>
              <a:gd name="connsiteX73" fmla="*/ 2889250 w 2984500"/>
              <a:gd name="connsiteY73" fmla="*/ 3217333 h 4572000"/>
              <a:gd name="connsiteX74" fmla="*/ 2878666 w 2984500"/>
              <a:gd name="connsiteY74" fmla="*/ 3280833 h 4572000"/>
              <a:gd name="connsiteX75" fmla="*/ 2815166 w 2984500"/>
              <a:gd name="connsiteY75" fmla="*/ 3312583 h 4572000"/>
              <a:gd name="connsiteX76" fmla="*/ 2794000 w 2984500"/>
              <a:gd name="connsiteY76" fmla="*/ 3344333 h 4572000"/>
              <a:gd name="connsiteX77" fmla="*/ 2762250 w 2984500"/>
              <a:gd name="connsiteY77" fmla="*/ 3365500 h 4572000"/>
              <a:gd name="connsiteX78" fmla="*/ 2751666 w 2984500"/>
              <a:gd name="connsiteY78" fmla="*/ 3397250 h 4572000"/>
              <a:gd name="connsiteX79" fmla="*/ 2762250 w 2984500"/>
              <a:gd name="connsiteY79" fmla="*/ 3492500 h 4572000"/>
              <a:gd name="connsiteX80" fmla="*/ 2783416 w 2984500"/>
              <a:gd name="connsiteY80" fmla="*/ 3556000 h 4572000"/>
              <a:gd name="connsiteX81" fmla="*/ 2794000 w 2984500"/>
              <a:gd name="connsiteY81" fmla="*/ 3598333 h 4572000"/>
              <a:gd name="connsiteX82" fmla="*/ 2804583 w 2984500"/>
              <a:gd name="connsiteY82" fmla="*/ 3873500 h 4572000"/>
              <a:gd name="connsiteX83" fmla="*/ 2846916 w 2984500"/>
              <a:gd name="connsiteY83" fmla="*/ 3937000 h 4572000"/>
              <a:gd name="connsiteX84" fmla="*/ 2868083 w 2984500"/>
              <a:gd name="connsiteY84" fmla="*/ 4000500 h 4572000"/>
              <a:gd name="connsiteX85" fmla="*/ 2878666 w 2984500"/>
              <a:gd name="connsiteY85" fmla="*/ 4032250 h 4572000"/>
              <a:gd name="connsiteX86" fmla="*/ 2889250 w 2984500"/>
              <a:gd name="connsiteY86" fmla="*/ 4064000 h 4572000"/>
              <a:gd name="connsiteX87" fmla="*/ 2899833 w 2984500"/>
              <a:gd name="connsiteY87" fmla="*/ 4307416 h 4572000"/>
              <a:gd name="connsiteX88" fmla="*/ 2921000 w 2984500"/>
              <a:gd name="connsiteY88" fmla="*/ 4370916 h 4572000"/>
              <a:gd name="connsiteX89" fmla="*/ 2931583 w 2984500"/>
              <a:gd name="connsiteY89" fmla="*/ 4402666 h 4572000"/>
              <a:gd name="connsiteX90" fmla="*/ 2952750 w 2984500"/>
              <a:gd name="connsiteY90" fmla="*/ 4476750 h 4572000"/>
              <a:gd name="connsiteX91" fmla="*/ 2973916 w 2984500"/>
              <a:gd name="connsiteY91" fmla="*/ 4540250 h 4572000"/>
              <a:gd name="connsiteX92" fmla="*/ 2984500 w 2984500"/>
              <a:gd name="connsiteY92" fmla="*/ 4572000 h 457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Lst>
            <a:rect l="l" t="t" r="r" b="b"/>
            <a:pathLst>
              <a:path w="2984500" h="4572000">
                <a:moveTo>
                  <a:pt x="0" y="52916"/>
                </a:moveTo>
                <a:cubicBezTo>
                  <a:pt x="155374" y="64869"/>
                  <a:pt x="182191" y="72654"/>
                  <a:pt x="359833" y="52916"/>
                </a:cubicBezTo>
                <a:cubicBezTo>
                  <a:pt x="382008" y="50452"/>
                  <a:pt x="402166" y="38806"/>
                  <a:pt x="423333" y="31750"/>
                </a:cubicBezTo>
                <a:cubicBezTo>
                  <a:pt x="433916" y="28222"/>
                  <a:pt x="445801" y="27354"/>
                  <a:pt x="455083" y="21166"/>
                </a:cubicBezTo>
                <a:lnTo>
                  <a:pt x="486833" y="0"/>
                </a:lnTo>
                <a:cubicBezTo>
                  <a:pt x="515055" y="3528"/>
                  <a:pt x="545092" y="20"/>
                  <a:pt x="571500" y="10583"/>
                </a:cubicBezTo>
                <a:cubicBezTo>
                  <a:pt x="583310" y="15307"/>
                  <a:pt x="582734" y="34387"/>
                  <a:pt x="592666" y="42333"/>
                </a:cubicBezTo>
                <a:cubicBezTo>
                  <a:pt x="601377" y="49302"/>
                  <a:pt x="613833" y="49388"/>
                  <a:pt x="624416" y="52916"/>
                </a:cubicBezTo>
                <a:cubicBezTo>
                  <a:pt x="645583" y="67027"/>
                  <a:pt x="663236" y="101420"/>
                  <a:pt x="687916" y="95250"/>
                </a:cubicBezTo>
                <a:cubicBezTo>
                  <a:pt x="783406" y="71377"/>
                  <a:pt x="744985" y="83282"/>
                  <a:pt x="804333" y="63500"/>
                </a:cubicBezTo>
                <a:cubicBezTo>
                  <a:pt x="839611" y="67028"/>
                  <a:pt x="876532" y="62872"/>
                  <a:pt x="910166" y="74083"/>
                </a:cubicBezTo>
                <a:cubicBezTo>
                  <a:pt x="922233" y="78105"/>
                  <a:pt x="921760" y="97457"/>
                  <a:pt x="931333" y="105833"/>
                </a:cubicBezTo>
                <a:cubicBezTo>
                  <a:pt x="981833" y="150020"/>
                  <a:pt x="998383" y="149350"/>
                  <a:pt x="1058333" y="169333"/>
                </a:cubicBezTo>
                <a:lnTo>
                  <a:pt x="1153583" y="201083"/>
                </a:lnTo>
                <a:lnTo>
                  <a:pt x="1185333" y="211666"/>
                </a:lnTo>
                <a:cubicBezTo>
                  <a:pt x="1192305" y="232583"/>
                  <a:pt x="1198431" y="260244"/>
                  <a:pt x="1217083" y="275166"/>
                </a:cubicBezTo>
                <a:cubicBezTo>
                  <a:pt x="1225794" y="282135"/>
                  <a:pt x="1238855" y="280761"/>
                  <a:pt x="1248833" y="285750"/>
                </a:cubicBezTo>
                <a:cubicBezTo>
                  <a:pt x="1260210" y="291438"/>
                  <a:pt x="1270000" y="299861"/>
                  <a:pt x="1280583" y="306916"/>
                </a:cubicBezTo>
                <a:cubicBezTo>
                  <a:pt x="1284111" y="317499"/>
                  <a:pt x="1283278" y="330778"/>
                  <a:pt x="1291166" y="338666"/>
                </a:cubicBezTo>
                <a:cubicBezTo>
                  <a:pt x="1299054" y="346554"/>
                  <a:pt x="1312938" y="344261"/>
                  <a:pt x="1322916" y="349250"/>
                </a:cubicBezTo>
                <a:cubicBezTo>
                  <a:pt x="1396002" y="385793"/>
                  <a:pt x="1308896" y="358973"/>
                  <a:pt x="1397000" y="381000"/>
                </a:cubicBezTo>
                <a:cubicBezTo>
                  <a:pt x="1423601" y="460804"/>
                  <a:pt x="1387718" y="362436"/>
                  <a:pt x="1428750" y="444500"/>
                </a:cubicBezTo>
                <a:cubicBezTo>
                  <a:pt x="1433739" y="454478"/>
                  <a:pt x="1435805" y="465667"/>
                  <a:pt x="1439333" y="476250"/>
                </a:cubicBezTo>
                <a:cubicBezTo>
                  <a:pt x="1435805" y="497417"/>
                  <a:pt x="1435536" y="519393"/>
                  <a:pt x="1428750" y="539750"/>
                </a:cubicBezTo>
                <a:cubicBezTo>
                  <a:pt x="1424728" y="551817"/>
                  <a:pt x="1413271" y="560123"/>
                  <a:pt x="1407583" y="571500"/>
                </a:cubicBezTo>
                <a:cubicBezTo>
                  <a:pt x="1402594" y="581478"/>
                  <a:pt x="1400528" y="592667"/>
                  <a:pt x="1397000" y="603250"/>
                </a:cubicBezTo>
                <a:cubicBezTo>
                  <a:pt x="1393472" y="627944"/>
                  <a:pt x="1386416" y="652388"/>
                  <a:pt x="1386416" y="677333"/>
                </a:cubicBezTo>
                <a:cubicBezTo>
                  <a:pt x="1386416" y="820888"/>
                  <a:pt x="1386590" y="762605"/>
                  <a:pt x="1407583" y="836083"/>
                </a:cubicBezTo>
                <a:cubicBezTo>
                  <a:pt x="1411579" y="850069"/>
                  <a:pt x="1413986" y="864484"/>
                  <a:pt x="1418166" y="878416"/>
                </a:cubicBezTo>
                <a:cubicBezTo>
                  <a:pt x="1424577" y="899787"/>
                  <a:pt x="1432277" y="920749"/>
                  <a:pt x="1439333" y="941916"/>
                </a:cubicBezTo>
                <a:lnTo>
                  <a:pt x="1449916" y="973666"/>
                </a:lnTo>
                <a:cubicBezTo>
                  <a:pt x="1453938" y="985733"/>
                  <a:pt x="1464027" y="994833"/>
                  <a:pt x="1471083" y="1005416"/>
                </a:cubicBezTo>
                <a:cubicBezTo>
                  <a:pt x="1474611" y="1015999"/>
                  <a:pt x="1476248" y="1027414"/>
                  <a:pt x="1481666" y="1037166"/>
                </a:cubicBezTo>
                <a:cubicBezTo>
                  <a:pt x="1494020" y="1059404"/>
                  <a:pt x="1524000" y="1100666"/>
                  <a:pt x="1524000" y="1100666"/>
                </a:cubicBezTo>
                <a:cubicBezTo>
                  <a:pt x="1527528" y="1111249"/>
                  <a:pt x="1523539" y="1130838"/>
                  <a:pt x="1534583" y="1132416"/>
                </a:cubicBezTo>
                <a:cubicBezTo>
                  <a:pt x="1556670" y="1135572"/>
                  <a:pt x="1598083" y="1111250"/>
                  <a:pt x="1598083" y="1111250"/>
                </a:cubicBezTo>
                <a:cubicBezTo>
                  <a:pt x="1659893" y="1131853"/>
                  <a:pt x="1603130" y="1105713"/>
                  <a:pt x="1651000" y="1153583"/>
                </a:cubicBezTo>
                <a:cubicBezTo>
                  <a:pt x="1671517" y="1174100"/>
                  <a:pt x="1688676" y="1176725"/>
                  <a:pt x="1714500" y="1185333"/>
                </a:cubicBezTo>
                <a:cubicBezTo>
                  <a:pt x="1725083" y="1192389"/>
                  <a:pt x="1734627" y="1201334"/>
                  <a:pt x="1746250" y="1206500"/>
                </a:cubicBezTo>
                <a:cubicBezTo>
                  <a:pt x="1766639" y="1215562"/>
                  <a:pt x="1809750" y="1227666"/>
                  <a:pt x="1809750" y="1227666"/>
                </a:cubicBezTo>
                <a:cubicBezTo>
                  <a:pt x="1832840" y="1296938"/>
                  <a:pt x="1800771" y="1228950"/>
                  <a:pt x="1852083" y="1270000"/>
                </a:cubicBezTo>
                <a:cubicBezTo>
                  <a:pt x="1862015" y="1277946"/>
                  <a:pt x="1864256" y="1292756"/>
                  <a:pt x="1873250" y="1301750"/>
                </a:cubicBezTo>
                <a:cubicBezTo>
                  <a:pt x="1882244" y="1310744"/>
                  <a:pt x="1894417" y="1315861"/>
                  <a:pt x="1905000" y="1322916"/>
                </a:cubicBezTo>
                <a:cubicBezTo>
                  <a:pt x="1912055" y="1333499"/>
                  <a:pt x="1916234" y="1346720"/>
                  <a:pt x="1926166" y="1354666"/>
                </a:cubicBezTo>
                <a:cubicBezTo>
                  <a:pt x="1934877" y="1361635"/>
                  <a:pt x="1950028" y="1357362"/>
                  <a:pt x="1957916" y="1365250"/>
                </a:cubicBezTo>
                <a:cubicBezTo>
                  <a:pt x="1965804" y="1373138"/>
                  <a:pt x="1961531" y="1388289"/>
                  <a:pt x="1968500" y="1397000"/>
                </a:cubicBezTo>
                <a:cubicBezTo>
                  <a:pt x="1976446" y="1406932"/>
                  <a:pt x="1989667" y="1411111"/>
                  <a:pt x="2000250" y="1418166"/>
                </a:cubicBezTo>
                <a:cubicBezTo>
                  <a:pt x="2014361" y="1439333"/>
                  <a:pt x="2034539" y="1457532"/>
                  <a:pt x="2042583" y="1481666"/>
                </a:cubicBezTo>
                <a:cubicBezTo>
                  <a:pt x="2057188" y="1525483"/>
                  <a:pt x="2046978" y="1504134"/>
                  <a:pt x="2074333" y="1545166"/>
                </a:cubicBezTo>
                <a:cubicBezTo>
                  <a:pt x="2077861" y="1555749"/>
                  <a:pt x="2077947" y="1568205"/>
                  <a:pt x="2084916" y="1576916"/>
                </a:cubicBezTo>
                <a:cubicBezTo>
                  <a:pt x="2092862" y="1586848"/>
                  <a:pt x="2107672" y="1589089"/>
                  <a:pt x="2116666" y="1598083"/>
                </a:cubicBezTo>
                <a:cubicBezTo>
                  <a:pt x="2125660" y="1607077"/>
                  <a:pt x="2130777" y="1619250"/>
                  <a:pt x="2137833" y="1629833"/>
                </a:cubicBezTo>
                <a:cubicBezTo>
                  <a:pt x="2164434" y="1709637"/>
                  <a:pt x="2128551" y="1611269"/>
                  <a:pt x="2169583" y="1693333"/>
                </a:cubicBezTo>
                <a:cubicBezTo>
                  <a:pt x="2174572" y="1703311"/>
                  <a:pt x="2176638" y="1714500"/>
                  <a:pt x="2180166" y="1725083"/>
                </a:cubicBezTo>
                <a:cubicBezTo>
                  <a:pt x="2183694" y="1770944"/>
                  <a:pt x="2182273" y="1817457"/>
                  <a:pt x="2190750" y="1862666"/>
                </a:cubicBezTo>
                <a:cubicBezTo>
                  <a:pt x="2193094" y="1875168"/>
                  <a:pt x="2206750" y="1882793"/>
                  <a:pt x="2211916" y="1894416"/>
                </a:cubicBezTo>
                <a:cubicBezTo>
                  <a:pt x="2220978" y="1914805"/>
                  <a:pt x="2233083" y="1957916"/>
                  <a:pt x="2233083" y="1957916"/>
                </a:cubicBezTo>
                <a:cubicBezTo>
                  <a:pt x="2245256" y="2128338"/>
                  <a:pt x="2228008" y="2059109"/>
                  <a:pt x="2264833" y="2169583"/>
                </a:cubicBezTo>
                <a:lnTo>
                  <a:pt x="2264833" y="2169583"/>
                </a:lnTo>
                <a:cubicBezTo>
                  <a:pt x="2268361" y="2190750"/>
                  <a:pt x="2267163" y="2213275"/>
                  <a:pt x="2275416" y="2233083"/>
                </a:cubicBezTo>
                <a:cubicBezTo>
                  <a:pt x="2285200" y="2256565"/>
                  <a:pt x="2317750" y="2296583"/>
                  <a:pt x="2317750" y="2296583"/>
                </a:cubicBezTo>
                <a:cubicBezTo>
                  <a:pt x="2321278" y="2307166"/>
                  <a:pt x="2328333" y="2317177"/>
                  <a:pt x="2328333" y="2328333"/>
                </a:cubicBezTo>
                <a:cubicBezTo>
                  <a:pt x="2328333" y="2358966"/>
                  <a:pt x="2305090" y="2372743"/>
                  <a:pt x="2286000" y="2391833"/>
                </a:cubicBezTo>
                <a:cubicBezTo>
                  <a:pt x="2298067" y="2572851"/>
                  <a:pt x="2279812" y="2500268"/>
                  <a:pt x="2317750" y="2614083"/>
                </a:cubicBezTo>
                <a:lnTo>
                  <a:pt x="2328333" y="2645833"/>
                </a:lnTo>
                <a:cubicBezTo>
                  <a:pt x="2331861" y="2656416"/>
                  <a:pt x="2328333" y="2674055"/>
                  <a:pt x="2338916" y="2677583"/>
                </a:cubicBezTo>
                <a:lnTo>
                  <a:pt x="2370666" y="2688166"/>
                </a:lnTo>
                <a:cubicBezTo>
                  <a:pt x="2419128" y="2833542"/>
                  <a:pt x="2359038" y="2643179"/>
                  <a:pt x="2391833" y="3058583"/>
                </a:cubicBezTo>
                <a:cubicBezTo>
                  <a:pt x="2393589" y="3080825"/>
                  <a:pt x="2405944" y="3100916"/>
                  <a:pt x="2413000" y="3122083"/>
                </a:cubicBezTo>
                <a:cubicBezTo>
                  <a:pt x="2427111" y="3164416"/>
                  <a:pt x="2412999" y="3150305"/>
                  <a:pt x="2455333" y="3164416"/>
                </a:cubicBezTo>
                <a:cubicBezTo>
                  <a:pt x="2465916" y="3174999"/>
                  <a:pt x="2473999" y="3188897"/>
                  <a:pt x="2487083" y="3196166"/>
                </a:cubicBezTo>
                <a:cubicBezTo>
                  <a:pt x="2506587" y="3207002"/>
                  <a:pt x="2550583" y="3217333"/>
                  <a:pt x="2550583" y="3217333"/>
                </a:cubicBezTo>
                <a:cubicBezTo>
                  <a:pt x="2642305" y="3213805"/>
                  <a:pt x="2733960" y="3206750"/>
                  <a:pt x="2825750" y="3206750"/>
                </a:cubicBezTo>
                <a:cubicBezTo>
                  <a:pt x="2847209" y="3206750"/>
                  <a:pt x="2876777" y="3199871"/>
                  <a:pt x="2889250" y="3217333"/>
                </a:cubicBezTo>
                <a:cubicBezTo>
                  <a:pt x="2901723" y="3234795"/>
                  <a:pt x="2888263" y="3261640"/>
                  <a:pt x="2878666" y="3280833"/>
                </a:cubicBezTo>
                <a:cubicBezTo>
                  <a:pt x="2870459" y="3297247"/>
                  <a:pt x="2830194" y="3307574"/>
                  <a:pt x="2815166" y="3312583"/>
                </a:cubicBezTo>
                <a:cubicBezTo>
                  <a:pt x="2808111" y="3323166"/>
                  <a:pt x="2802994" y="3335339"/>
                  <a:pt x="2794000" y="3344333"/>
                </a:cubicBezTo>
                <a:cubicBezTo>
                  <a:pt x="2785006" y="3353327"/>
                  <a:pt x="2770196" y="3355568"/>
                  <a:pt x="2762250" y="3365500"/>
                </a:cubicBezTo>
                <a:cubicBezTo>
                  <a:pt x="2755281" y="3374211"/>
                  <a:pt x="2755194" y="3386667"/>
                  <a:pt x="2751666" y="3397250"/>
                </a:cubicBezTo>
                <a:cubicBezTo>
                  <a:pt x="2755194" y="3429000"/>
                  <a:pt x="2755985" y="3461175"/>
                  <a:pt x="2762250" y="3492500"/>
                </a:cubicBezTo>
                <a:cubicBezTo>
                  <a:pt x="2766626" y="3514378"/>
                  <a:pt x="2776361" y="3534833"/>
                  <a:pt x="2783416" y="3556000"/>
                </a:cubicBezTo>
                <a:cubicBezTo>
                  <a:pt x="2788016" y="3569799"/>
                  <a:pt x="2790472" y="3584222"/>
                  <a:pt x="2794000" y="3598333"/>
                </a:cubicBezTo>
                <a:cubicBezTo>
                  <a:pt x="2797528" y="3690055"/>
                  <a:pt x="2790413" y="3782810"/>
                  <a:pt x="2804583" y="3873500"/>
                </a:cubicBezTo>
                <a:cubicBezTo>
                  <a:pt x="2808510" y="3898634"/>
                  <a:pt x="2832805" y="3915833"/>
                  <a:pt x="2846916" y="3937000"/>
                </a:cubicBezTo>
                <a:cubicBezTo>
                  <a:pt x="2859292" y="3955564"/>
                  <a:pt x="2861027" y="3979333"/>
                  <a:pt x="2868083" y="4000500"/>
                </a:cubicBezTo>
                <a:lnTo>
                  <a:pt x="2878666" y="4032250"/>
                </a:lnTo>
                <a:lnTo>
                  <a:pt x="2889250" y="4064000"/>
                </a:lnTo>
                <a:cubicBezTo>
                  <a:pt x="2892778" y="4145139"/>
                  <a:pt x="2891476" y="4226632"/>
                  <a:pt x="2899833" y="4307416"/>
                </a:cubicBezTo>
                <a:cubicBezTo>
                  <a:pt x="2902129" y="4329609"/>
                  <a:pt x="2913944" y="4349749"/>
                  <a:pt x="2921000" y="4370916"/>
                </a:cubicBezTo>
                <a:lnTo>
                  <a:pt x="2931583" y="4402666"/>
                </a:lnTo>
                <a:cubicBezTo>
                  <a:pt x="2967149" y="4509367"/>
                  <a:pt x="2912883" y="4343860"/>
                  <a:pt x="2952750" y="4476750"/>
                </a:cubicBezTo>
                <a:cubicBezTo>
                  <a:pt x="2959161" y="4498121"/>
                  <a:pt x="2966860" y="4519083"/>
                  <a:pt x="2973916" y="4540250"/>
                </a:cubicBezTo>
                <a:lnTo>
                  <a:pt x="2984500" y="4572000"/>
                </a:lnTo>
              </a:path>
            </a:pathLst>
          </a:custGeom>
          <a:ln w="3492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sp macro="" textlink="">
        <xdr:nvSpPr>
          <xdr:cNvPr id="15" name="14 Explosión 1">
            <a:extLst>
              <a:ext uri="{FF2B5EF4-FFF2-40B4-BE49-F238E27FC236}">
                <a16:creationId xmlns:a16="http://schemas.microsoft.com/office/drawing/2014/main" id="{00000000-0008-0000-0A00-00000F000000}"/>
              </a:ext>
            </a:extLst>
          </xdr:cNvPr>
          <xdr:cNvSpPr/>
        </xdr:nvSpPr>
        <xdr:spPr>
          <a:xfrm>
            <a:off x="1055450" y="1771650"/>
            <a:ext cx="228158" cy="20002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16" name="15 Explosión 1">
            <a:extLst>
              <a:ext uri="{FF2B5EF4-FFF2-40B4-BE49-F238E27FC236}">
                <a16:creationId xmlns:a16="http://schemas.microsoft.com/office/drawing/2014/main" id="{00000000-0008-0000-0A00-000010000000}"/>
              </a:ext>
            </a:extLst>
          </xdr:cNvPr>
          <xdr:cNvSpPr/>
        </xdr:nvSpPr>
        <xdr:spPr>
          <a:xfrm>
            <a:off x="2662060" y="3038475"/>
            <a:ext cx="218651" cy="20002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17" name="16 Explosión 1">
            <a:extLst>
              <a:ext uri="{FF2B5EF4-FFF2-40B4-BE49-F238E27FC236}">
                <a16:creationId xmlns:a16="http://schemas.microsoft.com/office/drawing/2014/main" id="{00000000-0008-0000-0A00-000011000000}"/>
              </a:ext>
            </a:extLst>
          </xdr:cNvPr>
          <xdr:cNvSpPr/>
        </xdr:nvSpPr>
        <xdr:spPr>
          <a:xfrm>
            <a:off x="4135578" y="6115050"/>
            <a:ext cx="218651" cy="20002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18" name="17 Forma libre">
            <a:extLst>
              <a:ext uri="{FF2B5EF4-FFF2-40B4-BE49-F238E27FC236}">
                <a16:creationId xmlns:a16="http://schemas.microsoft.com/office/drawing/2014/main" id="{00000000-0008-0000-0A00-000012000000}"/>
              </a:ext>
            </a:extLst>
          </xdr:cNvPr>
          <xdr:cNvSpPr/>
        </xdr:nvSpPr>
        <xdr:spPr>
          <a:xfrm>
            <a:off x="2776139" y="2933700"/>
            <a:ext cx="0" cy="114300"/>
          </a:xfrm>
          <a:custGeom>
            <a:avLst/>
            <a:gdLst>
              <a:gd name="connsiteX0" fmla="*/ 0 w 0"/>
              <a:gd name="connsiteY0" fmla="*/ 0 h 116417"/>
              <a:gd name="connsiteX1" fmla="*/ 0 w 0"/>
              <a:gd name="connsiteY1" fmla="*/ 116417 h 116417"/>
            </a:gdLst>
            <a:ahLst/>
            <a:cxnLst>
              <a:cxn ang="0">
                <a:pos x="connsiteX0" y="connsiteY0"/>
              </a:cxn>
              <a:cxn ang="0">
                <a:pos x="connsiteX1" y="connsiteY1"/>
              </a:cxn>
            </a:cxnLst>
            <a:rect l="l" t="t" r="r" b="b"/>
            <a:pathLst>
              <a:path h="116417">
                <a:moveTo>
                  <a:pt x="0" y="0"/>
                </a:moveTo>
                <a:lnTo>
                  <a:pt x="0" y="116417"/>
                </a:lnTo>
              </a:path>
            </a:pathLst>
          </a:custGeom>
          <a:ln w="2540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sp macro="" textlink="">
        <xdr:nvSpPr>
          <xdr:cNvPr id="19" name="18 Explosión 1">
            <a:extLst>
              <a:ext uri="{FF2B5EF4-FFF2-40B4-BE49-F238E27FC236}">
                <a16:creationId xmlns:a16="http://schemas.microsoft.com/office/drawing/2014/main" id="{00000000-0008-0000-0A00-000013000000}"/>
              </a:ext>
            </a:extLst>
          </xdr:cNvPr>
          <xdr:cNvSpPr/>
        </xdr:nvSpPr>
        <xdr:spPr>
          <a:xfrm>
            <a:off x="2700086" y="2800350"/>
            <a:ext cx="180625" cy="14287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22" name="147 Triángulo isósceles">
            <a:extLst>
              <a:ext uri="{FF2B5EF4-FFF2-40B4-BE49-F238E27FC236}">
                <a16:creationId xmlns:a16="http://schemas.microsoft.com/office/drawing/2014/main" id="{00000000-0008-0000-0A00-000016000000}"/>
              </a:ext>
            </a:extLst>
          </xdr:cNvPr>
          <xdr:cNvSpPr>
            <a:spLocks noChangeArrowheads="1"/>
          </xdr:cNvSpPr>
        </xdr:nvSpPr>
        <xdr:spPr bwMode="auto">
          <a:xfrm>
            <a:off x="2633540" y="2209800"/>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3" name="147 Triángulo isósceles">
            <a:extLst>
              <a:ext uri="{FF2B5EF4-FFF2-40B4-BE49-F238E27FC236}">
                <a16:creationId xmlns:a16="http://schemas.microsoft.com/office/drawing/2014/main" id="{00000000-0008-0000-0A00-000017000000}"/>
              </a:ext>
            </a:extLst>
          </xdr:cNvPr>
          <xdr:cNvSpPr>
            <a:spLocks noChangeArrowheads="1"/>
          </xdr:cNvSpPr>
        </xdr:nvSpPr>
        <xdr:spPr bwMode="auto">
          <a:xfrm>
            <a:off x="3479625" y="3771900"/>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5" name="24 CuadroTexto">
            <a:extLst>
              <a:ext uri="{FF2B5EF4-FFF2-40B4-BE49-F238E27FC236}">
                <a16:creationId xmlns:a16="http://schemas.microsoft.com/office/drawing/2014/main" id="{00000000-0008-0000-0A00-000019000000}"/>
              </a:ext>
            </a:extLst>
          </xdr:cNvPr>
          <xdr:cNvSpPr txBox="1"/>
        </xdr:nvSpPr>
        <xdr:spPr>
          <a:xfrm>
            <a:off x="3432092" y="2057400"/>
            <a:ext cx="770032"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 1</a:t>
            </a:r>
          </a:p>
          <a:p>
            <a:r>
              <a:rPr lang="es-US" sz="800">
                <a:solidFill>
                  <a:schemeClr val="bg1"/>
                </a:solidFill>
              </a:rPr>
              <a:t>  PR59+0260</a:t>
            </a:r>
          </a:p>
        </xdr:txBody>
      </xdr:sp>
      <xdr:sp macro="" textlink="">
        <xdr:nvSpPr>
          <xdr:cNvPr id="26" name="25 CuadroTexto">
            <a:extLst>
              <a:ext uri="{FF2B5EF4-FFF2-40B4-BE49-F238E27FC236}">
                <a16:creationId xmlns:a16="http://schemas.microsoft.com/office/drawing/2014/main" id="{00000000-0008-0000-0A00-00001A000000}"/>
              </a:ext>
            </a:extLst>
          </xdr:cNvPr>
          <xdr:cNvSpPr txBox="1"/>
        </xdr:nvSpPr>
        <xdr:spPr>
          <a:xfrm>
            <a:off x="2947257" y="2733675"/>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3</a:t>
            </a:r>
          </a:p>
          <a:p>
            <a:r>
              <a:rPr lang="es-US" sz="800">
                <a:solidFill>
                  <a:schemeClr val="bg1"/>
                </a:solidFill>
              </a:rPr>
              <a:t>  PR70+0080</a:t>
            </a:r>
          </a:p>
        </xdr:txBody>
      </xdr:sp>
      <xdr:sp macro="" textlink="">
        <xdr:nvSpPr>
          <xdr:cNvPr id="27" name="147 Triángulo isósceles">
            <a:extLst>
              <a:ext uri="{FF2B5EF4-FFF2-40B4-BE49-F238E27FC236}">
                <a16:creationId xmlns:a16="http://schemas.microsoft.com/office/drawing/2014/main" id="{00000000-0008-0000-0A00-00001B000000}"/>
              </a:ext>
            </a:extLst>
          </xdr:cNvPr>
          <xdr:cNvSpPr>
            <a:spLocks noChangeArrowheads="1"/>
          </xdr:cNvSpPr>
        </xdr:nvSpPr>
        <xdr:spPr bwMode="auto">
          <a:xfrm>
            <a:off x="2947257" y="29051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8" name="147 Triángulo isósceles">
            <a:extLst>
              <a:ext uri="{FF2B5EF4-FFF2-40B4-BE49-F238E27FC236}">
                <a16:creationId xmlns:a16="http://schemas.microsoft.com/office/drawing/2014/main" id="{00000000-0008-0000-0A00-00001C000000}"/>
              </a:ext>
            </a:extLst>
          </xdr:cNvPr>
          <xdr:cNvSpPr>
            <a:spLocks noChangeArrowheads="1"/>
          </xdr:cNvSpPr>
        </xdr:nvSpPr>
        <xdr:spPr bwMode="auto">
          <a:xfrm>
            <a:off x="3422585" y="35147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9" name="147 Triángulo isósceles">
            <a:extLst>
              <a:ext uri="{FF2B5EF4-FFF2-40B4-BE49-F238E27FC236}">
                <a16:creationId xmlns:a16="http://schemas.microsoft.com/office/drawing/2014/main" id="{00000000-0008-0000-0A00-00001D000000}"/>
              </a:ext>
            </a:extLst>
          </xdr:cNvPr>
          <xdr:cNvSpPr>
            <a:spLocks noChangeArrowheads="1"/>
          </xdr:cNvSpPr>
        </xdr:nvSpPr>
        <xdr:spPr bwMode="auto">
          <a:xfrm>
            <a:off x="3279987" y="3409950"/>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30" name="147 Triángulo isósceles">
            <a:extLst>
              <a:ext uri="{FF2B5EF4-FFF2-40B4-BE49-F238E27FC236}">
                <a16:creationId xmlns:a16="http://schemas.microsoft.com/office/drawing/2014/main" id="{00000000-0008-0000-0A00-00001E000000}"/>
              </a:ext>
            </a:extLst>
          </xdr:cNvPr>
          <xdr:cNvSpPr>
            <a:spLocks noChangeArrowheads="1"/>
          </xdr:cNvSpPr>
        </xdr:nvSpPr>
        <xdr:spPr bwMode="auto">
          <a:xfrm>
            <a:off x="3327520" y="32861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1" name="30 CuadroTexto">
            <a:extLst>
              <a:ext uri="{FF2B5EF4-FFF2-40B4-BE49-F238E27FC236}">
                <a16:creationId xmlns:a16="http://schemas.microsoft.com/office/drawing/2014/main" id="{00000000-0008-0000-0A00-00001F000000}"/>
              </a:ext>
            </a:extLst>
          </xdr:cNvPr>
          <xdr:cNvSpPr txBox="1"/>
        </xdr:nvSpPr>
        <xdr:spPr>
          <a:xfrm>
            <a:off x="3318013" y="3105150"/>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4</a:t>
            </a:r>
          </a:p>
          <a:p>
            <a:r>
              <a:rPr lang="es-US" sz="800">
                <a:solidFill>
                  <a:schemeClr val="bg1"/>
                </a:solidFill>
              </a:rPr>
              <a:t>  PR80+0460</a:t>
            </a:r>
          </a:p>
        </xdr:txBody>
      </xdr:sp>
      <xdr:sp macro="" textlink="">
        <xdr:nvSpPr>
          <xdr:cNvPr id="32" name="31 CuadroTexto">
            <a:extLst>
              <a:ext uri="{FF2B5EF4-FFF2-40B4-BE49-F238E27FC236}">
                <a16:creationId xmlns:a16="http://schemas.microsoft.com/office/drawing/2014/main" id="{00000000-0008-0000-0A00-000020000000}"/>
              </a:ext>
            </a:extLst>
          </xdr:cNvPr>
          <xdr:cNvSpPr txBox="1"/>
        </xdr:nvSpPr>
        <xdr:spPr>
          <a:xfrm>
            <a:off x="2766632" y="3333750"/>
            <a:ext cx="770032"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     5</a:t>
            </a:r>
          </a:p>
          <a:p>
            <a:r>
              <a:rPr lang="es-US" sz="800">
                <a:solidFill>
                  <a:schemeClr val="bg1"/>
                </a:solidFill>
              </a:rPr>
              <a:t>  PR81+0820</a:t>
            </a:r>
          </a:p>
        </xdr:txBody>
      </xdr:sp>
      <xdr:sp macro="" textlink="">
        <xdr:nvSpPr>
          <xdr:cNvPr id="33" name="32 CuadroTexto">
            <a:extLst>
              <a:ext uri="{FF2B5EF4-FFF2-40B4-BE49-F238E27FC236}">
                <a16:creationId xmlns:a16="http://schemas.microsoft.com/office/drawing/2014/main" id="{00000000-0008-0000-0A00-000021000000}"/>
              </a:ext>
            </a:extLst>
          </xdr:cNvPr>
          <xdr:cNvSpPr txBox="1"/>
        </xdr:nvSpPr>
        <xdr:spPr>
          <a:xfrm>
            <a:off x="3384559" y="3438525"/>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6</a:t>
            </a:r>
          </a:p>
          <a:p>
            <a:r>
              <a:rPr lang="es-US" sz="800">
                <a:solidFill>
                  <a:schemeClr val="bg1"/>
                </a:solidFill>
              </a:rPr>
              <a:t>  PR83+0012</a:t>
            </a:r>
          </a:p>
        </xdr:txBody>
      </xdr:sp>
      <xdr:sp macro="" textlink="">
        <xdr:nvSpPr>
          <xdr:cNvPr id="34" name="147 Triángulo isósceles">
            <a:extLst>
              <a:ext uri="{FF2B5EF4-FFF2-40B4-BE49-F238E27FC236}">
                <a16:creationId xmlns:a16="http://schemas.microsoft.com/office/drawing/2014/main" id="{00000000-0008-0000-0A00-000022000000}"/>
              </a:ext>
            </a:extLst>
          </xdr:cNvPr>
          <xdr:cNvSpPr>
            <a:spLocks noChangeArrowheads="1"/>
          </xdr:cNvSpPr>
        </xdr:nvSpPr>
        <xdr:spPr bwMode="auto">
          <a:xfrm>
            <a:off x="3992980" y="51339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5" name="147 Triángulo isósceles">
            <a:extLst>
              <a:ext uri="{FF2B5EF4-FFF2-40B4-BE49-F238E27FC236}">
                <a16:creationId xmlns:a16="http://schemas.microsoft.com/office/drawing/2014/main" id="{00000000-0008-0000-0A00-000023000000}"/>
              </a:ext>
            </a:extLst>
          </xdr:cNvPr>
          <xdr:cNvSpPr>
            <a:spLocks noChangeArrowheads="1"/>
          </xdr:cNvSpPr>
        </xdr:nvSpPr>
        <xdr:spPr bwMode="auto">
          <a:xfrm>
            <a:off x="4145085" y="49053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6" name="147 Triángulo isósceles">
            <a:extLst>
              <a:ext uri="{FF2B5EF4-FFF2-40B4-BE49-F238E27FC236}">
                <a16:creationId xmlns:a16="http://schemas.microsoft.com/office/drawing/2014/main" id="{00000000-0008-0000-0A00-000024000000}"/>
              </a:ext>
            </a:extLst>
          </xdr:cNvPr>
          <xdr:cNvSpPr>
            <a:spLocks noChangeArrowheads="1"/>
          </xdr:cNvSpPr>
        </xdr:nvSpPr>
        <xdr:spPr bwMode="auto">
          <a:xfrm>
            <a:off x="3498638" y="46577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37" name="147 Triángulo isósceles">
            <a:extLst>
              <a:ext uri="{FF2B5EF4-FFF2-40B4-BE49-F238E27FC236}">
                <a16:creationId xmlns:a16="http://schemas.microsoft.com/office/drawing/2014/main" id="{00000000-0008-0000-0A00-000025000000}"/>
              </a:ext>
            </a:extLst>
          </xdr:cNvPr>
          <xdr:cNvSpPr>
            <a:spLocks noChangeArrowheads="1"/>
          </xdr:cNvSpPr>
        </xdr:nvSpPr>
        <xdr:spPr bwMode="auto">
          <a:xfrm>
            <a:off x="3631730" y="43338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9" name="147 Triángulo isósceles">
            <a:extLst>
              <a:ext uri="{FF2B5EF4-FFF2-40B4-BE49-F238E27FC236}">
                <a16:creationId xmlns:a16="http://schemas.microsoft.com/office/drawing/2014/main" id="{00000000-0008-0000-0A00-000027000000}"/>
              </a:ext>
            </a:extLst>
          </xdr:cNvPr>
          <xdr:cNvSpPr>
            <a:spLocks noChangeArrowheads="1"/>
          </xdr:cNvSpPr>
        </xdr:nvSpPr>
        <xdr:spPr bwMode="auto">
          <a:xfrm>
            <a:off x="3327520" y="37052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40" name="39 CuadroTexto">
            <a:extLst>
              <a:ext uri="{FF2B5EF4-FFF2-40B4-BE49-F238E27FC236}">
                <a16:creationId xmlns:a16="http://schemas.microsoft.com/office/drawing/2014/main" id="{00000000-0008-0000-0A00-000028000000}"/>
              </a:ext>
            </a:extLst>
          </xdr:cNvPr>
          <xdr:cNvSpPr txBox="1"/>
        </xdr:nvSpPr>
        <xdr:spPr>
          <a:xfrm>
            <a:off x="3403572" y="3667125"/>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7</a:t>
            </a:r>
          </a:p>
          <a:p>
            <a:r>
              <a:rPr lang="es-US" sz="800">
                <a:solidFill>
                  <a:schemeClr val="bg1"/>
                </a:solidFill>
              </a:rPr>
              <a:t>  PR85+0660</a:t>
            </a:r>
          </a:p>
        </xdr:txBody>
      </xdr:sp>
      <xdr:sp macro="" textlink="">
        <xdr:nvSpPr>
          <xdr:cNvPr id="41" name="40 CuadroTexto">
            <a:extLst>
              <a:ext uri="{FF2B5EF4-FFF2-40B4-BE49-F238E27FC236}">
                <a16:creationId xmlns:a16="http://schemas.microsoft.com/office/drawing/2014/main" id="{00000000-0008-0000-0A00-000029000000}"/>
              </a:ext>
            </a:extLst>
          </xdr:cNvPr>
          <xdr:cNvSpPr txBox="1"/>
        </xdr:nvSpPr>
        <xdr:spPr>
          <a:xfrm>
            <a:off x="3565184" y="4257675"/>
            <a:ext cx="1321413"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8</a:t>
            </a:r>
          </a:p>
          <a:p>
            <a:r>
              <a:rPr lang="es-US" sz="800">
                <a:solidFill>
                  <a:schemeClr val="bg1"/>
                </a:solidFill>
              </a:rPr>
              <a:t>  PR91+0840 - PR92+0010</a:t>
            </a:r>
          </a:p>
        </xdr:txBody>
      </xdr:sp>
      <xdr:sp macro="" textlink="">
        <xdr:nvSpPr>
          <xdr:cNvPr id="42" name="41 CuadroTexto">
            <a:extLst>
              <a:ext uri="{FF2B5EF4-FFF2-40B4-BE49-F238E27FC236}">
                <a16:creationId xmlns:a16="http://schemas.microsoft.com/office/drawing/2014/main" id="{00000000-0008-0000-0A00-00002A000000}"/>
              </a:ext>
            </a:extLst>
          </xdr:cNvPr>
          <xdr:cNvSpPr txBox="1"/>
        </xdr:nvSpPr>
        <xdr:spPr>
          <a:xfrm>
            <a:off x="2842685" y="4572000"/>
            <a:ext cx="741512"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9</a:t>
            </a:r>
            <a:endParaRPr lang="es-US" sz="800">
              <a:solidFill>
                <a:schemeClr val="bg1"/>
              </a:solidFill>
            </a:endParaRPr>
          </a:p>
          <a:p>
            <a:r>
              <a:rPr lang="es-US" sz="800">
                <a:solidFill>
                  <a:schemeClr val="bg1"/>
                </a:solidFill>
              </a:rPr>
              <a:t>  PR93+0750</a:t>
            </a:r>
          </a:p>
        </xdr:txBody>
      </xdr:sp>
      <xdr:sp macro="" textlink="">
        <xdr:nvSpPr>
          <xdr:cNvPr id="43" name="42 CuadroTexto">
            <a:extLst>
              <a:ext uri="{FF2B5EF4-FFF2-40B4-BE49-F238E27FC236}">
                <a16:creationId xmlns:a16="http://schemas.microsoft.com/office/drawing/2014/main" id="{00000000-0008-0000-0A00-00002B000000}"/>
              </a:ext>
            </a:extLst>
          </xdr:cNvPr>
          <xdr:cNvSpPr txBox="1"/>
        </xdr:nvSpPr>
        <xdr:spPr>
          <a:xfrm>
            <a:off x="4107058" y="4838700"/>
            <a:ext cx="1368946"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12</a:t>
            </a:r>
            <a:r>
              <a:rPr lang="es-US" sz="900" baseline="0">
                <a:solidFill>
                  <a:schemeClr val="bg1"/>
                </a:solidFill>
              </a:rPr>
              <a:t>                     </a:t>
            </a:r>
            <a:r>
              <a:rPr lang="es-US" sz="800">
                <a:solidFill>
                  <a:schemeClr val="bg1"/>
                </a:solidFill>
              </a:rPr>
              <a:t>  PR94+0820 - PR94+0875</a:t>
            </a:r>
          </a:p>
        </xdr:txBody>
      </xdr:sp>
      <xdr:sp macro="" textlink="">
        <xdr:nvSpPr>
          <xdr:cNvPr id="44" name="147 Triángulo isósceles">
            <a:extLst>
              <a:ext uri="{FF2B5EF4-FFF2-40B4-BE49-F238E27FC236}">
                <a16:creationId xmlns:a16="http://schemas.microsoft.com/office/drawing/2014/main" id="{00000000-0008-0000-0A00-00002C000000}"/>
              </a:ext>
            </a:extLst>
          </xdr:cNvPr>
          <xdr:cNvSpPr>
            <a:spLocks noChangeArrowheads="1"/>
          </xdr:cNvSpPr>
        </xdr:nvSpPr>
        <xdr:spPr bwMode="auto">
          <a:xfrm>
            <a:off x="3935940" y="4953000"/>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46" name="45 CuadroTexto">
            <a:extLst>
              <a:ext uri="{FF2B5EF4-FFF2-40B4-BE49-F238E27FC236}">
                <a16:creationId xmlns:a16="http://schemas.microsoft.com/office/drawing/2014/main" id="{00000000-0008-0000-0A00-00002E000000}"/>
              </a:ext>
            </a:extLst>
          </xdr:cNvPr>
          <xdr:cNvSpPr txBox="1"/>
        </xdr:nvSpPr>
        <xdr:spPr>
          <a:xfrm>
            <a:off x="3973966" y="5095875"/>
            <a:ext cx="1444998"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14</a:t>
            </a:r>
            <a:endParaRPr lang="es-US" sz="800">
              <a:solidFill>
                <a:schemeClr val="bg1"/>
              </a:solidFill>
            </a:endParaRPr>
          </a:p>
          <a:p>
            <a:r>
              <a:rPr lang="es-US" sz="800">
                <a:solidFill>
                  <a:schemeClr val="bg1"/>
                </a:solidFill>
              </a:rPr>
              <a:t>  PR95+0750 - PR95+0840</a:t>
            </a:r>
          </a:p>
        </xdr:txBody>
      </xdr:sp>
      <xdr:sp macro="" textlink="">
        <xdr:nvSpPr>
          <xdr:cNvPr id="47" name="147 Triángulo isósceles">
            <a:extLst>
              <a:ext uri="{FF2B5EF4-FFF2-40B4-BE49-F238E27FC236}">
                <a16:creationId xmlns:a16="http://schemas.microsoft.com/office/drawing/2014/main" id="{00000000-0008-0000-0A00-00002F000000}"/>
              </a:ext>
            </a:extLst>
          </xdr:cNvPr>
          <xdr:cNvSpPr>
            <a:spLocks noChangeArrowheads="1"/>
          </xdr:cNvSpPr>
        </xdr:nvSpPr>
        <xdr:spPr bwMode="auto">
          <a:xfrm>
            <a:off x="3907420" y="52863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48" name="47 CuadroTexto">
            <a:extLst>
              <a:ext uri="{FF2B5EF4-FFF2-40B4-BE49-F238E27FC236}">
                <a16:creationId xmlns:a16="http://schemas.microsoft.com/office/drawing/2014/main" id="{00000000-0008-0000-0A00-000030000000}"/>
              </a:ext>
            </a:extLst>
          </xdr:cNvPr>
          <xdr:cNvSpPr txBox="1"/>
        </xdr:nvSpPr>
        <xdr:spPr>
          <a:xfrm>
            <a:off x="3337026" y="5248275"/>
            <a:ext cx="732006"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15</a:t>
            </a:r>
            <a:endParaRPr lang="es-US" sz="800">
              <a:solidFill>
                <a:schemeClr val="bg1"/>
              </a:solidFill>
            </a:endParaRPr>
          </a:p>
          <a:p>
            <a:r>
              <a:rPr lang="es-US" sz="800">
                <a:solidFill>
                  <a:schemeClr val="bg1"/>
                </a:solidFill>
              </a:rPr>
              <a:t>  PR97+0300</a:t>
            </a:r>
          </a:p>
        </xdr:txBody>
      </xdr:sp>
      <xdr:sp macro="" textlink="">
        <xdr:nvSpPr>
          <xdr:cNvPr id="49" name="Diagrama de flujo: proceso 86">
            <a:extLst>
              <a:ext uri="{FF2B5EF4-FFF2-40B4-BE49-F238E27FC236}">
                <a16:creationId xmlns:a16="http://schemas.microsoft.com/office/drawing/2014/main" id="{00000000-0008-0000-0A00-000031000000}"/>
              </a:ext>
            </a:extLst>
          </xdr:cNvPr>
          <xdr:cNvSpPr/>
        </xdr:nvSpPr>
        <xdr:spPr>
          <a:xfrm>
            <a:off x="1245582" y="1876425"/>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0" name="Diagrama de flujo: proceso 87">
            <a:extLst>
              <a:ext uri="{FF2B5EF4-FFF2-40B4-BE49-F238E27FC236}">
                <a16:creationId xmlns:a16="http://schemas.microsoft.com/office/drawing/2014/main" id="{00000000-0008-0000-0A00-000032000000}"/>
              </a:ext>
            </a:extLst>
          </xdr:cNvPr>
          <xdr:cNvSpPr/>
        </xdr:nvSpPr>
        <xdr:spPr>
          <a:xfrm rot="1761315">
            <a:off x="2899724" y="293370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1" name="Diagrama de flujo: proceso 88">
            <a:extLst>
              <a:ext uri="{FF2B5EF4-FFF2-40B4-BE49-F238E27FC236}">
                <a16:creationId xmlns:a16="http://schemas.microsoft.com/office/drawing/2014/main" id="{00000000-0008-0000-0A00-000033000000}"/>
              </a:ext>
            </a:extLst>
          </xdr:cNvPr>
          <xdr:cNvSpPr/>
        </xdr:nvSpPr>
        <xdr:spPr>
          <a:xfrm rot="1654156">
            <a:off x="2966270" y="2981325"/>
            <a:ext cx="95066"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2" name="Diagrama de flujo: proceso 89">
            <a:extLst>
              <a:ext uri="{FF2B5EF4-FFF2-40B4-BE49-F238E27FC236}">
                <a16:creationId xmlns:a16="http://schemas.microsoft.com/office/drawing/2014/main" id="{00000000-0008-0000-0A00-000034000000}"/>
              </a:ext>
            </a:extLst>
          </xdr:cNvPr>
          <xdr:cNvSpPr/>
        </xdr:nvSpPr>
        <xdr:spPr>
          <a:xfrm rot="2047135">
            <a:off x="3032816" y="3019425"/>
            <a:ext cx="95066"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3" name="Diagrama de flujo: proceso 94">
            <a:extLst>
              <a:ext uri="{FF2B5EF4-FFF2-40B4-BE49-F238E27FC236}">
                <a16:creationId xmlns:a16="http://schemas.microsoft.com/office/drawing/2014/main" id="{00000000-0008-0000-0A00-000035000000}"/>
              </a:ext>
            </a:extLst>
          </xdr:cNvPr>
          <xdr:cNvSpPr/>
        </xdr:nvSpPr>
        <xdr:spPr>
          <a:xfrm rot="2858630">
            <a:off x="3099270" y="3067087"/>
            <a:ext cx="95250"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4" name="Diagrama de flujo: proceso 95">
            <a:extLst>
              <a:ext uri="{FF2B5EF4-FFF2-40B4-BE49-F238E27FC236}">
                <a16:creationId xmlns:a16="http://schemas.microsoft.com/office/drawing/2014/main" id="{00000000-0008-0000-0A00-000036000000}"/>
              </a:ext>
            </a:extLst>
          </xdr:cNvPr>
          <xdr:cNvSpPr/>
        </xdr:nvSpPr>
        <xdr:spPr>
          <a:xfrm rot="2174925">
            <a:off x="3574691" y="4362450"/>
            <a:ext cx="76053"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5" name="Diagrama de flujo: proceso 96">
            <a:extLst>
              <a:ext uri="{FF2B5EF4-FFF2-40B4-BE49-F238E27FC236}">
                <a16:creationId xmlns:a16="http://schemas.microsoft.com/office/drawing/2014/main" id="{00000000-0008-0000-0A00-000037000000}"/>
              </a:ext>
            </a:extLst>
          </xdr:cNvPr>
          <xdr:cNvSpPr/>
        </xdr:nvSpPr>
        <xdr:spPr>
          <a:xfrm rot="4566470">
            <a:off x="3536581" y="43148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6" name="Diagrama de flujo: proceso 97">
            <a:extLst>
              <a:ext uri="{FF2B5EF4-FFF2-40B4-BE49-F238E27FC236}">
                <a16:creationId xmlns:a16="http://schemas.microsoft.com/office/drawing/2014/main" id="{00000000-0008-0000-0A00-000038000000}"/>
              </a:ext>
            </a:extLst>
          </xdr:cNvPr>
          <xdr:cNvSpPr/>
        </xdr:nvSpPr>
        <xdr:spPr>
          <a:xfrm rot="4840464">
            <a:off x="3512806" y="4224383"/>
            <a:ext cx="95250"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7" name="Diagrama de flujo: proceso 98">
            <a:extLst>
              <a:ext uri="{FF2B5EF4-FFF2-40B4-BE49-F238E27FC236}">
                <a16:creationId xmlns:a16="http://schemas.microsoft.com/office/drawing/2014/main" id="{00000000-0008-0000-0A00-000039000000}"/>
              </a:ext>
            </a:extLst>
          </xdr:cNvPr>
          <xdr:cNvSpPr/>
        </xdr:nvSpPr>
        <xdr:spPr>
          <a:xfrm rot="4886434">
            <a:off x="3508052" y="4143412"/>
            <a:ext cx="95250"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8" name="Diagrama de flujo: proceso 99">
            <a:extLst>
              <a:ext uri="{FF2B5EF4-FFF2-40B4-BE49-F238E27FC236}">
                <a16:creationId xmlns:a16="http://schemas.microsoft.com/office/drawing/2014/main" id="{00000000-0008-0000-0A00-00003A000000}"/>
              </a:ext>
            </a:extLst>
          </xdr:cNvPr>
          <xdr:cNvSpPr/>
        </xdr:nvSpPr>
        <xdr:spPr>
          <a:xfrm rot="7760166">
            <a:off x="3522321" y="4071975"/>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9" name="Diagrama de flujo: proceso 100">
            <a:extLst>
              <a:ext uri="{FF2B5EF4-FFF2-40B4-BE49-F238E27FC236}">
                <a16:creationId xmlns:a16="http://schemas.microsoft.com/office/drawing/2014/main" id="{00000000-0008-0000-0A00-00003B000000}"/>
              </a:ext>
            </a:extLst>
          </xdr:cNvPr>
          <xdr:cNvSpPr/>
        </xdr:nvSpPr>
        <xdr:spPr>
          <a:xfrm rot="5574690">
            <a:off x="3598374" y="44244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0" name="Diagrama de flujo: proceso 101">
            <a:extLst>
              <a:ext uri="{FF2B5EF4-FFF2-40B4-BE49-F238E27FC236}">
                <a16:creationId xmlns:a16="http://schemas.microsoft.com/office/drawing/2014/main" id="{00000000-0008-0000-0A00-00003C000000}"/>
              </a:ext>
            </a:extLst>
          </xdr:cNvPr>
          <xdr:cNvSpPr/>
        </xdr:nvSpPr>
        <xdr:spPr>
          <a:xfrm rot="5400000">
            <a:off x="3598374" y="45006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1" name="Diagrama de flujo: proceso 102">
            <a:extLst>
              <a:ext uri="{FF2B5EF4-FFF2-40B4-BE49-F238E27FC236}">
                <a16:creationId xmlns:a16="http://schemas.microsoft.com/office/drawing/2014/main" id="{00000000-0008-0000-0A00-00003D000000}"/>
              </a:ext>
            </a:extLst>
          </xdr:cNvPr>
          <xdr:cNvSpPr/>
        </xdr:nvSpPr>
        <xdr:spPr>
          <a:xfrm rot="2033487">
            <a:off x="3641237" y="4810125"/>
            <a:ext cx="104572"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2" name="Diagrama de flujo: proceso 103">
            <a:extLst>
              <a:ext uri="{FF2B5EF4-FFF2-40B4-BE49-F238E27FC236}">
                <a16:creationId xmlns:a16="http://schemas.microsoft.com/office/drawing/2014/main" id="{00000000-0008-0000-0A00-00003E000000}"/>
              </a:ext>
            </a:extLst>
          </xdr:cNvPr>
          <xdr:cNvSpPr/>
        </xdr:nvSpPr>
        <xdr:spPr>
          <a:xfrm rot="4072009">
            <a:off x="3617387" y="474825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3" name="Diagrama de flujo: proceso 104">
            <a:extLst>
              <a:ext uri="{FF2B5EF4-FFF2-40B4-BE49-F238E27FC236}">
                <a16:creationId xmlns:a16="http://schemas.microsoft.com/office/drawing/2014/main" id="{00000000-0008-0000-0A00-00003F000000}"/>
              </a:ext>
            </a:extLst>
          </xdr:cNvPr>
          <xdr:cNvSpPr/>
        </xdr:nvSpPr>
        <xdr:spPr>
          <a:xfrm rot="5400000">
            <a:off x="3603127" y="466729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4" name="Diagrama de flujo: proceso 105">
            <a:extLst>
              <a:ext uri="{FF2B5EF4-FFF2-40B4-BE49-F238E27FC236}">
                <a16:creationId xmlns:a16="http://schemas.microsoft.com/office/drawing/2014/main" id="{00000000-0008-0000-0A00-000040000000}"/>
              </a:ext>
            </a:extLst>
          </xdr:cNvPr>
          <xdr:cNvSpPr/>
        </xdr:nvSpPr>
        <xdr:spPr>
          <a:xfrm rot="5400000">
            <a:off x="3593621" y="45815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5" name="Diagrama de flujo: proceso 106">
            <a:extLst>
              <a:ext uri="{FF2B5EF4-FFF2-40B4-BE49-F238E27FC236}">
                <a16:creationId xmlns:a16="http://schemas.microsoft.com/office/drawing/2014/main" id="{00000000-0008-0000-0A00-000041000000}"/>
              </a:ext>
            </a:extLst>
          </xdr:cNvPr>
          <xdr:cNvSpPr/>
        </xdr:nvSpPr>
        <xdr:spPr>
          <a:xfrm rot="3008270">
            <a:off x="3512814" y="39672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6" name="Diagrama de flujo: proceso 109">
            <a:extLst>
              <a:ext uri="{FF2B5EF4-FFF2-40B4-BE49-F238E27FC236}">
                <a16:creationId xmlns:a16="http://schemas.microsoft.com/office/drawing/2014/main" id="{00000000-0008-0000-0A00-000042000000}"/>
              </a:ext>
            </a:extLst>
          </xdr:cNvPr>
          <xdr:cNvSpPr/>
        </xdr:nvSpPr>
        <xdr:spPr>
          <a:xfrm rot="4381288">
            <a:off x="3484295" y="38910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7" name="Diagrama de flujo: proceso 110">
            <a:extLst>
              <a:ext uri="{FF2B5EF4-FFF2-40B4-BE49-F238E27FC236}">
                <a16:creationId xmlns:a16="http://schemas.microsoft.com/office/drawing/2014/main" id="{00000000-0008-0000-0A00-000043000000}"/>
              </a:ext>
            </a:extLst>
          </xdr:cNvPr>
          <xdr:cNvSpPr/>
        </xdr:nvSpPr>
        <xdr:spPr>
          <a:xfrm rot="4953857">
            <a:off x="3460529" y="38100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8" name="Diagrama de flujo: proceso 111">
            <a:extLst>
              <a:ext uri="{FF2B5EF4-FFF2-40B4-BE49-F238E27FC236}">
                <a16:creationId xmlns:a16="http://schemas.microsoft.com/office/drawing/2014/main" id="{00000000-0008-0000-0A00-000044000000}"/>
              </a:ext>
            </a:extLst>
          </xdr:cNvPr>
          <xdr:cNvSpPr/>
        </xdr:nvSpPr>
        <xdr:spPr>
          <a:xfrm rot="5400000">
            <a:off x="3451022" y="37243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9" name="Diagrama de flujo: proceso 112">
            <a:extLst>
              <a:ext uri="{FF2B5EF4-FFF2-40B4-BE49-F238E27FC236}">
                <a16:creationId xmlns:a16="http://schemas.microsoft.com/office/drawing/2014/main" id="{00000000-0008-0000-0A00-000045000000}"/>
              </a:ext>
            </a:extLst>
          </xdr:cNvPr>
          <xdr:cNvSpPr/>
        </xdr:nvSpPr>
        <xdr:spPr>
          <a:xfrm rot="6264454">
            <a:off x="3541334" y="4033875"/>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0" name="Diagrama de flujo: proceso 113">
            <a:extLst>
              <a:ext uri="{FF2B5EF4-FFF2-40B4-BE49-F238E27FC236}">
                <a16:creationId xmlns:a16="http://schemas.microsoft.com/office/drawing/2014/main" id="{00000000-0008-0000-0A00-000046000000}"/>
              </a:ext>
            </a:extLst>
          </xdr:cNvPr>
          <xdr:cNvSpPr/>
        </xdr:nvSpPr>
        <xdr:spPr>
          <a:xfrm rot="205281">
            <a:off x="3793342" y="4867275"/>
            <a:ext cx="95066"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1" name="Diagrama de flujo: proceso 114">
            <a:extLst>
              <a:ext uri="{FF2B5EF4-FFF2-40B4-BE49-F238E27FC236}">
                <a16:creationId xmlns:a16="http://schemas.microsoft.com/office/drawing/2014/main" id="{00000000-0008-0000-0A00-000047000000}"/>
              </a:ext>
            </a:extLst>
          </xdr:cNvPr>
          <xdr:cNvSpPr/>
        </xdr:nvSpPr>
        <xdr:spPr>
          <a:xfrm rot="21334587">
            <a:off x="3878901" y="4867275"/>
            <a:ext cx="95066"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2" name="Diagrama de flujo: proceso 115">
            <a:extLst>
              <a:ext uri="{FF2B5EF4-FFF2-40B4-BE49-F238E27FC236}">
                <a16:creationId xmlns:a16="http://schemas.microsoft.com/office/drawing/2014/main" id="{00000000-0008-0000-0A00-000048000000}"/>
              </a:ext>
            </a:extLst>
          </xdr:cNvPr>
          <xdr:cNvSpPr/>
        </xdr:nvSpPr>
        <xdr:spPr>
          <a:xfrm rot="157701">
            <a:off x="3954953" y="4857750"/>
            <a:ext cx="95066"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3" name="Diagrama de flujo: proceso 116">
            <a:extLst>
              <a:ext uri="{FF2B5EF4-FFF2-40B4-BE49-F238E27FC236}">
                <a16:creationId xmlns:a16="http://schemas.microsoft.com/office/drawing/2014/main" id="{00000000-0008-0000-0A00-000049000000}"/>
              </a:ext>
            </a:extLst>
          </xdr:cNvPr>
          <xdr:cNvSpPr/>
        </xdr:nvSpPr>
        <xdr:spPr>
          <a:xfrm rot="1478410">
            <a:off x="3726796" y="485775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4" name="Diagrama de flujo: proceso 117">
            <a:extLst>
              <a:ext uri="{FF2B5EF4-FFF2-40B4-BE49-F238E27FC236}">
                <a16:creationId xmlns:a16="http://schemas.microsoft.com/office/drawing/2014/main" id="{00000000-0008-0000-0A00-00004A000000}"/>
              </a:ext>
            </a:extLst>
          </xdr:cNvPr>
          <xdr:cNvSpPr/>
        </xdr:nvSpPr>
        <xdr:spPr>
          <a:xfrm rot="157701">
            <a:off x="4069032" y="485775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5" name="Diagrama de flujo: proceso 118">
            <a:extLst>
              <a:ext uri="{FF2B5EF4-FFF2-40B4-BE49-F238E27FC236}">
                <a16:creationId xmlns:a16="http://schemas.microsoft.com/office/drawing/2014/main" id="{00000000-0008-0000-0A00-00004B000000}"/>
              </a:ext>
            </a:extLst>
          </xdr:cNvPr>
          <xdr:cNvSpPr/>
        </xdr:nvSpPr>
        <xdr:spPr>
          <a:xfrm rot="157701">
            <a:off x="4040512" y="485775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6" name="Diagrama de flujo: proceso 119">
            <a:extLst>
              <a:ext uri="{FF2B5EF4-FFF2-40B4-BE49-F238E27FC236}">
                <a16:creationId xmlns:a16="http://schemas.microsoft.com/office/drawing/2014/main" id="{00000000-0008-0000-0A00-00004C000000}"/>
              </a:ext>
            </a:extLst>
          </xdr:cNvPr>
          <xdr:cNvSpPr/>
        </xdr:nvSpPr>
        <xdr:spPr>
          <a:xfrm rot="8670509">
            <a:off x="4059526" y="4962525"/>
            <a:ext cx="85559"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7" name="Diagrama de flujo: proceso 120">
            <a:extLst>
              <a:ext uri="{FF2B5EF4-FFF2-40B4-BE49-F238E27FC236}">
                <a16:creationId xmlns:a16="http://schemas.microsoft.com/office/drawing/2014/main" id="{00000000-0008-0000-0A00-00004D000000}"/>
              </a:ext>
            </a:extLst>
          </xdr:cNvPr>
          <xdr:cNvSpPr/>
        </xdr:nvSpPr>
        <xdr:spPr>
          <a:xfrm rot="7349356">
            <a:off x="4116482" y="49054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8" name="Diagrama de flujo: proceso 121">
            <a:extLst>
              <a:ext uri="{FF2B5EF4-FFF2-40B4-BE49-F238E27FC236}">
                <a16:creationId xmlns:a16="http://schemas.microsoft.com/office/drawing/2014/main" id="{00000000-0008-0000-0A00-00004E000000}"/>
              </a:ext>
            </a:extLst>
          </xdr:cNvPr>
          <xdr:cNvSpPr/>
        </xdr:nvSpPr>
        <xdr:spPr>
          <a:xfrm rot="15465093">
            <a:off x="3973883" y="50578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9" name="Diagrama de flujo: proceso 122">
            <a:extLst>
              <a:ext uri="{FF2B5EF4-FFF2-40B4-BE49-F238E27FC236}">
                <a16:creationId xmlns:a16="http://schemas.microsoft.com/office/drawing/2014/main" id="{00000000-0008-0000-0A00-00004F000000}"/>
              </a:ext>
            </a:extLst>
          </xdr:cNvPr>
          <xdr:cNvSpPr/>
        </xdr:nvSpPr>
        <xdr:spPr>
          <a:xfrm rot="18928975">
            <a:off x="4002486" y="5010150"/>
            <a:ext cx="85559"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0" name="Diagrama de flujo: proceso 123">
            <a:extLst>
              <a:ext uri="{FF2B5EF4-FFF2-40B4-BE49-F238E27FC236}">
                <a16:creationId xmlns:a16="http://schemas.microsoft.com/office/drawing/2014/main" id="{00000000-0008-0000-0A00-000050000000}"/>
              </a:ext>
            </a:extLst>
          </xdr:cNvPr>
          <xdr:cNvSpPr/>
        </xdr:nvSpPr>
        <xdr:spPr>
          <a:xfrm rot="4929537">
            <a:off x="4011910" y="52292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1" name="Diagrama de flujo: proceso 124">
            <a:extLst>
              <a:ext uri="{FF2B5EF4-FFF2-40B4-BE49-F238E27FC236}">
                <a16:creationId xmlns:a16="http://schemas.microsoft.com/office/drawing/2014/main" id="{00000000-0008-0000-0A00-000051000000}"/>
              </a:ext>
            </a:extLst>
          </xdr:cNvPr>
          <xdr:cNvSpPr/>
        </xdr:nvSpPr>
        <xdr:spPr>
          <a:xfrm rot="4571921">
            <a:off x="3992897" y="51435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2" name="Diagrama de flujo: proceso 125">
            <a:extLst>
              <a:ext uri="{FF2B5EF4-FFF2-40B4-BE49-F238E27FC236}">
                <a16:creationId xmlns:a16="http://schemas.microsoft.com/office/drawing/2014/main" id="{00000000-0008-0000-0A00-000052000000}"/>
              </a:ext>
            </a:extLst>
          </xdr:cNvPr>
          <xdr:cNvSpPr/>
        </xdr:nvSpPr>
        <xdr:spPr>
          <a:xfrm rot="5400000">
            <a:off x="4021416" y="53816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3" name="Diagrama de flujo: proceso 126">
            <a:extLst>
              <a:ext uri="{FF2B5EF4-FFF2-40B4-BE49-F238E27FC236}">
                <a16:creationId xmlns:a16="http://schemas.microsoft.com/office/drawing/2014/main" id="{00000000-0008-0000-0A00-000053000000}"/>
              </a:ext>
            </a:extLst>
          </xdr:cNvPr>
          <xdr:cNvSpPr/>
        </xdr:nvSpPr>
        <xdr:spPr>
          <a:xfrm rot="5400000">
            <a:off x="4011910" y="53054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4" name="Diagrama de flujo: proceso 127">
            <a:extLst>
              <a:ext uri="{FF2B5EF4-FFF2-40B4-BE49-F238E27FC236}">
                <a16:creationId xmlns:a16="http://schemas.microsoft.com/office/drawing/2014/main" id="{00000000-0008-0000-0A00-000054000000}"/>
              </a:ext>
            </a:extLst>
          </xdr:cNvPr>
          <xdr:cNvSpPr/>
        </xdr:nvSpPr>
        <xdr:spPr>
          <a:xfrm rot="3932838">
            <a:off x="4087962" y="55912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5" name="Diagrama de flujo: proceso 128">
            <a:extLst>
              <a:ext uri="{FF2B5EF4-FFF2-40B4-BE49-F238E27FC236}">
                <a16:creationId xmlns:a16="http://schemas.microsoft.com/office/drawing/2014/main" id="{00000000-0008-0000-0A00-000055000000}"/>
              </a:ext>
            </a:extLst>
          </xdr:cNvPr>
          <xdr:cNvSpPr/>
        </xdr:nvSpPr>
        <xdr:spPr>
          <a:xfrm rot="3006887">
            <a:off x="4040429" y="55245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6" name="Diagrama de flujo: proceso 129">
            <a:extLst>
              <a:ext uri="{FF2B5EF4-FFF2-40B4-BE49-F238E27FC236}">
                <a16:creationId xmlns:a16="http://schemas.microsoft.com/office/drawing/2014/main" id="{00000000-0008-0000-0A00-000056000000}"/>
              </a:ext>
            </a:extLst>
          </xdr:cNvPr>
          <xdr:cNvSpPr/>
        </xdr:nvSpPr>
        <xdr:spPr>
          <a:xfrm rot="4962238">
            <a:off x="4021416" y="54578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7" name="Diagrama de flujo: proceso 130">
            <a:extLst>
              <a:ext uri="{FF2B5EF4-FFF2-40B4-BE49-F238E27FC236}">
                <a16:creationId xmlns:a16="http://schemas.microsoft.com/office/drawing/2014/main" id="{00000000-0008-0000-0A00-000057000000}"/>
              </a:ext>
            </a:extLst>
          </xdr:cNvPr>
          <xdr:cNvSpPr/>
        </xdr:nvSpPr>
        <xdr:spPr>
          <a:xfrm rot="5215593">
            <a:off x="4116482" y="58388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8" name="Diagrama de flujo: proceso 131">
            <a:extLst>
              <a:ext uri="{FF2B5EF4-FFF2-40B4-BE49-F238E27FC236}">
                <a16:creationId xmlns:a16="http://schemas.microsoft.com/office/drawing/2014/main" id="{00000000-0008-0000-0A00-000058000000}"/>
              </a:ext>
            </a:extLst>
          </xdr:cNvPr>
          <xdr:cNvSpPr/>
        </xdr:nvSpPr>
        <xdr:spPr>
          <a:xfrm rot="5400000">
            <a:off x="4106975" y="57531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9" name="Diagrama de flujo: proceso 132">
            <a:extLst>
              <a:ext uri="{FF2B5EF4-FFF2-40B4-BE49-F238E27FC236}">
                <a16:creationId xmlns:a16="http://schemas.microsoft.com/office/drawing/2014/main" id="{00000000-0008-0000-0A00-000059000000}"/>
              </a:ext>
            </a:extLst>
          </xdr:cNvPr>
          <xdr:cNvSpPr/>
        </xdr:nvSpPr>
        <xdr:spPr>
          <a:xfrm rot="5400000">
            <a:off x="4106975" y="56674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0" name="Diagrama de flujo: proceso 133">
            <a:extLst>
              <a:ext uri="{FF2B5EF4-FFF2-40B4-BE49-F238E27FC236}">
                <a16:creationId xmlns:a16="http://schemas.microsoft.com/office/drawing/2014/main" id="{00000000-0008-0000-0A00-00005A000000}"/>
              </a:ext>
            </a:extLst>
          </xdr:cNvPr>
          <xdr:cNvSpPr/>
        </xdr:nvSpPr>
        <xdr:spPr>
          <a:xfrm rot="4246011">
            <a:off x="4154508" y="600079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1" name="Diagrama de flujo: proceso 134">
            <a:extLst>
              <a:ext uri="{FF2B5EF4-FFF2-40B4-BE49-F238E27FC236}">
                <a16:creationId xmlns:a16="http://schemas.microsoft.com/office/drawing/2014/main" id="{00000000-0008-0000-0A00-00005B000000}"/>
              </a:ext>
            </a:extLst>
          </xdr:cNvPr>
          <xdr:cNvSpPr/>
        </xdr:nvSpPr>
        <xdr:spPr>
          <a:xfrm rot="4195604">
            <a:off x="4125989" y="592459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2" name="Diagrama de flujo: proceso 135">
            <a:extLst>
              <a:ext uri="{FF2B5EF4-FFF2-40B4-BE49-F238E27FC236}">
                <a16:creationId xmlns:a16="http://schemas.microsoft.com/office/drawing/2014/main" id="{00000000-0008-0000-0A00-00005C000000}"/>
              </a:ext>
            </a:extLst>
          </xdr:cNvPr>
          <xdr:cNvSpPr/>
        </xdr:nvSpPr>
        <xdr:spPr>
          <a:xfrm rot="3755807">
            <a:off x="4183028" y="6076996"/>
            <a:ext cx="85725" cy="4753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3" name="147 Triángulo isósceles">
            <a:extLst>
              <a:ext uri="{FF2B5EF4-FFF2-40B4-BE49-F238E27FC236}">
                <a16:creationId xmlns:a16="http://schemas.microsoft.com/office/drawing/2014/main" id="{00000000-0008-0000-0A00-00005D000000}"/>
              </a:ext>
            </a:extLst>
          </xdr:cNvPr>
          <xdr:cNvSpPr>
            <a:spLocks noChangeArrowheads="1"/>
          </xdr:cNvSpPr>
        </xdr:nvSpPr>
        <xdr:spPr bwMode="auto">
          <a:xfrm>
            <a:off x="4211631" y="47910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94" name="95 CuadroTexto">
            <a:extLst>
              <a:ext uri="{FF2B5EF4-FFF2-40B4-BE49-F238E27FC236}">
                <a16:creationId xmlns:a16="http://schemas.microsoft.com/office/drawing/2014/main" id="{00000000-0008-0000-0A00-00005E000000}"/>
              </a:ext>
            </a:extLst>
          </xdr:cNvPr>
          <xdr:cNvSpPr txBox="1"/>
        </xdr:nvSpPr>
        <xdr:spPr>
          <a:xfrm>
            <a:off x="4534854" y="4572000"/>
            <a:ext cx="779539"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11</a:t>
            </a:r>
            <a:r>
              <a:rPr lang="es-US" sz="800">
                <a:solidFill>
                  <a:schemeClr val="bg1"/>
                </a:solidFill>
              </a:rPr>
              <a:t> PR94+0450</a:t>
            </a:r>
          </a:p>
        </xdr:txBody>
      </xdr:sp>
    </xdr:grpSp>
    <xdr:clientData/>
  </xdr:twoCellAnchor>
  <xdr:twoCellAnchor>
    <xdr:from>
      <xdr:col>2</xdr:col>
      <xdr:colOff>361950</xdr:colOff>
      <xdr:row>15</xdr:row>
      <xdr:rowOff>47625</xdr:rowOff>
    </xdr:from>
    <xdr:to>
      <xdr:col>3</xdr:col>
      <xdr:colOff>295275</xdr:colOff>
      <xdr:row>17</xdr:row>
      <xdr:rowOff>85725</xdr:rowOff>
    </xdr:to>
    <xdr:sp macro="" textlink="">
      <xdr:nvSpPr>
        <xdr:cNvPr id="96" name="24 CuadroTexto">
          <a:extLst>
            <a:ext uri="{FF2B5EF4-FFF2-40B4-BE49-F238E27FC236}">
              <a16:creationId xmlns:a16="http://schemas.microsoft.com/office/drawing/2014/main" id="{00000000-0008-0000-0A00-000060000000}"/>
            </a:ext>
          </a:extLst>
        </xdr:cNvPr>
        <xdr:cNvSpPr txBox="1"/>
      </xdr:nvSpPr>
      <xdr:spPr bwMode="auto">
        <a:xfrm>
          <a:off x="1952625" y="2924175"/>
          <a:ext cx="771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 2</a:t>
          </a:r>
        </a:p>
        <a:p>
          <a:r>
            <a:rPr lang="es-US" sz="800">
              <a:solidFill>
                <a:schemeClr val="bg1"/>
              </a:solidFill>
            </a:rPr>
            <a:t>  PR67+0600</a:t>
          </a:r>
        </a:p>
      </xdr:txBody>
    </xdr:sp>
    <xdr:clientData/>
  </xdr:twoCellAnchor>
  <xdr:twoCellAnchor>
    <xdr:from>
      <xdr:col>3</xdr:col>
      <xdr:colOff>208653</xdr:colOff>
      <xdr:row>14</xdr:row>
      <xdr:rowOff>96519</xdr:rowOff>
    </xdr:from>
    <xdr:to>
      <xdr:col>3</xdr:col>
      <xdr:colOff>276658</xdr:colOff>
      <xdr:row>15</xdr:row>
      <xdr:rowOff>138098</xdr:rowOff>
    </xdr:to>
    <xdr:sp macro="" textlink="">
      <xdr:nvSpPr>
        <xdr:cNvPr id="185" name="147 Triángulo isósceles">
          <a:extLst>
            <a:ext uri="{FF2B5EF4-FFF2-40B4-BE49-F238E27FC236}">
              <a16:creationId xmlns:a16="http://schemas.microsoft.com/office/drawing/2014/main" id="{00000000-0008-0000-0A00-0000B9000000}"/>
            </a:ext>
          </a:extLst>
        </xdr:cNvPr>
        <xdr:cNvSpPr>
          <a:spLocks noChangeArrowheads="1"/>
        </xdr:cNvSpPr>
      </xdr:nvSpPr>
      <xdr:spPr bwMode="auto">
        <a:xfrm rot="4278061">
          <a:off x="2555491" y="2864606"/>
          <a:ext cx="232079" cy="6800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clientData/>
  </xdr:twoCellAnchor>
  <xdr:twoCellAnchor>
    <xdr:from>
      <xdr:col>3</xdr:col>
      <xdr:colOff>971550</xdr:colOff>
      <xdr:row>25</xdr:row>
      <xdr:rowOff>76200</xdr:rowOff>
    </xdr:from>
    <xdr:to>
      <xdr:col>4</xdr:col>
      <xdr:colOff>571500</xdr:colOff>
      <xdr:row>27</xdr:row>
      <xdr:rowOff>104775</xdr:rowOff>
    </xdr:to>
    <xdr:sp macro="" textlink="">
      <xdr:nvSpPr>
        <xdr:cNvPr id="187" name="95 CuadroTexto">
          <a:extLst>
            <a:ext uri="{FF2B5EF4-FFF2-40B4-BE49-F238E27FC236}">
              <a16:creationId xmlns:a16="http://schemas.microsoft.com/office/drawing/2014/main" id="{00000000-0008-0000-0A00-0000BB000000}"/>
            </a:ext>
          </a:extLst>
        </xdr:cNvPr>
        <xdr:cNvSpPr txBox="1"/>
      </xdr:nvSpPr>
      <xdr:spPr bwMode="auto">
        <a:xfrm>
          <a:off x="3400425" y="4857750"/>
          <a:ext cx="7810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10</a:t>
          </a:r>
          <a:r>
            <a:rPr lang="es-US" sz="800">
              <a:solidFill>
                <a:schemeClr val="bg1"/>
              </a:solidFill>
            </a:rPr>
            <a:t>  PR94+0260</a:t>
          </a:r>
        </a:p>
      </xdr:txBody>
    </xdr:sp>
    <xdr:clientData/>
  </xdr:twoCellAnchor>
  <xdr:twoCellAnchor>
    <xdr:from>
      <xdr:col>3</xdr:col>
      <xdr:colOff>438150</xdr:colOff>
      <xdr:row>26</xdr:row>
      <xdr:rowOff>123825</xdr:rowOff>
    </xdr:from>
    <xdr:to>
      <xdr:col>3</xdr:col>
      <xdr:colOff>1171575</xdr:colOff>
      <xdr:row>28</xdr:row>
      <xdr:rowOff>161925</xdr:rowOff>
    </xdr:to>
    <xdr:sp macro="" textlink="">
      <xdr:nvSpPr>
        <xdr:cNvPr id="191" name="47 CuadroTexto">
          <a:extLst>
            <a:ext uri="{FF2B5EF4-FFF2-40B4-BE49-F238E27FC236}">
              <a16:creationId xmlns:a16="http://schemas.microsoft.com/office/drawing/2014/main" id="{00000000-0008-0000-0A00-0000BF000000}"/>
            </a:ext>
          </a:extLst>
        </xdr:cNvPr>
        <xdr:cNvSpPr txBox="1"/>
      </xdr:nvSpPr>
      <xdr:spPr bwMode="auto">
        <a:xfrm>
          <a:off x="2867025" y="5095875"/>
          <a:ext cx="7334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13</a:t>
          </a:r>
          <a:endParaRPr lang="es-US" sz="800">
            <a:solidFill>
              <a:schemeClr val="bg1"/>
            </a:solidFill>
          </a:endParaRPr>
        </a:p>
        <a:p>
          <a:r>
            <a:rPr lang="es-US" sz="800">
              <a:solidFill>
                <a:schemeClr val="bg1"/>
              </a:solidFill>
            </a:rPr>
            <a:t>  PR95+0390</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1133475</xdr:colOff>
      <xdr:row>7</xdr:row>
      <xdr:rowOff>152400</xdr:rowOff>
    </xdr:from>
    <xdr:to>
      <xdr:col>5</xdr:col>
      <xdr:colOff>1266825</xdr:colOff>
      <xdr:row>7</xdr:row>
      <xdr:rowOff>152400</xdr:rowOff>
    </xdr:to>
    <xdr:sp macro="" textlink="">
      <xdr:nvSpPr>
        <xdr:cNvPr id="731193" name="Line 5">
          <a:extLst>
            <a:ext uri="{FF2B5EF4-FFF2-40B4-BE49-F238E27FC236}">
              <a16:creationId xmlns:a16="http://schemas.microsoft.com/office/drawing/2014/main" id="{00000000-0008-0000-0E00-000039280B00}"/>
            </a:ext>
          </a:extLst>
        </xdr:cNvPr>
        <xdr:cNvSpPr>
          <a:spLocks noChangeShapeType="1"/>
        </xdr:cNvSpPr>
      </xdr:nvSpPr>
      <xdr:spPr bwMode="auto">
        <a:xfrm>
          <a:off x="1752600" y="1685925"/>
          <a:ext cx="34956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352425</xdr:colOff>
      <xdr:row>7</xdr:row>
      <xdr:rowOff>152400</xdr:rowOff>
    </xdr:from>
    <xdr:to>
      <xdr:col>8</xdr:col>
      <xdr:colOff>1333500</xdr:colOff>
      <xdr:row>7</xdr:row>
      <xdr:rowOff>152400</xdr:rowOff>
    </xdr:to>
    <xdr:sp macro="" textlink="">
      <xdr:nvSpPr>
        <xdr:cNvPr id="731194" name="Line 6">
          <a:extLst>
            <a:ext uri="{FF2B5EF4-FFF2-40B4-BE49-F238E27FC236}">
              <a16:creationId xmlns:a16="http://schemas.microsoft.com/office/drawing/2014/main" id="{00000000-0008-0000-0E00-00003A280B00}"/>
            </a:ext>
          </a:extLst>
        </xdr:cNvPr>
        <xdr:cNvSpPr>
          <a:spLocks noChangeShapeType="1"/>
        </xdr:cNvSpPr>
      </xdr:nvSpPr>
      <xdr:spPr bwMode="auto">
        <a:xfrm>
          <a:off x="7000875" y="1685925"/>
          <a:ext cx="1990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133350</xdr:colOff>
      <xdr:row>21</xdr:row>
      <xdr:rowOff>66675</xdr:rowOff>
    </xdr:from>
    <xdr:to>
      <xdr:col>6</xdr:col>
      <xdr:colOff>266700</xdr:colOff>
      <xdr:row>21</xdr:row>
      <xdr:rowOff>114300</xdr:rowOff>
    </xdr:to>
    <xdr:sp macro="" textlink="">
      <xdr:nvSpPr>
        <xdr:cNvPr id="712468" name="Oval 13">
          <a:extLst>
            <a:ext uri="{FF2B5EF4-FFF2-40B4-BE49-F238E27FC236}">
              <a16:creationId xmlns:a16="http://schemas.microsoft.com/office/drawing/2014/main" id="{00000000-0008-0000-0F00-000014DF0A00}"/>
            </a:ext>
          </a:extLst>
        </xdr:cNvPr>
        <xdr:cNvSpPr>
          <a:spLocks noChangeArrowheads="1"/>
        </xdr:cNvSpPr>
      </xdr:nvSpPr>
      <xdr:spPr bwMode="auto">
        <a:xfrm>
          <a:off x="5286375" y="7353300"/>
          <a:ext cx="133350" cy="47625"/>
        </a:xfrm>
        <a:prstGeom prst="ellipse">
          <a:avLst/>
        </a:prstGeom>
        <a:solidFill>
          <a:srgbClr val="FFFF00"/>
        </a:solidFill>
        <a:ln w="9525">
          <a:solidFill>
            <a:srgbClr val="000000"/>
          </a:solidFill>
          <a:round/>
          <a:headEnd/>
          <a:tailEnd/>
        </a:ln>
      </xdr:spPr>
    </xdr:sp>
    <xdr:clientData/>
  </xdr:twoCellAnchor>
  <xdr:twoCellAnchor>
    <xdr:from>
      <xdr:col>5</xdr:col>
      <xdr:colOff>200025</xdr:colOff>
      <xdr:row>21</xdr:row>
      <xdr:rowOff>57150</xdr:rowOff>
    </xdr:from>
    <xdr:to>
      <xdr:col>5</xdr:col>
      <xdr:colOff>352425</xdr:colOff>
      <xdr:row>21</xdr:row>
      <xdr:rowOff>95250</xdr:rowOff>
    </xdr:to>
    <xdr:sp macro="" textlink="">
      <xdr:nvSpPr>
        <xdr:cNvPr id="712469" name="Oval 17">
          <a:extLst>
            <a:ext uri="{FF2B5EF4-FFF2-40B4-BE49-F238E27FC236}">
              <a16:creationId xmlns:a16="http://schemas.microsoft.com/office/drawing/2014/main" id="{00000000-0008-0000-0F00-000015DF0A00}"/>
            </a:ext>
          </a:extLst>
        </xdr:cNvPr>
        <xdr:cNvSpPr>
          <a:spLocks noChangeArrowheads="1"/>
        </xdr:cNvSpPr>
      </xdr:nvSpPr>
      <xdr:spPr bwMode="auto">
        <a:xfrm>
          <a:off x="3895725" y="7343775"/>
          <a:ext cx="152400" cy="38100"/>
        </a:xfrm>
        <a:prstGeom prst="ellipse">
          <a:avLst/>
        </a:prstGeom>
        <a:solidFill>
          <a:srgbClr val="00FF00"/>
        </a:solidFill>
        <a:ln w="9525">
          <a:solidFill>
            <a:srgbClr val="000000"/>
          </a:solidFill>
          <a:round/>
          <a:headEnd/>
          <a:tailEnd/>
        </a:ln>
      </xdr:spPr>
    </xdr:sp>
    <xdr:clientData/>
  </xdr:twoCellAnchor>
  <xdr:twoCellAnchor>
    <xdr:from>
      <xdr:col>9</xdr:col>
      <xdr:colOff>219075</xdr:colOff>
      <xdr:row>21</xdr:row>
      <xdr:rowOff>66675</xdr:rowOff>
    </xdr:from>
    <xdr:to>
      <xdr:col>9</xdr:col>
      <xdr:colOff>352425</xdr:colOff>
      <xdr:row>21</xdr:row>
      <xdr:rowOff>114300</xdr:rowOff>
    </xdr:to>
    <xdr:sp macro="" textlink="">
      <xdr:nvSpPr>
        <xdr:cNvPr id="712470" name="Oval 18">
          <a:extLst>
            <a:ext uri="{FF2B5EF4-FFF2-40B4-BE49-F238E27FC236}">
              <a16:creationId xmlns:a16="http://schemas.microsoft.com/office/drawing/2014/main" id="{00000000-0008-0000-0F00-000016DF0A00}"/>
            </a:ext>
          </a:extLst>
        </xdr:cNvPr>
        <xdr:cNvSpPr>
          <a:spLocks noChangeArrowheads="1"/>
        </xdr:cNvSpPr>
      </xdr:nvSpPr>
      <xdr:spPr bwMode="auto">
        <a:xfrm>
          <a:off x="6886575" y="7353300"/>
          <a:ext cx="133350" cy="47625"/>
        </a:xfrm>
        <a:prstGeom prst="ellipse">
          <a:avLst/>
        </a:prstGeom>
        <a:solidFill>
          <a:srgbClr val="FF0000"/>
        </a:solidFill>
        <a:ln w="9525">
          <a:solidFill>
            <a:srgbClr val="000000"/>
          </a:solidFill>
          <a:round/>
          <a:headEnd/>
          <a:tailEnd/>
        </a:ln>
      </xdr:spPr>
    </xdr:sp>
    <xdr:clientData/>
  </xdr:twoCellAnchor>
  <xdr:twoCellAnchor>
    <xdr:from>
      <xdr:col>9</xdr:col>
      <xdr:colOff>1028700</xdr:colOff>
      <xdr:row>11</xdr:row>
      <xdr:rowOff>647700</xdr:rowOff>
    </xdr:from>
    <xdr:to>
      <xdr:col>9</xdr:col>
      <xdr:colOff>514350</xdr:colOff>
      <xdr:row>11</xdr:row>
      <xdr:rowOff>1219200</xdr:rowOff>
    </xdr:to>
    <xdr:sp macro="" textlink="">
      <xdr:nvSpPr>
        <xdr:cNvPr id="712471" name="Oval 17">
          <a:extLst>
            <a:ext uri="{FF2B5EF4-FFF2-40B4-BE49-F238E27FC236}">
              <a16:creationId xmlns:a16="http://schemas.microsoft.com/office/drawing/2014/main" id="{00000000-0008-0000-0F00-000017DF0A00}"/>
            </a:ext>
          </a:extLst>
        </xdr:cNvPr>
        <xdr:cNvSpPr>
          <a:spLocks noChangeArrowheads="1"/>
        </xdr:cNvSpPr>
      </xdr:nvSpPr>
      <xdr:spPr bwMode="auto">
        <a:xfrm>
          <a:off x="7200900" y="3190875"/>
          <a:ext cx="0" cy="114300"/>
        </a:xfrm>
        <a:prstGeom prst="ellipse">
          <a:avLst/>
        </a:prstGeom>
        <a:solidFill>
          <a:srgbClr val="00FF00"/>
        </a:solidFill>
        <a:ln w="9525">
          <a:solidFill>
            <a:srgbClr val="000000"/>
          </a:solidFill>
          <a:round/>
          <a:headEnd/>
          <a:tailEnd/>
        </a:ln>
      </xdr:spPr>
    </xdr:sp>
    <xdr:clientData/>
  </xdr:twoCellAnchor>
  <xdr:twoCellAnchor>
    <xdr:from>
      <xdr:col>10</xdr:col>
      <xdr:colOff>876300</xdr:colOff>
      <xdr:row>11</xdr:row>
      <xdr:rowOff>581025</xdr:rowOff>
    </xdr:from>
    <xdr:to>
      <xdr:col>10</xdr:col>
      <xdr:colOff>419100</xdr:colOff>
      <xdr:row>11</xdr:row>
      <xdr:rowOff>1219200</xdr:rowOff>
    </xdr:to>
    <xdr:sp macro="" textlink="">
      <xdr:nvSpPr>
        <xdr:cNvPr id="712472" name="Oval 17">
          <a:extLst>
            <a:ext uri="{FF2B5EF4-FFF2-40B4-BE49-F238E27FC236}">
              <a16:creationId xmlns:a16="http://schemas.microsoft.com/office/drawing/2014/main" id="{00000000-0008-0000-0F00-000018DF0A00}"/>
            </a:ext>
          </a:extLst>
        </xdr:cNvPr>
        <xdr:cNvSpPr>
          <a:spLocks noChangeArrowheads="1"/>
        </xdr:cNvSpPr>
      </xdr:nvSpPr>
      <xdr:spPr bwMode="auto">
        <a:xfrm>
          <a:off x="7620000" y="3124200"/>
          <a:ext cx="0" cy="180975"/>
        </a:xfrm>
        <a:prstGeom prst="ellipse">
          <a:avLst/>
        </a:prstGeom>
        <a:solidFill>
          <a:srgbClr val="00FF00"/>
        </a:solid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12</xdr:row>
      <xdr:rowOff>0</xdr:rowOff>
    </xdr:to>
    <xdr:sp macro="" textlink="">
      <xdr:nvSpPr>
        <xdr:cNvPr id="712473" name="Oval 17">
          <a:extLst>
            <a:ext uri="{FF2B5EF4-FFF2-40B4-BE49-F238E27FC236}">
              <a16:creationId xmlns:a16="http://schemas.microsoft.com/office/drawing/2014/main" id="{00000000-0008-0000-0F00-000019DF0A00}"/>
            </a:ext>
          </a:extLst>
        </xdr:cNvPr>
        <xdr:cNvSpPr>
          <a:spLocks noChangeArrowheads="1"/>
        </xdr:cNvSpPr>
      </xdr:nvSpPr>
      <xdr:spPr bwMode="auto">
        <a:xfrm>
          <a:off x="8210550" y="3305175"/>
          <a:ext cx="0" cy="0"/>
        </a:xfrm>
        <a:prstGeom prst="ellipse">
          <a:avLst/>
        </a:prstGeom>
        <a:solidFill>
          <a:srgbClr val="00FF00"/>
        </a:solidFill>
        <a:ln w="9525">
          <a:solidFill>
            <a:srgbClr val="000000"/>
          </a:solidFill>
          <a:round/>
          <a:headEnd/>
          <a:tailEnd/>
        </a:ln>
      </xdr:spPr>
    </xdr:sp>
    <xdr:clientData/>
  </xdr:twoCellAnchor>
  <xdr:twoCellAnchor>
    <xdr:from>
      <xdr:col>9</xdr:col>
      <xdr:colOff>962025</xdr:colOff>
      <xdr:row>12</xdr:row>
      <xdr:rowOff>771525</xdr:rowOff>
    </xdr:from>
    <xdr:to>
      <xdr:col>9</xdr:col>
      <xdr:colOff>514350</xdr:colOff>
      <xdr:row>12</xdr:row>
      <xdr:rowOff>1409700</xdr:rowOff>
    </xdr:to>
    <xdr:sp macro="" textlink="">
      <xdr:nvSpPr>
        <xdr:cNvPr id="712474" name="Oval 17">
          <a:extLst>
            <a:ext uri="{FF2B5EF4-FFF2-40B4-BE49-F238E27FC236}">
              <a16:creationId xmlns:a16="http://schemas.microsoft.com/office/drawing/2014/main" id="{00000000-0008-0000-0F00-00001ADF0A00}"/>
            </a:ext>
          </a:extLst>
        </xdr:cNvPr>
        <xdr:cNvSpPr>
          <a:spLocks noChangeArrowheads="1"/>
        </xdr:cNvSpPr>
      </xdr:nvSpPr>
      <xdr:spPr bwMode="auto">
        <a:xfrm>
          <a:off x="7200900" y="37623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12</xdr:row>
      <xdr:rowOff>771525</xdr:rowOff>
    </xdr:from>
    <xdr:to>
      <xdr:col>10</xdr:col>
      <xdr:colOff>419100</xdr:colOff>
      <xdr:row>12</xdr:row>
      <xdr:rowOff>1409700</xdr:rowOff>
    </xdr:to>
    <xdr:sp macro="" textlink="">
      <xdr:nvSpPr>
        <xdr:cNvPr id="712475" name="Oval 17">
          <a:extLst>
            <a:ext uri="{FF2B5EF4-FFF2-40B4-BE49-F238E27FC236}">
              <a16:creationId xmlns:a16="http://schemas.microsoft.com/office/drawing/2014/main" id="{00000000-0008-0000-0F00-00001BDF0A00}"/>
            </a:ext>
          </a:extLst>
        </xdr:cNvPr>
        <xdr:cNvSpPr>
          <a:spLocks noChangeArrowheads="1"/>
        </xdr:cNvSpPr>
      </xdr:nvSpPr>
      <xdr:spPr bwMode="auto">
        <a:xfrm>
          <a:off x="7620000" y="3762375"/>
          <a:ext cx="0" cy="0"/>
        </a:xfrm>
        <a:prstGeom prst="ellipse">
          <a:avLst/>
        </a:prstGeom>
        <a:solidFill>
          <a:srgbClr val="FFFF00"/>
        </a:solidFill>
        <a:ln w="9525">
          <a:solidFill>
            <a:srgbClr val="000000"/>
          </a:solidFill>
          <a:round/>
          <a:headEnd/>
          <a:tailEnd/>
        </a:ln>
      </xdr:spPr>
    </xdr:sp>
    <xdr:clientData/>
  </xdr:twoCellAnchor>
  <xdr:twoCellAnchor>
    <xdr:from>
      <xdr:col>12</xdr:col>
      <xdr:colOff>0</xdr:colOff>
      <xdr:row>13</xdr:row>
      <xdr:rowOff>0</xdr:rowOff>
    </xdr:from>
    <xdr:to>
      <xdr:col>12</xdr:col>
      <xdr:colOff>0</xdr:colOff>
      <xdr:row>13</xdr:row>
      <xdr:rowOff>0</xdr:rowOff>
    </xdr:to>
    <xdr:sp macro="" textlink="">
      <xdr:nvSpPr>
        <xdr:cNvPr id="712476" name="Oval 17">
          <a:extLst>
            <a:ext uri="{FF2B5EF4-FFF2-40B4-BE49-F238E27FC236}">
              <a16:creationId xmlns:a16="http://schemas.microsoft.com/office/drawing/2014/main" id="{00000000-0008-0000-0F00-00001CDF0A00}"/>
            </a:ext>
          </a:extLst>
        </xdr:cNvPr>
        <xdr:cNvSpPr>
          <a:spLocks noChangeArrowheads="1"/>
        </xdr:cNvSpPr>
      </xdr:nvSpPr>
      <xdr:spPr bwMode="auto">
        <a:xfrm>
          <a:off x="8210550" y="3762375"/>
          <a:ext cx="0" cy="0"/>
        </a:xfrm>
        <a:prstGeom prst="ellipse">
          <a:avLst/>
        </a:prstGeom>
        <a:solidFill>
          <a:srgbClr val="00FF00"/>
        </a:solidFill>
        <a:ln w="9525">
          <a:solidFill>
            <a:srgbClr val="000000"/>
          </a:solidFill>
          <a:round/>
          <a:headEnd/>
          <a:tailEnd/>
        </a:ln>
      </xdr:spPr>
    </xdr:sp>
    <xdr:clientData/>
  </xdr:twoCellAnchor>
  <xdr:twoCellAnchor>
    <xdr:from>
      <xdr:col>12</xdr:col>
      <xdr:colOff>0</xdr:colOff>
      <xdr:row>14</xdr:row>
      <xdr:rowOff>0</xdr:rowOff>
    </xdr:from>
    <xdr:to>
      <xdr:col>12</xdr:col>
      <xdr:colOff>0</xdr:colOff>
      <xdr:row>14</xdr:row>
      <xdr:rowOff>0</xdr:rowOff>
    </xdr:to>
    <xdr:sp macro="" textlink="">
      <xdr:nvSpPr>
        <xdr:cNvPr id="712477" name="Oval 17">
          <a:extLst>
            <a:ext uri="{FF2B5EF4-FFF2-40B4-BE49-F238E27FC236}">
              <a16:creationId xmlns:a16="http://schemas.microsoft.com/office/drawing/2014/main" id="{00000000-0008-0000-0F00-00001DDF0A00}"/>
            </a:ext>
          </a:extLst>
        </xdr:cNvPr>
        <xdr:cNvSpPr>
          <a:spLocks noChangeArrowheads="1"/>
        </xdr:cNvSpPr>
      </xdr:nvSpPr>
      <xdr:spPr bwMode="auto">
        <a:xfrm>
          <a:off x="8210550" y="4067175"/>
          <a:ext cx="0" cy="0"/>
        </a:xfrm>
        <a:prstGeom prst="ellipse">
          <a:avLst/>
        </a:prstGeom>
        <a:solidFill>
          <a:srgbClr val="00FF00"/>
        </a:solidFill>
        <a:ln w="9525">
          <a:solidFill>
            <a:srgbClr val="000000"/>
          </a:solidFill>
          <a:round/>
          <a:headEnd/>
          <a:tailEnd/>
        </a:ln>
      </xdr:spPr>
    </xdr:sp>
    <xdr:clientData/>
  </xdr:twoCellAnchor>
  <xdr:twoCellAnchor>
    <xdr:from>
      <xdr:col>12</xdr:col>
      <xdr:colOff>0</xdr:colOff>
      <xdr:row>16</xdr:row>
      <xdr:rowOff>600075</xdr:rowOff>
    </xdr:from>
    <xdr:to>
      <xdr:col>12</xdr:col>
      <xdr:colOff>0</xdr:colOff>
      <xdr:row>17</xdr:row>
      <xdr:rowOff>0</xdr:rowOff>
    </xdr:to>
    <xdr:sp macro="" textlink="">
      <xdr:nvSpPr>
        <xdr:cNvPr id="712478" name="Oval 17">
          <a:extLst>
            <a:ext uri="{FF2B5EF4-FFF2-40B4-BE49-F238E27FC236}">
              <a16:creationId xmlns:a16="http://schemas.microsoft.com/office/drawing/2014/main" id="{00000000-0008-0000-0F00-00001EDF0A00}"/>
            </a:ext>
          </a:extLst>
        </xdr:cNvPr>
        <xdr:cNvSpPr>
          <a:spLocks noChangeArrowheads="1"/>
        </xdr:cNvSpPr>
      </xdr:nvSpPr>
      <xdr:spPr bwMode="auto">
        <a:xfrm>
          <a:off x="8210550" y="5581650"/>
          <a:ext cx="0" cy="314325"/>
        </a:xfrm>
        <a:prstGeom prst="ellipse">
          <a:avLst/>
        </a:prstGeom>
        <a:solidFill>
          <a:srgbClr val="00FF00"/>
        </a:solidFill>
        <a:ln w="9525">
          <a:solidFill>
            <a:srgbClr val="000000"/>
          </a:solidFill>
          <a:round/>
          <a:headEnd/>
          <a:tailEnd/>
        </a:ln>
      </xdr:spPr>
    </xdr:sp>
    <xdr:clientData/>
  </xdr:twoCellAnchor>
  <xdr:twoCellAnchor>
    <xdr:from>
      <xdr:col>12</xdr:col>
      <xdr:colOff>0</xdr:colOff>
      <xdr:row>18</xdr:row>
      <xdr:rowOff>0</xdr:rowOff>
    </xdr:from>
    <xdr:to>
      <xdr:col>12</xdr:col>
      <xdr:colOff>0</xdr:colOff>
      <xdr:row>18</xdr:row>
      <xdr:rowOff>0</xdr:rowOff>
    </xdr:to>
    <xdr:sp macro="" textlink="">
      <xdr:nvSpPr>
        <xdr:cNvPr id="712479" name="Oval 17">
          <a:extLst>
            <a:ext uri="{FF2B5EF4-FFF2-40B4-BE49-F238E27FC236}">
              <a16:creationId xmlns:a16="http://schemas.microsoft.com/office/drawing/2014/main" id="{00000000-0008-0000-0F00-00001FDF0A00}"/>
            </a:ext>
          </a:extLst>
        </xdr:cNvPr>
        <xdr:cNvSpPr>
          <a:spLocks noChangeArrowheads="1"/>
        </xdr:cNvSpPr>
      </xdr:nvSpPr>
      <xdr:spPr bwMode="auto">
        <a:xfrm>
          <a:off x="8210550" y="63531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13</xdr:row>
      <xdr:rowOff>533400</xdr:rowOff>
    </xdr:from>
    <xdr:to>
      <xdr:col>10</xdr:col>
      <xdr:colOff>419100</xdr:colOff>
      <xdr:row>13</xdr:row>
      <xdr:rowOff>914400</xdr:rowOff>
    </xdr:to>
    <xdr:sp macro="" textlink="">
      <xdr:nvSpPr>
        <xdr:cNvPr id="712480" name="Oval 17">
          <a:extLst>
            <a:ext uri="{FF2B5EF4-FFF2-40B4-BE49-F238E27FC236}">
              <a16:creationId xmlns:a16="http://schemas.microsoft.com/office/drawing/2014/main" id="{00000000-0008-0000-0F00-000020DF0A00}"/>
            </a:ext>
          </a:extLst>
        </xdr:cNvPr>
        <xdr:cNvSpPr>
          <a:spLocks noChangeArrowheads="1"/>
        </xdr:cNvSpPr>
      </xdr:nvSpPr>
      <xdr:spPr bwMode="auto">
        <a:xfrm>
          <a:off x="7620000" y="40671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14</xdr:row>
      <xdr:rowOff>714375</xdr:rowOff>
    </xdr:from>
    <xdr:to>
      <xdr:col>10</xdr:col>
      <xdr:colOff>419100</xdr:colOff>
      <xdr:row>14</xdr:row>
      <xdr:rowOff>914400</xdr:rowOff>
    </xdr:to>
    <xdr:sp macro="" textlink="">
      <xdr:nvSpPr>
        <xdr:cNvPr id="712481" name="Oval 17">
          <a:extLst>
            <a:ext uri="{FF2B5EF4-FFF2-40B4-BE49-F238E27FC236}">
              <a16:creationId xmlns:a16="http://schemas.microsoft.com/office/drawing/2014/main" id="{00000000-0008-0000-0F00-000021DF0A00}"/>
            </a:ext>
          </a:extLst>
        </xdr:cNvPr>
        <xdr:cNvSpPr>
          <a:spLocks noChangeArrowheads="1"/>
        </xdr:cNvSpPr>
      </xdr:nvSpPr>
      <xdr:spPr bwMode="auto">
        <a:xfrm>
          <a:off x="7620000" y="43719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15</xdr:row>
      <xdr:rowOff>771525</xdr:rowOff>
    </xdr:from>
    <xdr:to>
      <xdr:col>10</xdr:col>
      <xdr:colOff>419100</xdr:colOff>
      <xdr:row>15</xdr:row>
      <xdr:rowOff>914400</xdr:rowOff>
    </xdr:to>
    <xdr:sp macro="" textlink="">
      <xdr:nvSpPr>
        <xdr:cNvPr id="712482" name="Oval 17">
          <a:extLst>
            <a:ext uri="{FF2B5EF4-FFF2-40B4-BE49-F238E27FC236}">
              <a16:creationId xmlns:a16="http://schemas.microsoft.com/office/drawing/2014/main" id="{00000000-0008-0000-0F00-000022DF0A00}"/>
            </a:ext>
          </a:extLst>
        </xdr:cNvPr>
        <xdr:cNvSpPr>
          <a:spLocks noChangeArrowheads="1"/>
        </xdr:cNvSpPr>
      </xdr:nvSpPr>
      <xdr:spPr bwMode="auto">
        <a:xfrm>
          <a:off x="7620000" y="49815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16</xdr:row>
      <xdr:rowOff>533400</xdr:rowOff>
    </xdr:from>
    <xdr:to>
      <xdr:col>10</xdr:col>
      <xdr:colOff>419100</xdr:colOff>
      <xdr:row>16</xdr:row>
      <xdr:rowOff>1247775</xdr:rowOff>
    </xdr:to>
    <xdr:sp macro="" textlink="">
      <xdr:nvSpPr>
        <xdr:cNvPr id="712483" name="Oval 17">
          <a:extLst>
            <a:ext uri="{FF2B5EF4-FFF2-40B4-BE49-F238E27FC236}">
              <a16:creationId xmlns:a16="http://schemas.microsoft.com/office/drawing/2014/main" id="{00000000-0008-0000-0F00-000023DF0A00}"/>
            </a:ext>
          </a:extLst>
        </xdr:cNvPr>
        <xdr:cNvSpPr>
          <a:spLocks noChangeArrowheads="1"/>
        </xdr:cNvSpPr>
      </xdr:nvSpPr>
      <xdr:spPr bwMode="auto">
        <a:xfrm>
          <a:off x="7620000" y="5514975"/>
          <a:ext cx="0" cy="381000"/>
        </a:xfrm>
        <a:prstGeom prst="ellipse">
          <a:avLst/>
        </a:prstGeom>
        <a:solidFill>
          <a:srgbClr val="00FF00"/>
        </a:solidFill>
        <a:ln w="9525">
          <a:solidFill>
            <a:srgbClr val="000000"/>
          </a:solidFill>
          <a:round/>
          <a:headEnd/>
          <a:tailEnd/>
        </a:ln>
      </xdr:spPr>
    </xdr:sp>
    <xdr:clientData/>
  </xdr:twoCellAnchor>
  <xdr:twoCellAnchor>
    <xdr:from>
      <xdr:col>10</xdr:col>
      <xdr:colOff>752475</xdr:colOff>
      <xdr:row>17</xdr:row>
      <xdr:rowOff>952500</xdr:rowOff>
    </xdr:from>
    <xdr:to>
      <xdr:col>10</xdr:col>
      <xdr:colOff>419100</xdr:colOff>
      <xdr:row>17</xdr:row>
      <xdr:rowOff>1666875</xdr:rowOff>
    </xdr:to>
    <xdr:sp macro="" textlink="">
      <xdr:nvSpPr>
        <xdr:cNvPr id="712484" name="Oval 17">
          <a:extLst>
            <a:ext uri="{FF2B5EF4-FFF2-40B4-BE49-F238E27FC236}">
              <a16:creationId xmlns:a16="http://schemas.microsoft.com/office/drawing/2014/main" id="{00000000-0008-0000-0F00-000024DF0A00}"/>
            </a:ext>
          </a:extLst>
        </xdr:cNvPr>
        <xdr:cNvSpPr>
          <a:spLocks noChangeArrowheads="1"/>
        </xdr:cNvSpPr>
      </xdr:nvSpPr>
      <xdr:spPr bwMode="auto">
        <a:xfrm>
          <a:off x="7620000" y="6353175"/>
          <a:ext cx="0" cy="0"/>
        </a:xfrm>
        <a:prstGeom prst="ellipse">
          <a:avLst/>
        </a:prstGeom>
        <a:solidFill>
          <a:srgbClr val="FFFF00"/>
        </a:solidFill>
        <a:ln w="9525">
          <a:solidFill>
            <a:srgbClr val="000000"/>
          </a:solidFill>
          <a:round/>
          <a:headEnd/>
          <a:tailEnd/>
        </a:ln>
      </xdr:spPr>
    </xdr:sp>
    <xdr:clientData/>
  </xdr:twoCellAnchor>
  <xdr:twoCellAnchor>
    <xdr:from>
      <xdr:col>9</xdr:col>
      <xdr:colOff>1028700</xdr:colOff>
      <xdr:row>13</xdr:row>
      <xdr:rowOff>600075</xdr:rowOff>
    </xdr:from>
    <xdr:to>
      <xdr:col>9</xdr:col>
      <xdr:colOff>514350</xdr:colOff>
      <xdr:row>13</xdr:row>
      <xdr:rowOff>914400</xdr:rowOff>
    </xdr:to>
    <xdr:sp macro="" textlink="">
      <xdr:nvSpPr>
        <xdr:cNvPr id="712485" name="Oval 17">
          <a:extLst>
            <a:ext uri="{FF2B5EF4-FFF2-40B4-BE49-F238E27FC236}">
              <a16:creationId xmlns:a16="http://schemas.microsoft.com/office/drawing/2014/main" id="{00000000-0008-0000-0F00-000025DF0A00}"/>
            </a:ext>
          </a:extLst>
        </xdr:cNvPr>
        <xdr:cNvSpPr>
          <a:spLocks noChangeArrowheads="1"/>
        </xdr:cNvSpPr>
      </xdr:nvSpPr>
      <xdr:spPr bwMode="auto">
        <a:xfrm>
          <a:off x="7200900" y="4067175"/>
          <a:ext cx="0" cy="0"/>
        </a:xfrm>
        <a:prstGeom prst="ellipse">
          <a:avLst/>
        </a:prstGeom>
        <a:solidFill>
          <a:srgbClr val="FFFF00"/>
        </a:solidFill>
        <a:ln w="9525">
          <a:solidFill>
            <a:srgbClr val="000000"/>
          </a:solidFill>
          <a:round/>
          <a:headEnd/>
          <a:tailEnd/>
        </a:ln>
      </xdr:spPr>
    </xdr:sp>
    <xdr:clientData/>
  </xdr:twoCellAnchor>
  <xdr:twoCellAnchor>
    <xdr:from>
      <xdr:col>9</xdr:col>
      <xdr:colOff>962025</xdr:colOff>
      <xdr:row>14</xdr:row>
      <xdr:rowOff>771525</xdr:rowOff>
    </xdr:from>
    <xdr:to>
      <xdr:col>9</xdr:col>
      <xdr:colOff>514350</xdr:colOff>
      <xdr:row>14</xdr:row>
      <xdr:rowOff>914400</xdr:rowOff>
    </xdr:to>
    <xdr:sp macro="" textlink="">
      <xdr:nvSpPr>
        <xdr:cNvPr id="712486" name="Oval 17">
          <a:extLst>
            <a:ext uri="{FF2B5EF4-FFF2-40B4-BE49-F238E27FC236}">
              <a16:creationId xmlns:a16="http://schemas.microsoft.com/office/drawing/2014/main" id="{00000000-0008-0000-0F00-000026DF0A00}"/>
            </a:ext>
          </a:extLst>
        </xdr:cNvPr>
        <xdr:cNvSpPr>
          <a:spLocks noChangeArrowheads="1"/>
        </xdr:cNvSpPr>
      </xdr:nvSpPr>
      <xdr:spPr bwMode="auto">
        <a:xfrm>
          <a:off x="7200900" y="4371975"/>
          <a:ext cx="0" cy="0"/>
        </a:xfrm>
        <a:prstGeom prst="ellipse">
          <a:avLst/>
        </a:prstGeom>
        <a:solidFill>
          <a:srgbClr val="00FF00"/>
        </a:solidFill>
        <a:ln w="9525">
          <a:solidFill>
            <a:srgbClr val="000000"/>
          </a:solidFill>
          <a:round/>
          <a:headEnd/>
          <a:tailEnd/>
        </a:ln>
      </xdr:spPr>
    </xdr:sp>
    <xdr:clientData/>
  </xdr:twoCellAnchor>
  <xdr:twoCellAnchor>
    <xdr:from>
      <xdr:col>9</xdr:col>
      <xdr:colOff>1028700</xdr:colOff>
      <xdr:row>15</xdr:row>
      <xdr:rowOff>771525</xdr:rowOff>
    </xdr:from>
    <xdr:to>
      <xdr:col>9</xdr:col>
      <xdr:colOff>514350</xdr:colOff>
      <xdr:row>15</xdr:row>
      <xdr:rowOff>914400</xdr:rowOff>
    </xdr:to>
    <xdr:sp macro="" textlink="">
      <xdr:nvSpPr>
        <xdr:cNvPr id="712487" name="Oval 17">
          <a:extLst>
            <a:ext uri="{FF2B5EF4-FFF2-40B4-BE49-F238E27FC236}">
              <a16:creationId xmlns:a16="http://schemas.microsoft.com/office/drawing/2014/main" id="{00000000-0008-0000-0F00-000027DF0A00}"/>
            </a:ext>
          </a:extLst>
        </xdr:cNvPr>
        <xdr:cNvSpPr>
          <a:spLocks noChangeArrowheads="1"/>
        </xdr:cNvSpPr>
      </xdr:nvSpPr>
      <xdr:spPr bwMode="auto">
        <a:xfrm>
          <a:off x="7200900" y="4981575"/>
          <a:ext cx="0" cy="0"/>
        </a:xfrm>
        <a:prstGeom prst="ellipse">
          <a:avLst/>
        </a:prstGeom>
        <a:solidFill>
          <a:srgbClr val="00FF00"/>
        </a:solidFill>
        <a:ln w="9525">
          <a:solidFill>
            <a:srgbClr val="000000"/>
          </a:solidFill>
          <a:round/>
          <a:headEnd/>
          <a:tailEnd/>
        </a:ln>
      </xdr:spPr>
    </xdr:sp>
    <xdr:clientData/>
  </xdr:twoCellAnchor>
  <xdr:twoCellAnchor>
    <xdr:from>
      <xdr:col>9</xdr:col>
      <xdr:colOff>1028700</xdr:colOff>
      <xdr:row>16</xdr:row>
      <xdr:rowOff>533400</xdr:rowOff>
    </xdr:from>
    <xdr:to>
      <xdr:col>9</xdr:col>
      <xdr:colOff>514350</xdr:colOff>
      <xdr:row>16</xdr:row>
      <xdr:rowOff>1247775</xdr:rowOff>
    </xdr:to>
    <xdr:sp macro="" textlink="">
      <xdr:nvSpPr>
        <xdr:cNvPr id="712488" name="Oval 17">
          <a:extLst>
            <a:ext uri="{FF2B5EF4-FFF2-40B4-BE49-F238E27FC236}">
              <a16:creationId xmlns:a16="http://schemas.microsoft.com/office/drawing/2014/main" id="{00000000-0008-0000-0F00-000028DF0A00}"/>
            </a:ext>
          </a:extLst>
        </xdr:cNvPr>
        <xdr:cNvSpPr>
          <a:spLocks noChangeArrowheads="1"/>
        </xdr:cNvSpPr>
      </xdr:nvSpPr>
      <xdr:spPr bwMode="auto">
        <a:xfrm>
          <a:off x="7200900" y="5514975"/>
          <a:ext cx="0" cy="381000"/>
        </a:xfrm>
        <a:prstGeom prst="ellipse">
          <a:avLst/>
        </a:prstGeom>
        <a:solidFill>
          <a:srgbClr val="FFFF00"/>
        </a:solidFill>
        <a:ln w="9525">
          <a:solidFill>
            <a:srgbClr val="000000"/>
          </a:solidFill>
          <a:round/>
          <a:headEnd/>
          <a:tailEnd/>
        </a:ln>
      </xdr:spPr>
    </xdr:sp>
    <xdr:clientData/>
  </xdr:twoCellAnchor>
  <xdr:twoCellAnchor>
    <xdr:from>
      <xdr:col>9</xdr:col>
      <xdr:colOff>962025</xdr:colOff>
      <xdr:row>17</xdr:row>
      <xdr:rowOff>1000125</xdr:rowOff>
    </xdr:from>
    <xdr:to>
      <xdr:col>9</xdr:col>
      <xdr:colOff>514350</xdr:colOff>
      <xdr:row>17</xdr:row>
      <xdr:rowOff>1714500</xdr:rowOff>
    </xdr:to>
    <xdr:sp macro="" textlink="">
      <xdr:nvSpPr>
        <xdr:cNvPr id="712489" name="Oval 17">
          <a:extLst>
            <a:ext uri="{FF2B5EF4-FFF2-40B4-BE49-F238E27FC236}">
              <a16:creationId xmlns:a16="http://schemas.microsoft.com/office/drawing/2014/main" id="{00000000-0008-0000-0F00-000029DF0A00}"/>
            </a:ext>
          </a:extLst>
        </xdr:cNvPr>
        <xdr:cNvSpPr>
          <a:spLocks noChangeArrowheads="1"/>
        </xdr:cNvSpPr>
      </xdr:nvSpPr>
      <xdr:spPr bwMode="auto">
        <a:xfrm>
          <a:off x="7200900" y="6353175"/>
          <a:ext cx="0" cy="0"/>
        </a:xfrm>
        <a:prstGeom prst="ellipse">
          <a:avLst/>
        </a:prstGeom>
        <a:solidFill>
          <a:srgbClr val="00FF00"/>
        </a:solid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200025</xdr:colOff>
      <xdr:row>24</xdr:row>
      <xdr:rowOff>133350</xdr:rowOff>
    </xdr:from>
    <xdr:to>
      <xdr:col>4</xdr:col>
      <xdr:colOff>333375</xdr:colOff>
      <xdr:row>24</xdr:row>
      <xdr:rowOff>219075</xdr:rowOff>
    </xdr:to>
    <xdr:sp macro="" textlink="">
      <xdr:nvSpPr>
        <xdr:cNvPr id="713098" name="Oval 3">
          <a:extLst>
            <a:ext uri="{FF2B5EF4-FFF2-40B4-BE49-F238E27FC236}">
              <a16:creationId xmlns:a16="http://schemas.microsoft.com/office/drawing/2014/main" id="{00000000-0008-0000-1100-00008AE10A00}"/>
            </a:ext>
          </a:extLst>
        </xdr:cNvPr>
        <xdr:cNvSpPr>
          <a:spLocks noChangeArrowheads="1"/>
        </xdr:cNvSpPr>
      </xdr:nvSpPr>
      <xdr:spPr bwMode="auto">
        <a:xfrm>
          <a:off x="3248025" y="5791200"/>
          <a:ext cx="133350" cy="85725"/>
        </a:xfrm>
        <a:prstGeom prst="ellipse">
          <a:avLst/>
        </a:prstGeom>
        <a:solidFill>
          <a:srgbClr val="FFFF00"/>
        </a:solidFill>
        <a:ln w="9525">
          <a:solidFill>
            <a:srgbClr val="000000"/>
          </a:solidFill>
          <a:round/>
          <a:headEnd/>
          <a:tailEnd/>
        </a:ln>
      </xdr:spPr>
    </xdr:sp>
    <xdr:clientData/>
  </xdr:twoCellAnchor>
  <xdr:twoCellAnchor>
    <xdr:from>
      <xdr:col>3</xdr:col>
      <xdr:colOff>333375</xdr:colOff>
      <xdr:row>24</xdr:row>
      <xdr:rowOff>123825</xdr:rowOff>
    </xdr:from>
    <xdr:to>
      <xdr:col>3</xdr:col>
      <xdr:colOff>457200</xdr:colOff>
      <xdr:row>24</xdr:row>
      <xdr:rowOff>209550</xdr:rowOff>
    </xdr:to>
    <xdr:sp macro="" textlink="">
      <xdr:nvSpPr>
        <xdr:cNvPr id="713099" name="Oval 4">
          <a:extLst>
            <a:ext uri="{FF2B5EF4-FFF2-40B4-BE49-F238E27FC236}">
              <a16:creationId xmlns:a16="http://schemas.microsoft.com/office/drawing/2014/main" id="{00000000-0008-0000-1100-00008BE10A00}"/>
            </a:ext>
          </a:extLst>
        </xdr:cNvPr>
        <xdr:cNvSpPr>
          <a:spLocks noChangeArrowheads="1"/>
        </xdr:cNvSpPr>
      </xdr:nvSpPr>
      <xdr:spPr bwMode="auto">
        <a:xfrm>
          <a:off x="1895475" y="5781675"/>
          <a:ext cx="123825" cy="85725"/>
        </a:xfrm>
        <a:prstGeom prst="ellipse">
          <a:avLst/>
        </a:prstGeom>
        <a:solidFill>
          <a:srgbClr val="00FF00"/>
        </a:solidFill>
        <a:ln w="9525">
          <a:solidFill>
            <a:srgbClr val="000000"/>
          </a:solidFill>
          <a:round/>
          <a:headEnd/>
          <a:tailEnd/>
        </a:ln>
      </xdr:spPr>
    </xdr:sp>
    <xdr:clientData/>
  </xdr:twoCellAnchor>
  <xdr:twoCellAnchor>
    <xdr:from>
      <xdr:col>8</xdr:col>
      <xdr:colOff>0</xdr:colOff>
      <xdr:row>24</xdr:row>
      <xdr:rowOff>104775</xdr:rowOff>
    </xdr:from>
    <xdr:to>
      <xdr:col>8</xdr:col>
      <xdr:colOff>142875</xdr:colOff>
      <xdr:row>24</xdr:row>
      <xdr:rowOff>180975</xdr:rowOff>
    </xdr:to>
    <xdr:sp macro="" textlink="">
      <xdr:nvSpPr>
        <xdr:cNvPr id="713100" name="Oval 5">
          <a:extLst>
            <a:ext uri="{FF2B5EF4-FFF2-40B4-BE49-F238E27FC236}">
              <a16:creationId xmlns:a16="http://schemas.microsoft.com/office/drawing/2014/main" id="{00000000-0008-0000-1100-00008CE10A00}"/>
            </a:ext>
          </a:extLst>
        </xdr:cNvPr>
        <xdr:cNvSpPr>
          <a:spLocks noChangeArrowheads="1"/>
        </xdr:cNvSpPr>
      </xdr:nvSpPr>
      <xdr:spPr bwMode="auto">
        <a:xfrm>
          <a:off x="5086350" y="5762625"/>
          <a:ext cx="142875" cy="76200"/>
        </a:xfrm>
        <a:prstGeom prst="ellipse">
          <a:avLst/>
        </a:prstGeom>
        <a:solidFill>
          <a:srgbClr val="FF0000"/>
        </a:solidFill>
        <a:ln w="9525">
          <a:solidFill>
            <a:srgbClr val="000000"/>
          </a:solidFill>
          <a:round/>
          <a:headEnd/>
          <a:tailEnd/>
        </a:ln>
      </xdr:spPr>
    </xdr:sp>
    <xdr:clientData/>
  </xdr:twoCellAnchor>
  <xdr:twoCellAnchor>
    <xdr:from>
      <xdr:col>3</xdr:col>
      <xdr:colOff>295275</xdr:colOff>
      <xdr:row>9</xdr:row>
      <xdr:rowOff>9525</xdr:rowOff>
    </xdr:from>
    <xdr:to>
      <xdr:col>7</xdr:col>
      <xdr:colOff>390525</xdr:colOff>
      <xdr:row>9</xdr:row>
      <xdr:rowOff>9525</xdr:rowOff>
    </xdr:to>
    <xdr:sp macro="" textlink="">
      <xdr:nvSpPr>
        <xdr:cNvPr id="713101" name="Line 6">
          <a:extLst>
            <a:ext uri="{FF2B5EF4-FFF2-40B4-BE49-F238E27FC236}">
              <a16:creationId xmlns:a16="http://schemas.microsoft.com/office/drawing/2014/main" id="{00000000-0008-0000-1100-00008DE10A00}"/>
            </a:ext>
          </a:extLst>
        </xdr:cNvPr>
        <xdr:cNvSpPr>
          <a:spLocks noChangeShapeType="1"/>
        </xdr:cNvSpPr>
      </xdr:nvSpPr>
      <xdr:spPr bwMode="auto">
        <a:xfrm>
          <a:off x="1857375" y="1933575"/>
          <a:ext cx="3048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1552575</xdr:colOff>
      <xdr:row>12</xdr:row>
      <xdr:rowOff>1857375</xdr:rowOff>
    </xdr:from>
    <xdr:to>
      <xdr:col>7</xdr:col>
      <xdr:colOff>561975</xdr:colOff>
      <xdr:row>12</xdr:row>
      <xdr:rowOff>1266825</xdr:rowOff>
    </xdr:to>
    <xdr:sp macro="" textlink="">
      <xdr:nvSpPr>
        <xdr:cNvPr id="713102" name="Oval 17">
          <a:extLst>
            <a:ext uri="{FF2B5EF4-FFF2-40B4-BE49-F238E27FC236}">
              <a16:creationId xmlns:a16="http://schemas.microsoft.com/office/drawing/2014/main" id="{00000000-0008-0000-1100-00008EE10A00}"/>
            </a:ext>
          </a:extLst>
        </xdr:cNvPr>
        <xdr:cNvSpPr>
          <a:spLocks noChangeArrowheads="1"/>
        </xdr:cNvSpPr>
      </xdr:nvSpPr>
      <xdr:spPr bwMode="auto">
        <a:xfrm>
          <a:off x="5086350" y="3019425"/>
          <a:ext cx="0" cy="0"/>
        </a:xfrm>
        <a:prstGeom prst="ellipse">
          <a:avLst/>
        </a:prstGeom>
        <a:solidFill>
          <a:srgbClr val="FFFF00"/>
        </a:solidFill>
        <a:ln w="9525">
          <a:solidFill>
            <a:srgbClr val="000000"/>
          </a:solidFill>
          <a:round/>
          <a:headEnd/>
          <a:tailEnd/>
        </a:ln>
      </xdr:spPr>
    </xdr:sp>
    <xdr:clientData/>
  </xdr:twoCellAnchor>
  <xdr:twoCellAnchor>
    <xdr:from>
      <xdr:col>7</xdr:col>
      <xdr:colOff>1552575</xdr:colOff>
      <xdr:row>13</xdr:row>
      <xdr:rowOff>647700</xdr:rowOff>
    </xdr:from>
    <xdr:to>
      <xdr:col>7</xdr:col>
      <xdr:colOff>561975</xdr:colOff>
      <xdr:row>13</xdr:row>
      <xdr:rowOff>1257300</xdr:rowOff>
    </xdr:to>
    <xdr:sp macro="" textlink="">
      <xdr:nvSpPr>
        <xdr:cNvPr id="713103" name="Oval 17">
          <a:extLst>
            <a:ext uri="{FF2B5EF4-FFF2-40B4-BE49-F238E27FC236}">
              <a16:creationId xmlns:a16="http://schemas.microsoft.com/office/drawing/2014/main" id="{00000000-0008-0000-1100-00008FE10A00}"/>
            </a:ext>
          </a:extLst>
        </xdr:cNvPr>
        <xdr:cNvSpPr>
          <a:spLocks noChangeArrowheads="1"/>
        </xdr:cNvSpPr>
      </xdr:nvSpPr>
      <xdr:spPr bwMode="auto">
        <a:xfrm>
          <a:off x="5086350" y="3333750"/>
          <a:ext cx="0" cy="0"/>
        </a:xfrm>
        <a:prstGeom prst="ellipse">
          <a:avLst/>
        </a:prstGeom>
        <a:solidFill>
          <a:srgbClr val="00FF00"/>
        </a:solidFill>
        <a:ln w="9525">
          <a:solidFill>
            <a:srgbClr val="000000"/>
          </a:solidFill>
          <a:round/>
          <a:headEnd/>
          <a:tailEnd/>
        </a:ln>
      </xdr:spPr>
    </xdr:sp>
    <xdr:clientData/>
  </xdr:twoCellAnchor>
  <xdr:twoCellAnchor>
    <xdr:from>
      <xdr:col>7</xdr:col>
      <xdr:colOff>1552575</xdr:colOff>
      <xdr:row>14</xdr:row>
      <xdr:rowOff>600075</xdr:rowOff>
    </xdr:from>
    <xdr:to>
      <xdr:col>7</xdr:col>
      <xdr:colOff>561975</xdr:colOff>
      <xdr:row>14</xdr:row>
      <xdr:rowOff>1257300</xdr:rowOff>
    </xdr:to>
    <xdr:sp macro="" textlink="">
      <xdr:nvSpPr>
        <xdr:cNvPr id="713104" name="Oval 17">
          <a:extLst>
            <a:ext uri="{FF2B5EF4-FFF2-40B4-BE49-F238E27FC236}">
              <a16:creationId xmlns:a16="http://schemas.microsoft.com/office/drawing/2014/main" id="{00000000-0008-0000-1100-000090E10A00}"/>
            </a:ext>
          </a:extLst>
        </xdr:cNvPr>
        <xdr:cNvSpPr>
          <a:spLocks noChangeArrowheads="1"/>
        </xdr:cNvSpPr>
      </xdr:nvSpPr>
      <xdr:spPr bwMode="auto">
        <a:xfrm>
          <a:off x="5086350" y="3648075"/>
          <a:ext cx="0" cy="0"/>
        </a:xfrm>
        <a:prstGeom prst="ellipse">
          <a:avLst/>
        </a:prstGeom>
        <a:solidFill>
          <a:srgbClr val="00FF00"/>
        </a:solidFill>
        <a:ln w="9525">
          <a:solidFill>
            <a:srgbClr val="000000"/>
          </a:solidFill>
          <a:round/>
          <a:headEnd/>
          <a:tailEnd/>
        </a:ln>
      </xdr:spPr>
    </xdr:sp>
    <xdr:clientData/>
  </xdr:twoCellAnchor>
  <xdr:twoCellAnchor>
    <xdr:from>
      <xdr:col>8</xdr:col>
      <xdr:colOff>2124075</xdr:colOff>
      <xdr:row>12</xdr:row>
      <xdr:rowOff>1790700</xdr:rowOff>
    </xdr:from>
    <xdr:to>
      <xdr:col>8</xdr:col>
      <xdr:colOff>762000</xdr:colOff>
      <xdr:row>12</xdr:row>
      <xdr:rowOff>1266825</xdr:rowOff>
    </xdr:to>
    <xdr:sp macro="" textlink="">
      <xdr:nvSpPr>
        <xdr:cNvPr id="713105" name="Oval 17">
          <a:extLst>
            <a:ext uri="{FF2B5EF4-FFF2-40B4-BE49-F238E27FC236}">
              <a16:creationId xmlns:a16="http://schemas.microsoft.com/office/drawing/2014/main" id="{00000000-0008-0000-1100-000091E10A00}"/>
            </a:ext>
          </a:extLst>
        </xdr:cNvPr>
        <xdr:cNvSpPr>
          <a:spLocks noChangeArrowheads="1"/>
        </xdr:cNvSpPr>
      </xdr:nvSpPr>
      <xdr:spPr bwMode="auto">
        <a:xfrm>
          <a:off x="5848350" y="3019425"/>
          <a:ext cx="0" cy="0"/>
        </a:xfrm>
        <a:prstGeom prst="ellipse">
          <a:avLst/>
        </a:prstGeom>
        <a:solidFill>
          <a:srgbClr val="00FF00"/>
        </a:solidFill>
        <a:ln w="9525">
          <a:solidFill>
            <a:srgbClr val="000000"/>
          </a:solidFill>
          <a:round/>
          <a:headEnd/>
          <a:tailEnd/>
        </a:ln>
      </xdr:spPr>
    </xdr:sp>
    <xdr:clientData/>
  </xdr:twoCellAnchor>
  <xdr:twoCellAnchor>
    <xdr:from>
      <xdr:col>8</xdr:col>
      <xdr:colOff>2124075</xdr:colOff>
      <xdr:row>13</xdr:row>
      <xdr:rowOff>600075</xdr:rowOff>
    </xdr:from>
    <xdr:to>
      <xdr:col>8</xdr:col>
      <xdr:colOff>762000</xdr:colOff>
      <xdr:row>13</xdr:row>
      <xdr:rowOff>1257300</xdr:rowOff>
    </xdr:to>
    <xdr:sp macro="" textlink="">
      <xdr:nvSpPr>
        <xdr:cNvPr id="713106" name="Oval 17">
          <a:extLst>
            <a:ext uri="{FF2B5EF4-FFF2-40B4-BE49-F238E27FC236}">
              <a16:creationId xmlns:a16="http://schemas.microsoft.com/office/drawing/2014/main" id="{00000000-0008-0000-1100-000092E10A00}"/>
            </a:ext>
          </a:extLst>
        </xdr:cNvPr>
        <xdr:cNvSpPr>
          <a:spLocks noChangeArrowheads="1"/>
        </xdr:cNvSpPr>
      </xdr:nvSpPr>
      <xdr:spPr bwMode="auto">
        <a:xfrm>
          <a:off x="5848350" y="3333750"/>
          <a:ext cx="0" cy="0"/>
        </a:xfrm>
        <a:prstGeom prst="ellipse">
          <a:avLst/>
        </a:prstGeom>
        <a:solidFill>
          <a:srgbClr val="00FF00"/>
        </a:solidFill>
        <a:ln w="9525">
          <a:solidFill>
            <a:srgbClr val="000000"/>
          </a:solidFill>
          <a:round/>
          <a:headEnd/>
          <a:tailEnd/>
        </a:ln>
      </xdr:spPr>
    </xdr:sp>
    <xdr:clientData/>
  </xdr:twoCellAnchor>
  <xdr:twoCellAnchor>
    <xdr:from>
      <xdr:col>8</xdr:col>
      <xdr:colOff>2124075</xdr:colOff>
      <xdr:row>14</xdr:row>
      <xdr:rowOff>647700</xdr:rowOff>
    </xdr:from>
    <xdr:to>
      <xdr:col>8</xdr:col>
      <xdr:colOff>762000</xdr:colOff>
      <xdr:row>14</xdr:row>
      <xdr:rowOff>1257300</xdr:rowOff>
    </xdr:to>
    <xdr:sp macro="" textlink="">
      <xdr:nvSpPr>
        <xdr:cNvPr id="713107" name="Oval 17">
          <a:extLst>
            <a:ext uri="{FF2B5EF4-FFF2-40B4-BE49-F238E27FC236}">
              <a16:creationId xmlns:a16="http://schemas.microsoft.com/office/drawing/2014/main" id="{00000000-0008-0000-1100-000093E10A00}"/>
            </a:ext>
          </a:extLst>
        </xdr:cNvPr>
        <xdr:cNvSpPr>
          <a:spLocks noChangeArrowheads="1"/>
        </xdr:cNvSpPr>
      </xdr:nvSpPr>
      <xdr:spPr bwMode="auto">
        <a:xfrm>
          <a:off x="5848350" y="3648075"/>
          <a:ext cx="0" cy="0"/>
        </a:xfrm>
        <a:prstGeom prst="ellipse">
          <a:avLst/>
        </a:prstGeom>
        <a:solidFill>
          <a:srgbClr val="00FF00"/>
        </a:solidFill>
        <a:ln w="9525">
          <a:solidFill>
            <a:srgbClr val="000000"/>
          </a:solidFill>
          <a:round/>
          <a:headEnd/>
          <a:tailEnd/>
        </a:ln>
      </xdr:spPr>
    </xdr:sp>
    <xdr:clientData/>
  </xdr:twoCellAnchor>
  <xdr:twoCellAnchor>
    <xdr:from>
      <xdr:col>9</xdr:col>
      <xdr:colOff>2066925</xdr:colOff>
      <xdr:row>13</xdr:row>
      <xdr:rowOff>647700</xdr:rowOff>
    </xdr:from>
    <xdr:to>
      <xdr:col>9</xdr:col>
      <xdr:colOff>762000</xdr:colOff>
      <xdr:row>13</xdr:row>
      <xdr:rowOff>1257300</xdr:rowOff>
    </xdr:to>
    <xdr:sp macro="" textlink="">
      <xdr:nvSpPr>
        <xdr:cNvPr id="713108" name="Oval 17">
          <a:extLst>
            <a:ext uri="{FF2B5EF4-FFF2-40B4-BE49-F238E27FC236}">
              <a16:creationId xmlns:a16="http://schemas.microsoft.com/office/drawing/2014/main" id="{00000000-0008-0000-1100-000094E10A00}"/>
            </a:ext>
          </a:extLst>
        </xdr:cNvPr>
        <xdr:cNvSpPr>
          <a:spLocks noChangeArrowheads="1"/>
        </xdr:cNvSpPr>
      </xdr:nvSpPr>
      <xdr:spPr bwMode="auto">
        <a:xfrm>
          <a:off x="6610350" y="3333750"/>
          <a:ext cx="0" cy="0"/>
        </a:xfrm>
        <a:prstGeom prst="ellipse">
          <a:avLst/>
        </a:prstGeom>
        <a:solidFill>
          <a:srgbClr val="00FF00"/>
        </a:solid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1504950</xdr:colOff>
      <xdr:row>9</xdr:row>
      <xdr:rowOff>0</xdr:rowOff>
    </xdr:from>
    <xdr:to>
      <xdr:col>4</xdr:col>
      <xdr:colOff>9525</xdr:colOff>
      <xdr:row>9</xdr:row>
      <xdr:rowOff>0</xdr:rowOff>
    </xdr:to>
    <xdr:sp macro="" textlink="">
      <xdr:nvSpPr>
        <xdr:cNvPr id="28187" name="Line 1">
          <a:extLst>
            <a:ext uri="{FF2B5EF4-FFF2-40B4-BE49-F238E27FC236}">
              <a16:creationId xmlns:a16="http://schemas.microsoft.com/office/drawing/2014/main" id="{00000000-0008-0000-1200-00001B6E0000}"/>
            </a:ext>
          </a:extLst>
        </xdr:cNvPr>
        <xdr:cNvSpPr>
          <a:spLocks noChangeShapeType="1"/>
        </xdr:cNvSpPr>
      </xdr:nvSpPr>
      <xdr:spPr bwMode="auto">
        <a:xfrm>
          <a:off x="1504950" y="1828800"/>
          <a:ext cx="2543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295275</xdr:colOff>
      <xdr:row>30</xdr:row>
      <xdr:rowOff>66675</xdr:rowOff>
    </xdr:from>
    <xdr:to>
      <xdr:col>2</xdr:col>
      <xdr:colOff>600075</xdr:colOff>
      <xdr:row>30</xdr:row>
      <xdr:rowOff>200025</xdr:rowOff>
    </xdr:to>
    <xdr:sp macro="" textlink="">
      <xdr:nvSpPr>
        <xdr:cNvPr id="338499" name="Oval 17">
          <a:extLst>
            <a:ext uri="{FF2B5EF4-FFF2-40B4-BE49-F238E27FC236}">
              <a16:creationId xmlns:a16="http://schemas.microsoft.com/office/drawing/2014/main" id="{00000000-0008-0000-1300-0000432A0500}"/>
            </a:ext>
          </a:extLst>
        </xdr:cNvPr>
        <xdr:cNvSpPr>
          <a:spLocks noChangeArrowheads="1"/>
        </xdr:cNvSpPr>
      </xdr:nvSpPr>
      <xdr:spPr bwMode="auto">
        <a:xfrm>
          <a:off x="1933575" y="6238875"/>
          <a:ext cx="304800" cy="133350"/>
        </a:xfrm>
        <a:prstGeom prst="ellipse">
          <a:avLst/>
        </a:prstGeom>
        <a:solidFill>
          <a:srgbClr val="00FF00"/>
        </a:solidFill>
        <a:ln w="9525">
          <a:solidFill>
            <a:srgbClr val="000000"/>
          </a:solidFill>
          <a:round/>
          <a:headEnd/>
          <a:tailEnd/>
        </a:ln>
      </xdr:spPr>
    </xdr:sp>
    <xdr:clientData/>
  </xdr:twoCellAnchor>
  <xdr:twoCellAnchor>
    <xdr:from>
      <xdr:col>5</xdr:col>
      <xdr:colOff>142875</xdr:colOff>
      <xdr:row>30</xdr:row>
      <xdr:rowOff>57150</xdr:rowOff>
    </xdr:from>
    <xdr:to>
      <xdr:col>5</xdr:col>
      <xdr:colOff>457200</xdr:colOff>
      <xdr:row>30</xdr:row>
      <xdr:rowOff>190500</xdr:rowOff>
    </xdr:to>
    <xdr:sp macro="" textlink="">
      <xdr:nvSpPr>
        <xdr:cNvPr id="338500" name="Oval 13">
          <a:extLst>
            <a:ext uri="{FF2B5EF4-FFF2-40B4-BE49-F238E27FC236}">
              <a16:creationId xmlns:a16="http://schemas.microsoft.com/office/drawing/2014/main" id="{00000000-0008-0000-1300-0000442A0500}"/>
            </a:ext>
          </a:extLst>
        </xdr:cNvPr>
        <xdr:cNvSpPr>
          <a:spLocks noChangeArrowheads="1"/>
        </xdr:cNvSpPr>
      </xdr:nvSpPr>
      <xdr:spPr bwMode="auto">
        <a:xfrm>
          <a:off x="4286250" y="6229350"/>
          <a:ext cx="314325" cy="133350"/>
        </a:xfrm>
        <a:prstGeom prst="ellipse">
          <a:avLst/>
        </a:prstGeom>
        <a:solidFill>
          <a:srgbClr val="FFFF00"/>
        </a:solidFill>
        <a:ln w="9525">
          <a:solidFill>
            <a:srgbClr val="000000"/>
          </a:solidFill>
          <a:round/>
          <a:headEnd/>
          <a:tailEnd/>
        </a:ln>
      </xdr:spPr>
    </xdr:sp>
    <xdr:clientData/>
  </xdr:twoCellAnchor>
  <xdr:twoCellAnchor>
    <xdr:from>
      <xdr:col>8</xdr:col>
      <xdr:colOff>200025</xdr:colOff>
      <xdr:row>30</xdr:row>
      <xdr:rowOff>57150</xdr:rowOff>
    </xdr:from>
    <xdr:to>
      <xdr:col>8</xdr:col>
      <xdr:colOff>476250</xdr:colOff>
      <xdr:row>30</xdr:row>
      <xdr:rowOff>190500</xdr:rowOff>
    </xdr:to>
    <xdr:sp macro="" textlink="">
      <xdr:nvSpPr>
        <xdr:cNvPr id="338501" name="Oval 18">
          <a:extLst>
            <a:ext uri="{FF2B5EF4-FFF2-40B4-BE49-F238E27FC236}">
              <a16:creationId xmlns:a16="http://schemas.microsoft.com/office/drawing/2014/main" id="{00000000-0008-0000-1300-0000452A0500}"/>
            </a:ext>
          </a:extLst>
        </xdr:cNvPr>
        <xdr:cNvSpPr>
          <a:spLocks noChangeArrowheads="1"/>
        </xdr:cNvSpPr>
      </xdr:nvSpPr>
      <xdr:spPr bwMode="auto">
        <a:xfrm>
          <a:off x="6467475" y="6229350"/>
          <a:ext cx="276225" cy="133350"/>
        </a:xfrm>
        <a:prstGeom prst="ellipse">
          <a:avLst/>
        </a:prstGeom>
        <a:solidFill>
          <a:srgbClr val="FF0000"/>
        </a:solidFill>
        <a:ln w="9525">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37399" name="Oval 18">
          <a:extLst>
            <a:ext uri="{FF2B5EF4-FFF2-40B4-BE49-F238E27FC236}">
              <a16:creationId xmlns:a16="http://schemas.microsoft.com/office/drawing/2014/main" id="{00000000-0008-0000-1400-000017920000}"/>
            </a:ext>
          </a:extLst>
        </xdr:cNvPr>
        <xdr:cNvSpPr>
          <a:spLocks noChangeArrowheads="1"/>
        </xdr:cNvSpPr>
      </xdr:nvSpPr>
      <xdr:spPr bwMode="auto">
        <a:xfrm>
          <a:off x="4876800" y="5610225"/>
          <a:ext cx="0" cy="0"/>
        </a:xfrm>
        <a:prstGeom prst="ellipse">
          <a:avLst/>
        </a:prstGeom>
        <a:solidFill>
          <a:srgbClr val="FF0000"/>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8</xdr:col>
      <xdr:colOff>552450</xdr:colOff>
      <xdr:row>8</xdr:row>
      <xdr:rowOff>0</xdr:rowOff>
    </xdr:from>
    <xdr:to>
      <xdr:col>9</xdr:col>
      <xdr:colOff>1228725</xdr:colOff>
      <xdr:row>8</xdr:row>
      <xdr:rowOff>0</xdr:rowOff>
    </xdr:to>
    <xdr:sp macro="" textlink="">
      <xdr:nvSpPr>
        <xdr:cNvPr id="29211" name="Line 1">
          <a:extLst>
            <a:ext uri="{FF2B5EF4-FFF2-40B4-BE49-F238E27FC236}">
              <a16:creationId xmlns:a16="http://schemas.microsoft.com/office/drawing/2014/main" id="{00000000-0008-0000-1700-00001B720000}"/>
            </a:ext>
          </a:extLst>
        </xdr:cNvPr>
        <xdr:cNvSpPr>
          <a:spLocks noChangeShapeType="1"/>
        </xdr:cNvSpPr>
      </xdr:nvSpPr>
      <xdr:spPr bwMode="auto">
        <a:xfrm>
          <a:off x="6734175" y="1628775"/>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1047750</xdr:colOff>
      <xdr:row>6</xdr:row>
      <xdr:rowOff>0</xdr:rowOff>
    </xdr:from>
    <xdr:to>
      <xdr:col>5</xdr:col>
      <xdr:colOff>0</xdr:colOff>
      <xdr:row>6</xdr:row>
      <xdr:rowOff>0</xdr:rowOff>
    </xdr:to>
    <xdr:sp macro="" textlink="">
      <xdr:nvSpPr>
        <xdr:cNvPr id="31259" name="Line 1">
          <a:extLst>
            <a:ext uri="{FF2B5EF4-FFF2-40B4-BE49-F238E27FC236}">
              <a16:creationId xmlns:a16="http://schemas.microsoft.com/office/drawing/2014/main" id="{00000000-0008-0000-1D00-00001B7A0000}"/>
            </a:ext>
          </a:extLst>
        </xdr:cNvPr>
        <xdr:cNvSpPr>
          <a:spLocks noChangeShapeType="1"/>
        </xdr:cNvSpPr>
      </xdr:nvSpPr>
      <xdr:spPr bwMode="auto">
        <a:xfrm>
          <a:off x="1666875" y="1257300"/>
          <a:ext cx="36195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19050</xdr:colOff>
      <xdr:row>11</xdr:row>
      <xdr:rowOff>0</xdr:rowOff>
    </xdr:from>
    <xdr:to>
      <xdr:col>5</xdr:col>
      <xdr:colOff>200025</xdr:colOff>
      <xdr:row>11</xdr:row>
      <xdr:rowOff>0</xdr:rowOff>
    </xdr:to>
    <xdr:sp macro="" textlink="">
      <xdr:nvSpPr>
        <xdr:cNvPr id="746431" name="Line 2">
          <a:extLst>
            <a:ext uri="{FF2B5EF4-FFF2-40B4-BE49-F238E27FC236}">
              <a16:creationId xmlns:a16="http://schemas.microsoft.com/office/drawing/2014/main" id="{00000000-0008-0000-1F00-0000BF630B00}"/>
            </a:ext>
          </a:extLst>
        </xdr:cNvPr>
        <xdr:cNvSpPr>
          <a:spLocks noChangeShapeType="1"/>
        </xdr:cNvSpPr>
      </xdr:nvSpPr>
      <xdr:spPr bwMode="auto">
        <a:xfrm>
          <a:off x="296227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338491</xdr:colOff>
      <xdr:row>12</xdr:row>
      <xdr:rowOff>127000</xdr:rowOff>
    </xdr:from>
    <xdr:to>
      <xdr:col>2</xdr:col>
      <xdr:colOff>825324</xdr:colOff>
      <xdr:row>21</xdr:row>
      <xdr:rowOff>79375</xdr:rowOff>
    </xdr:to>
    <xdr:pic>
      <xdr:nvPicPr>
        <xdr:cNvPr id="746432" name="Imagen 1">
          <a:extLst>
            <a:ext uri="{FF2B5EF4-FFF2-40B4-BE49-F238E27FC236}">
              <a16:creationId xmlns:a16="http://schemas.microsoft.com/office/drawing/2014/main" id="{00000000-0008-0000-1F00-0000C0630B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38491" y="2413000"/>
          <a:ext cx="2455333"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117475</xdr:colOff>
      <xdr:row>12</xdr:row>
      <xdr:rowOff>134739</xdr:rowOff>
    </xdr:from>
    <xdr:to>
      <xdr:col>5</xdr:col>
      <xdr:colOff>590550</xdr:colOff>
      <xdr:row>21</xdr:row>
      <xdr:rowOff>79375</xdr:rowOff>
    </xdr:to>
    <xdr:pic>
      <xdr:nvPicPr>
        <xdr:cNvPr id="746433" name="Imagen 8">
          <a:extLst>
            <a:ext uri="{FF2B5EF4-FFF2-40B4-BE49-F238E27FC236}">
              <a16:creationId xmlns:a16="http://schemas.microsoft.com/office/drawing/2014/main" id="{00000000-0008-0000-1F00-0000C1630B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3070225" y="2420739"/>
          <a:ext cx="2441575" cy="13733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394758</xdr:colOff>
      <xdr:row>24</xdr:row>
      <xdr:rowOff>38100</xdr:rowOff>
    </xdr:from>
    <xdr:to>
      <xdr:col>2</xdr:col>
      <xdr:colOff>233891</xdr:colOff>
      <xdr:row>32</xdr:row>
      <xdr:rowOff>123825</xdr:rowOff>
    </xdr:to>
    <xdr:pic>
      <xdr:nvPicPr>
        <xdr:cNvPr id="746434" name="Imagen 11">
          <a:extLst>
            <a:ext uri="{FF2B5EF4-FFF2-40B4-BE49-F238E27FC236}">
              <a16:creationId xmlns:a16="http://schemas.microsoft.com/office/drawing/2014/main" id="{00000000-0008-0000-1F00-0000C2630B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bwMode="auto">
        <a:xfrm>
          <a:off x="394758" y="4260850"/>
          <a:ext cx="1807633" cy="135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285750</xdr:colOff>
      <xdr:row>25</xdr:row>
      <xdr:rowOff>46875</xdr:rowOff>
    </xdr:from>
    <xdr:to>
      <xdr:col>5</xdr:col>
      <xdr:colOff>405228</xdr:colOff>
      <xdr:row>32</xdr:row>
      <xdr:rowOff>111124</xdr:rowOff>
    </xdr:to>
    <xdr:pic>
      <xdr:nvPicPr>
        <xdr:cNvPr id="746435" name="Imagen 12">
          <a:extLst>
            <a:ext uri="{FF2B5EF4-FFF2-40B4-BE49-F238E27FC236}">
              <a16:creationId xmlns:a16="http://schemas.microsoft.com/office/drawing/2014/main" id="{00000000-0008-0000-1F00-0000C3630B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bwMode="auto">
        <a:xfrm>
          <a:off x="3238500" y="4428375"/>
          <a:ext cx="2087978" cy="1175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394758</xdr:colOff>
      <xdr:row>35</xdr:row>
      <xdr:rowOff>38100</xdr:rowOff>
    </xdr:from>
    <xdr:to>
      <xdr:col>2</xdr:col>
      <xdr:colOff>271991</xdr:colOff>
      <xdr:row>43</xdr:row>
      <xdr:rowOff>152400</xdr:rowOff>
    </xdr:to>
    <xdr:pic>
      <xdr:nvPicPr>
        <xdr:cNvPr id="746436" name="Imagen 15">
          <a:extLst>
            <a:ext uri="{FF2B5EF4-FFF2-40B4-BE49-F238E27FC236}">
              <a16:creationId xmlns:a16="http://schemas.microsoft.com/office/drawing/2014/main" id="{00000000-0008-0000-1F00-0000C4630B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bwMode="auto">
        <a:xfrm>
          <a:off x="394758" y="6038850"/>
          <a:ext cx="1845733" cy="138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402696</xdr:colOff>
      <xdr:row>35</xdr:row>
      <xdr:rowOff>19050</xdr:rowOff>
    </xdr:from>
    <xdr:to>
      <xdr:col>5</xdr:col>
      <xdr:colOff>292629</xdr:colOff>
      <xdr:row>43</xdr:row>
      <xdr:rowOff>142875</xdr:rowOff>
    </xdr:to>
    <xdr:pic>
      <xdr:nvPicPr>
        <xdr:cNvPr id="746437" name="Imagen 16">
          <a:extLst>
            <a:ext uri="{FF2B5EF4-FFF2-40B4-BE49-F238E27FC236}">
              <a16:creationId xmlns:a16="http://schemas.microsoft.com/office/drawing/2014/main" id="{00000000-0008-0000-1F00-0000C5630B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bwMode="auto">
        <a:xfrm>
          <a:off x="3355446" y="6019800"/>
          <a:ext cx="1858433" cy="139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19050</xdr:colOff>
      <xdr:row>11</xdr:row>
      <xdr:rowOff>0</xdr:rowOff>
    </xdr:from>
    <xdr:to>
      <xdr:col>11</xdr:col>
      <xdr:colOff>200025</xdr:colOff>
      <xdr:row>11</xdr:row>
      <xdr:rowOff>0</xdr:rowOff>
    </xdr:to>
    <xdr:sp macro="" textlink="">
      <xdr:nvSpPr>
        <xdr:cNvPr id="746438" name="Line 2">
          <a:extLst>
            <a:ext uri="{FF2B5EF4-FFF2-40B4-BE49-F238E27FC236}">
              <a16:creationId xmlns:a16="http://schemas.microsoft.com/office/drawing/2014/main" id="{00000000-0008-0000-1F00-0000C6630B00}"/>
            </a:ext>
          </a:extLst>
        </xdr:cNvPr>
        <xdr:cNvSpPr>
          <a:spLocks noChangeShapeType="1"/>
        </xdr:cNvSpPr>
      </xdr:nvSpPr>
      <xdr:spPr bwMode="auto">
        <a:xfrm>
          <a:off x="884872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6</xdr:col>
      <xdr:colOff>152400</xdr:colOff>
      <xdr:row>12</xdr:row>
      <xdr:rowOff>88801</xdr:rowOff>
    </xdr:from>
    <xdr:to>
      <xdr:col>8</xdr:col>
      <xdr:colOff>650699</xdr:colOff>
      <xdr:row>21</xdr:row>
      <xdr:rowOff>47625</xdr:rowOff>
    </xdr:to>
    <xdr:pic>
      <xdr:nvPicPr>
        <xdr:cNvPr id="746439" name="Imagen 25">
          <a:extLst>
            <a:ext uri="{FF2B5EF4-FFF2-40B4-BE49-F238E27FC236}">
              <a16:creationId xmlns:a16="http://schemas.microsoft.com/office/drawing/2014/main" id="{00000000-0008-0000-1F00-0000C7630B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bwMode="auto">
        <a:xfrm>
          <a:off x="6057900" y="2374801"/>
          <a:ext cx="2466799" cy="1387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228600</xdr:colOff>
      <xdr:row>13</xdr:row>
      <xdr:rowOff>87114</xdr:rowOff>
    </xdr:from>
    <xdr:to>
      <xdr:col>11</xdr:col>
      <xdr:colOff>247650</xdr:colOff>
      <xdr:row>20</xdr:row>
      <xdr:rowOff>93860</xdr:rowOff>
    </xdr:to>
    <xdr:pic>
      <xdr:nvPicPr>
        <xdr:cNvPr id="746440" name="Imagen 26">
          <a:extLst>
            <a:ext uri="{FF2B5EF4-FFF2-40B4-BE49-F238E27FC236}">
              <a16:creationId xmlns:a16="http://schemas.microsoft.com/office/drawing/2014/main" id="{00000000-0008-0000-1F00-0000C8630B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bwMode="auto">
        <a:xfrm>
          <a:off x="9086850" y="2531864"/>
          <a:ext cx="1987550" cy="11179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223308</xdr:colOff>
      <xdr:row>24</xdr:row>
      <xdr:rowOff>111125</xdr:rowOff>
    </xdr:from>
    <xdr:to>
      <xdr:col>8</xdr:col>
      <xdr:colOff>512587</xdr:colOff>
      <xdr:row>32</xdr:row>
      <xdr:rowOff>111125</xdr:rowOff>
    </xdr:to>
    <xdr:pic>
      <xdr:nvPicPr>
        <xdr:cNvPr id="746441" name="Imagen 27">
          <a:extLst>
            <a:ext uri="{FF2B5EF4-FFF2-40B4-BE49-F238E27FC236}">
              <a16:creationId xmlns:a16="http://schemas.microsoft.com/office/drawing/2014/main" id="{00000000-0008-0000-1F00-0000C9630B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bwMode="auto">
        <a:xfrm>
          <a:off x="6128808" y="4333875"/>
          <a:ext cx="2257779" cy="127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307446</xdr:colOff>
      <xdr:row>24</xdr:row>
      <xdr:rowOff>47625</xdr:rowOff>
    </xdr:from>
    <xdr:to>
      <xdr:col>11</xdr:col>
      <xdr:colOff>159279</xdr:colOff>
      <xdr:row>32</xdr:row>
      <xdr:rowOff>142875</xdr:rowOff>
    </xdr:to>
    <xdr:pic>
      <xdr:nvPicPr>
        <xdr:cNvPr id="746442" name="Imagen 28">
          <a:extLst>
            <a:ext uri="{FF2B5EF4-FFF2-40B4-BE49-F238E27FC236}">
              <a16:creationId xmlns:a16="http://schemas.microsoft.com/office/drawing/2014/main" id="{00000000-0008-0000-1F00-0000CA630B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bwMode="auto">
        <a:xfrm>
          <a:off x="9165696" y="4270375"/>
          <a:ext cx="1820333" cy="136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511705</xdr:colOff>
      <xdr:row>35</xdr:row>
      <xdr:rowOff>127000</xdr:rowOff>
    </xdr:from>
    <xdr:to>
      <xdr:col>8</xdr:col>
      <xdr:colOff>173038</xdr:colOff>
      <xdr:row>43</xdr:row>
      <xdr:rowOff>79375</xdr:rowOff>
    </xdr:to>
    <xdr:pic>
      <xdr:nvPicPr>
        <xdr:cNvPr id="746443" name="Imagen 29">
          <a:extLst>
            <a:ext uri="{FF2B5EF4-FFF2-40B4-BE49-F238E27FC236}">
              <a16:creationId xmlns:a16="http://schemas.microsoft.com/office/drawing/2014/main" id="{00000000-0008-0000-1F00-0000CB630B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bwMode="auto">
        <a:xfrm>
          <a:off x="6417205" y="6127750"/>
          <a:ext cx="1629833" cy="1222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372004</xdr:colOff>
      <xdr:row>35</xdr:row>
      <xdr:rowOff>79375</xdr:rowOff>
    </xdr:from>
    <xdr:to>
      <xdr:col>11</xdr:col>
      <xdr:colOff>142875</xdr:colOff>
      <xdr:row>43</xdr:row>
      <xdr:rowOff>113904</xdr:rowOff>
    </xdr:to>
    <xdr:pic>
      <xdr:nvPicPr>
        <xdr:cNvPr id="746444" name="Imagen 30">
          <a:extLst>
            <a:ext uri="{FF2B5EF4-FFF2-40B4-BE49-F238E27FC236}">
              <a16:creationId xmlns:a16="http://schemas.microsoft.com/office/drawing/2014/main" id="{00000000-0008-0000-1F00-0000CC630B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bwMode="auto">
        <a:xfrm>
          <a:off x="9230254" y="6080125"/>
          <a:ext cx="1739371" cy="13045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19050</xdr:colOff>
      <xdr:row>11</xdr:row>
      <xdr:rowOff>0</xdr:rowOff>
    </xdr:from>
    <xdr:to>
      <xdr:col>17</xdr:col>
      <xdr:colOff>200025</xdr:colOff>
      <xdr:row>11</xdr:row>
      <xdr:rowOff>0</xdr:rowOff>
    </xdr:to>
    <xdr:sp macro="" textlink="">
      <xdr:nvSpPr>
        <xdr:cNvPr id="746445" name="Line 2">
          <a:extLst>
            <a:ext uri="{FF2B5EF4-FFF2-40B4-BE49-F238E27FC236}">
              <a16:creationId xmlns:a16="http://schemas.microsoft.com/office/drawing/2014/main" id="{00000000-0008-0000-1F00-0000CD630B00}"/>
            </a:ext>
          </a:extLst>
        </xdr:cNvPr>
        <xdr:cNvSpPr>
          <a:spLocks noChangeShapeType="1"/>
        </xdr:cNvSpPr>
      </xdr:nvSpPr>
      <xdr:spPr bwMode="auto">
        <a:xfrm>
          <a:off x="1473517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12</xdr:col>
      <xdr:colOff>312209</xdr:colOff>
      <xdr:row>12</xdr:row>
      <xdr:rowOff>79376</xdr:rowOff>
    </xdr:from>
    <xdr:to>
      <xdr:col>14</xdr:col>
      <xdr:colOff>301624</xdr:colOff>
      <xdr:row>21</xdr:row>
      <xdr:rowOff>119062</xdr:rowOff>
    </xdr:to>
    <xdr:pic>
      <xdr:nvPicPr>
        <xdr:cNvPr id="746446" name="Imagen 32">
          <a:extLst>
            <a:ext uri="{FF2B5EF4-FFF2-40B4-BE49-F238E27FC236}">
              <a16:creationId xmlns:a16="http://schemas.microsoft.com/office/drawing/2014/main" id="{00000000-0008-0000-1F00-0000CE630B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bwMode="auto">
        <a:xfrm>
          <a:off x="12123209" y="2365376"/>
          <a:ext cx="1957915" cy="1468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243907</xdr:colOff>
      <xdr:row>13</xdr:row>
      <xdr:rowOff>95250</xdr:rowOff>
    </xdr:from>
    <xdr:to>
      <xdr:col>17</xdr:col>
      <xdr:colOff>232343</xdr:colOff>
      <xdr:row>20</xdr:row>
      <xdr:rowOff>85725</xdr:rowOff>
    </xdr:to>
    <xdr:pic>
      <xdr:nvPicPr>
        <xdr:cNvPr id="746447" name="Imagen 33">
          <a:extLst>
            <a:ext uri="{FF2B5EF4-FFF2-40B4-BE49-F238E27FC236}">
              <a16:creationId xmlns:a16="http://schemas.microsoft.com/office/drawing/2014/main" id="{00000000-0008-0000-1F00-0000CF630B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bwMode="auto">
        <a:xfrm>
          <a:off x="15007657" y="2540000"/>
          <a:ext cx="1956936" cy="110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295338</xdr:colOff>
      <xdr:row>24</xdr:row>
      <xdr:rowOff>79375</xdr:rowOff>
    </xdr:from>
    <xdr:to>
      <xdr:col>14</xdr:col>
      <xdr:colOff>667267</xdr:colOff>
      <xdr:row>32</xdr:row>
      <xdr:rowOff>127000</xdr:rowOff>
    </xdr:to>
    <xdr:pic>
      <xdr:nvPicPr>
        <xdr:cNvPr id="746448" name="Imagen 34">
          <a:extLst>
            <a:ext uri="{FF2B5EF4-FFF2-40B4-BE49-F238E27FC236}">
              <a16:creationId xmlns:a16="http://schemas.microsoft.com/office/drawing/2014/main" id="{00000000-0008-0000-1F00-0000D0630B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bwMode="auto">
        <a:xfrm>
          <a:off x="12106338" y="4302125"/>
          <a:ext cx="2340429" cy="131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172476</xdr:colOff>
      <xdr:row>24</xdr:row>
      <xdr:rowOff>63501</xdr:rowOff>
    </xdr:from>
    <xdr:to>
      <xdr:col>17</xdr:col>
      <xdr:colOff>628999</xdr:colOff>
      <xdr:row>32</xdr:row>
      <xdr:rowOff>158751</xdr:rowOff>
    </xdr:to>
    <xdr:pic>
      <xdr:nvPicPr>
        <xdr:cNvPr id="746449" name="Imagen 35">
          <a:extLst>
            <a:ext uri="{FF2B5EF4-FFF2-40B4-BE49-F238E27FC236}">
              <a16:creationId xmlns:a16="http://schemas.microsoft.com/office/drawing/2014/main" id="{00000000-0008-0000-1F00-0000D1630B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bwMode="auto">
        <a:xfrm>
          <a:off x="14936226" y="4286251"/>
          <a:ext cx="2425023" cy="136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303340</xdr:colOff>
      <xdr:row>35</xdr:row>
      <xdr:rowOff>63500</xdr:rowOff>
    </xdr:from>
    <xdr:to>
      <xdr:col>14</xdr:col>
      <xdr:colOff>647070</xdr:colOff>
      <xdr:row>43</xdr:row>
      <xdr:rowOff>95250</xdr:rowOff>
    </xdr:to>
    <xdr:pic>
      <xdr:nvPicPr>
        <xdr:cNvPr id="746450" name="Imagen 36">
          <a:extLst>
            <a:ext uri="{FF2B5EF4-FFF2-40B4-BE49-F238E27FC236}">
              <a16:creationId xmlns:a16="http://schemas.microsoft.com/office/drawing/2014/main" id="{00000000-0008-0000-1F00-0000D2630B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bwMode="auto">
        <a:xfrm>
          <a:off x="12114340" y="6064250"/>
          <a:ext cx="2312230" cy="1301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239107</xdr:colOff>
      <xdr:row>35</xdr:row>
      <xdr:rowOff>94697</xdr:rowOff>
    </xdr:from>
    <xdr:to>
      <xdr:col>17</xdr:col>
      <xdr:colOff>555621</xdr:colOff>
      <xdr:row>43</xdr:row>
      <xdr:rowOff>111125</xdr:rowOff>
    </xdr:to>
    <xdr:pic>
      <xdr:nvPicPr>
        <xdr:cNvPr id="746451" name="Imagen 37">
          <a:extLst>
            <a:ext uri="{FF2B5EF4-FFF2-40B4-BE49-F238E27FC236}">
              <a16:creationId xmlns:a16="http://schemas.microsoft.com/office/drawing/2014/main" id="{00000000-0008-0000-1F00-0000D3630B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bwMode="auto">
        <a:xfrm>
          <a:off x="15002857" y="6095447"/>
          <a:ext cx="2285014" cy="12864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19050</xdr:colOff>
      <xdr:row>11</xdr:row>
      <xdr:rowOff>0</xdr:rowOff>
    </xdr:from>
    <xdr:to>
      <xdr:col>23</xdr:col>
      <xdr:colOff>200025</xdr:colOff>
      <xdr:row>11</xdr:row>
      <xdr:rowOff>0</xdr:rowOff>
    </xdr:to>
    <xdr:sp macro="" textlink="">
      <xdr:nvSpPr>
        <xdr:cNvPr id="746452" name="Line 2">
          <a:extLst>
            <a:ext uri="{FF2B5EF4-FFF2-40B4-BE49-F238E27FC236}">
              <a16:creationId xmlns:a16="http://schemas.microsoft.com/office/drawing/2014/main" id="{00000000-0008-0000-1F00-0000D4630B00}"/>
            </a:ext>
          </a:extLst>
        </xdr:cNvPr>
        <xdr:cNvSpPr>
          <a:spLocks noChangeShapeType="1"/>
        </xdr:cNvSpPr>
      </xdr:nvSpPr>
      <xdr:spPr bwMode="auto">
        <a:xfrm>
          <a:off x="2062162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18</xdr:col>
      <xdr:colOff>200638</xdr:colOff>
      <xdr:row>12</xdr:row>
      <xdr:rowOff>95251</xdr:rowOff>
    </xdr:from>
    <xdr:to>
      <xdr:col>20</xdr:col>
      <xdr:colOff>769955</xdr:colOff>
      <xdr:row>21</xdr:row>
      <xdr:rowOff>95251</xdr:rowOff>
    </xdr:to>
    <xdr:pic>
      <xdr:nvPicPr>
        <xdr:cNvPr id="746453" name="Imagen 39">
          <a:extLst>
            <a:ext uri="{FF2B5EF4-FFF2-40B4-BE49-F238E27FC236}">
              <a16:creationId xmlns:a16="http://schemas.microsoft.com/office/drawing/2014/main" id="{00000000-0008-0000-1F00-0000D5630B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bwMode="auto">
        <a:xfrm>
          <a:off x="17917138" y="2381251"/>
          <a:ext cx="2537817" cy="142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201784</xdr:colOff>
      <xdr:row>12</xdr:row>
      <xdr:rowOff>111124</xdr:rowOff>
    </xdr:from>
    <xdr:to>
      <xdr:col>23</xdr:col>
      <xdr:colOff>630110</xdr:colOff>
      <xdr:row>21</xdr:row>
      <xdr:rowOff>31749</xdr:rowOff>
    </xdr:to>
    <xdr:pic>
      <xdr:nvPicPr>
        <xdr:cNvPr id="746454" name="Imagen 40">
          <a:extLst>
            <a:ext uri="{FF2B5EF4-FFF2-40B4-BE49-F238E27FC236}">
              <a16:creationId xmlns:a16="http://schemas.microsoft.com/office/drawing/2014/main" id="{00000000-0008-0000-1F00-0000D6630B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bwMode="auto">
        <a:xfrm>
          <a:off x="20871034" y="2397124"/>
          <a:ext cx="2396826" cy="1349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321993</xdr:colOff>
      <xdr:row>24</xdr:row>
      <xdr:rowOff>95250</xdr:rowOff>
    </xdr:from>
    <xdr:to>
      <xdr:col>20</xdr:col>
      <xdr:colOff>609327</xdr:colOff>
      <xdr:row>32</xdr:row>
      <xdr:rowOff>95250</xdr:rowOff>
    </xdr:to>
    <xdr:pic>
      <xdr:nvPicPr>
        <xdr:cNvPr id="746455" name="Imagen 41">
          <a:extLst>
            <a:ext uri="{FF2B5EF4-FFF2-40B4-BE49-F238E27FC236}">
              <a16:creationId xmlns:a16="http://schemas.microsoft.com/office/drawing/2014/main" id="{00000000-0008-0000-1F00-0000D7630B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bwMode="auto">
        <a:xfrm>
          <a:off x="18038493" y="4318000"/>
          <a:ext cx="2255834" cy="127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507999</xdr:colOff>
      <xdr:row>24</xdr:row>
      <xdr:rowOff>88504</xdr:rowOff>
    </xdr:from>
    <xdr:to>
      <xdr:col>23</xdr:col>
      <xdr:colOff>241826</xdr:colOff>
      <xdr:row>32</xdr:row>
      <xdr:rowOff>95250</xdr:rowOff>
    </xdr:to>
    <xdr:pic>
      <xdr:nvPicPr>
        <xdr:cNvPr id="746456" name="Imagen 42">
          <a:extLst>
            <a:ext uri="{FF2B5EF4-FFF2-40B4-BE49-F238E27FC236}">
              <a16:creationId xmlns:a16="http://schemas.microsoft.com/office/drawing/2014/main" id="{00000000-0008-0000-1F00-0000D8630B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bwMode="auto">
        <a:xfrm>
          <a:off x="21177249" y="4311254"/>
          <a:ext cx="1702327" cy="1276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19050</xdr:colOff>
      <xdr:row>11</xdr:row>
      <xdr:rowOff>0</xdr:rowOff>
    </xdr:from>
    <xdr:to>
      <xdr:col>29</xdr:col>
      <xdr:colOff>200025</xdr:colOff>
      <xdr:row>11</xdr:row>
      <xdr:rowOff>0</xdr:rowOff>
    </xdr:to>
    <xdr:sp macro="" textlink="">
      <xdr:nvSpPr>
        <xdr:cNvPr id="746457" name="Line 2">
          <a:extLst>
            <a:ext uri="{FF2B5EF4-FFF2-40B4-BE49-F238E27FC236}">
              <a16:creationId xmlns:a16="http://schemas.microsoft.com/office/drawing/2014/main" id="{00000000-0008-0000-1F00-0000D9630B00}"/>
            </a:ext>
          </a:extLst>
        </xdr:cNvPr>
        <xdr:cNvSpPr>
          <a:spLocks noChangeShapeType="1"/>
        </xdr:cNvSpPr>
      </xdr:nvSpPr>
      <xdr:spPr bwMode="auto">
        <a:xfrm>
          <a:off x="2650807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961628</xdr:colOff>
      <xdr:row>12</xdr:row>
      <xdr:rowOff>63500</xdr:rowOff>
    </xdr:from>
    <xdr:to>
      <xdr:col>26</xdr:col>
      <xdr:colOff>88502</xdr:colOff>
      <xdr:row>21</xdr:row>
      <xdr:rowOff>95249</xdr:rowOff>
    </xdr:to>
    <xdr:pic>
      <xdr:nvPicPr>
        <xdr:cNvPr id="746458" name="Imagen 46">
          <a:extLst>
            <a:ext uri="{FF2B5EF4-FFF2-40B4-BE49-F238E27FC236}">
              <a16:creationId xmlns:a16="http://schemas.microsoft.com/office/drawing/2014/main" id="{00000000-0008-0000-1F00-0000DA630B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bwMode="auto">
        <a:xfrm>
          <a:off x="24583628" y="2349500"/>
          <a:ext cx="1095374" cy="1460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400049</xdr:colOff>
      <xdr:row>12</xdr:row>
      <xdr:rowOff>95250</xdr:rowOff>
    </xdr:from>
    <xdr:to>
      <xdr:col>29</xdr:col>
      <xdr:colOff>336549</xdr:colOff>
      <xdr:row>21</xdr:row>
      <xdr:rowOff>95250</xdr:rowOff>
    </xdr:to>
    <xdr:pic>
      <xdr:nvPicPr>
        <xdr:cNvPr id="746459" name="Imagen 47">
          <a:extLst>
            <a:ext uri="{FF2B5EF4-FFF2-40B4-BE49-F238E27FC236}">
              <a16:creationId xmlns:a16="http://schemas.microsoft.com/office/drawing/2014/main" id="{00000000-0008-0000-1F00-0000DB630B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bwMode="auto">
        <a:xfrm>
          <a:off x="26974799" y="2381250"/>
          <a:ext cx="1905000" cy="142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550861</xdr:colOff>
      <xdr:row>24</xdr:row>
      <xdr:rowOff>63500</xdr:rowOff>
    </xdr:from>
    <xdr:to>
      <xdr:col>26</xdr:col>
      <xdr:colOff>360362</xdr:colOff>
      <xdr:row>32</xdr:row>
      <xdr:rowOff>127000</xdr:rowOff>
    </xdr:to>
    <xdr:pic>
      <xdr:nvPicPr>
        <xdr:cNvPr id="746460" name="Imagen 48">
          <a:extLst>
            <a:ext uri="{FF2B5EF4-FFF2-40B4-BE49-F238E27FC236}">
              <a16:creationId xmlns:a16="http://schemas.microsoft.com/office/drawing/2014/main" id="{00000000-0008-0000-1F00-0000DC630B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bwMode="auto">
        <a:xfrm>
          <a:off x="24172861" y="4286250"/>
          <a:ext cx="1778001"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504823</xdr:colOff>
      <xdr:row>24</xdr:row>
      <xdr:rowOff>73026</xdr:rowOff>
    </xdr:from>
    <xdr:to>
      <xdr:col>29</xdr:col>
      <xdr:colOff>301624</xdr:colOff>
      <xdr:row>32</xdr:row>
      <xdr:rowOff>127000</xdr:rowOff>
    </xdr:to>
    <xdr:pic>
      <xdr:nvPicPr>
        <xdr:cNvPr id="746461" name="Imagen 49">
          <a:extLst>
            <a:ext uri="{FF2B5EF4-FFF2-40B4-BE49-F238E27FC236}">
              <a16:creationId xmlns:a16="http://schemas.microsoft.com/office/drawing/2014/main" id="{00000000-0008-0000-1F00-0000DD630B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bwMode="auto">
        <a:xfrm>
          <a:off x="27079573" y="4295776"/>
          <a:ext cx="1765301" cy="1323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922337</xdr:colOff>
      <xdr:row>35</xdr:row>
      <xdr:rowOff>66675</xdr:rowOff>
    </xdr:from>
    <xdr:to>
      <xdr:col>25</xdr:col>
      <xdr:colOff>919162</xdr:colOff>
      <xdr:row>43</xdr:row>
      <xdr:rowOff>104775</xdr:rowOff>
    </xdr:to>
    <xdr:pic>
      <xdr:nvPicPr>
        <xdr:cNvPr id="746462" name="Imagen 50">
          <a:extLst>
            <a:ext uri="{FF2B5EF4-FFF2-40B4-BE49-F238E27FC236}">
              <a16:creationId xmlns:a16="http://schemas.microsoft.com/office/drawing/2014/main" id="{00000000-0008-0000-1F00-0000DE630B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bwMode="auto">
        <a:xfrm>
          <a:off x="24544337" y="6067425"/>
          <a:ext cx="981075" cy="130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424921</xdr:colOff>
      <xdr:row>35</xdr:row>
      <xdr:rowOff>57150</xdr:rowOff>
    </xdr:from>
    <xdr:to>
      <xdr:col>29</xdr:col>
      <xdr:colOff>213254</xdr:colOff>
      <xdr:row>43</xdr:row>
      <xdr:rowOff>104775</xdr:rowOff>
    </xdr:to>
    <xdr:pic>
      <xdr:nvPicPr>
        <xdr:cNvPr id="746463" name="Imagen 51">
          <a:extLst>
            <a:ext uri="{FF2B5EF4-FFF2-40B4-BE49-F238E27FC236}">
              <a16:creationId xmlns:a16="http://schemas.microsoft.com/office/drawing/2014/main" id="{00000000-0008-0000-1F00-0000DF630B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bwMode="auto">
        <a:xfrm>
          <a:off x="26999671" y="6057900"/>
          <a:ext cx="1756833" cy="131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33</xdr:col>
      <xdr:colOff>19050</xdr:colOff>
      <xdr:row>11</xdr:row>
      <xdr:rowOff>0</xdr:rowOff>
    </xdr:from>
    <xdr:to>
      <xdr:col>35</xdr:col>
      <xdr:colOff>200025</xdr:colOff>
      <xdr:row>11</xdr:row>
      <xdr:rowOff>0</xdr:rowOff>
    </xdr:to>
    <xdr:sp macro="" textlink="">
      <xdr:nvSpPr>
        <xdr:cNvPr id="746464" name="Line 2">
          <a:extLst>
            <a:ext uri="{FF2B5EF4-FFF2-40B4-BE49-F238E27FC236}">
              <a16:creationId xmlns:a16="http://schemas.microsoft.com/office/drawing/2014/main" id="{00000000-0008-0000-1F00-0000E0630B00}"/>
            </a:ext>
          </a:extLst>
        </xdr:cNvPr>
        <xdr:cNvSpPr>
          <a:spLocks noChangeShapeType="1"/>
        </xdr:cNvSpPr>
      </xdr:nvSpPr>
      <xdr:spPr bwMode="auto">
        <a:xfrm>
          <a:off x="3239452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30</xdr:col>
      <xdr:colOff>615950</xdr:colOff>
      <xdr:row>12</xdr:row>
      <xdr:rowOff>104775</xdr:rowOff>
    </xdr:from>
    <xdr:to>
      <xdr:col>32</xdr:col>
      <xdr:colOff>450850</xdr:colOff>
      <xdr:row>21</xdr:row>
      <xdr:rowOff>28575</xdr:rowOff>
    </xdr:to>
    <xdr:pic>
      <xdr:nvPicPr>
        <xdr:cNvPr id="746465" name="Imagen 53">
          <a:extLst>
            <a:ext uri="{FF2B5EF4-FFF2-40B4-BE49-F238E27FC236}">
              <a16:creationId xmlns:a16="http://schemas.microsoft.com/office/drawing/2014/main" id="{00000000-0008-0000-1F00-0000E1630B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bwMode="auto">
        <a:xfrm>
          <a:off x="30143450" y="2390775"/>
          <a:ext cx="180340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431270</xdr:colOff>
      <xdr:row>12</xdr:row>
      <xdr:rowOff>47626</xdr:rowOff>
    </xdr:from>
    <xdr:to>
      <xdr:col>35</xdr:col>
      <xdr:colOff>452437</xdr:colOff>
      <xdr:row>21</xdr:row>
      <xdr:rowOff>111126</xdr:rowOff>
    </xdr:to>
    <xdr:pic>
      <xdr:nvPicPr>
        <xdr:cNvPr id="746466" name="Imagen 54">
          <a:extLst>
            <a:ext uri="{FF2B5EF4-FFF2-40B4-BE49-F238E27FC236}">
              <a16:creationId xmlns:a16="http://schemas.microsoft.com/office/drawing/2014/main" id="{00000000-0008-0000-1F00-0000E2630B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bwMode="auto">
        <a:xfrm>
          <a:off x="32911520" y="2333626"/>
          <a:ext cx="1989667" cy="149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498474</xdr:colOff>
      <xdr:row>24</xdr:row>
      <xdr:rowOff>63501</xdr:rowOff>
    </xdr:from>
    <xdr:to>
      <xdr:col>35</xdr:col>
      <xdr:colOff>307974</xdr:colOff>
      <xdr:row>32</xdr:row>
      <xdr:rowOff>127001</xdr:rowOff>
    </xdr:to>
    <xdr:pic>
      <xdr:nvPicPr>
        <xdr:cNvPr id="746467" name="Imagen 56">
          <a:extLst>
            <a:ext uri="{FF2B5EF4-FFF2-40B4-BE49-F238E27FC236}">
              <a16:creationId xmlns:a16="http://schemas.microsoft.com/office/drawing/2014/main" id="{00000000-0008-0000-1F00-0000E3630B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bwMode="auto">
        <a:xfrm>
          <a:off x="32978724" y="4286251"/>
          <a:ext cx="1778000"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437092</xdr:colOff>
      <xdr:row>35</xdr:row>
      <xdr:rowOff>95250</xdr:rowOff>
    </xdr:from>
    <xdr:to>
      <xdr:col>35</xdr:col>
      <xdr:colOff>183092</xdr:colOff>
      <xdr:row>43</xdr:row>
      <xdr:rowOff>111125</xdr:rowOff>
    </xdr:to>
    <xdr:pic>
      <xdr:nvPicPr>
        <xdr:cNvPr id="746468" name="Imagen 58">
          <a:extLst>
            <a:ext uri="{FF2B5EF4-FFF2-40B4-BE49-F238E27FC236}">
              <a16:creationId xmlns:a16="http://schemas.microsoft.com/office/drawing/2014/main" id="{00000000-0008-0000-1F00-0000E4630B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bwMode="auto">
        <a:xfrm>
          <a:off x="32917342" y="6096000"/>
          <a:ext cx="171450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583671</xdr:colOff>
      <xdr:row>35</xdr:row>
      <xdr:rowOff>28575</xdr:rowOff>
    </xdr:from>
    <xdr:to>
      <xdr:col>20</xdr:col>
      <xdr:colOff>435504</xdr:colOff>
      <xdr:row>43</xdr:row>
      <xdr:rowOff>123825</xdr:rowOff>
    </xdr:to>
    <xdr:pic>
      <xdr:nvPicPr>
        <xdr:cNvPr id="746469" name="Imagen 29">
          <a:extLst>
            <a:ext uri="{FF2B5EF4-FFF2-40B4-BE49-F238E27FC236}">
              <a16:creationId xmlns:a16="http://schemas.microsoft.com/office/drawing/2014/main" id="{00000000-0008-0000-1F00-0000E5630B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bwMode="auto">
        <a:xfrm>
          <a:off x="18300171" y="6029325"/>
          <a:ext cx="1820333" cy="136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440796</xdr:colOff>
      <xdr:row>35</xdr:row>
      <xdr:rowOff>28575</xdr:rowOff>
    </xdr:from>
    <xdr:to>
      <xdr:col>23</xdr:col>
      <xdr:colOff>330729</xdr:colOff>
      <xdr:row>43</xdr:row>
      <xdr:rowOff>152400</xdr:rowOff>
    </xdr:to>
    <xdr:pic>
      <xdr:nvPicPr>
        <xdr:cNvPr id="746470" name="Imagen 30">
          <a:extLst>
            <a:ext uri="{FF2B5EF4-FFF2-40B4-BE49-F238E27FC236}">
              <a16:creationId xmlns:a16="http://schemas.microsoft.com/office/drawing/2014/main" id="{00000000-0008-0000-1F00-0000E6630B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bwMode="auto">
        <a:xfrm>
          <a:off x="21110046" y="6029325"/>
          <a:ext cx="1858433" cy="139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30</xdr:col>
      <xdr:colOff>365125</xdr:colOff>
      <xdr:row>24</xdr:row>
      <xdr:rowOff>14685</xdr:rowOff>
    </xdr:from>
    <xdr:to>
      <xdr:col>32</xdr:col>
      <xdr:colOff>239714</xdr:colOff>
      <xdr:row>32</xdr:row>
      <xdr:rowOff>127000</xdr:rowOff>
    </xdr:to>
    <xdr:pic>
      <xdr:nvPicPr>
        <xdr:cNvPr id="746471" name="Imagen 62">
          <a:extLst>
            <a:ext uri="{FF2B5EF4-FFF2-40B4-BE49-F238E27FC236}">
              <a16:creationId xmlns:a16="http://schemas.microsoft.com/office/drawing/2014/main" id="{00000000-0008-0000-1F00-0000E7630B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bwMode="auto">
        <a:xfrm>
          <a:off x="29892625" y="4237435"/>
          <a:ext cx="1843089" cy="1382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30</xdr:col>
      <xdr:colOff>558272</xdr:colOff>
      <xdr:row>35</xdr:row>
      <xdr:rowOff>81360</xdr:rowOff>
    </xdr:from>
    <xdr:to>
      <xdr:col>32</xdr:col>
      <xdr:colOff>301625</xdr:colOff>
      <xdr:row>43</xdr:row>
      <xdr:rowOff>95249</xdr:rowOff>
    </xdr:to>
    <xdr:pic>
      <xdr:nvPicPr>
        <xdr:cNvPr id="746472" name="Imagen 64">
          <a:extLst>
            <a:ext uri="{FF2B5EF4-FFF2-40B4-BE49-F238E27FC236}">
              <a16:creationId xmlns:a16="http://schemas.microsoft.com/office/drawing/2014/main" id="{00000000-0008-0000-1F00-0000E8630B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bwMode="auto">
        <a:xfrm>
          <a:off x="30085772" y="6082110"/>
          <a:ext cx="1711853" cy="1283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39</xdr:col>
      <xdr:colOff>19050</xdr:colOff>
      <xdr:row>11</xdr:row>
      <xdr:rowOff>0</xdr:rowOff>
    </xdr:from>
    <xdr:to>
      <xdr:col>41</xdr:col>
      <xdr:colOff>200025</xdr:colOff>
      <xdr:row>11</xdr:row>
      <xdr:rowOff>0</xdr:rowOff>
    </xdr:to>
    <xdr:sp macro="" textlink="">
      <xdr:nvSpPr>
        <xdr:cNvPr id="44" name="Line 2">
          <a:extLst>
            <a:ext uri="{FF2B5EF4-FFF2-40B4-BE49-F238E27FC236}">
              <a16:creationId xmlns:a16="http://schemas.microsoft.com/office/drawing/2014/main" id="{00000000-0008-0000-1F00-00002C000000}"/>
            </a:ext>
          </a:extLst>
        </xdr:cNvPr>
        <xdr:cNvSpPr>
          <a:spLocks noChangeShapeType="1"/>
        </xdr:cNvSpPr>
      </xdr:nvSpPr>
      <xdr:spPr bwMode="auto">
        <a:xfrm>
          <a:off x="324993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36</xdr:col>
      <xdr:colOff>615950</xdr:colOff>
      <xdr:row>12</xdr:row>
      <xdr:rowOff>104775</xdr:rowOff>
    </xdr:from>
    <xdr:ext cx="1803400" cy="1352550"/>
    <xdr:pic>
      <xdr:nvPicPr>
        <xdr:cNvPr id="45" name="Imagen 53">
          <a:extLst>
            <a:ext uri="{FF2B5EF4-FFF2-40B4-BE49-F238E27FC236}">
              <a16:creationId xmlns:a16="http://schemas.microsoft.com/office/drawing/2014/main" id="{00000000-0008-0000-1F00-00002D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bwMode="auto">
        <a:xfrm>
          <a:off x="36048950" y="2390775"/>
          <a:ext cx="180340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39</xdr:col>
      <xdr:colOff>866510</xdr:colOff>
      <xdr:row>12</xdr:row>
      <xdr:rowOff>47626</xdr:rowOff>
    </xdr:from>
    <xdr:ext cx="1119187" cy="1492250"/>
    <xdr:pic>
      <xdr:nvPicPr>
        <xdr:cNvPr id="46" name="Imagen 54">
          <a:extLst>
            <a:ext uri="{FF2B5EF4-FFF2-40B4-BE49-F238E27FC236}">
              <a16:creationId xmlns:a16="http://schemas.microsoft.com/office/drawing/2014/main" id="{00000000-0008-0000-1F00-00002E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bwMode="auto">
        <a:xfrm>
          <a:off x="39252260" y="2333626"/>
          <a:ext cx="1119187" cy="149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39</xdr:col>
      <xdr:colOff>498474</xdr:colOff>
      <xdr:row>24</xdr:row>
      <xdr:rowOff>63501</xdr:rowOff>
    </xdr:from>
    <xdr:ext cx="1778000" cy="1333500"/>
    <xdr:pic>
      <xdr:nvPicPr>
        <xdr:cNvPr id="47" name="Imagen 56">
          <a:extLst>
            <a:ext uri="{FF2B5EF4-FFF2-40B4-BE49-F238E27FC236}">
              <a16:creationId xmlns:a16="http://schemas.microsoft.com/office/drawing/2014/main" id="{00000000-0008-0000-1F00-00002F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bwMode="auto">
        <a:xfrm>
          <a:off x="38884224" y="4286251"/>
          <a:ext cx="1778000"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39</xdr:col>
      <xdr:colOff>812139</xdr:colOff>
      <xdr:row>35</xdr:row>
      <xdr:rowOff>95250</xdr:rowOff>
    </xdr:from>
    <xdr:ext cx="964406" cy="1285875"/>
    <xdr:pic>
      <xdr:nvPicPr>
        <xdr:cNvPr id="48" name="Imagen 58">
          <a:extLst>
            <a:ext uri="{FF2B5EF4-FFF2-40B4-BE49-F238E27FC236}">
              <a16:creationId xmlns:a16="http://schemas.microsoft.com/office/drawing/2014/main" id="{00000000-0008-0000-1F00-000030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bwMode="auto">
        <a:xfrm>
          <a:off x="39197889" y="6096000"/>
          <a:ext cx="964406"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36</xdr:col>
      <xdr:colOff>365126</xdr:colOff>
      <xdr:row>24</xdr:row>
      <xdr:rowOff>14685</xdr:rowOff>
    </xdr:from>
    <xdr:ext cx="1843086" cy="1382315"/>
    <xdr:pic>
      <xdr:nvPicPr>
        <xdr:cNvPr id="49" name="Imagen 62">
          <a:extLst>
            <a:ext uri="{FF2B5EF4-FFF2-40B4-BE49-F238E27FC236}">
              <a16:creationId xmlns:a16="http://schemas.microsoft.com/office/drawing/2014/main" id="{00000000-0008-0000-1F00-00003100000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bwMode="auto">
        <a:xfrm>
          <a:off x="35798126" y="4237435"/>
          <a:ext cx="1843086" cy="1382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36</xdr:col>
      <xdr:colOff>932740</xdr:colOff>
      <xdr:row>35</xdr:row>
      <xdr:rowOff>81360</xdr:rowOff>
    </xdr:from>
    <xdr:ext cx="962916" cy="1283889"/>
    <xdr:pic>
      <xdr:nvPicPr>
        <xdr:cNvPr id="50" name="Imagen 64">
          <a:extLst>
            <a:ext uri="{FF2B5EF4-FFF2-40B4-BE49-F238E27FC236}">
              <a16:creationId xmlns:a16="http://schemas.microsoft.com/office/drawing/2014/main" id="{00000000-0008-0000-1F00-000032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bwMode="auto">
        <a:xfrm>
          <a:off x="36365740" y="6082110"/>
          <a:ext cx="962916" cy="12838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45</xdr:col>
      <xdr:colOff>19050</xdr:colOff>
      <xdr:row>11</xdr:row>
      <xdr:rowOff>0</xdr:rowOff>
    </xdr:from>
    <xdr:to>
      <xdr:col>47</xdr:col>
      <xdr:colOff>200025</xdr:colOff>
      <xdr:row>11</xdr:row>
      <xdr:rowOff>0</xdr:rowOff>
    </xdr:to>
    <xdr:sp macro="" textlink="">
      <xdr:nvSpPr>
        <xdr:cNvPr id="58" name="Line 2">
          <a:extLst>
            <a:ext uri="{FF2B5EF4-FFF2-40B4-BE49-F238E27FC236}">
              <a16:creationId xmlns:a16="http://schemas.microsoft.com/office/drawing/2014/main" id="{00000000-0008-0000-1F00-00003A000000}"/>
            </a:ext>
          </a:extLst>
        </xdr:cNvPr>
        <xdr:cNvSpPr>
          <a:spLocks noChangeShapeType="1"/>
        </xdr:cNvSpPr>
      </xdr:nvSpPr>
      <xdr:spPr bwMode="auto">
        <a:xfrm>
          <a:off x="384048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43</xdr:col>
      <xdr:colOff>26194</xdr:colOff>
      <xdr:row>12</xdr:row>
      <xdr:rowOff>104775</xdr:rowOff>
    </xdr:from>
    <xdr:ext cx="1014412" cy="1352550"/>
    <xdr:pic>
      <xdr:nvPicPr>
        <xdr:cNvPr id="59" name="Imagen 53">
          <a:extLst>
            <a:ext uri="{FF2B5EF4-FFF2-40B4-BE49-F238E27FC236}">
              <a16:creationId xmlns:a16="http://schemas.microsoft.com/office/drawing/2014/main" id="{00000000-0008-0000-1F00-00003B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bwMode="auto">
        <a:xfrm>
          <a:off x="42348944" y="2390775"/>
          <a:ext cx="1014412"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45</xdr:col>
      <xdr:colOff>444500</xdr:colOff>
      <xdr:row>12</xdr:row>
      <xdr:rowOff>63501</xdr:rowOff>
    </xdr:from>
    <xdr:ext cx="1955271" cy="1466452"/>
    <xdr:pic>
      <xdr:nvPicPr>
        <xdr:cNvPr id="60" name="Imagen 54">
          <a:extLst>
            <a:ext uri="{FF2B5EF4-FFF2-40B4-BE49-F238E27FC236}">
              <a16:creationId xmlns:a16="http://schemas.microsoft.com/office/drawing/2014/main" id="{00000000-0008-0000-1F00-00003C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bwMode="auto">
        <a:xfrm>
          <a:off x="44735750" y="2349501"/>
          <a:ext cx="1955271" cy="14664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45</xdr:col>
      <xdr:colOff>498474</xdr:colOff>
      <xdr:row>24</xdr:row>
      <xdr:rowOff>63501</xdr:rowOff>
    </xdr:from>
    <xdr:ext cx="1778000" cy="1333500"/>
    <xdr:pic>
      <xdr:nvPicPr>
        <xdr:cNvPr id="61" name="Imagen 56">
          <a:extLst>
            <a:ext uri="{FF2B5EF4-FFF2-40B4-BE49-F238E27FC236}">
              <a16:creationId xmlns:a16="http://schemas.microsoft.com/office/drawing/2014/main" id="{00000000-0008-0000-1F00-00003D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bwMode="auto">
        <a:xfrm>
          <a:off x="44789724" y="4286251"/>
          <a:ext cx="1778000"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46</xdr:col>
      <xdr:colOff>38562</xdr:colOff>
      <xdr:row>35</xdr:row>
      <xdr:rowOff>31749</xdr:rowOff>
    </xdr:from>
    <xdr:ext cx="655946" cy="1349375"/>
    <xdr:pic>
      <xdr:nvPicPr>
        <xdr:cNvPr id="62" name="Imagen 58">
          <a:extLst>
            <a:ext uri="{FF2B5EF4-FFF2-40B4-BE49-F238E27FC236}">
              <a16:creationId xmlns:a16="http://schemas.microsoft.com/office/drawing/2014/main" id="{00000000-0008-0000-1F00-00003E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bwMode="auto">
        <a:xfrm>
          <a:off x="45314062" y="6032499"/>
          <a:ext cx="655946" cy="1349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42</xdr:col>
      <xdr:colOff>365126</xdr:colOff>
      <xdr:row>24</xdr:row>
      <xdr:rowOff>14685</xdr:rowOff>
    </xdr:from>
    <xdr:ext cx="1843086" cy="1382314"/>
    <xdr:pic>
      <xdr:nvPicPr>
        <xdr:cNvPr id="63" name="Imagen 62">
          <a:extLst>
            <a:ext uri="{FF2B5EF4-FFF2-40B4-BE49-F238E27FC236}">
              <a16:creationId xmlns:a16="http://schemas.microsoft.com/office/drawing/2014/main" id="{00000000-0008-0000-1F00-00003F000000}"/>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bwMode="auto">
        <a:xfrm>
          <a:off x="41703626" y="4237435"/>
          <a:ext cx="1843086" cy="13823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42</xdr:col>
      <xdr:colOff>272959</xdr:colOff>
      <xdr:row>35</xdr:row>
      <xdr:rowOff>79375</xdr:rowOff>
    </xdr:from>
    <xdr:ext cx="2286001" cy="1285875"/>
    <xdr:pic>
      <xdr:nvPicPr>
        <xdr:cNvPr id="64" name="Imagen 64">
          <a:extLst>
            <a:ext uri="{FF2B5EF4-FFF2-40B4-BE49-F238E27FC236}">
              <a16:creationId xmlns:a16="http://schemas.microsoft.com/office/drawing/2014/main" id="{00000000-0008-0000-1F00-000040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bwMode="auto">
        <a:xfrm>
          <a:off x="41611459" y="6080125"/>
          <a:ext cx="2286001"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51</xdr:col>
      <xdr:colOff>19050</xdr:colOff>
      <xdr:row>11</xdr:row>
      <xdr:rowOff>0</xdr:rowOff>
    </xdr:from>
    <xdr:to>
      <xdr:col>53</xdr:col>
      <xdr:colOff>200025</xdr:colOff>
      <xdr:row>11</xdr:row>
      <xdr:rowOff>0</xdr:rowOff>
    </xdr:to>
    <xdr:sp macro="" textlink="">
      <xdr:nvSpPr>
        <xdr:cNvPr id="65" name="Line 2">
          <a:extLst>
            <a:ext uri="{FF2B5EF4-FFF2-40B4-BE49-F238E27FC236}">
              <a16:creationId xmlns:a16="http://schemas.microsoft.com/office/drawing/2014/main" id="{00000000-0008-0000-1F00-000041000000}"/>
            </a:ext>
          </a:extLst>
        </xdr:cNvPr>
        <xdr:cNvSpPr>
          <a:spLocks noChangeShapeType="1"/>
        </xdr:cNvSpPr>
      </xdr:nvSpPr>
      <xdr:spPr bwMode="auto">
        <a:xfrm>
          <a:off x="443103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48</xdr:col>
      <xdr:colOff>484715</xdr:colOff>
      <xdr:row>12</xdr:row>
      <xdr:rowOff>63501</xdr:rowOff>
    </xdr:from>
    <xdr:ext cx="1989667" cy="1492250"/>
    <xdr:pic>
      <xdr:nvPicPr>
        <xdr:cNvPr id="66" name="Imagen 53">
          <a:extLst>
            <a:ext uri="{FF2B5EF4-FFF2-40B4-BE49-F238E27FC236}">
              <a16:creationId xmlns:a16="http://schemas.microsoft.com/office/drawing/2014/main" id="{00000000-0008-0000-1F00-000042000000}"/>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bwMode="auto">
        <a:xfrm>
          <a:off x="47728715" y="2349501"/>
          <a:ext cx="1989667" cy="149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51</xdr:col>
      <xdr:colOff>444501</xdr:colOff>
      <xdr:row>12</xdr:row>
      <xdr:rowOff>63501</xdr:rowOff>
    </xdr:from>
    <xdr:ext cx="1955269" cy="1466452"/>
    <xdr:pic>
      <xdr:nvPicPr>
        <xdr:cNvPr id="67" name="Imagen 54">
          <a:extLst>
            <a:ext uri="{FF2B5EF4-FFF2-40B4-BE49-F238E27FC236}">
              <a16:creationId xmlns:a16="http://schemas.microsoft.com/office/drawing/2014/main" id="{00000000-0008-0000-1F00-000043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bwMode="auto">
        <a:xfrm>
          <a:off x="50641251" y="2349501"/>
          <a:ext cx="1955269" cy="14664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51</xdr:col>
      <xdr:colOff>498474</xdr:colOff>
      <xdr:row>24</xdr:row>
      <xdr:rowOff>63501</xdr:rowOff>
    </xdr:from>
    <xdr:ext cx="1778000" cy="1333500"/>
    <xdr:pic>
      <xdr:nvPicPr>
        <xdr:cNvPr id="68" name="Imagen 56">
          <a:extLst>
            <a:ext uri="{FF2B5EF4-FFF2-40B4-BE49-F238E27FC236}">
              <a16:creationId xmlns:a16="http://schemas.microsoft.com/office/drawing/2014/main" id="{00000000-0008-0000-1F00-000044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bwMode="auto">
        <a:xfrm>
          <a:off x="50695224" y="4286251"/>
          <a:ext cx="1778000"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51</xdr:col>
      <xdr:colOff>844770</xdr:colOff>
      <xdr:row>35</xdr:row>
      <xdr:rowOff>31749</xdr:rowOff>
    </xdr:from>
    <xdr:ext cx="1012031" cy="1349375"/>
    <xdr:pic>
      <xdr:nvPicPr>
        <xdr:cNvPr id="69" name="Imagen 58">
          <a:extLst>
            <a:ext uri="{FF2B5EF4-FFF2-40B4-BE49-F238E27FC236}">
              <a16:creationId xmlns:a16="http://schemas.microsoft.com/office/drawing/2014/main" id="{00000000-0008-0000-1F00-000045000000}"/>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bwMode="auto">
        <a:xfrm>
          <a:off x="51041520" y="6032499"/>
          <a:ext cx="1012031" cy="1349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48</xdr:col>
      <xdr:colOff>365126</xdr:colOff>
      <xdr:row>24</xdr:row>
      <xdr:rowOff>14685</xdr:rowOff>
    </xdr:from>
    <xdr:ext cx="1843085" cy="1382314"/>
    <xdr:pic>
      <xdr:nvPicPr>
        <xdr:cNvPr id="70" name="Imagen 69">
          <a:extLst>
            <a:ext uri="{FF2B5EF4-FFF2-40B4-BE49-F238E27FC236}">
              <a16:creationId xmlns:a16="http://schemas.microsoft.com/office/drawing/2014/main" id="{00000000-0008-0000-1F00-000046000000}"/>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bwMode="auto">
        <a:xfrm>
          <a:off x="47609126" y="4237435"/>
          <a:ext cx="1843085" cy="13823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48</xdr:col>
      <xdr:colOff>273442</xdr:colOff>
      <xdr:row>35</xdr:row>
      <xdr:rowOff>79375</xdr:rowOff>
    </xdr:from>
    <xdr:ext cx="2285034" cy="1285875"/>
    <xdr:pic>
      <xdr:nvPicPr>
        <xdr:cNvPr id="71" name="Imagen 64">
          <a:extLst>
            <a:ext uri="{FF2B5EF4-FFF2-40B4-BE49-F238E27FC236}">
              <a16:creationId xmlns:a16="http://schemas.microsoft.com/office/drawing/2014/main" id="{00000000-0008-0000-1F00-000047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bwMode="auto">
        <a:xfrm>
          <a:off x="47517442" y="6080125"/>
          <a:ext cx="2285034"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57</xdr:col>
      <xdr:colOff>19050</xdr:colOff>
      <xdr:row>11</xdr:row>
      <xdr:rowOff>0</xdr:rowOff>
    </xdr:from>
    <xdr:to>
      <xdr:col>59</xdr:col>
      <xdr:colOff>200025</xdr:colOff>
      <xdr:row>11</xdr:row>
      <xdr:rowOff>0</xdr:rowOff>
    </xdr:to>
    <xdr:sp macro="" textlink="">
      <xdr:nvSpPr>
        <xdr:cNvPr id="72" name="Line 2">
          <a:extLst>
            <a:ext uri="{FF2B5EF4-FFF2-40B4-BE49-F238E27FC236}">
              <a16:creationId xmlns:a16="http://schemas.microsoft.com/office/drawing/2014/main" id="{00000000-0008-0000-1F00-000048000000}"/>
            </a:ext>
          </a:extLst>
        </xdr:cNvPr>
        <xdr:cNvSpPr>
          <a:spLocks noChangeShapeType="1"/>
        </xdr:cNvSpPr>
      </xdr:nvSpPr>
      <xdr:spPr bwMode="auto">
        <a:xfrm>
          <a:off x="502158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54</xdr:col>
      <xdr:colOff>919955</xdr:colOff>
      <xdr:row>12</xdr:row>
      <xdr:rowOff>63501</xdr:rowOff>
    </xdr:from>
    <xdr:ext cx="1119187" cy="1492250"/>
    <xdr:pic>
      <xdr:nvPicPr>
        <xdr:cNvPr id="73" name="Imagen 53">
          <a:extLst>
            <a:ext uri="{FF2B5EF4-FFF2-40B4-BE49-F238E27FC236}">
              <a16:creationId xmlns:a16="http://schemas.microsoft.com/office/drawing/2014/main" id="{00000000-0008-0000-1F00-000049000000}"/>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bwMode="auto">
        <a:xfrm>
          <a:off x="54069455" y="2349501"/>
          <a:ext cx="1119187" cy="149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57</xdr:col>
      <xdr:colOff>174625</xdr:colOff>
      <xdr:row>12</xdr:row>
      <xdr:rowOff>47625</xdr:rowOff>
    </xdr:from>
    <xdr:ext cx="2578685" cy="1451122"/>
    <xdr:pic>
      <xdr:nvPicPr>
        <xdr:cNvPr id="74" name="Imagen 54">
          <a:extLst>
            <a:ext uri="{FF2B5EF4-FFF2-40B4-BE49-F238E27FC236}">
              <a16:creationId xmlns:a16="http://schemas.microsoft.com/office/drawing/2014/main" id="{00000000-0008-0000-1F00-00004A000000}"/>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bwMode="auto">
        <a:xfrm>
          <a:off x="56276875" y="2333625"/>
          <a:ext cx="2578685" cy="14511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58</xdr:col>
      <xdr:colOff>79109</xdr:colOff>
      <xdr:row>24</xdr:row>
      <xdr:rowOff>63501</xdr:rowOff>
    </xdr:from>
    <xdr:ext cx="648229" cy="1333500"/>
    <xdr:pic>
      <xdr:nvPicPr>
        <xdr:cNvPr id="75" name="Imagen 56">
          <a:extLst>
            <a:ext uri="{FF2B5EF4-FFF2-40B4-BE49-F238E27FC236}">
              <a16:creationId xmlns:a16="http://schemas.microsoft.com/office/drawing/2014/main" id="{00000000-0008-0000-1F00-00004B000000}"/>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bwMode="auto">
        <a:xfrm>
          <a:off x="57165609" y="4286251"/>
          <a:ext cx="648229"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54</xdr:col>
      <xdr:colOff>950689</xdr:colOff>
      <xdr:row>24</xdr:row>
      <xdr:rowOff>14685</xdr:rowOff>
    </xdr:from>
    <xdr:ext cx="671958" cy="1382314"/>
    <xdr:pic>
      <xdr:nvPicPr>
        <xdr:cNvPr id="77" name="Imagen 76">
          <a:extLst>
            <a:ext uri="{FF2B5EF4-FFF2-40B4-BE49-F238E27FC236}">
              <a16:creationId xmlns:a16="http://schemas.microsoft.com/office/drawing/2014/main" id="{00000000-0008-0000-1F00-00004D000000}"/>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bwMode="auto">
        <a:xfrm>
          <a:off x="54100189" y="4237435"/>
          <a:ext cx="671958" cy="13823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8.xml><?xml version="1.0" encoding="utf-8"?>
<xdr:wsDr xmlns:xdr="http://schemas.openxmlformats.org/drawingml/2006/spreadsheetDrawing" xmlns:a="http://schemas.openxmlformats.org/drawingml/2006/main">
  <xdr:twoCellAnchor>
    <xdr:from>
      <xdr:col>3</xdr:col>
      <xdr:colOff>76200</xdr:colOff>
      <xdr:row>10</xdr:row>
      <xdr:rowOff>152400</xdr:rowOff>
    </xdr:from>
    <xdr:to>
      <xdr:col>5</xdr:col>
      <xdr:colOff>285750</xdr:colOff>
      <xdr:row>10</xdr:row>
      <xdr:rowOff>152400</xdr:rowOff>
    </xdr:to>
    <xdr:sp macro="" textlink="">
      <xdr:nvSpPr>
        <xdr:cNvPr id="695482" name="Line 1">
          <a:extLst>
            <a:ext uri="{FF2B5EF4-FFF2-40B4-BE49-F238E27FC236}">
              <a16:creationId xmlns:a16="http://schemas.microsoft.com/office/drawing/2014/main" id="{00000000-0008-0000-2000-0000BA9C0A00}"/>
            </a:ext>
          </a:extLst>
        </xdr:cNvPr>
        <xdr:cNvSpPr>
          <a:spLocks noChangeShapeType="1"/>
        </xdr:cNvSpPr>
      </xdr:nvSpPr>
      <xdr:spPr bwMode="auto">
        <a:xfrm>
          <a:off x="3019425" y="2124075"/>
          <a:ext cx="2171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85725</xdr:colOff>
      <xdr:row>13</xdr:row>
      <xdr:rowOff>76200</xdr:rowOff>
    </xdr:from>
    <xdr:to>
      <xdr:col>2</xdr:col>
      <xdr:colOff>142875</xdr:colOff>
      <xdr:row>40</xdr:row>
      <xdr:rowOff>66675</xdr:rowOff>
    </xdr:to>
    <xdr:pic>
      <xdr:nvPicPr>
        <xdr:cNvPr id="695483" name="Imagen 2">
          <a:extLst>
            <a:ext uri="{FF2B5EF4-FFF2-40B4-BE49-F238E27FC236}">
              <a16:creationId xmlns:a16="http://schemas.microsoft.com/office/drawing/2014/main" id="{00000000-0008-0000-2000-0000BB9C0A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543175"/>
          <a:ext cx="2019300" cy="436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171450</xdr:colOff>
      <xdr:row>13</xdr:row>
      <xdr:rowOff>85725</xdr:rowOff>
    </xdr:from>
    <xdr:to>
      <xdr:col>8</xdr:col>
      <xdr:colOff>323850</xdr:colOff>
      <xdr:row>41</xdr:row>
      <xdr:rowOff>114300</xdr:rowOff>
    </xdr:to>
    <xdr:pic>
      <xdr:nvPicPr>
        <xdr:cNvPr id="695484" name="Imagen 3">
          <a:extLst>
            <a:ext uri="{FF2B5EF4-FFF2-40B4-BE49-F238E27FC236}">
              <a16:creationId xmlns:a16="http://schemas.microsoft.com/office/drawing/2014/main" id="{00000000-0008-0000-2000-0000BC9C0A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57900" y="2552700"/>
          <a:ext cx="2114550" cy="456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76200</xdr:colOff>
      <xdr:row>10</xdr:row>
      <xdr:rowOff>152400</xdr:rowOff>
    </xdr:from>
    <xdr:to>
      <xdr:col>11</xdr:col>
      <xdr:colOff>285750</xdr:colOff>
      <xdr:row>10</xdr:row>
      <xdr:rowOff>152400</xdr:rowOff>
    </xdr:to>
    <xdr:sp macro="" textlink="">
      <xdr:nvSpPr>
        <xdr:cNvPr id="695485" name="Line 1">
          <a:extLst>
            <a:ext uri="{FF2B5EF4-FFF2-40B4-BE49-F238E27FC236}">
              <a16:creationId xmlns:a16="http://schemas.microsoft.com/office/drawing/2014/main" id="{00000000-0008-0000-2000-0000BD9C0A00}"/>
            </a:ext>
          </a:extLst>
        </xdr:cNvPr>
        <xdr:cNvSpPr>
          <a:spLocks noChangeShapeType="1"/>
        </xdr:cNvSpPr>
      </xdr:nvSpPr>
      <xdr:spPr bwMode="auto">
        <a:xfrm>
          <a:off x="8905875" y="2124075"/>
          <a:ext cx="2171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12</xdr:col>
      <xdr:colOff>171450</xdr:colOff>
      <xdr:row>13</xdr:row>
      <xdr:rowOff>85725</xdr:rowOff>
    </xdr:from>
    <xdr:to>
      <xdr:col>14</xdr:col>
      <xdr:colOff>323850</xdr:colOff>
      <xdr:row>41</xdr:row>
      <xdr:rowOff>114300</xdr:rowOff>
    </xdr:to>
    <xdr:pic>
      <xdr:nvPicPr>
        <xdr:cNvPr id="695486" name="Imagen 3">
          <a:extLst>
            <a:ext uri="{FF2B5EF4-FFF2-40B4-BE49-F238E27FC236}">
              <a16:creationId xmlns:a16="http://schemas.microsoft.com/office/drawing/2014/main" id="{00000000-0008-0000-2000-0000BE9C0A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944350" y="2552700"/>
          <a:ext cx="2114550" cy="456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76200</xdr:colOff>
      <xdr:row>10</xdr:row>
      <xdr:rowOff>152400</xdr:rowOff>
    </xdr:from>
    <xdr:to>
      <xdr:col>17</xdr:col>
      <xdr:colOff>285750</xdr:colOff>
      <xdr:row>10</xdr:row>
      <xdr:rowOff>152400</xdr:rowOff>
    </xdr:to>
    <xdr:sp macro="" textlink="">
      <xdr:nvSpPr>
        <xdr:cNvPr id="695487" name="Line 1">
          <a:extLst>
            <a:ext uri="{FF2B5EF4-FFF2-40B4-BE49-F238E27FC236}">
              <a16:creationId xmlns:a16="http://schemas.microsoft.com/office/drawing/2014/main" id="{00000000-0008-0000-2000-0000BF9C0A00}"/>
            </a:ext>
          </a:extLst>
        </xdr:cNvPr>
        <xdr:cNvSpPr>
          <a:spLocks noChangeShapeType="1"/>
        </xdr:cNvSpPr>
      </xdr:nvSpPr>
      <xdr:spPr bwMode="auto">
        <a:xfrm>
          <a:off x="14792325" y="2124075"/>
          <a:ext cx="2171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323850</xdr:colOff>
      <xdr:row>10</xdr:row>
      <xdr:rowOff>0</xdr:rowOff>
    </xdr:from>
    <xdr:to>
      <xdr:col>5</xdr:col>
      <xdr:colOff>657225</xdr:colOff>
      <xdr:row>10</xdr:row>
      <xdr:rowOff>0</xdr:rowOff>
    </xdr:to>
    <xdr:sp macro="" textlink="">
      <xdr:nvSpPr>
        <xdr:cNvPr id="14020" name="Line 2">
          <a:extLst>
            <a:ext uri="{FF2B5EF4-FFF2-40B4-BE49-F238E27FC236}">
              <a16:creationId xmlns:a16="http://schemas.microsoft.com/office/drawing/2014/main" id="{00000000-0008-0000-2100-0000C4360000}"/>
            </a:ext>
          </a:extLst>
        </xdr:cNvPr>
        <xdr:cNvSpPr>
          <a:spLocks noChangeShapeType="1"/>
        </xdr:cNvSpPr>
      </xdr:nvSpPr>
      <xdr:spPr bwMode="auto">
        <a:xfrm>
          <a:off x="2943225" y="2047875"/>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13313" name="Imagen 1" hidden="1">
              <a:extLst>
                <a:ext uri="{63B3BB69-23CF-44E3-9099-C40C66FF867C}">
                  <a14:compatExt spid="_x0000_s13313"/>
                </a:ext>
                <a:ext uri="{FF2B5EF4-FFF2-40B4-BE49-F238E27FC236}">
                  <a16:creationId xmlns:a16="http://schemas.microsoft.com/office/drawing/2014/main" id="{00000000-0008-0000-21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323850</xdr:colOff>
      <xdr:row>10</xdr:row>
      <xdr:rowOff>0</xdr:rowOff>
    </xdr:from>
    <xdr:to>
      <xdr:col>12</xdr:col>
      <xdr:colOff>657225</xdr:colOff>
      <xdr:row>10</xdr:row>
      <xdr:rowOff>0</xdr:rowOff>
    </xdr:to>
    <xdr:sp macro="" textlink="">
      <xdr:nvSpPr>
        <xdr:cNvPr id="14021" name="Line 2">
          <a:extLst>
            <a:ext uri="{FF2B5EF4-FFF2-40B4-BE49-F238E27FC236}">
              <a16:creationId xmlns:a16="http://schemas.microsoft.com/office/drawing/2014/main" id="{00000000-0008-0000-2100-0000C5360000}"/>
            </a:ext>
          </a:extLst>
        </xdr:cNvPr>
        <xdr:cNvSpPr>
          <a:spLocks noChangeShapeType="1"/>
        </xdr:cNvSpPr>
      </xdr:nvSpPr>
      <xdr:spPr bwMode="auto">
        <a:xfrm>
          <a:off x="9563100" y="2047875"/>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7</xdr:col>
          <xdr:colOff>0</xdr:colOff>
          <xdr:row>0</xdr:row>
          <xdr:rowOff>0</xdr:rowOff>
        </xdr:from>
        <xdr:to>
          <xdr:col>9</xdr:col>
          <xdr:colOff>38100</xdr:colOff>
          <xdr:row>3</xdr:row>
          <xdr:rowOff>114300</xdr:rowOff>
        </xdr:to>
        <xdr:sp macro="" textlink="">
          <xdr:nvSpPr>
            <xdr:cNvPr id="13685" name="Imagen 1" hidden="1">
              <a:extLst>
                <a:ext uri="{63B3BB69-23CF-44E3-9099-C40C66FF867C}">
                  <a14:compatExt spid="_x0000_s13685"/>
                </a:ext>
                <a:ext uri="{FF2B5EF4-FFF2-40B4-BE49-F238E27FC236}">
                  <a16:creationId xmlns:a16="http://schemas.microsoft.com/office/drawing/2014/main" id="{00000000-0008-0000-2100-00007535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4</xdr:col>
      <xdr:colOff>495300</xdr:colOff>
      <xdr:row>10</xdr:row>
      <xdr:rowOff>9525</xdr:rowOff>
    </xdr:from>
    <xdr:to>
      <xdr:col>5</xdr:col>
      <xdr:colOff>828675</xdr:colOff>
      <xdr:row>10</xdr:row>
      <xdr:rowOff>9525</xdr:rowOff>
    </xdr:to>
    <xdr:sp macro="" textlink="">
      <xdr:nvSpPr>
        <xdr:cNvPr id="768145" name="Line 2">
          <a:extLst>
            <a:ext uri="{FF2B5EF4-FFF2-40B4-BE49-F238E27FC236}">
              <a16:creationId xmlns:a16="http://schemas.microsoft.com/office/drawing/2014/main" id="{00000000-0008-0000-2200-000091B80B00}"/>
            </a:ext>
          </a:extLst>
        </xdr:cNvPr>
        <xdr:cNvSpPr>
          <a:spLocks noChangeShapeType="1"/>
        </xdr:cNvSpPr>
      </xdr:nvSpPr>
      <xdr:spPr bwMode="auto">
        <a:xfrm>
          <a:off x="3114675" y="2057400"/>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47105" name="Imagen 1" hidden="1">
              <a:extLst>
                <a:ext uri="{63B3BB69-23CF-44E3-9099-C40C66FF867C}">
                  <a14:compatExt spid="_x0000_s47105"/>
                </a:ext>
                <a:ext uri="{FF2B5EF4-FFF2-40B4-BE49-F238E27FC236}">
                  <a16:creationId xmlns:a16="http://schemas.microsoft.com/office/drawing/2014/main" id="{00000000-0008-0000-2200-000001B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57150</xdr:colOff>
      <xdr:row>11</xdr:row>
      <xdr:rowOff>104774</xdr:rowOff>
    </xdr:from>
    <xdr:to>
      <xdr:col>6</xdr:col>
      <xdr:colOff>762000</xdr:colOff>
      <xdr:row>40</xdr:row>
      <xdr:rowOff>95250</xdr:rowOff>
    </xdr:to>
    <xdr:sp macro="" textlink="">
      <xdr:nvSpPr>
        <xdr:cNvPr id="2" name="CuadroTexto 1">
          <a:extLst>
            <a:ext uri="{FF2B5EF4-FFF2-40B4-BE49-F238E27FC236}">
              <a16:creationId xmlns:a16="http://schemas.microsoft.com/office/drawing/2014/main" id="{00000000-0008-0000-2200-000002000000}"/>
            </a:ext>
          </a:extLst>
        </xdr:cNvPr>
        <xdr:cNvSpPr txBox="1"/>
      </xdr:nvSpPr>
      <xdr:spPr>
        <a:xfrm>
          <a:off x="57150" y="2324099"/>
          <a:ext cx="6562725" cy="52006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CAPACITACIÓN A MICROEMPRESAS A CARGO</a:t>
          </a:r>
          <a:r>
            <a:rPr lang="en-US" sz="1100" baseline="0"/>
            <a:t> DEL MANTENIMIENTO RUTINARIO, VÍA LA UNIÓN-SONSÓN, TRAMO 5601, TERRITORIAL ANTIOQUIA. </a:t>
          </a:r>
        </a:p>
        <a:p>
          <a:endParaRPr lang="en-US" sz="1100" baseline="0"/>
        </a:p>
        <a:p>
          <a:r>
            <a:rPr lang="es-CO" sz="1100" b="1">
              <a:solidFill>
                <a:schemeClr val="dk1"/>
              </a:solidFill>
              <a:effectLst/>
              <a:latin typeface="+mn-lt"/>
              <a:ea typeface="+mn-ea"/>
              <a:cs typeface="+mn-cs"/>
            </a:rPr>
            <a:t>FECHA: 24-07-2020</a:t>
          </a:r>
          <a:endParaRPr lang="es-CO" sz="1100">
            <a:solidFill>
              <a:schemeClr val="dk1"/>
            </a:solidFill>
            <a:effectLst/>
            <a:latin typeface="+mn-lt"/>
            <a:ea typeface="+mn-ea"/>
            <a:cs typeface="+mn-cs"/>
          </a:endParaRPr>
        </a:p>
        <a:p>
          <a:r>
            <a:rPr lang="es-CO" sz="1100" b="1">
              <a:solidFill>
                <a:schemeClr val="dk1"/>
              </a:solidFill>
              <a:effectLst/>
              <a:latin typeface="+mn-lt"/>
              <a:ea typeface="+mn-ea"/>
              <a:cs typeface="+mn-cs"/>
            </a:rPr>
            <a:t>TEMA: </a:t>
          </a:r>
          <a:r>
            <a:rPr lang="es-ES" sz="1100" b="1" i="1">
              <a:solidFill>
                <a:schemeClr val="dk1"/>
              </a:solidFill>
              <a:effectLst/>
              <a:latin typeface="+mn-lt"/>
              <a:ea typeface="+mn-ea"/>
              <a:cs typeface="+mn-cs"/>
            </a:rPr>
            <a:t>“DISTANCIAMIENTO SOCIAL”</a:t>
          </a:r>
        </a:p>
        <a:p>
          <a:r>
            <a:rPr lang="es-CO" sz="1100">
              <a:solidFill>
                <a:schemeClr val="dk1"/>
              </a:solidFill>
              <a:effectLst/>
              <a:latin typeface="+mn-lt"/>
              <a:ea typeface="+mn-ea"/>
              <a:cs typeface="+mn-cs"/>
            </a:rPr>
            <a:t> </a:t>
          </a:r>
        </a:p>
        <a:p>
          <a:r>
            <a:rPr lang="es-CO" sz="1100">
              <a:solidFill>
                <a:schemeClr val="dk1"/>
              </a:solidFill>
              <a:effectLst/>
              <a:latin typeface="+mn-lt"/>
              <a:ea typeface="+mn-ea"/>
              <a:cs typeface="+mn-cs"/>
            </a:rPr>
            <a:t>EL DÍA VEINTICUATRO (24) DE JULIO DE 2020 A LAS 08:00 AM SE DIO INICIO A LA REUNIÓN EN LA QUE ESTUVIERON PRESENTES EL INGENIERO CARLOS MARIO MORENO Y LOS INTEGRANTES DE VÍAS DE ORIENTE S.A.S CON EL FIN DE TOCAR EL TEMA DE DISTANCIAMIENTO SOCIAL EN EL MARCO DE LA EMERGENCIA SANITARIA POR COVID-19, EN ELLA SE COMPARTIÓ REFRIGERIO Y SE HIZO UNA PRESENTACIÓN EN VIDEOBEAM DONDE SE EXPONE A LA MICROEMPRESA EN QUÉ CONSISTE EL DISTANCIAMIENTO SOCIAL  DONDE SE EXPLICA QUE El DISTANCIAMIENTO FÍSICO, PERSONAL</a:t>
          </a:r>
        </a:p>
        <a:p>
          <a:r>
            <a:rPr lang="es-CO" sz="1100">
              <a:solidFill>
                <a:schemeClr val="dk1"/>
              </a:solidFill>
              <a:effectLst/>
              <a:latin typeface="+mn-lt"/>
              <a:ea typeface="+mn-ea"/>
              <a:cs typeface="+mn-cs"/>
            </a:rPr>
            <a:t>O SOCIAL, ES UN CONJUNTO DE MEDIDAS NO FARMACÉUTICAS DE CONTROL DE LAS INFECCIONES, CON EL OBJETIVO DE DETENER O DESACELERAR LA PROPAGACIÓN DE UNA ENFERMEDAD CONTAGIOSA, EN ESTE CASO EL COVID-19. TAMBIÉN ES LA PRÁCTICA DE MANTENER UN ESPACIO ENTRE LAS DEMÁS PERSONAS Y TÚ FUERA DE CASA. TAMBIEN SE ACLARA LAS FORMAS EN LAS QUE EL VIRUS SE PUEDE PROPAGAR: • EL VIRUS SE PROPAGA FÁCILMENTE DE PERSONA A PERSONA. SEGÚN LO QUE SE CONOCE</a:t>
          </a:r>
        </a:p>
        <a:p>
          <a:r>
            <a:rPr lang="es-CO" sz="1100">
              <a:solidFill>
                <a:schemeClr val="dk1"/>
              </a:solidFill>
              <a:effectLst/>
              <a:latin typeface="+mn-lt"/>
              <a:ea typeface="+mn-ea"/>
              <a:cs typeface="+mn-cs"/>
            </a:rPr>
            <a:t>ACTUALMENTE, EXISTEN VARIAS MANERAS EN LAS QUE EL VIRUS PUEDE PROPAGARSE:</a:t>
          </a:r>
        </a:p>
        <a:p>
          <a:r>
            <a:rPr lang="es-CO" sz="1100">
              <a:solidFill>
                <a:schemeClr val="dk1"/>
              </a:solidFill>
              <a:effectLst/>
              <a:latin typeface="+mn-lt"/>
              <a:ea typeface="+mn-ea"/>
              <a:cs typeface="+mn-cs"/>
            </a:rPr>
            <a:t>• CUANDO UNA PERSONA QUE TIENE EL VIRUS TOSE O ESTORNUDA, LAS GÓTICAS RESPIRATORIAS</a:t>
          </a:r>
        </a:p>
        <a:p>
          <a:r>
            <a:rPr lang="es-CO" sz="1100">
              <a:solidFill>
                <a:schemeClr val="dk1"/>
              </a:solidFill>
              <a:effectLst/>
              <a:latin typeface="+mn-lt"/>
              <a:ea typeface="+mn-ea"/>
              <a:cs typeface="+mn-cs"/>
            </a:rPr>
            <a:t>PUEDEN ATERRIZAR EN LA BOCA O LA NARIZ DE LAS PERSONAS QUE ESTÁN CERCA.</a:t>
          </a:r>
        </a:p>
        <a:p>
          <a:r>
            <a:rPr lang="es-CO" sz="1100">
              <a:solidFill>
                <a:schemeClr val="dk1"/>
              </a:solidFill>
              <a:effectLst/>
              <a:latin typeface="+mn-lt"/>
              <a:ea typeface="+mn-ea"/>
              <a:cs typeface="+mn-cs"/>
            </a:rPr>
            <a:t>• LAS GÓTICAS EN EL AIRE QUE CONTIENEN EL VIRUS PUEDEN INHALARSE Y LLEGAR A LOS</a:t>
          </a:r>
        </a:p>
        <a:p>
          <a:r>
            <a:rPr lang="es-CO" sz="1100">
              <a:solidFill>
                <a:schemeClr val="dk1"/>
              </a:solidFill>
              <a:effectLst/>
              <a:latin typeface="+mn-lt"/>
              <a:ea typeface="+mn-ea"/>
              <a:cs typeface="+mn-cs"/>
            </a:rPr>
            <a:t>PULMONES.</a:t>
          </a:r>
        </a:p>
        <a:p>
          <a:r>
            <a:rPr lang="es-CO" sz="1100">
              <a:solidFill>
                <a:schemeClr val="dk1"/>
              </a:solidFill>
              <a:effectLst/>
              <a:latin typeface="+mn-lt"/>
              <a:ea typeface="+mn-ea"/>
              <a:cs typeface="+mn-cs"/>
            </a:rPr>
            <a:t>• EL VIRUS SE PUEDE PROPAGAR MEDIANTE EL CONTACTO DIRECTO CON UNA PERSONA, COMO A</a:t>
          </a:r>
        </a:p>
        <a:p>
          <a:r>
            <a:rPr lang="es-CO" sz="1100">
              <a:solidFill>
                <a:schemeClr val="dk1"/>
              </a:solidFill>
              <a:effectLst/>
              <a:latin typeface="+mn-lt"/>
              <a:ea typeface="+mn-ea"/>
              <a:cs typeface="+mn-cs"/>
            </a:rPr>
            <a:t>TRAVÉS DE UN APRETÓN DE MANOS.</a:t>
          </a:r>
        </a:p>
        <a:p>
          <a:r>
            <a:rPr lang="es-CO" sz="1100">
              <a:solidFill>
                <a:schemeClr val="dk1"/>
              </a:solidFill>
              <a:effectLst/>
              <a:latin typeface="+mn-lt"/>
              <a:ea typeface="+mn-ea"/>
              <a:cs typeface="+mn-cs"/>
            </a:rPr>
            <a:t>• EL VIRUS SE PUEDE PROPAGAR CUANDO UNA PERSONA TOCA UNA SUPERFICIE DONDE ESTÁ EL</a:t>
          </a:r>
        </a:p>
        <a:p>
          <a:r>
            <a:rPr lang="es-CO" sz="1100">
              <a:solidFill>
                <a:schemeClr val="dk1"/>
              </a:solidFill>
              <a:effectLst/>
              <a:latin typeface="+mn-lt"/>
              <a:ea typeface="+mn-ea"/>
              <a:cs typeface="+mn-cs"/>
            </a:rPr>
            <a:t>VIRUS Y LUEGO SE TOCA LOS OJOS, LA NARIZ O LA BOCA. EL VIRUS PUEDE VIVIR EN ALGUNAS</a:t>
          </a:r>
        </a:p>
        <a:p>
          <a:r>
            <a:rPr lang="es-CO" sz="1100">
              <a:solidFill>
                <a:schemeClr val="dk1"/>
              </a:solidFill>
              <a:effectLst/>
              <a:latin typeface="+mn-lt"/>
              <a:ea typeface="+mn-ea"/>
              <a:cs typeface="+mn-cs"/>
            </a:rPr>
            <a:t>SUPERFICIES HASTA POR UNOS DÍAS.</a:t>
          </a:r>
        </a:p>
        <a:p>
          <a:r>
            <a:rPr lang="es-CO" sz="1100">
              <a:solidFill>
                <a:schemeClr val="dk1"/>
              </a:solidFill>
              <a:effectLst/>
              <a:latin typeface="+mn-lt"/>
              <a:ea typeface="+mn-ea"/>
              <a:cs typeface="+mn-cs"/>
            </a:rPr>
            <a:t>DE IGUAL FORMA SE COMPARTIERONN ALGUNAS MEDIDAS PREVENTIVAS FRENTE AL TEMA , POSTERIORMENTE SE RESOLVIÓ TODA DUDA POR PARTE DE LOS MIEMBROS DE LA MICROEMPRESA. </a:t>
          </a:r>
        </a:p>
        <a:p>
          <a:endParaRPr lang="en-US" sz="1100"/>
        </a:p>
      </xdr:txBody>
    </xdr:sp>
    <xdr:clientData/>
  </xdr:twoCellAnchor>
  <xdr:twoCellAnchor>
    <xdr:from>
      <xdr:col>0</xdr:col>
      <xdr:colOff>0</xdr:colOff>
      <xdr:row>110</xdr:row>
      <xdr:rowOff>76201</xdr:rowOff>
    </xdr:from>
    <xdr:to>
      <xdr:col>6</xdr:col>
      <xdr:colOff>714375</xdr:colOff>
      <xdr:row>152</xdr:row>
      <xdr:rowOff>19051</xdr:rowOff>
    </xdr:to>
    <xdr:sp macro="" textlink="">
      <xdr:nvSpPr>
        <xdr:cNvPr id="7" name="CuadroTexto 6">
          <a:extLst>
            <a:ext uri="{FF2B5EF4-FFF2-40B4-BE49-F238E27FC236}">
              <a16:creationId xmlns:a16="http://schemas.microsoft.com/office/drawing/2014/main" id="{00000000-0008-0000-2200-000007000000}"/>
            </a:ext>
          </a:extLst>
        </xdr:cNvPr>
        <xdr:cNvSpPr txBox="1"/>
      </xdr:nvSpPr>
      <xdr:spPr>
        <a:xfrm>
          <a:off x="0" y="18849976"/>
          <a:ext cx="6572250" cy="674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CAPACITACIÓN A MICROEMPRESAS A CARGO</a:t>
          </a:r>
          <a:r>
            <a:rPr lang="en-US" sz="1100" baseline="0"/>
            <a:t> DEL MANTENIMIENTO RUTINARIO, VÍA LA UNIÓN-SONSÓN, TRAMO 5601, TERRITORIAL ANTIOQUIA. </a:t>
          </a:r>
        </a:p>
        <a:p>
          <a:endParaRPr lang="en-US" sz="1100" baseline="0"/>
        </a:p>
        <a:p>
          <a:r>
            <a:rPr lang="es-CO" sz="1100" b="1">
              <a:solidFill>
                <a:schemeClr val="dk1"/>
              </a:solidFill>
              <a:effectLst/>
              <a:latin typeface="+mn-lt"/>
              <a:ea typeface="+mn-ea"/>
              <a:cs typeface="+mn-cs"/>
            </a:rPr>
            <a:t>FECHA: 14-08-2020</a:t>
          </a:r>
          <a:endParaRPr lang="es-CO" sz="1100">
            <a:solidFill>
              <a:schemeClr val="dk1"/>
            </a:solidFill>
            <a:effectLst/>
            <a:latin typeface="+mn-lt"/>
            <a:ea typeface="+mn-ea"/>
            <a:cs typeface="+mn-cs"/>
          </a:endParaRPr>
        </a:p>
        <a:p>
          <a:r>
            <a:rPr lang="es-CO" sz="1100" b="1">
              <a:solidFill>
                <a:schemeClr val="dk1"/>
              </a:solidFill>
              <a:effectLst/>
              <a:latin typeface="+mn-lt"/>
              <a:ea typeface="+mn-ea"/>
              <a:cs typeface="+mn-cs"/>
            </a:rPr>
            <a:t>TEMA: </a:t>
          </a:r>
          <a:r>
            <a:rPr lang="es-CO" sz="1100" b="1" i="1">
              <a:solidFill>
                <a:schemeClr val="dk1"/>
              </a:solidFill>
              <a:effectLst/>
              <a:latin typeface="+mn-lt"/>
              <a:ea typeface="+mn-ea"/>
              <a:cs typeface="+mn-cs"/>
            </a:rPr>
            <a:t>TRABAJO EN ALTURAS</a:t>
          </a:r>
          <a:r>
            <a:rPr lang="es-CO" sz="1100">
              <a:solidFill>
                <a:schemeClr val="dk1"/>
              </a:solidFill>
              <a:effectLst/>
              <a:latin typeface="+mn-lt"/>
              <a:ea typeface="+mn-ea"/>
              <a:cs typeface="+mn-cs"/>
            </a:rPr>
            <a:t> </a:t>
          </a:r>
        </a:p>
        <a:p>
          <a:endParaRPr lang="es-CO" sz="1100">
            <a:solidFill>
              <a:schemeClr val="dk1"/>
            </a:solidFill>
            <a:effectLst/>
            <a:latin typeface="+mn-lt"/>
            <a:ea typeface="+mn-ea"/>
            <a:cs typeface="+mn-cs"/>
          </a:endParaRPr>
        </a:p>
        <a:p>
          <a:r>
            <a:rPr lang="es-CO" sz="1100">
              <a:solidFill>
                <a:schemeClr val="dk1"/>
              </a:solidFill>
              <a:effectLst/>
              <a:latin typeface="+mn-lt"/>
              <a:ea typeface="+mn-ea"/>
              <a:cs typeface="+mn-cs"/>
            </a:rPr>
            <a:t>EL DÍA CATORCE (14) DE AGOSTO DE 2020 A LAS 09:00 AM SE DIO INICIO A LA REUNIÓN EN LA QUE ESTUVIERON PRESENTES EL INGENIERO CARLOS MARIO MORENO , UN CAPACITADOR DE CMB, Y LOS INTEGRANTES DE VÍAS DE ORIENTE S.A.S CON EL FIN DE TOCAR EL TEMA DE TRABAJO EN ALTURAS, EN ELLA SE COMPARTIÓ REFRIGERIO Y SE HIZO UNA PRESENTACIÓN DONDE SE HABLÓ DE TODAS LAS NORMAS QUE DEBEN CUMPLIR LOS TRABAJORES EN ALTURAS</a:t>
          </a:r>
        </a:p>
        <a:p>
          <a:r>
            <a:rPr lang="es-CO" sz="1100">
              <a:solidFill>
                <a:schemeClr val="dk1"/>
              </a:solidFill>
              <a:effectLst/>
              <a:latin typeface="+mn-lt"/>
              <a:ea typeface="+mn-ea"/>
              <a:cs typeface="+mn-cs"/>
            </a:rPr>
            <a:t>TRABAJADORES</a:t>
          </a:r>
        </a:p>
        <a:p>
          <a:r>
            <a:rPr lang="es-CO" sz="1100">
              <a:solidFill>
                <a:schemeClr val="dk1"/>
              </a:solidFill>
              <a:effectLst/>
              <a:latin typeface="+mn-lt"/>
              <a:ea typeface="+mn-ea"/>
              <a:cs typeface="+mn-cs"/>
            </a:rPr>
            <a:t>CUMPLIR CON LOS PROTOCOLOS DE SEGURIDAD QUE TENGA LA EMPRESA.</a:t>
          </a:r>
        </a:p>
        <a:p>
          <a:r>
            <a:rPr lang="es-CO" sz="1100">
              <a:solidFill>
                <a:schemeClr val="dk1"/>
              </a:solidFill>
              <a:effectLst/>
              <a:latin typeface="+mn-lt"/>
              <a:ea typeface="+mn-ea"/>
              <a:cs typeface="+mn-cs"/>
            </a:rPr>
            <a:t>PARTICIPAR EN LAS ACTIVIDADES DE FORMACIÓN Y ENTRENAMIENTO / MANTENERSE ACTUALIZADOS.</a:t>
          </a:r>
        </a:p>
        <a:p>
          <a:r>
            <a:rPr lang="es-CO" sz="1100">
              <a:solidFill>
                <a:schemeClr val="dk1"/>
              </a:solidFill>
              <a:effectLst/>
              <a:latin typeface="+mn-lt"/>
              <a:ea typeface="+mn-ea"/>
              <a:cs typeface="+mn-cs"/>
            </a:rPr>
            <a:t>REPORTAR CUALQUIER CONDICIÓN INSEGURA, ALTERACIÓN EN SU ESTADO DE SALUD O CONSUMO DE MEDICAMENTOS, QUE PUEDA COMPROMETER SU INTEGRIDAD EN EL MOMENTO DE REALIZAR LA ACTIVIDAD.</a:t>
          </a:r>
        </a:p>
        <a:p>
          <a:r>
            <a:rPr lang="es-CO" sz="1100">
              <a:solidFill>
                <a:schemeClr val="dk1"/>
              </a:solidFill>
              <a:effectLst/>
              <a:latin typeface="+mn-lt"/>
              <a:ea typeface="+mn-ea"/>
              <a:cs typeface="+mn-cs"/>
            </a:rPr>
            <a:t>PARTICIPAR EN LA ELABORACIÓN DEL ANÁLISIS DE TRABAJO SEGURO –ATS- Y DEL PERMISO DE TRABAJO, ASÍ COMO DE LA INSPECCIÓN PREOPERACIONAL DE LOS EQUIPOS DE PROTECCIÓN PERSONAL Y DE LAS CONDICIONES DE SEGURIDAD DE LAS ÁREAS DONDE SE REALIZARÁ EL TRABAJO.</a:t>
          </a:r>
        </a:p>
        <a:p>
          <a:r>
            <a:rPr lang="es-CO" sz="1100">
              <a:solidFill>
                <a:schemeClr val="dk1"/>
              </a:solidFill>
              <a:effectLst/>
              <a:latin typeface="+mn-lt"/>
              <a:ea typeface="+mn-ea"/>
              <a:cs typeface="+mn-cs"/>
            </a:rPr>
            <a:t>REGLAS DE ORO PARA LA PREVENCIÓN DE ACCIDENTES POR CAÍDAS:</a:t>
          </a:r>
        </a:p>
        <a:p>
          <a:r>
            <a:rPr lang="es-CO" sz="1100">
              <a:solidFill>
                <a:schemeClr val="dk1"/>
              </a:solidFill>
              <a:effectLst/>
              <a:latin typeface="+mn-lt"/>
              <a:ea typeface="+mn-ea"/>
              <a:cs typeface="+mn-cs"/>
            </a:rPr>
            <a:t>PARA REALIZAR LABORES EN ALTURA EL PERSONAL O TRABAJADOR DEBE TENER LAS CONDICIONES FÍSICAS Y DE SALUD NECESARIA PARA LA ACTIVIDAD, LAS CUALES DEBEN ESTAR ACREDITADAS MEDIANTE CERTIFICADO MÉDICO – OCUPACIONAL POR MÉDICO ESPECIALISTA.</a:t>
          </a:r>
        </a:p>
        <a:p>
          <a:r>
            <a:rPr lang="es-CO" sz="1100">
              <a:solidFill>
                <a:schemeClr val="dk1"/>
              </a:solidFill>
              <a:effectLst/>
              <a:latin typeface="+mn-lt"/>
              <a:ea typeface="+mn-ea"/>
              <a:cs typeface="+mn-cs"/>
            </a:rPr>
            <a:t>EL PERSONAL DEBE CONTAR CON CERTIFICACIÓN DE SUS COMPETENCIAS TÉCNICAS EN NIVEL AVANZADO DE TRABAJO SEGURO EN ALTURAS.</a:t>
          </a:r>
        </a:p>
        <a:p>
          <a:r>
            <a:rPr lang="es-CO" sz="1100">
              <a:solidFill>
                <a:schemeClr val="dk1"/>
              </a:solidFill>
              <a:effectLst/>
              <a:latin typeface="+mn-lt"/>
              <a:ea typeface="+mn-ea"/>
              <a:cs typeface="+mn-cs"/>
            </a:rPr>
            <a:t>ANTES DE INICIAR LAS ACTIVIDADES, SE DEBE REALIZAR EL ANÁLISIS DE TRABAJO SEGURO –ATS- Y DILIGENCIAR EL PERMISO DE TRABAJO EN ALTURAS.</a:t>
          </a:r>
        </a:p>
        <a:p>
          <a:r>
            <a:rPr lang="es-CO" sz="1100">
              <a:solidFill>
                <a:schemeClr val="dk1"/>
              </a:solidFill>
              <a:effectLst/>
              <a:latin typeface="+mn-lt"/>
              <a:ea typeface="+mn-ea"/>
              <a:cs typeface="+mn-cs"/>
            </a:rPr>
            <a:t>LOS ELEMENTOS DE PROTECCIÓN PERSONAL –EPP- MÍNIMOS REQUERIDOS DURANTE LAS ACTIVIDADES DEL PROCESO SON:</a:t>
          </a:r>
        </a:p>
        <a:p>
          <a:r>
            <a:rPr lang="es-CO" sz="1100">
              <a:solidFill>
                <a:schemeClr val="dk1"/>
              </a:solidFill>
              <a:effectLst/>
              <a:latin typeface="+mn-lt"/>
              <a:ea typeface="+mn-ea"/>
              <a:cs typeface="+mn-cs"/>
            </a:rPr>
            <a:t>ARNÉS DE SEGURIDAD DE SEIS (6) ARGOLLAS QUE CUMPLA NORMATIVIDAD TÉCNICA.</a:t>
          </a:r>
        </a:p>
        <a:p>
          <a:r>
            <a:rPr lang="es-CO" sz="1100">
              <a:solidFill>
                <a:schemeClr val="dk1"/>
              </a:solidFill>
              <a:effectLst/>
              <a:latin typeface="+mn-lt"/>
              <a:ea typeface="+mn-ea"/>
              <a:cs typeface="+mn-cs"/>
            </a:rPr>
            <a:t>CINTURÓN DE SEGURIDAD TIPO ARNÉS CON PORTAHERRAMIENTAS QUE CUMPLA CON LA NORMATIVIDAD TÉCNICA.</a:t>
          </a:r>
        </a:p>
        <a:p>
          <a:r>
            <a:rPr lang="es-CO" sz="1100">
              <a:solidFill>
                <a:schemeClr val="dk1"/>
              </a:solidFill>
              <a:effectLst/>
              <a:latin typeface="+mn-lt"/>
              <a:ea typeface="+mn-ea"/>
              <a:cs typeface="+mn-cs"/>
            </a:rPr>
            <a:t>CASCO DE SEGURIDAD CON AMARRE (TIPO BARBUQUEJO), QUE CUMPLA CON LA NORMATIVIDAD TÉCNICA.</a:t>
          </a:r>
        </a:p>
        <a:p>
          <a:r>
            <a:rPr lang="es-CO" sz="1100">
              <a:solidFill>
                <a:schemeClr val="dk1"/>
              </a:solidFill>
              <a:effectLst/>
              <a:latin typeface="+mn-lt"/>
              <a:ea typeface="+mn-ea"/>
              <a:cs typeface="+mn-cs"/>
            </a:rPr>
            <a:t>MOSQUETONES Y ESLINGAS</a:t>
          </a:r>
        </a:p>
        <a:p>
          <a:r>
            <a:rPr lang="es-CO" sz="1100">
              <a:solidFill>
                <a:schemeClr val="dk1"/>
              </a:solidFill>
              <a:effectLst/>
              <a:latin typeface="+mn-lt"/>
              <a:ea typeface="+mn-ea"/>
              <a:cs typeface="+mn-cs"/>
            </a:rPr>
            <a:t>ZAPATOS DE SEGURIDAD CON SUELA ANTIDESLIZANTE.</a:t>
          </a:r>
        </a:p>
        <a:p>
          <a:r>
            <a:rPr lang="es-CO" sz="1100">
              <a:solidFill>
                <a:schemeClr val="dk1"/>
              </a:solidFill>
              <a:effectLst/>
              <a:latin typeface="+mn-lt"/>
              <a:ea typeface="+mn-ea"/>
              <a:cs typeface="+mn-cs"/>
            </a:rPr>
            <a:t>GUANTES ANTIDESLIZANTES PARA TRABAJOS MECÁNICOS Y DE CONSTRUCCIÓN</a:t>
          </a:r>
        </a:p>
        <a:p>
          <a:r>
            <a:rPr lang="es-CO" sz="1100">
              <a:solidFill>
                <a:schemeClr val="dk1"/>
              </a:solidFill>
              <a:effectLst/>
              <a:latin typeface="+mn-lt"/>
              <a:ea typeface="+mn-ea"/>
              <a:cs typeface="+mn-cs"/>
            </a:rPr>
            <a:t> </a:t>
          </a:r>
        </a:p>
        <a:p>
          <a:endParaRPr lang="en-US" sz="1100"/>
        </a:p>
      </xdr:txBody>
    </xdr:sp>
    <xdr:clientData/>
  </xdr:twoCellAnchor>
  <xdr:twoCellAnchor>
    <xdr:from>
      <xdr:col>0</xdr:col>
      <xdr:colOff>19050</xdr:colOff>
      <xdr:row>215</xdr:row>
      <xdr:rowOff>133351</xdr:rowOff>
    </xdr:from>
    <xdr:to>
      <xdr:col>6</xdr:col>
      <xdr:colOff>704850</xdr:colOff>
      <xdr:row>290</xdr:row>
      <xdr:rowOff>28575</xdr:rowOff>
    </xdr:to>
    <xdr:sp macro="" textlink="">
      <xdr:nvSpPr>
        <xdr:cNvPr id="14" name="CuadroTexto 13">
          <a:extLst>
            <a:ext uri="{FF2B5EF4-FFF2-40B4-BE49-F238E27FC236}">
              <a16:creationId xmlns:a16="http://schemas.microsoft.com/office/drawing/2014/main" id="{00000000-0008-0000-2200-00000E000000}"/>
            </a:ext>
          </a:extLst>
        </xdr:cNvPr>
        <xdr:cNvSpPr txBox="1"/>
      </xdr:nvSpPr>
      <xdr:spPr>
        <a:xfrm>
          <a:off x="19050" y="35918776"/>
          <a:ext cx="6543675" cy="122967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CAPACITACIÓN A MICROEMPRESAS A CARGO</a:t>
          </a:r>
          <a:r>
            <a:rPr lang="en-US" sz="1100" baseline="0"/>
            <a:t> DEL MANTENIMIENTO RUTINARIO, VÍA LA UNIÓN-SONSÓN, TRAMO 5601, TERRITORIAL ANTIOQUIA. </a:t>
          </a:r>
        </a:p>
        <a:p>
          <a:endParaRPr lang="en-US" sz="1100" baseline="0"/>
        </a:p>
        <a:p>
          <a:r>
            <a:rPr lang="es-CO" sz="1100" b="1">
              <a:solidFill>
                <a:schemeClr val="dk1"/>
              </a:solidFill>
              <a:effectLst/>
              <a:latin typeface="+mn-lt"/>
              <a:ea typeface="+mn-ea"/>
              <a:cs typeface="+mn-cs"/>
            </a:rPr>
            <a:t>FECHA: 30-09-2020</a:t>
          </a:r>
        </a:p>
        <a:p>
          <a:r>
            <a:rPr lang="es-CO" sz="1100" b="1">
              <a:solidFill>
                <a:schemeClr val="dk1"/>
              </a:solidFill>
              <a:effectLst/>
              <a:latin typeface="+mn-lt"/>
              <a:ea typeface="+mn-ea"/>
              <a:cs typeface="+mn-cs"/>
            </a:rPr>
            <a:t>TEMA: </a:t>
          </a:r>
          <a:r>
            <a:rPr lang="es-CO" sz="1100" b="1" i="1">
              <a:solidFill>
                <a:schemeClr val="dk1"/>
              </a:solidFill>
              <a:effectLst/>
              <a:latin typeface="+mn-lt"/>
              <a:ea typeface="+mn-ea"/>
              <a:cs typeface="+mn-cs"/>
            </a:rPr>
            <a:t>CONSTRUCCIO</a:t>
          </a:r>
          <a:r>
            <a:rPr lang="es-CO" sz="1100" b="1" i="1" baseline="0">
              <a:solidFill>
                <a:schemeClr val="dk1"/>
              </a:solidFill>
              <a:effectLst/>
              <a:latin typeface="+mn-lt"/>
              <a:ea typeface="+mn-ea"/>
              <a:cs typeface="+mn-cs"/>
            </a:rPr>
            <a:t>N DE GAVIONES</a:t>
          </a:r>
          <a:endParaRPr lang="es-CO" sz="1100">
            <a:solidFill>
              <a:schemeClr val="dk1"/>
            </a:solidFill>
            <a:effectLst/>
            <a:latin typeface="+mn-lt"/>
            <a:ea typeface="+mn-ea"/>
            <a:cs typeface="+mn-cs"/>
          </a:endParaRPr>
        </a:p>
        <a:p>
          <a:r>
            <a:rPr lang="es-CO" sz="1100">
              <a:solidFill>
                <a:schemeClr val="dk1"/>
              </a:solidFill>
              <a:effectLst/>
              <a:latin typeface="+mn-lt"/>
              <a:ea typeface="+mn-ea"/>
              <a:cs typeface="+mn-cs"/>
            </a:rPr>
            <a:t> </a:t>
          </a:r>
        </a:p>
        <a:p>
          <a:r>
            <a:rPr lang="es-CO" sz="1100">
              <a:solidFill>
                <a:schemeClr val="dk1"/>
              </a:solidFill>
              <a:effectLst/>
              <a:latin typeface="+mn-lt"/>
              <a:ea typeface="+mn-ea"/>
              <a:cs typeface="+mn-cs"/>
            </a:rPr>
            <a:t>EL DÍA TREINTA (30) DE SEPTIEMBRER DE 2020 A LAS 10:00 AM SE DIO INICIO A LA REUNIÓN EN LA QUE ESTUVIERON PRESENTES EL INGENIERO CARLOS MARIO MORENO, GINNA MARCELA TORRES RODRIGUEZ DE MACCAFERRI, Y LOS INTEGRANTES DE VÍAS DE ORIENTE S.A.S CON EL FIN DE HACER UNA CAPACITACIÓN VIRTUAL DE CONSTRUCCION DE GAVIONES, EN ELLA SE COMPARTIÓ REFRIGERIO Y SE HIZO UNA PRESENTACIÓN DONDE SE HABLÓ DE </a:t>
          </a:r>
        </a:p>
        <a:p>
          <a:r>
            <a:rPr lang="es-CO" sz="1100">
              <a:solidFill>
                <a:schemeClr val="dk1"/>
              </a:solidFill>
              <a:effectLst/>
              <a:latin typeface="+mn-lt"/>
              <a:ea typeface="+mn-ea"/>
              <a:cs typeface="+mn-cs"/>
            </a:rPr>
            <a:t>LOS GAVIONES SON ESTRUCTURAS DE , ENREJADO METÁLICO DE MALLA HEXAGONAL, QUE PUEDE SER DE TRIPLE TORSIÓN O ELECTROSOLDADA, EN ESENCIA CESTAS GRANDES, QUE ESTÁN LLENAS DE MATERIAL DE ROCA O DE MAMPOSTERÍA PARA FORMAR GRANDES BLOQUES DE ESTRUCTURAS, TALES COMO MUROS DE CONTENCIÓN O REVESTIMIENTO DE CANALES. TIENEN LA VENTAJA DE SER EXTREMADAMENTE RESISTENTES Y RELATIVAMENTE BARATAS PARA LAS GRANDES ÁREAS QUE PUEDEN APUNTALAR. LOS MUROS DE GAVIONES PUEDEN SER PEQUEÑOS O DE GRAN ESCALA, Y SON ÚTILES PARA EL DUEÑO DE CASA PARA REVESTIR TAJEAS Y DETENER LA EROSIÓN DE PENDIENTES. ESTAS ESTRUCTURAS SON DE EXTREMADA RESISTENCIA, AL NO PERMITIR LA ACUMULACIÓN DE PRESIONES HIDROSTÁTICAS, (POR ESO SON TOTALMENTE PERMEABLES Y PERMITEN SER ATRAVESADAS POR EL AGUA) ALIVIAN LAS IMPORTANTES TENSIONES QUE SE ACUMULAN EN EL TRASDÓS DE LOS MUROS DE TIPO TRADICIONAL, DEBIDO A ESTA CARACTERÍSTICA PUEDEN TENER SU BASE, INCLUSO, BAJO EL NIVEL FREÁTICO SIEMPRE QUE ESTA SEA DE CARÁCTER PORTANTE. ASIMISMO DEBIDO A SU GRAN FLEXIBILIDAD SOPORTAN MOVIMIENTOS Y ASIENTOS DIFERENCIALES SIN PÉRDIDA DE EFICIENCIA. SIN EMBARGO, HAY QUE TENER EN CUENTA QUE LAS MALLAS DE ACERO GALVANIZADO SE CORROEN EN AMBIENTES ÁCIDOS Y PUEDE SER NEFASTA UNA FALTA DE CONTROL DE CALIDAD EN LOS AMARRES DE LA MALLA. CARACTERISTICAS ● FLEXIBLE: EL GAVIÓN UNA VEZ RELLENO CON PIEDRA SUFRE DEFORMACIONES, Y AÚN ASÍ CONTINÚA SIN PERDER EFICIENCIA EN EL CASO DE PRESENTARSE UNA FALLA EN EL SUELO. ● PERMEABLE: EL GAVIÓN RELLENO, NO CONTIENE AGLUTINANTES NI CEMENTANTES, POR LO QUE QUEDAN HUECOS O INTERSTICIOS. DISIPA LA ENERGÍA DEL AGUA, DISMINUYE LOS EMPUJES HIDROSTÁTICOS.PERMITE TENER SANEADOS LOS TERRENOS ALEDAÑOS A LAS ESTRUCTURAS. ● RESISTENCIA: PROPORCIONA DOMINIO EN TODOS LOS ESFUERZOS DE COMPRESIÓN, TENSIÓN Y TORSIÓN. ● DURABILIDAD: LA MATERIA PRIMA DEL GAVIÓN, ESTA PROVISTA DE UN RECUBRIMIENTO QUE LOGRA RETRASAR LOS EFECTOS DEL MEDIO AMBIENTE SOBRE EL ACERO. POR SU TRIPLE TORSIÓN NO SE DESARMA EN CASO DE RUPTURA ACCIDENTAL O INTENCIONAL.</a:t>
          </a:r>
        </a:p>
        <a:p>
          <a:r>
            <a:rPr lang="es-CO" sz="1100">
              <a:solidFill>
                <a:schemeClr val="dk1"/>
              </a:solidFill>
              <a:effectLst/>
              <a:latin typeface="+mn-lt"/>
              <a:ea typeface="+mn-ea"/>
              <a:cs typeface="+mn-cs"/>
            </a:rPr>
            <a:t>● INSTALACIÓN FACIL Y ECONÓMICA: NO REQUIERE MANO DE OBRA ESPECIALIZADA, USO DE HERRAMIENTA BÁSICA APARIENCIA EN INGENIERÍA, LOS GAVIONES CONSISTEN EN UNA CAJA DE FORMA PRISMÁTICA RECTANGULAR, RELLENA DE PIEDRA, DE ENREJADO METÁLICO DE MALLA. SE COLOCAN A PIE DE OBRA DESARMADOS Y, UNA VEZ EN SU SITIO, SE RELLENAN CON PIEDRAS DEL LUGAR. LOS PRIMEROS GAVIONES, CON FORMA CILÍNDRICA, SE IDEARON EN 1893 POR LA EMPRESA MACCAFERRI PARA EL CERRAMIENTO DE LA ROTURA DE UN EMBALSE EN EL RÍO RENO, EN LA CIUDAD DE BOLONIA. COMO LAS OPERACIONES DE ARMADO Y RELLENO DE PIEDRAS NO REQUIERE NINGUNA PERICIA, UTILIZANDO GAVIONES SE PUEDEN EJECUTAR OBRAS QUE DE OTRO MODO REQUERIRÍAN MUCHO MÁS TIEMPO Y OPERARIOS ESPECIALIZADOS. DISEÑO LOS MUROS DE GAVIONES SE PUEDEN DISEÑAR CON ESCALONES EXTERNOS O ESCALONES INTERNOS. LOS DE ESCALONES INTERNOS, ES DECIR CON PARAMENTO EXTERIOR PLANO, ALGUNAS VECES SON PREFERIDOS POR RAZONES FUNCIONALES O ESTÉTICAS, PERO DESDE EL PUNTO DE VISTA ESTÁTICO RESULTAN EN GENERAL MÁS ADECUADOS LOS DE ESCALONES EXTERNOS, INCLUSO POR RAZONES DE ALTURA, PARA ALTURA MAYORES DE 5 M Ó 6 M SE ACONSEJAN MUROS DE ESCALONES EXTERNOS. EN EL CASO DE ESCALONAMIENTO INTERNO SE ADVIERTE LA NECESIDAD DE INCLINAR LA OBRA AL MENOS 6° (A). EL DISEÑO DE OBRAS DE CONTENCIÓN A GRAVEDAD SE BASA EN LAS TEORÍAS DE COULOMB Y RANKINE. LA EXPERIENCIA DE OBRAS REALIZADAS DEMUESTRAN QUE LOS RESULTADOS OBTENIDOS, CONDUCEN A DIMENSIONAMIENTOS A FAVOR DE LA SEGURIDAD Y MUY CONSERVADORES. ESTAS TEORÍAS TRATAN DE</a:t>
          </a:r>
        </a:p>
        <a:p>
          <a:r>
            <a:rPr lang="es-CO" sz="1100">
              <a:solidFill>
                <a:schemeClr val="dk1"/>
              </a:solidFill>
              <a:effectLst/>
              <a:latin typeface="+mn-lt"/>
              <a:ea typeface="+mn-ea"/>
              <a:cs typeface="+mn-cs"/>
            </a:rPr>
            <a:t>4. DETERMINAR LOS DIFERENTES EMPUJES QUE SE PRODUCEN EN LA TIERRA, TANTO EN CASO PASIVO COMO EN ACTIVO. EN EL PROCESO DE DISEÑO DE GAVIONES SE COMPRUEBA LA SEGURIDAD AL DESLIZAMIENTO, AL VOLTEO Y A LA DISTRIBUCIÓN DE PRESIONES, EN CUANTO AL PROCESO DE DISEÑO DEL MURO DE CONTENCIÓN DE HORMIGÓN CICLÓPEO SE REALIZA LAS VERIFICACIONES A LA COMPRESIÓN, TRACCIÓN, AL VOLTEO Y AL DESLIZAMIENTO EN LAS DOS SECCIONES SUPERIOR E INFERIOR LAS ESTRUCTURAS DE CONTENCIÓN DEBEN PROVEER UNA ADECUADA ESTABILIDAD CONTRA DESLIZAMIENTOS. ● EL FACTOR DE SEGURIDAD CONTRA DESLIZAMIENTO DEBE SER POR LO MENOS 1.5 PARA RELLENOS DE BAJA COHESIÓN Y CERCA DE 2.0 PARA RELLENOS COHESIVOS. ● ● ○ EL FACTOR DE SEGURIDAD CONTRA EL VUELCO ES DE 1.5, CON UN VALOR SUGERIDO DE 2.0 PARA SUELOS COHESIVOS RESPECTIVAMENTE. ○ ASPECTOS A TENER EN CUENTA EN EL DISEÑO: ○ - USO QUE TENDRÁ EL TERRENO SOBRE EL MURO DE GAVIONES. ○ - TIPO E IMPORTANCIA DE LA OBRA A CONSTRUIRSE SOBRE ESTE TERRENO. ○ - RELLENO EN LA PARTE POSTERIOR DEL MURO. ○ - POSIBILIDAD DE HACER GRADAS EN EL FRENTE EXPUESTO DEL MURO, CON EL FIN DE APLICAR EL MAYOR PESO SOBRE LA PARTE POSTERIOR DEL MISMO, LO CUAL PERMITE UNA MEJOR RESISTENCIA AL VUELCO. ○ - TIPO DE PIEDRAS O MATERIAL DE RELLENO DE LOS GAVIONES. ○ - SE DESPRECIA LA RESISTENCIA O DISMINUCIÓN DE PRESIÓN DEBIDA A LA COHESIÓN ○ - NO EXISTEN LAS PRESIONES DE AGUA. ○ - FRICCIÓN SUELO – ESTRUCTURA D = ¾ ? DEL SUELO, PARA SUELOS DUROS. ○ - FRICCIÓN SUELO – ESTRUCTURA D = ? DEL SUELO, PARA SUELOS FRICCIONALES ○ - FRICCIÓN SUELO – ESTRUCTURA D = 0.90 ?, PARA CUANDO SE USA GEOTEXTILES ENTRE SUELO- MURO. ○ COMO NORMA GENERAL LA BASE DEL MURO SE DETERMINA UTILIZANDO LA SIGUIENTE EXPRESIÓN.</a:t>
          </a:r>
        </a:p>
        <a:p>
          <a:endParaRPr lang="en-US" sz="1100"/>
        </a:p>
      </xdr:txBody>
    </xdr:sp>
    <xdr:clientData/>
  </xdr:twoCellAnchor>
  <xdr:twoCellAnchor editAs="oneCell">
    <xdr:from>
      <xdr:col>1</xdr:col>
      <xdr:colOff>266700</xdr:colOff>
      <xdr:row>44</xdr:row>
      <xdr:rowOff>95250</xdr:rowOff>
    </xdr:from>
    <xdr:to>
      <xdr:col>5</xdr:col>
      <xdr:colOff>1343025</xdr:colOff>
      <xdr:row>78</xdr:row>
      <xdr:rowOff>0</xdr:rowOff>
    </xdr:to>
    <xdr:pic>
      <xdr:nvPicPr>
        <xdr:cNvPr id="768149" name="Imagen 2">
          <a:extLst>
            <a:ext uri="{FF2B5EF4-FFF2-40B4-BE49-F238E27FC236}">
              <a16:creationId xmlns:a16="http://schemas.microsoft.com/office/drawing/2014/main" id="{00000000-0008-0000-2200-000095B80B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5509" t="22578" r="34869" b="22395"/>
        <a:stretch>
          <a:fillRect/>
        </a:stretch>
      </xdr:blipFill>
      <xdr:spPr bwMode="auto">
        <a:xfrm>
          <a:off x="600075" y="8172450"/>
          <a:ext cx="5181600" cy="541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352425</xdr:colOff>
      <xdr:row>83</xdr:row>
      <xdr:rowOff>28575</xdr:rowOff>
    </xdr:from>
    <xdr:to>
      <xdr:col>5</xdr:col>
      <xdr:colOff>866775</xdr:colOff>
      <xdr:row>109</xdr:row>
      <xdr:rowOff>85725</xdr:rowOff>
    </xdr:to>
    <xdr:pic>
      <xdr:nvPicPr>
        <xdr:cNvPr id="768150" name="Imagen 3">
          <a:extLst>
            <a:ext uri="{FF2B5EF4-FFF2-40B4-BE49-F238E27FC236}">
              <a16:creationId xmlns:a16="http://schemas.microsoft.com/office/drawing/2014/main" id="{00000000-0008-0000-2200-000096B80B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1839" t="27420" r="61208" b="11920"/>
        <a:stretch>
          <a:fillRect/>
        </a:stretch>
      </xdr:blipFill>
      <xdr:spPr bwMode="auto">
        <a:xfrm>
          <a:off x="685800" y="14420850"/>
          <a:ext cx="4619625" cy="426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533400</xdr:colOff>
      <xdr:row>156</xdr:row>
      <xdr:rowOff>104775</xdr:rowOff>
    </xdr:from>
    <xdr:to>
      <xdr:col>5</xdr:col>
      <xdr:colOff>904875</xdr:colOff>
      <xdr:row>185</xdr:row>
      <xdr:rowOff>9525</xdr:rowOff>
    </xdr:to>
    <xdr:pic>
      <xdr:nvPicPr>
        <xdr:cNvPr id="768151" name="Imagen 4">
          <a:extLst>
            <a:ext uri="{FF2B5EF4-FFF2-40B4-BE49-F238E27FC236}">
              <a16:creationId xmlns:a16="http://schemas.microsoft.com/office/drawing/2014/main" id="{00000000-0008-0000-2200-000097B80B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5199" t="24138" r="34325" b="18652"/>
        <a:stretch>
          <a:fillRect/>
        </a:stretch>
      </xdr:blipFill>
      <xdr:spPr bwMode="auto">
        <a:xfrm>
          <a:off x="866775" y="26327100"/>
          <a:ext cx="4476750" cy="460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609600</xdr:colOff>
      <xdr:row>187</xdr:row>
      <xdr:rowOff>38100</xdr:rowOff>
    </xdr:from>
    <xdr:to>
      <xdr:col>5</xdr:col>
      <xdr:colOff>876300</xdr:colOff>
      <xdr:row>214</xdr:row>
      <xdr:rowOff>104775</xdr:rowOff>
    </xdr:to>
    <xdr:pic>
      <xdr:nvPicPr>
        <xdr:cNvPr id="768152" name="Imagen 5">
          <a:extLst>
            <a:ext uri="{FF2B5EF4-FFF2-40B4-BE49-F238E27FC236}">
              <a16:creationId xmlns:a16="http://schemas.microsoft.com/office/drawing/2014/main" id="{00000000-0008-0000-2200-000098B80B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051" t="27217" r="64343" b="12099"/>
        <a:stretch>
          <a:fillRect/>
        </a:stretch>
      </xdr:blipFill>
      <xdr:spPr bwMode="auto">
        <a:xfrm>
          <a:off x="942975" y="31280100"/>
          <a:ext cx="4371975" cy="443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552450</xdr:colOff>
      <xdr:row>294</xdr:row>
      <xdr:rowOff>57150</xdr:rowOff>
    </xdr:from>
    <xdr:to>
      <xdr:col>5</xdr:col>
      <xdr:colOff>923925</xdr:colOff>
      <xdr:row>318</xdr:row>
      <xdr:rowOff>114300</xdr:rowOff>
    </xdr:to>
    <xdr:pic>
      <xdr:nvPicPr>
        <xdr:cNvPr id="768153" name="Imagen 16">
          <a:extLst>
            <a:ext uri="{FF2B5EF4-FFF2-40B4-BE49-F238E27FC236}">
              <a16:creationId xmlns:a16="http://schemas.microsoft.com/office/drawing/2014/main" id="{00000000-0008-0000-2200-000099B80B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5199" t="32307" r="34325" b="18652"/>
        <a:stretch>
          <a:fillRect/>
        </a:stretch>
      </xdr:blipFill>
      <xdr:spPr bwMode="auto">
        <a:xfrm>
          <a:off x="885825" y="48891825"/>
          <a:ext cx="4476750" cy="394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447675</xdr:colOff>
      <xdr:row>325</xdr:row>
      <xdr:rowOff>133350</xdr:rowOff>
    </xdr:from>
    <xdr:to>
      <xdr:col>5</xdr:col>
      <xdr:colOff>876300</xdr:colOff>
      <xdr:row>354</xdr:row>
      <xdr:rowOff>104775</xdr:rowOff>
    </xdr:to>
    <xdr:pic>
      <xdr:nvPicPr>
        <xdr:cNvPr id="768154" name="Imagen 7">
          <a:extLst>
            <a:ext uri="{FF2B5EF4-FFF2-40B4-BE49-F238E27FC236}">
              <a16:creationId xmlns:a16="http://schemas.microsoft.com/office/drawing/2014/main" id="{00000000-0008-0000-2200-00009AB80B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l="1756" t="27087" r="65077" b="12228"/>
        <a:stretch>
          <a:fillRect/>
        </a:stretch>
      </xdr:blipFill>
      <xdr:spPr bwMode="auto">
        <a:xfrm>
          <a:off x="781050" y="53987700"/>
          <a:ext cx="4533900" cy="466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H:\Documents%20and%20Settings\mromero\Configuraci&#243;n%20local\Archivos%20temporales%20de%20Internet\OLK77\20-02-09%20observaciones%20de%20mario%20romero\enviado%20por%20la%20territorial\Documents%20and%20Settings\Jaime%20Rojas\Mis%20documentos\Contrato\Interv\JunBarba\a%20%20aaInformaci&#243;n%20GRUPO?7F9E5056" TargetMode="External"/><Relationship Id="rId1" Type="http://schemas.openxmlformats.org/officeDocument/2006/relationships/externalLinkPath" Target="file:///\\7F9E5056\a%20%20aaInformaci&#243;n%20GRUPO"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H:\Documents%20and%20Settings\Pedro%20Garcia%20Realpe\Mis%20documentos\AMV_G1_2006_TUMACO\Informes\Trimestre%20No.%201_Jul_Sept_06_Tumaco\a%20%20aaInformaci&#243;n%20GRUPO%204\A%20MInformes%20Mensuales\Informe%20de%20estado%20vial%20ene\aCCIDENTES%20DE%201995%20-%201996.xls?A51317DF" TargetMode="External"/><Relationship Id="rId1" Type="http://schemas.openxmlformats.org/officeDocument/2006/relationships/externalLinkPath" Target="file:///\\A51317DF\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ZXPREPLIEGOS%20PUENTE%20ARMADA\PRESUP\ZPREPLIEGOS%20PUENTE%20ARMADA\OBRAS%20PUENTE%20ARMADA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file:///H:\Users\Administrador\Desktop\AMV03NARI&#209;O%20ACTUAL\PRESUPUESTOS\Ruta%201702\PRESENTACI&#211;N%20BOGOT&#193;_RUTA%201702_26%20MARZO%202012\a%20%20aaInformaci&#243;n%20GRUPO%204\A%20MInformes%20Mensuales\Informe%20de%20estado%20vial%20ene\aCCIDENTES%20DE%201995%20-%201996.xls?5E8FB59E" TargetMode="External"/><Relationship Id="rId1" Type="http://schemas.openxmlformats.org/officeDocument/2006/relationships/externalLinkPath" Target="file:///\\5E8FB59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Users\JorgeF\Documents\amv%20grupo%203%20boyaca%202009\PRECIOS%20UNITARIOS\corregidos\2011\LICITACIONES%20AGOSTO%202011\apus%20boyaca%20VIA%20chiquinquira%20-%20TUNJ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pus_antioquia_2020_1%20VERSION%20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HP/Google%20Drive/INFORMES%20TRIM,EJECT,FINAL,%20CRIT%20TEC/CONSOLIDADO%20APU%202017%20ANT%20GRUPO%201%20(En%20actualizaci&#243;n).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INFORME%20TRIMESTRAL%20VIA%205601%20ENERO-MARZO%202019,%20AMV%20GR02,%20A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Informacion"/>
      <sheetName val="MATERIALES"/>
      <sheetName val="#¡REF"/>
      <sheetName val="Datos Básicos"/>
      <sheetName val="SALARIOS"/>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INDICMICROEMP"/>
      <sheetName val="Datos"/>
      <sheetName val="aCCIDENTES DE 1995 - 1996.xls"/>
      <sheetName val="items"/>
      <sheetName val="#¡REF"/>
      <sheetName val="Informe"/>
      <sheetName val="Seguim-16"/>
      <sheetName val="otros"/>
      <sheetName val="PRESUPUESTO"/>
      <sheetName val="Res-Accide-10"/>
      <sheetName val="MATERIALES"/>
      <sheetName val="Datos Básicos"/>
      <sheetName val="SALARIOS"/>
      <sheetName val="SUB APU"/>
      <sheetName val="INV"/>
      <sheetName val="AASHTO"/>
      <sheetName val="PESOS"/>
      <sheetName val="Formulario N° 4"/>
      <sheetName val="EQUIPO"/>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Otros"/>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PROGR_1"/>
      <sheetName val="ACTA DE MODIFICACION  (2)"/>
      <sheetName val="VrEqpBasica"/>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refreshError="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1.3P"/>
      <sheetName val="621.2"/>
      <sheetName val="621.3"/>
      <sheetName val="621.4"/>
      <sheetName val="621.5"/>
      <sheetName val="621.5.1"/>
      <sheetName val="621.6"/>
      <sheetName val="621.7"/>
      <sheetName val="622.1"/>
      <sheetName val="622.2"/>
      <sheetName val="622.3"/>
      <sheetName val="622.4"/>
      <sheetName val="622.5"/>
      <sheetName val="623.1"/>
      <sheetName val="623.2"/>
      <sheetName val="630P"/>
      <sheetName val="630.1"/>
      <sheetName val="630.2"/>
      <sheetName val="630.3"/>
      <sheetName val="630.4"/>
      <sheetName val="630.5"/>
      <sheetName val="630.6"/>
      <sheetName val="630.7"/>
      <sheetName val="632P"/>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row r="3">
          <cell r="A3" t="str">
            <v>200.1</v>
          </cell>
          <cell r="B3" t="str">
            <v>DESMONTE Y LIMPIEZA EN BOSQUE</v>
          </cell>
          <cell r="C3" t="str">
            <v>Ha</v>
          </cell>
          <cell r="D3">
            <v>3618169.3635493824</v>
          </cell>
        </row>
        <row r="4">
          <cell r="A4" t="str">
            <v>200.2</v>
          </cell>
          <cell r="B4" t="str">
            <v>DESMONTE Y LIMPIEZA EN ZONAS NO BOSCOSAS</v>
          </cell>
          <cell r="C4" t="str">
            <v>Ha</v>
          </cell>
          <cell r="D4">
            <v>227831.85486288954</v>
          </cell>
        </row>
        <row r="5">
          <cell r="A5" t="str">
            <v>201.1</v>
          </cell>
          <cell r="B5" t="str">
            <v>DEMOLICIÓN DE EDIFICACIONES</v>
          </cell>
          <cell r="C5" t="str">
            <v>gl</v>
          </cell>
          <cell r="D5">
            <v>174133.93909061921</v>
          </cell>
        </row>
        <row r="6">
          <cell r="A6" t="str">
            <v>201.2</v>
          </cell>
          <cell r="B6" t="str">
            <v>DEMOLICIÓN DE ESTRUCTURAS</v>
          </cell>
          <cell r="C6" t="str">
            <v>gl</v>
          </cell>
          <cell r="D6">
            <v>196351.7258740316</v>
          </cell>
        </row>
        <row r="7">
          <cell r="A7" t="str">
            <v>201.3</v>
          </cell>
          <cell r="B7" t="str">
            <v>DEMOLICIÓN DE PAVIMENTOS RÍGIDOS, PISOS, ANDENES Y BORDILLOS DE CONCRETO</v>
          </cell>
          <cell r="C7" t="str">
            <v>gl</v>
          </cell>
          <cell r="D7">
            <v>43157.127081943006</v>
          </cell>
        </row>
        <row r="8">
          <cell r="A8" t="str">
            <v>201.4</v>
          </cell>
          <cell r="B8" t="str">
            <v>DEMOLICIÓN DE OBSTÁCULOS</v>
          </cell>
          <cell r="C8" t="str">
            <v>gl</v>
          </cell>
          <cell r="D8">
            <v>72060.145226529159</v>
          </cell>
        </row>
        <row r="9">
          <cell r="A9" t="str">
            <v>201.5</v>
          </cell>
          <cell r="B9" t="str">
            <v>DEMOLICIÓN DE EDIFICACIONES</v>
          </cell>
          <cell r="C9" t="str">
            <v>Unidad</v>
          </cell>
          <cell r="D9">
            <v>174133.93909061921</v>
          </cell>
        </row>
        <row r="10">
          <cell r="A10" t="str">
            <v>201.6</v>
          </cell>
          <cell r="B10" t="str">
            <v>DEMOLICIÓN DE ESTRUCTURAS</v>
          </cell>
          <cell r="C10" t="str">
            <v>Unidad</v>
          </cell>
          <cell r="D10">
            <v>196351.7258740316</v>
          </cell>
        </row>
        <row r="11">
          <cell r="A11" t="str">
            <v>201.7</v>
          </cell>
          <cell r="B11" t="str">
            <v>DEMOLICIÓN DE ESTRUCTURAS</v>
          </cell>
          <cell r="C11" t="str">
            <v>m3</v>
          </cell>
          <cell r="D11">
            <v>240341.82659000819</v>
          </cell>
        </row>
        <row r="12">
          <cell r="A12" t="str">
            <v>201.8</v>
          </cell>
          <cell r="B12" t="str">
            <v>DEMOLICIÓN DE PAVIMENTOS RÍGIDOS</v>
          </cell>
          <cell r="C12" t="str">
            <v>m2</v>
          </cell>
          <cell r="D12">
            <v>35907.63070329644</v>
          </cell>
        </row>
        <row r="13">
          <cell r="A13" t="str">
            <v>201.9</v>
          </cell>
          <cell r="B13" t="str">
            <v>DEMOLICIÓN DE PISOS Y ANDENES DE CONCRETO</v>
          </cell>
          <cell r="C13" t="str">
            <v>m2</v>
          </cell>
          <cell r="D13">
            <v>17774.75047720757</v>
          </cell>
        </row>
        <row r="14">
          <cell r="A14" t="str">
            <v>201.10</v>
          </cell>
          <cell r="B14" t="str">
            <v>DEMOLICIÓN DE BORDILLOS DE CONCRETO</v>
          </cell>
          <cell r="C14" t="str">
            <v>m</v>
          </cell>
          <cell r="D14">
            <v>7960.6282182895156</v>
          </cell>
        </row>
        <row r="15">
          <cell r="A15" t="str">
            <v>201.11</v>
          </cell>
          <cell r="B15" t="str">
            <v>DESMONTAJE Y TRASLADO DE ESTRUCTURAS METÁLICAS</v>
          </cell>
          <cell r="C15" t="str">
            <v>Kg</v>
          </cell>
          <cell r="D15">
            <v>1563.3524570991847</v>
          </cell>
        </row>
        <row r="16">
          <cell r="A16" t="str">
            <v>201.12</v>
          </cell>
          <cell r="B16" t="str">
            <v>REMOCIÓN DE ESPECIES VEGETALES</v>
          </cell>
          <cell r="C16" t="str">
            <v>Unidad</v>
          </cell>
          <cell r="D16">
            <v>128174.55883683011</v>
          </cell>
        </row>
        <row r="17">
          <cell r="A17" t="str">
            <v>201.13</v>
          </cell>
          <cell r="B17" t="str">
            <v>REMOCIÓN DE OBSTÁCULOS (SE DEBERÁ HACER UN ÍTEM DE PAGO PARA CADA TIPO DE OBSTÁCULO)</v>
          </cell>
          <cell r="C17" t="str">
            <v>Unidad</v>
          </cell>
          <cell r="D17">
            <v>120503.40422283705</v>
          </cell>
        </row>
        <row r="18">
          <cell r="A18" t="str">
            <v>201.14</v>
          </cell>
          <cell r="B18" t="str">
            <v>REMOCIÓN DE DUCTOS DE SERVICIOS EXISTENTES</v>
          </cell>
          <cell r="C18" t="str">
            <v>m</v>
          </cell>
          <cell r="D18">
            <v>38085.214716190094</v>
          </cell>
        </row>
        <row r="19">
          <cell r="A19" t="str">
            <v>201.15</v>
          </cell>
          <cell r="B19" t="str">
            <v>REMOCIÓN DE ALCANTARILLAS</v>
          </cell>
          <cell r="C19" t="str">
            <v>m</v>
          </cell>
          <cell r="D19">
            <v>46936.561784725433</v>
          </cell>
        </row>
        <row r="20">
          <cell r="A20" t="str">
            <v>201.16</v>
          </cell>
          <cell r="B20" t="str">
            <v>REMOCIÓN DE CERCAS DE ALAMBRE</v>
          </cell>
          <cell r="C20" t="str">
            <v>m</v>
          </cell>
          <cell r="D20">
            <v>2064.1954666666666</v>
          </cell>
        </row>
        <row r="21">
          <cell r="A21" t="str">
            <v>201.17</v>
          </cell>
          <cell r="B21" t="str">
            <v>TRASLADO DE POSTES</v>
          </cell>
          <cell r="C21" t="str">
            <v>Unidad</v>
          </cell>
          <cell r="D21">
            <v>105087.88996942941</v>
          </cell>
        </row>
        <row r="22">
          <cell r="A22" t="str">
            <v>201.18</v>
          </cell>
          <cell r="B22" t="str">
            <v>TRASLADO DE TORRES</v>
          </cell>
          <cell r="C22" t="str">
            <v>Unidad</v>
          </cell>
          <cell r="D22">
            <v>105087.88996942941</v>
          </cell>
        </row>
        <row r="23">
          <cell r="A23" t="str">
            <v>201.19</v>
          </cell>
          <cell r="B23" t="str">
            <v>REMOCIÓN DE RIELES</v>
          </cell>
          <cell r="C23" t="str">
            <v>m</v>
          </cell>
          <cell r="D23">
            <v>6681.4546876413624</v>
          </cell>
        </row>
        <row r="24">
          <cell r="A24" t="str">
            <v>201.20</v>
          </cell>
          <cell r="B24" t="str">
            <v>REMOCIÓN DE DEFENSAS METÁLICAS</v>
          </cell>
          <cell r="C24" t="str">
            <v>m</v>
          </cell>
          <cell r="D24">
            <v>866.19338310863134</v>
          </cell>
        </row>
        <row r="25">
          <cell r="A25" t="str">
            <v>201.21</v>
          </cell>
          <cell r="B25" t="str">
            <v>REMOCIÓN DE BARRERAS DE SEGURIDAD</v>
          </cell>
          <cell r="C25" t="str">
            <v>m</v>
          </cell>
          <cell r="D25">
            <v>8073.3779399576433</v>
          </cell>
        </row>
        <row r="26">
          <cell r="A26" t="str">
            <v>203.1</v>
          </cell>
          <cell r="B26" t="str">
            <v>TRANSPLANTE DE ARBOLES TIPO I TRASLADO CORTO</v>
          </cell>
          <cell r="C26" t="str">
            <v>Unidad</v>
          </cell>
          <cell r="D26">
            <v>935539.35452944867</v>
          </cell>
        </row>
        <row r="27">
          <cell r="A27" t="str">
            <v>203.2</v>
          </cell>
          <cell r="B27" t="str">
            <v>TRANSPLANTE DE ARBOLES TIPO I TRASLADO LARGO</v>
          </cell>
          <cell r="C27" t="str">
            <v>Unidad</v>
          </cell>
          <cell r="D27">
            <v>1121459.4373836196</v>
          </cell>
        </row>
        <row r="28">
          <cell r="A28" t="str">
            <v>203.3</v>
          </cell>
          <cell r="B28" t="str">
            <v>TRANSPLANTE DE ARBOLES TIPO I TRASLADO ESPECIAL</v>
          </cell>
          <cell r="C28" t="str">
            <v>Unidad</v>
          </cell>
          <cell r="D28">
            <v>1254259.4965651706</v>
          </cell>
        </row>
        <row r="29">
          <cell r="A29" t="str">
            <v>203.4</v>
          </cell>
          <cell r="B29" t="str">
            <v>TRANSPLANTE DE ARBOLES TIPO II TRASLADO CORTO</v>
          </cell>
          <cell r="C29" t="str">
            <v>Unidad</v>
          </cell>
          <cell r="D29">
            <v>551500.94203961978</v>
          </cell>
        </row>
        <row r="30">
          <cell r="A30" t="str">
            <v>203.5</v>
          </cell>
          <cell r="B30" t="str">
            <v>TRANSPLANTE DE ARBOLES TIPO II. TRASLADO LARGO</v>
          </cell>
          <cell r="C30" t="str">
            <v>Unidad</v>
          </cell>
          <cell r="D30">
            <v>638275.05732732022</v>
          </cell>
        </row>
        <row r="31">
          <cell r="A31" t="str">
            <v>203.6</v>
          </cell>
          <cell r="B31" t="str">
            <v>TRANSPLANTE DE ARBOLES TIPO II TRASLADO ESPECIAL</v>
          </cell>
          <cell r="C31" t="str">
            <v>Unidad</v>
          </cell>
          <cell r="D31">
            <v>693494.94887403876</v>
          </cell>
        </row>
        <row r="32">
          <cell r="A32" t="str">
            <v>203.7</v>
          </cell>
          <cell r="B32" t="str">
            <v>TRANSPLANTE DE ARBOLES TIPO III TRASLADO CORTO</v>
          </cell>
          <cell r="C32" t="str">
            <v>Unidad</v>
          </cell>
          <cell r="D32">
            <v>225968.81312773729</v>
          </cell>
        </row>
        <row r="33">
          <cell r="A33" t="str">
            <v>203.8</v>
          </cell>
          <cell r="B33" t="str">
            <v>TRANSPLANTE DE ARBOLES TIPO III TRASLADO LARGO</v>
          </cell>
          <cell r="C33" t="str">
            <v>Unidad</v>
          </cell>
          <cell r="D33">
            <v>366662.07151858136</v>
          </cell>
        </row>
        <row r="34">
          <cell r="A34" t="str">
            <v>203.9</v>
          </cell>
          <cell r="B34" t="str">
            <v>TRANSPLANTE  DE ARBOLES TIPO III TRASLADO ESPECIAL</v>
          </cell>
          <cell r="C34" t="str">
            <v>Unidad</v>
          </cell>
          <cell r="D34">
            <v>389049.12626559229</v>
          </cell>
        </row>
        <row r="35">
          <cell r="A35" t="str">
            <v>203.10</v>
          </cell>
          <cell r="B35" t="str">
            <v>TRANSPLANTE DE ARBOLES TIPO IV TRASLADO CORTO</v>
          </cell>
          <cell r="C35" t="str">
            <v>Unidad</v>
          </cell>
          <cell r="D35">
            <v>177190.67242415721</v>
          </cell>
        </row>
        <row r="36">
          <cell r="A36" t="str">
            <v>203.11</v>
          </cell>
          <cell r="B36" t="str">
            <v>TRANSPLANTE DE ARBOLES TIPO IV TRASLADO LARGO</v>
          </cell>
          <cell r="C36" t="str">
            <v>Unidad</v>
          </cell>
          <cell r="D36">
            <v>275078.66573535471</v>
          </cell>
        </row>
        <row r="37">
          <cell r="A37" t="str">
            <v>203.12</v>
          </cell>
          <cell r="B37" t="str">
            <v>TRANSPLANTE DE ARBOLES TIPO IV TRASLADO ESPECIAL</v>
          </cell>
          <cell r="C37" t="str">
            <v>Unidad</v>
          </cell>
          <cell r="D37">
            <v>286708.30456497078</v>
          </cell>
        </row>
        <row r="38">
          <cell r="A38" t="str">
            <v>210.1.1</v>
          </cell>
          <cell r="B38" t="str">
            <v>EXCAVACIÓN SIN CLASIFICAR DE LA EXPLANACIÓN Y CANALES</v>
          </cell>
          <cell r="C38" t="str">
            <v>m3</v>
          </cell>
          <cell r="D38">
            <v>14574.267664026014</v>
          </cell>
        </row>
        <row r="39">
          <cell r="A39" t="str">
            <v>210.1.2</v>
          </cell>
          <cell r="B39" t="str">
            <v>EXCAVACIÓN SIN CLASIFICAR DE PRÉSTAMOS</v>
          </cell>
          <cell r="C39" t="str">
            <v>m3</v>
          </cell>
          <cell r="D39">
            <v>4541.0231266970623</v>
          </cell>
        </row>
        <row r="40">
          <cell r="A40" t="str">
            <v>210.2.1</v>
          </cell>
          <cell r="B40" t="str">
            <v>EXCAVACIÓN EN ROCA DE LA EXPLANACIÓN Y CANALES</v>
          </cell>
          <cell r="C40" t="str">
            <v>m3</v>
          </cell>
          <cell r="D40">
            <v>32527.010232987719</v>
          </cell>
        </row>
        <row r="41">
          <cell r="A41" t="str">
            <v>210.2.2</v>
          </cell>
          <cell r="B41" t="str">
            <v>EXCAVACIÓN EN MATERIAL COMÚN DE LA EXPLANACIÓN Y CANALES</v>
          </cell>
          <cell r="C41" t="str">
            <v>m3</v>
          </cell>
          <cell r="D41">
            <v>14574.267664026014</v>
          </cell>
        </row>
        <row r="42">
          <cell r="A42" t="str">
            <v>210.2.3</v>
          </cell>
          <cell r="B42" t="str">
            <v>EXCAVACIÓN EN ROCA DE PRÉSTAMOS</v>
          </cell>
          <cell r="C42" t="str">
            <v>m3</v>
          </cell>
          <cell r="D42">
            <v>22493.765695658767</v>
          </cell>
        </row>
        <row r="43">
          <cell r="A43" t="str">
            <v>210.2.4</v>
          </cell>
          <cell r="B43" t="str">
            <v>EXCAVACIÓN EN MATERIAL COMÚN DE PRÉSTAMOS</v>
          </cell>
          <cell r="C43" t="str">
            <v>m3</v>
          </cell>
          <cell r="D43">
            <v>4541.0231266970623</v>
          </cell>
        </row>
        <row r="44">
          <cell r="A44" t="str">
            <v>211.1</v>
          </cell>
          <cell r="B44" t="str">
            <v>REMOCIÓN DE DERRUMBES</v>
          </cell>
          <cell r="C44" t="str">
            <v>m3</v>
          </cell>
          <cell r="D44">
            <v>12607.294816422007</v>
          </cell>
        </row>
        <row r="45">
          <cell r="A45" t="str">
            <v>220.1</v>
          </cell>
          <cell r="B45" t="str">
            <v>TERRAPLENES</v>
          </cell>
          <cell r="C45" t="str">
            <v>m3</v>
          </cell>
          <cell r="D45">
            <v>16903.735098051766</v>
          </cell>
        </row>
        <row r="46">
          <cell r="A46" t="str">
            <v>221.1</v>
          </cell>
          <cell r="B46" t="str">
            <v>PEDRAPLÉN COMPACTO</v>
          </cell>
          <cell r="C46" t="str">
            <v>m3</v>
          </cell>
          <cell r="D46">
            <v>11820.873094705925</v>
          </cell>
        </row>
        <row r="47">
          <cell r="A47" t="str">
            <v>221.2</v>
          </cell>
          <cell r="B47" t="str">
            <v>PEDRAPLÉN SUELTO</v>
          </cell>
          <cell r="C47" t="str">
            <v>m3</v>
          </cell>
          <cell r="D47">
            <v>7631.0349731747665</v>
          </cell>
        </row>
        <row r="48">
          <cell r="A48" t="str">
            <v>223.1</v>
          </cell>
          <cell r="B48" t="str">
            <v xml:space="preserve">GEOTEXTIL DE REFUERZO TIPO NT-2500 PARA TERRAPLENES REFORZADOS POR  GEOSINTETICOS </v>
          </cell>
          <cell r="C48" t="str">
            <v>m2</v>
          </cell>
          <cell r="D48">
            <v>10730.461403310135</v>
          </cell>
        </row>
        <row r="49">
          <cell r="A49" t="str">
            <v>223.2</v>
          </cell>
          <cell r="B49" t="str">
            <v xml:space="preserve">GEOMALLA DE REFUERZO TIPOS ASPHALT </v>
          </cell>
          <cell r="C49" t="str">
            <v>m2</v>
          </cell>
          <cell r="D49">
            <v>18573.648293346603</v>
          </cell>
        </row>
        <row r="50">
          <cell r="A50" t="str">
            <v>223.3.1</v>
          </cell>
          <cell r="B50" t="str">
            <v>RELLENO SELECCIONADO PARA TERRAPLENES REFORZADOS CON GEOSINTETICOS</v>
          </cell>
          <cell r="C50" t="str">
            <v>m3</v>
          </cell>
          <cell r="D50">
            <v>54296</v>
          </cell>
        </row>
        <row r="51">
          <cell r="A51" t="str">
            <v>223.3.2</v>
          </cell>
          <cell r="B51" t="str">
            <v>RELLENO TIPO SUB BASE GRANULAR PARA TERRAPLENES REFORZADOS CON GEOSINTETICOS</v>
          </cell>
          <cell r="C51" t="str">
            <v>m3</v>
          </cell>
          <cell r="D51">
            <v>91484.355470852955</v>
          </cell>
        </row>
        <row r="52">
          <cell r="A52" t="str">
            <v>223.3.3</v>
          </cell>
          <cell r="B52" t="str">
            <v>RELLENO TIPO BASE GRANULAR PARA TERRAPLENES REFORZADOS CON GEOSINTETICOS</v>
          </cell>
          <cell r="C52" t="str">
            <v>m3</v>
          </cell>
          <cell r="D52">
            <v>126303.87343722176</v>
          </cell>
        </row>
        <row r="53">
          <cell r="A53" t="str">
            <v>230.1</v>
          </cell>
          <cell r="B53" t="str">
            <v>MEJORAMIENTO DE LA SUBRASANTE CON ADICION DE MATERIALES</v>
          </cell>
          <cell r="C53" t="str">
            <v>m2</v>
          </cell>
          <cell r="D53">
            <v>3575.6366288725521</v>
          </cell>
        </row>
        <row r="54">
          <cell r="A54" t="str">
            <v>231.1</v>
          </cell>
          <cell r="B54" t="str">
            <v>GEOTEXTIL PARA SEPARACIÓN DE SUELOS DE SUBRASANTE Y CAPAS GRANULARES</v>
          </cell>
          <cell r="C54" t="str">
            <v>m2</v>
          </cell>
          <cell r="D54">
            <v>11592.876187820892</v>
          </cell>
        </row>
        <row r="55">
          <cell r="A55" t="str">
            <v>232.1</v>
          </cell>
          <cell r="B55" t="str">
            <v xml:space="preserve">GEOTEXTIL PARA ESTABILIZACIÓN DE LA SUBRASANTE </v>
          </cell>
          <cell r="C55" t="str">
            <v>m2</v>
          </cell>
          <cell r="D55">
            <v>9873.0499949209152</v>
          </cell>
        </row>
        <row r="56">
          <cell r="A56" t="str">
            <v>233.1</v>
          </cell>
          <cell r="B56" t="str">
            <v>GEOMALLA PARA ESTABILIZACIÒN DE SUELOS DE SUBRASANTE</v>
          </cell>
          <cell r="C56" t="str">
            <v>m2</v>
          </cell>
          <cell r="D56">
            <v>15702.690665602495</v>
          </cell>
        </row>
        <row r="57">
          <cell r="A57" t="str">
            <v>233.10</v>
          </cell>
          <cell r="B57" t="str">
            <v>GEOMALLA PARA REFUERZO DE CAPAS GRANULARES</v>
          </cell>
          <cell r="C57" t="str">
            <v>m2</v>
          </cell>
          <cell r="D57">
            <v>30624.689758949473</v>
          </cell>
        </row>
        <row r="58">
          <cell r="A58" t="str">
            <v>234.1</v>
          </cell>
          <cell r="B58" t="str">
            <v>CONFORMACIÓN DE TALUDES EXISTENTES</v>
          </cell>
          <cell r="C58" t="str">
            <v>m2</v>
          </cell>
          <cell r="D58">
            <v>1239.6180969160873</v>
          </cell>
        </row>
        <row r="59">
          <cell r="A59" t="str">
            <v>235.1</v>
          </cell>
          <cell r="B59" t="str">
            <v>SUBRASANTE ESTABILIZADA CON CEMENTO (INCLUYE EL SUMINISTRO DE CEMENTO)</v>
          </cell>
          <cell r="C59" t="str">
            <v>m3</v>
          </cell>
          <cell r="D59">
            <v>64841.908623503732</v>
          </cell>
        </row>
        <row r="60">
          <cell r="A60" t="str">
            <v>235.10</v>
          </cell>
          <cell r="B60" t="str">
            <v>SUBRASANTE ESTABILIZADA CON CEMENTO (NO INCLUYE EL SUMINISTRO DE CEMENTO)</v>
          </cell>
          <cell r="C60" t="str">
            <v>m3</v>
          </cell>
          <cell r="D60">
            <v>18169.563238646988</v>
          </cell>
        </row>
        <row r="61">
          <cell r="A61" t="str">
            <v>235.11</v>
          </cell>
          <cell r="B61" t="str">
            <v>CEMENTO PARA ESTABILIZACION DE SUBRASANTE</v>
          </cell>
          <cell r="C61" t="str">
            <v>kg</v>
          </cell>
          <cell r="D61">
            <v>583.40431731070919</v>
          </cell>
        </row>
        <row r="62">
          <cell r="A62" t="str">
            <v>236.1</v>
          </cell>
          <cell r="B62" t="str">
            <v>SUBRASANTE ESTABILIZADA CON CAL (INCLUYE SUMINISTRO DE CAL)</v>
          </cell>
          <cell r="C62" t="str">
            <v>m3</v>
          </cell>
          <cell r="D62">
            <v>115981.02037164129</v>
          </cell>
        </row>
        <row r="63">
          <cell r="A63" t="str">
            <v>236.10</v>
          </cell>
          <cell r="B63" t="str">
            <v>SUBRASANTE ESTABILIZADA CON CAL (NO INCLUYE SUMINISTRO DE CAL)</v>
          </cell>
          <cell r="C63" t="str">
            <v>m3</v>
          </cell>
          <cell r="D63">
            <v>18169.563238646988</v>
          </cell>
        </row>
        <row r="64">
          <cell r="A64" t="str">
            <v>236.11</v>
          </cell>
          <cell r="B64" t="str">
            <v>CAL HIDRATADA PARA ESTABILIZACION DE SUBRASANTE</v>
          </cell>
          <cell r="C64" t="str">
            <v>kg</v>
          </cell>
          <cell r="D64">
            <v>1222.6432141624289</v>
          </cell>
        </row>
        <row r="65">
          <cell r="A65" t="str">
            <v>310.1</v>
          </cell>
          <cell r="B65" t="str">
            <v>CONFORMACIÓN DE LA CALZADA EXISTENTE</v>
          </cell>
          <cell r="C65" t="str">
            <v>m2</v>
          </cell>
          <cell r="D65">
            <v>1165.6605794243553</v>
          </cell>
        </row>
        <row r="66">
          <cell r="A66" t="str">
            <v>311.1</v>
          </cell>
          <cell r="B66" t="str">
            <v>AFIRMADO</v>
          </cell>
          <cell r="C66" t="str">
            <v>m3</v>
          </cell>
          <cell r="D66">
            <v>50655.207449402282</v>
          </cell>
        </row>
        <row r="67">
          <cell r="A67" t="str">
            <v>312.1</v>
          </cell>
          <cell r="B67" t="str">
            <v>TRATAMIENTO PALIATIVO DE POLVO APLICADO EN FORMA SÓLIDA EN HOJUELAS</v>
          </cell>
          <cell r="C67" t="str">
            <v>Kg</v>
          </cell>
          <cell r="D67">
            <v>6227.3554439732652</v>
          </cell>
        </row>
        <row r="68">
          <cell r="A68" t="str">
            <v>312.2</v>
          </cell>
          <cell r="B68" t="str">
            <v>TRATAMIENTO PALIATIVO DE POLVO APLICADO EN FORMA SÓLIDA EN ESFERAS</v>
          </cell>
          <cell r="C68" t="str">
            <v>Kg</v>
          </cell>
          <cell r="D68">
            <v>5434.6151984371863</v>
          </cell>
        </row>
        <row r="69">
          <cell r="A69" t="str">
            <v>312.3</v>
          </cell>
          <cell r="B69" t="str">
            <v>TRATAMIENTO PALIATIVO DE POLVO APLICADO EN FORMA LÍQUIDA</v>
          </cell>
          <cell r="C69" t="str">
            <v>Lt</v>
          </cell>
          <cell r="D69">
            <v>2025.4462554350546</v>
          </cell>
        </row>
        <row r="70">
          <cell r="A70" t="str">
            <v>312.4</v>
          </cell>
          <cell r="B70" t="str">
            <v>MATERIAL GRANULAR DE ADICIÓN</v>
          </cell>
          <cell r="C70" t="str">
            <v>m3</v>
          </cell>
          <cell r="D70">
            <v>50647.445429493979</v>
          </cell>
        </row>
        <row r="71">
          <cell r="A71" t="str">
            <v>320.1</v>
          </cell>
          <cell r="B71" t="str">
            <v>SUBBASE GRANULAR CLASE A</v>
          </cell>
          <cell r="C71" t="str">
            <v>m3</v>
          </cell>
          <cell r="D71">
            <v>91412.263650965469</v>
          </cell>
        </row>
        <row r="72">
          <cell r="A72" t="str">
            <v>320.2</v>
          </cell>
          <cell r="B72" t="str">
            <v>SUBBASE GRANULAR CLASE B</v>
          </cell>
          <cell r="C72" t="str">
            <v>m3</v>
          </cell>
          <cell r="D72">
            <v>87748.607489779068</v>
          </cell>
        </row>
        <row r="73">
          <cell r="A73" t="str">
            <v>320.3</v>
          </cell>
          <cell r="B73" t="str">
            <v>SUBBASE GRANULAR CLASE C</v>
          </cell>
          <cell r="C73" t="str">
            <v>m3</v>
          </cell>
          <cell r="D73">
            <v>89829.47222333563</v>
          </cell>
        </row>
        <row r="74">
          <cell r="A74" t="str">
            <v>320.4</v>
          </cell>
          <cell r="B74" t="str">
            <v>SUB-BASE GRANULAR  PARA BACHEO CLASE A</v>
          </cell>
          <cell r="C74" t="str">
            <v>m3</v>
          </cell>
          <cell r="D74">
            <v>104182.22027618071</v>
          </cell>
        </row>
        <row r="75">
          <cell r="A75" t="str">
            <v>320.5</v>
          </cell>
          <cell r="B75" t="str">
            <v>SUB-BASE GRANULAR  PARA BACHEO CLASE B</v>
          </cell>
          <cell r="C75" t="str">
            <v>m3</v>
          </cell>
          <cell r="D75">
            <v>100518.56411499431</v>
          </cell>
        </row>
        <row r="76">
          <cell r="A76" t="str">
            <v>320.6</v>
          </cell>
          <cell r="B76" t="str">
            <v>SUB-BASE GRANULAR  PARA BACHEO CLASE C</v>
          </cell>
          <cell r="C76" t="str">
            <v>m3</v>
          </cell>
          <cell r="D76">
            <v>102599.42884855086</v>
          </cell>
        </row>
        <row r="77">
          <cell r="A77" t="str">
            <v>330.1</v>
          </cell>
          <cell r="B77" t="str">
            <v>BASE GRANULAR CLASE A</v>
          </cell>
          <cell r="C77" t="str">
            <v>m3</v>
          </cell>
          <cell r="D77">
            <v>375353.93049818149</v>
          </cell>
        </row>
        <row r="78">
          <cell r="A78" t="str">
            <v>330.2</v>
          </cell>
          <cell r="B78" t="str">
            <v>BASE GRANULAR CLASE B</v>
          </cell>
          <cell r="C78" t="str">
            <v>m3</v>
          </cell>
          <cell r="D78">
            <v>375353.93049818149</v>
          </cell>
        </row>
        <row r="79">
          <cell r="A79" t="str">
            <v>330.3</v>
          </cell>
          <cell r="B79" t="str">
            <v>BASE GRANULAR CLASE C</v>
          </cell>
          <cell r="C79" t="str">
            <v>m3</v>
          </cell>
          <cell r="D79">
            <v>127036.29155841024</v>
          </cell>
        </row>
        <row r="80">
          <cell r="A80" t="str">
            <v>330.4</v>
          </cell>
          <cell r="B80" t="str">
            <v>BASE GRANULAR PARA BACHEO CLASE A</v>
          </cell>
          <cell r="C80" t="str">
            <v>m3</v>
          </cell>
          <cell r="D80">
            <v>388123.88712339668</v>
          </cell>
        </row>
        <row r="81">
          <cell r="A81" t="str">
            <v>330.5</v>
          </cell>
          <cell r="B81" t="str">
            <v>BASE GRANULAR PARA BACHEO CLASE B</v>
          </cell>
          <cell r="C81" t="str">
            <v>m3</v>
          </cell>
          <cell r="D81">
            <v>387888.39821723267</v>
          </cell>
        </row>
        <row r="82">
          <cell r="A82" t="str">
            <v>330.6</v>
          </cell>
          <cell r="B82" t="str">
            <v>BASE GRANULAR PARA BACHEO CLASE C</v>
          </cell>
          <cell r="C82" t="str">
            <v>m3</v>
          </cell>
          <cell r="D82">
            <v>395787.9169874693</v>
          </cell>
        </row>
        <row r="83">
          <cell r="A83" t="str">
            <v>340.1</v>
          </cell>
          <cell r="B83" t="str">
            <v>BASE ESTABILIZADA CON EMULSIÓN ASFÁLTICA TIPO BEE-38</v>
          </cell>
          <cell r="C83" t="str">
            <v>m3</v>
          </cell>
          <cell r="D83">
            <v>118719.78503592676</v>
          </cell>
        </row>
        <row r="84">
          <cell r="A84" t="str">
            <v>340.2</v>
          </cell>
          <cell r="B84" t="str">
            <v xml:space="preserve"> BASE ESTABILIZADA CON EMULSIÓN ASFÁLTICA TIPO BEE-25</v>
          </cell>
          <cell r="C84" t="str">
            <v>m3</v>
          </cell>
          <cell r="D84">
            <v>126089.0445206119</v>
          </cell>
        </row>
        <row r="85">
          <cell r="A85" t="str">
            <v>340.3</v>
          </cell>
          <cell r="B85" t="str">
            <v>BASE ESTABILIZADA CON EMULSIÓN ASFÁLTICA TIPO BEE-5</v>
          </cell>
          <cell r="C85" t="str">
            <v>m3</v>
          </cell>
          <cell r="D85">
            <v>126089.0445206119</v>
          </cell>
        </row>
        <row r="86">
          <cell r="A86" t="str">
            <v>350.1</v>
          </cell>
          <cell r="B86" t="str">
            <v>SUELO-CEMENTO CLASE SC-D GRADACION TIPO A (INCLUYE SUMINISTRO DEL CEMENTO)</v>
          </cell>
          <cell r="C86" t="str">
            <v>m3</v>
          </cell>
          <cell r="D86">
            <v>167668.60976861662</v>
          </cell>
        </row>
        <row r="87">
          <cell r="A87" t="str">
            <v>350.2</v>
          </cell>
          <cell r="B87" t="str">
            <v>SUELO-CEMENTO CLASE SC-D GRADACION TIPO B (INCLUYE SUMINISTRO DEL CEMENTO)</v>
          </cell>
          <cell r="C87" t="str">
            <v>m3</v>
          </cell>
          <cell r="D87">
            <v>167433.12086245252</v>
          </cell>
        </row>
        <row r="88">
          <cell r="A88" t="str">
            <v>350.3</v>
          </cell>
          <cell r="B88" t="str">
            <v>SUELO-CEMENTO CLASE SC-R GRADACION TIPO A (INCLUYE SUMINISTRO DEL CEMENTO)</v>
          </cell>
          <cell r="C88" t="str">
            <v>m3</v>
          </cell>
          <cell r="D88">
            <v>167668.60976861662</v>
          </cell>
        </row>
        <row r="89">
          <cell r="A89" t="str">
            <v>350.4</v>
          </cell>
          <cell r="B89" t="str">
            <v>SUELO-CEMENTO CLASE SC-R GRADACION TIPO B (INCLUYE SUMINISTRO DEL CEMENTO)</v>
          </cell>
          <cell r="C89" t="str">
            <v>m3</v>
          </cell>
          <cell r="D89">
            <v>167433.12086245252</v>
          </cell>
        </row>
        <row r="90">
          <cell r="A90" t="str">
            <v>350.10</v>
          </cell>
          <cell r="B90" t="str">
            <v>SUELO-CEMENTO CLASE SC-D GRADACION TIPO A (NO INCLUYE SUMINISTRO DEL CEMENTO)</v>
          </cell>
          <cell r="C90" t="str">
            <v>m3</v>
          </cell>
          <cell r="D90">
            <v>115162.22121065277</v>
          </cell>
        </row>
        <row r="91">
          <cell r="A91" t="str">
            <v>350.11</v>
          </cell>
          <cell r="B91" t="str">
            <v>SUELO-CEMENTO CLASE SC-D GRADACION TIPO B (NO INCLUYE SUMINISTRO DEL CEMENTO)</v>
          </cell>
          <cell r="C91" t="str">
            <v>m3</v>
          </cell>
          <cell r="D91">
            <v>114926.73230448869</v>
          </cell>
        </row>
        <row r="92">
          <cell r="A92" t="str">
            <v>350.12</v>
          </cell>
          <cell r="B92" t="str">
            <v>SUELO-CEMENTO CLASE SC-R GRADACION TIPO A (NO INCLUYE SUMINISTRO DEL CEMENTO)</v>
          </cell>
          <cell r="C92" t="str">
            <v>m3</v>
          </cell>
          <cell r="D92">
            <v>115162.22121065277</v>
          </cell>
        </row>
        <row r="93">
          <cell r="A93" t="str">
            <v>350.13</v>
          </cell>
          <cell r="B93" t="str">
            <v>SUELO-CEMENTO CLASE SC-R GRADACION TIPO B (NO INCLUYE SUMINISTRO DEL CEMENTO)</v>
          </cell>
          <cell r="C93" t="str">
            <v>m3</v>
          </cell>
          <cell r="D93">
            <v>114926.73230448869</v>
          </cell>
        </row>
        <row r="94">
          <cell r="A94" t="str">
            <v>350.14</v>
          </cell>
          <cell r="B94" t="str">
            <v xml:space="preserve">CEMENTO HIDRAULICO PARA SUELO-CEMENTO </v>
          </cell>
          <cell r="C94" t="str">
            <v>Kg</v>
          </cell>
          <cell r="D94">
            <v>583.40431731070919</v>
          </cell>
        </row>
        <row r="95">
          <cell r="A95" t="str">
            <v>351.1</v>
          </cell>
          <cell r="B95" t="str">
            <v>BASE TRATADA CON CEMENTO RESISTENCIA R-3.5 (INCLUYE SUMINISTRO DE CEMENTO)</v>
          </cell>
          <cell r="C95" t="str">
            <v>m3</v>
          </cell>
          <cell r="D95">
            <v>167433.12086245252</v>
          </cell>
        </row>
        <row r="96">
          <cell r="A96" t="str">
            <v>351.2</v>
          </cell>
          <cell r="B96" t="str">
            <v>BASE TRATADA CON CEMENTO RESISTENCIA R-5.2 (INCLUYE SUMINISTRO DE CEMENTO)</v>
          </cell>
          <cell r="C96" t="str">
            <v>m3</v>
          </cell>
          <cell r="D96">
            <v>167433.12086245252</v>
          </cell>
        </row>
        <row r="97">
          <cell r="A97" t="str">
            <v>351.10</v>
          </cell>
          <cell r="B97" t="str">
            <v>BASE TRATADA CON CEMENTO RESISTENCIA R-3.5 (NO INCLUYE SUMINISTRO DE CEMENTO)</v>
          </cell>
          <cell r="C97" t="str">
            <v>m3</v>
          </cell>
          <cell r="D97">
            <v>114926.73230448869</v>
          </cell>
        </row>
        <row r="98">
          <cell r="A98" t="str">
            <v>351.11</v>
          </cell>
          <cell r="B98" t="str">
            <v>BASE TRATADA CON CEMENTO RESISTENCIA R-5.2 (NO INCLUYE SUMINISTRO DE CEMENTO)</v>
          </cell>
          <cell r="C98" t="str">
            <v>m3</v>
          </cell>
          <cell r="D98">
            <v>114926.73230448869</v>
          </cell>
        </row>
        <row r="99">
          <cell r="A99" t="str">
            <v>351.12</v>
          </cell>
          <cell r="B99" t="str">
            <v>CEMENTO HIDRAULICO PARA BASE TRATADA CON CEMENTO</v>
          </cell>
          <cell r="C99" t="str">
            <v>Kg</v>
          </cell>
          <cell r="D99">
            <v>583.40431731070919</v>
          </cell>
        </row>
        <row r="100">
          <cell r="A100" t="str">
            <v>410.1</v>
          </cell>
          <cell r="B100" t="str">
            <v>CEMENTO ASFÁLTICO DE PENETRACIÓN 40-50</v>
          </cell>
          <cell r="C100" t="str">
            <v>Kg</v>
          </cell>
          <cell r="D100">
            <v>2330.5899453814659</v>
          </cell>
        </row>
        <row r="101">
          <cell r="A101" t="str">
            <v>410.2</v>
          </cell>
          <cell r="B101" t="str">
            <v>CEMENTO ASFÁLTICO DE PENETRACIÓN 60-70.</v>
          </cell>
          <cell r="C101" t="str">
            <v>Kg</v>
          </cell>
          <cell r="D101">
            <v>1925.2232927031978</v>
          </cell>
        </row>
        <row r="102">
          <cell r="A102" t="str">
            <v>410.3</v>
          </cell>
          <cell r="B102" t="str">
            <v>CEMENTO ASFÁLTICO DE PENETRACIÓN 80-100</v>
          </cell>
          <cell r="C102" t="str">
            <v>kg</v>
          </cell>
          <cell r="D102">
            <v>1925.2232927031978</v>
          </cell>
        </row>
        <row r="103">
          <cell r="A103" t="str">
            <v>411.1</v>
          </cell>
          <cell r="B103" t="str">
            <v>SUMINISTRO DE EMULSIÓN ASFÁLTICA DE ROTURA MEDIA CRM.</v>
          </cell>
          <cell r="C103" t="str">
            <v>Lt</v>
          </cell>
          <cell r="D103">
            <v>1984.3393574725199</v>
          </cell>
        </row>
        <row r="104">
          <cell r="A104" t="str">
            <v>411.2</v>
          </cell>
          <cell r="B104" t="str">
            <v>EMULSIÓN ASFÁLTICA DE ROTURA LENTA CRL-1 ARD</v>
          </cell>
          <cell r="C104" t="str">
            <v>Lt</v>
          </cell>
          <cell r="D104">
            <v>1969.3019038496323</v>
          </cell>
        </row>
        <row r="105">
          <cell r="A105" t="str">
            <v>411.3</v>
          </cell>
          <cell r="B105" t="str">
            <v>EMULSIÓN ASFÁLTICA DE ROTURA LENTA CRL-1 ARB</v>
          </cell>
          <cell r="C105" t="str">
            <v>Lt</v>
          </cell>
          <cell r="D105">
            <v>2244.7874009221696</v>
          </cell>
        </row>
        <row r="106">
          <cell r="A106" t="str">
            <v>411.4</v>
          </cell>
          <cell r="B106" t="str">
            <v>SUMINISTRO DE EMULSIÓN ASFÁLTICA DE ROTURA LENTA CRL-1h</v>
          </cell>
          <cell r="C106" t="str">
            <v>Lt</v>
          </cell>
          <cell r="D106">
            <v>2018.4219350215292</v>
          </cell>
        </row>
        <row r="107">
          <cell r="A107" t="str">
            <v>413.1</v>
          </cell>
          <cell r="B107" t="str">
            <v xml:space="preserve">CEMENTO ASFALTICO CON GRANO DE CAUCHO RECICLADO TIPO I </v>
          </cell>
          <cell r="C107" t="str">
            <v>Kg</v>
          </cell>
          <cell r="D107">
            <v>3082.5446771249967</v>
          </cell>
        </row>
        <row r="108">
          <cell r="A108" t="str">
            <v>413.2</v>
          </cell>
          <cell r="B108" t="str">
            <v>CEMENTO ASFALTICO CON GRANO DE CAUCHO RECICLADO TIPO II</v>
          </cell>
          <cell r="C108" t="str">
            <v>Kg</v>
          </cell>
          <cell r="D108">
            <v>3044.9429850330826</v>
          </cell>
        </row>
        <row r="109">
          <cell r="A109" t="str">
            <v>413.3</v>
          </cell>
          <cell r="B109" t="str">
            <v>CEMENTO ASFALTICO CON GRANO DE CAUCHO RECICLADO TIPO  III</v>
          </cell>
          <cell r="C109" t="str">
            <v>Kg</v>
          </cell>
          <cell r="D109">
            <v>3059.9836618698482</v>
          </cell>
        </row>
        <row r="110">
          <cell r="A110" t="str">
            <v>414.1</v>
          </cell>
          <cell r="B110" t="str">
            <v>CEMENTO ASFÁLTICO MODIFICADO CON POLÍMEROS TIPO I</v>
          </cell>
          <cell r="C110" t="str">
            <v>Kg</v>
          </cell>
          <cell r="D110">
            <v>3018.8988679681715</v>
          </cell>
        </row>
        <row r="111">
          <cell r="A111" t="str">
            <v>414.2</v>
          </cell>
          <cell r="B111" t="str">
            <v>CEMENTO ASFÁLTICO MODIFICADO CON POLÍMEROS TIPO II A</v>
          </cell>
          <cell r="C111" t="str">
            <v>Kg</v>
          </cell>
          <cell r="D111">
            <v>3048.9802216417024</v>
          </cell>
        </row>
        <row r="112">
          <cell r="A112" t="str">
            <v>414.3</v>
          </cell>
          <cell r="B112" t="str">
            <v>CEMENTO ASFÁLTICO MODIFICADO CON POLÍMEROS TIPO II B</v>
          </cell>
          <cell r="C112" t="str">
            <v>Kg</v>
          </cell>
          <cell r="D112">
            <v>3048.9802216417024</v>
          </cell>
        </row>
        <row r="113">
          <cell r="A113" t="str">
            <v>414.4</v>
          </cell>
          <cell r="B113" t="str">
            <v>CEMENTO ASFÁLTICO MODIFICADO CON POLÍMEROS TIPO III</v>
          </cell>
          <cell r="C113" t="str">
            <v>Kg</v>
          </cell>
          <cell r="D113">
            <v>3035.3846771783469</v>
          </cell>
        </row>
        <row r="114">
          <cell r="A114" t="str">
            <v>414.5</v>
          </cell>
          <cell r="B114" t="str">
            <v>CEMENTO ASFÁLTICO MODIFICADO CON POLÍMEROS TIPO IV</v>
          </cell>
          <cell r="C114" t="str">
            <v>Kg</v>
          </cell>
          <cell r="D114">
            <v>3174.2013343711669</v>
          </cell>
        </row>
        <row r="115">
          <cell r="A115" t="str">
            <v>414.6</v>
          </cell>
          <cell r="B115" t="str">
            <v>CEMENTO ASFÁLTICO MODIFICADO CON POLÍMEROS TIPO V.</v>
          </cell>
          <cell r="C115" t="str">
            <v>Kg</v>
          </cell>
          <cell r="D115">
            <v>3155.7100918724727</v>
          </cell>
        </row>
        <row r="116">
          <cell r="A116" t="str">
            <v>415.1</v>
          </cell>
          <cell r="B116" t="str">
            <v>EMULSIÓN ASFÁLTICA DE ROTURA MEDIA, MODIFICADA CON POLÍMEROS, CRM-m</v>
          </cell>
          <cell r="C116" t="str">
            <v>Lt</v>
          </cell>
          <cell r="D116">
            <v>2466.0743855693622</v>
          </cell>
        </row>
        <row r="117">
          <cell r="A117" t="str">
            <v>420.1</v>
          </cell>
          <cell r="B117" t="str">
            <v>RIEGO DE IMPRIMACIÓN CON EMULSIÓN ASFÁLTICA CRL -0</v>
          </cell>
          <cell r="C117" t="str">
            <v>m2</v>
          </cell>
          <cell r="D117">
            <v>2614.2244104476599</v>
          </cell>
        </row>
        <row r="118">
          <cell r="A118" t="str">
            <v>420.2</v>
          </cell>
          <cell r="B118" t="str">
            <v>RIEGO DE IMPRIMACIÓN CON EMILSÍON ASFÁLTICA CRL-1</v>
          </cell>
          <cell r="C118" t="str">
            <v>m2</v>
          </cell>
          <cell r="D118">
            <v>2199.0026055685653</v>
          </cell>
        </row>
        <row r="119">
          <cell r="A119" t="str">
            <v>420.3</v>
          </cell>
          <cell r="B119" t="str">
            <v>RIEGO DE IMPRIMACIÓN CON ASFALTO LIQUIDO</v>
          </cell>
          <cell r="C119" t="str">
            <v>m2</v>
          </cell>
          <cell r="D119">
            <v>4580.7722833056487</v>
          </cell>
        </row>
        <row r="120">
          <cell r="A120" t="str">
            <v>421.1</v>
          </cell>
          <cell r="B120" t="str">
            <v>RIEGO DE LIGA CON EMULSIÓN ASFÁLTICA CRR-1</v>
          </cell>
          <cell r="C120" t="str">
            <v>m2</v>
          </cell>
          <cell r="D120">
            <v>1217.7485769349091</v>
          </cell>
        </row>
        <row r="121">
          <cell r="A121" t="str">
            <v>421.2</v>
          </cell>
          <cell r="B121" t="str">
            <v>RIEGO DE LIGA CON EMULSIÓN ASFÁLTICA CRR-2</v>
          </cell>
          <cell r="C121" t="str">
            <v>m2</v>
          </cell>
          <cell r="D121">
            <v>1406.0086873202711</v>
          </cell>
        </row>
        <row r="122">
          <cell r="A122" t="str">
            <v>421.3</v>
          </cell>
          <cell r="B122" t="str">
            <v xml:space="preserve"> RIEGO DE LIGA CON EMULSIÓN MODIFICADA CON POLÍMEROS CRR- 1m</v>
          </cell>
          <cell r="C122" t="str">
            <v>m2</v>
          </cell>
          <cell r="D122">
            <v>1500.2694929884688</v>
          </cell>
        </row>
        <row r="123">
          <cell r="A123" t="str">
            <v>421.4</v>
          </cell>
          <cell r="B123" t="str">
            <v xml:space="preserve"> RIEGO DE LIGA CON EMULSIÓN MODIFICADA CON POLÍMEROS CRR- 2m</v>
          </cell>
          <cell r="C123" t="str">
            <v>m2</v>
          </cell>
          <cell r="D123">
            <v>1537.2457602311201</v>
          </cell>
        </row>
        <row r="124">
          <cell r="A124" t="str">
            <v>430.1.1</v>
          </cell>
          <cell r="B124" t="str">
            <v>TRATAMIENTO SUPERFICIAL SIMPLE CON EMULSIÓN CRR-2 GRADACION 19</v>
          </cell>
          <cell r="C124" t="str">
            <v>m2</v>
          </cell>
          <cell r="D124">
            <v>6121.9720577788949</v>
          </cell>
        </row>
        <row r="125">
          <cell r="A125" t="str">
            <v>430.1.2</v>
          </cell>
          <cell r="B125" t="str">
            <v>TRATAMIENTO SUPERFICIAL SIMPLE CON EMULSIÓN CRR-2 GRADACION 13</v>
          </cell>
          <cell r="C125" t="str">
            <v>m2</v>
          </cell>
          <cell r="D125">
            <v>5113.3934359306431</v>
          </cell>
        </row>
        <row r="126">
          <cell r="A126" t="str">
            <v>430.2.1</v>
          </cell>
          <cell r="B126" t="str">
            <v>TRATAMIENTO SUPERFICIAL SIMPLE CON EMULSIÓN CRR-2 m GRADACION 19</v>
          </cell>
          <cell r="C126" t="str">
            <v>m2</v>
          </cell>
          <cell r="D126">
            <v>6121.9720577788949</v>
          </cell>
        </row>
        <row r="127">
          <cell r="A127" t="str">
            <v>430.2.2</v>
          </cell>
          <cell r="B127" t="str">
            <v>TRATAMIENTO SUPERFICIAL SIMPLE CON EMULSIÓN CRR-2m  GRADACION 13</v>
          </cell>
          <cell r="C127" t="str">
            <v>m2</v>
          </cell>
          <cell r="D127">
            <v>5113.3934359306431</v>
          </cell>
        </row>
        <row r="128">
          <cell r="A128" t="str">
            <v>431.1.1</v>
          </cell>
          <cell r="B128" t="str">
            <v>TRATAMIENTO SUPERFICIAL DOBLE CON EMULSIÓN CRR-2. TIPO 1</v>
          </cell>
          <cell r="C128" t="str">
            <v>m2</v>
          </cell>
          <cell r="D128">
            <v>12438.098998509504</v>
          </cell>
        </row>
        <row r="129">
          <cell r="A129" t="str">
            <v>431.1.2</v>
          </cell>
          <cell r="B129" t="str">
            <v>TRATAMIENTO SUPERFICIAL DOBLE CON EMULSIÓN CRR-2. TIPO 2</v>
          </cell>
          <cell r="C129" t="str">
            <v>m2</v>
          </cell>
          <cell r="D129">
            <v>10006.041741385181</v>
          </cell>
        </row>
        <row r="130">
          <cell r="A130" t="str">
            <v>431.2.1</v>
          </cell>
          <cell r="B130" t="str">
            <v>TRATAMIENTO SUPERFICIAL DOBLE CON EMULSIÓN CRR-2 m TIPO 1</v>
          </cell>
          <cell r="C130" t="str">
            <v>m2</v>
          </cell>
          <cell r="D130">
            <v>13674.643863269506</v>
          </cell>
        </row>
        <row r="131">
          <cell r="A131" t="str">
            <v>431.2.2</v>
          </cell>
          <cell r="B131" t="str">
            <v>TRATAMIENTO SUPERFICIAL DOBLE CON EMULSIÓN CRR-2 m TIPO 2</v>
          </cell>
          <cell r="C131" t="str">
            <v>m2</v>
          </cell>
          <cell r="D131">
            <v>10950.948666343296</v>
          </cell>
        </row>
        <row r="132">
          <cell r="A132" t="str">
            <v>432.1</v>
          </cell>
          <cell r="B132" t="str">
            <v>SELLO DE ARENA-ASFALTO CON EMULSIÓN CRR-2</v>
          </cell>
          <cell r="C132" t="str">
            <v>m2</v>
          </cell>
          <cell r="D132">
            <v>4304.5944478483225</v>
          </cell>
        </row>
        <row r="133">
          <cell r="A133" t="str">
            <v>432.2</v>
          </cell>
          <cell r="B133" t="str">
            <v>SELLO DE ARENA-ASFALTO CON EMULSIÓN CRR-2m</v>
          </cell>
          <cell r="C133" t="str">
            <v>m2</v>
          </cell>
          <cell r="D133">
            <v>3781.6496967778735</v>
          </cell>
        </row>
        <row r="134">
          <cell r="A134" t="str">
            <v>433.1</v>
          </cell>
          <cell r="B134" t="str">
            <v>LECHADA ASFÁLTICA CON EMULSIÓN CRL-1H, TIPO LA-13</v>
          </cell>
          <cell r="C134" t="str">
            <v>m2</v>
          </cell>
          <cell r="D134">
            <v>4431.7483328312992</v>
          </cell>
        </row>
        <row r="135">
          <cell r="A135" t="str">
            <v>433.2</v>
          </cell>
          <cell r="B135" t="str">
            <v>LECHADA ASFÁLTICA CON EMULSIÓN CRL-1H, TIPO LA-10</v>
          </cell>
          <cell r="C135" t="str">
            <v>m2</v>
          </cell>
          <cell r="D135">
            <v>4118.712287023639</v>
          </cell>
        </row>
        <row r="136">
          <cell r="A136" t="str">
            <v>433.3</v>
          </cell>
          <cell r="B136" t="str">
            <v>LECHADA ASFÁLTICA CON EMULSIÓN CRL-1H, TIPO LA-5</v>
          </cell>
          <cell r="C136" t="str">
            <v>m2</v>
          </cell>
          <cell r="D136">
            <v>4722.7250510788317</v>
          </cell>
        </row>
        <row r="137">
          <cell r="A137" t="str">
            <v>433.4</v>
          </cell>
          <cell r="B137" t="str">
            <v>LECHADA ASFÁLTICA CON EMULSIÓN CRL-1H, TIPO LA-3</v>
          </cell>
          <cell r="C137" t="str">
            <v>m2</v>
          </cell>
          <cell r="D137">
            <v>3098.1560266849738</v>
          </cell>
        </row>
        <row r="138">
          <cell r="A138" t="str">
            <v>433.5</v>
          </cell>
          <cell r="B138" t="str">
            <v>LECHADA ASFÁLTICA CON EMULSIÓN CRL-1HM ,TIPO LA-13</v>
          </cell>
          <cell r="C138" t="str">
            <v>m2</v>
          </cell>
          <cell r="D138">
            <v>4762.8078267109859</v>
          </cell>
        </row>
        <row r="139">
          <cell r="A139" t="str">
            <v>433.6</v>
          </cell>
          <cell r="B139" t="str">
            <v>LECHADA ASFÁLTICA CON EMULSIÓN CRL-1HM ,TIPO LA-10</v>
          </cell>
          <cell r="C139" t="str">
            <v>m2</v>
          </cell>
          <cell r="D139">
            <v>4438.0573680429679</v>
          </cell>
        </row>
        <row r="140">
          <cell r="A140" t="str">
            <v>433.7</v>
          </cell>
          <cell r="B140" t="str">
            <v>LECHADA ASFÁLTICA CON EMULSIÓN CRL-1HM ,TIPO LA-5</v>
          </cell>
          <cell r="C140" t="str">
            <v>m2</v>
          </cell>
          <cell r="D140">
            <v>5109.8099977689271</v>
          </cell>
        </row>
        <row r="141">
          <cell r="A141" t="str">
            <v>433.8</v>
          </cell>
          <cell r="B141" t="str">
            <v>LECHADA ASFÁLTICA CON EMULSIÓN CRL-1HM ,TIPO LA-3</v>
          </cell>
          <cell r="C141" t="str">
            <v>m2</v>
          </cell>
          <cell r="D141">
            <v>3340.0841183662833</v>
          </cell>
        </row>
        <row r="142">
          <cell r="A142" t="str">
            <v>440.1</v>
          </cell>
          <cell r="B142" t="str">
            <v>MEZCLA DENSA EN FRÍO TIPO MDF-38</v>
          </cell>
          <cell r="C142" t="str">
            <v>m3</v>
          </cell>
          <cell r="D142">
            <v>219090.22432081884</v>
          </cell>
        </row>
        <row r="143">
          <cell r="A143" t="str">
            <v>440.2</v>
          </cell>
          <cell r="B143" t="str">
            <v>MEZCLA DENSA EN FRÍO TIPO MDF-25</v>
          </cell>
          <cell r="C143" t="str">
            <v>m3</v>
          </cell>
          <cell r="D143">
            <v>219090.22432081884</v>
          </cell>
        </row>
        <row r="144">
          <cell r="A144" t="str">
            <v>440.3</v>
          </cell>
          <cell r="B144" t="str">
            <v>MEZCLA DENSA EN FRÍO TIPO MDF-19</v>
          </cell>
          <cell r="C144" t="str">
            <v>m3</v>
          </cell>
          <cell r="D144">
            <v>219090.22432081884</v>
          </cell>
        </row>
        <row r="145">
          <cell r="A145" t="str">
            <v>440.4</v>
          </cell>
          <cell r="B145" t="str">
            <v>MEZCLA DENSA EN FRÍO PARA BACHEO</v>
          </cell>
          <cell r="C145" t="str">
            <v>m3</v>
          </cell>
          <cell r="D145">
            <v>240055.08293570729</v>
          </cell>
        </row>
        <row r="146">
          <cell r="A146" t="str">
            <v>441.1</v>
          </cell>
          <cell r="B146" t="str">
            <v>MEZCLA ABIERTA EN FRÍO TIPO MAF-19</v>
          </cell>
          <cell r="C146" t="str">
            <v>m3</v>
          </cell>
          <cell r="D146">
            <v>219090.22432081884</v>
          </cell>
        </row>
        <row r="147">
          <cell r="A147" t="str">
            <v>441.2</v>
          </cell>
          <cell r="B147" t="str">
            <v>MEZCLA ABIERTA EN FRÍO TIPO MAF-25</v>
          </cell>
          <cell r="C147" t="str">
            <v>m3</v>
          </cell>
          <cell r="D147">
            <v>219090.22432081884</v>
          </cell>
        </row>
        <row r="148">
          <cell r="A148" t="str">
            <v>441.3</v>
          </cell>
          <cell r="B148" t="str">
            <v>MEZCLA ABIERTA EN FRÍO TIPO MAF-38</v>
          </cell>
          <cell r="C148" t="str">
            <v>m3</v>
          </cell>
          <cell r="D148">
            <v>219090.22432081884</v>
          </cell>
        </row>
        <row r="149">
          <cell r="A149" t="str">
            <v>441.4</v>
          </cell>
          <cell r="B149" t="str">
            <v>MEZCLA ABIERTA EN FRÍO  TIPO MAF-38 PARA BACHEO</v>
          </cell>
          <cell r="C149" t="str">
            <v>m3</v>
          </cell>
          <cell r="D149">
            <v>240055.08293570729</v>
          </cell>
        </row>
        <row r="150">
          <cell r="A150" t="str">
            <v>450.2P</v>
          </cell>
          <cell r="B150" t="str">
            <v>Mezcla Densa en Caliente tipo MDC-19 INCLUYE TRANSPORTE</v>
          </cell>
          <cell r="C150" t="str">
            <v>M3</v>
          </cell>
          <cell r="D150">
            <v>1299990.5178796239</v>
          </cell>
        </row>
        <row r="151">
          <cell r="A151" t="str">
            <v>450.1</v>
          </cell>
          <cell r="B151" t="str">
            <v>MEZCLA DENSA EN CALIENTE TIPO MDC-25</v>
          </cell>
          <cell r="C151" t="str">
            <v>m3</v>
          </cell>
          <cell r="D151">
            <v>254933.885894337</v>
          </cell>
        </row>
        <row r="152">
          <cell r="A152" t="str">
            <v>450.2</v>
          </cell>
          <cell r="B152" t="str">
            <v>MEZCLA DENSA EN CALIENTE TIPO MDC-19</v>
          </cell>
          <cell r="C152" t="str">
            <v>m3</v>
          </cell>
          <cell r="D152">
            <v>254933.885894337</v>
          </cell>
        </row>
        <row r="153">
          <cell r="A153" t="str">
            <v>450.3</v>
          </cell>
          <cell r="B153" t="str">
            <v>MEZCLA DENSA EN CALIENTE TIPO MDC-10</v>
          </cell>
          <cell r="C153" t="str">
            <v>m3</v>
          </cell>
          <cell r="D153">
            <v>254933.885894337</v>
          </cell>
        </row>
        <row r="154">
          <cell r="A154" t="str">
            <v>450.4</v>
          </cell>
          <cell r="B154" t="str">
            <v>MEZCLA SEMIDENSA EN CALIENTE TIPO MSC-25</v>
          </cell>
          <cell r="C154" t="str">
            <v>m3</v>
          </cell>
          <cell r="D154">
            <v>254933.885894337</v>
          </cell>
        </row>
        <row r="155">
          <cell r="A155" t="str">
            <v>450.5</v>
          </cell>
          <cell r="B155" t="str">
            <v>MEZCLA SEMIDENSA EN CALIENTE TIPO MSC-19</v>
          </cell>
          <cell r="C155" t="str">
            <v>m3</v>
          </cell>
          <cell r="D155">
            <v>254933.885894337</v>
          </cell>
        </row>
        <row r="156">
          <cell r="A156" t="str">
            <v>450.6</v>
          </cell>
          <cell r="B156" t="str">
            <v>MEZCLA GRUESA EN CALIENTE TIPO MGC-38</v>
          </cell>
          <cell r="C156" t="str">
            <v>m3</v>
          </cell>
          <cell r="D156">
            <v>254933.885894337</v>
          </cell>
        </row>
        <row r="157">
          <cell r="A157" t="str">
            <v>450.7</v>
          </cell>
          <cell r="B157" t="str">
            <v>MEZCLA GRUESA EN CALIENTE TIPO MGC-25</v>
          </cell>
          <cell r="C157" t="str">
            <v>m3</v>
          </cell>
          <cell r="D157">
            <v>254933.885894337</v>
          </cell>
        </row>
        <row r="158">
          <cell r="A158" t="str">
            <v>450.8</v>
          </cell>
          <cell r="B158" t="str">
            <v>MEZCLA DE ALTO MÓDULO MAM-25</v>
          </cell>
          <cell r="C158" t="str">
            <v>m3</v>
          </cell>
          <cell r="D158">
            <v>254933.885894337</v>
          </cell>
        </row>
        <row r="159">
          <cell r="A159" t="str">
            <v>450.10</v>
          </cell>
          <cell r="B159" t="str">
            <v>MEZCLA EN CALIENTE PARA BACHEO MSC-25</v>
          </cell>
          <cell r="C159" t="str">
            <v>m3</v>
          </cell>
          <cell r="D159">
            <v>294344.09180610086</v>
          </cell>
        </row>
        <row r="160">
          <cell r="A160" t="str">
            <v>450.11</v>
          </cell>
          <cell r="B160" t="str">
            <v>MEZCLA EN CALIENTE PARA BACHEO MGC-25</v>
          </cell>
          <cell r="C160" t="str">
            <v>m3</v>
          </cell>
          <cell r="D160">
            <v>294344.09180610086</v>
          </cell>
        </row>
        <row r="161">
          <cell r="A161" t="str">
            <v>450.12</v>
          </cell>
          <cell r="B161" t="str">
            <v>MEZCLA EN CALIENTE PARA BACHEO MGC-38</v>
          </cell>
          <cell r="C161" t="str">
            <v>m3</v>
          </cell>
          <cell r="D161">
            <v>294344.09180610086</v>
          </cell>
        </row>
        <row r="162">
          <cell r="A162" t="str">
            <v>451.1</v>
          </cell>
          <cell r="B162" t="str">
            <v>MEZCLA ABIERTA EN CALIENTE TIPO MAC-75</v>
          </cell>
          <cell r="C162" t="str">
            <v>m3</v>
          </cell>
          <cell r="D162">
            <v>254933.885894337</v>
          </cell>
        </row>
        <row r="163">
          <cell r="A163" t="str">
            <v>451.2</v>
          </cell>
          <cell r="B163" t="str">
            <v>MEZCLA ABIERTA EN CALIENTE TIPO MAC-63</v>
          </cell>
          <cell r="C163" t="str">
            <v>m3</v>
          </cell>
          <cell r="D163">
            <v>254933.885894337</v>
          </cell>
        </row>
        <row r="164">
          <cell r="A164" t="str">
            <v>451.3</v>
          </cell>
          <cell r="B164" t="str">
            <v>MEZCLA ABIERTA EN CALIENTE TIPO MAC-50</v>
          </cell>
          <cell r="C164" t="str">
            <v>m3</v>
          </cell>
          <cell r="D164">
            <v>254933.885894337</v>
          </cell>
        </row>
        <row r="165">
          <cell r="A165" t="str">
            <v>451.4</v>
          </cell>
          <cell r="B165" t="str">
            <v>MEZCLA ABIERTA EN CALIENTE TIPO MAC -50 PARA BACHEO</v>
          </cell>
          <cell r="C165" t="str">
            <v>m3</v>
          </cell>
          <cell r="D165">
            <v>294344.09180610086</v>
          </cell>
        </row>
        <row r="166">
          <cell r="A166" t="str">
            <v>452.1</v>
          </cell>
          <cell r="B166" t="str">
            <v>MEZCLA DISCONTINUA EN CALIENTE TIPO M-13</v>
          </cell>
          <cell r="C166" t="str">
            <v>m3</v>
          </cell>
          <cell r="D166">
            <v>254933.885894337</v>
          </cell>
        </row>
        <row r="167">
          <cell r="A167" t="str">
            <v>452.2</v>
          </cell>
          <cell r="B167" t="str">
            <v>MEZCLA DISCONTINUA EN CALIENTE TIPO M-10</v>
          </cell>
          <cell r="C167" t="str">
            <v>m3</v>
          </cell>
          <cell r="D167">
            <v>254933.885894337</v>
          </cell>
        </row>
        <row r="168">
          <cell r="A168" t="str">
            <v>452.3</v>
          </cell>
          <cell r="B168" t="str">
            <v>MEZCLA DISCONTINUA EN CALIENTE TIPO F-13</v>
          </cell>
          <cell r="C168" t="str">
            <v>m3</v>
          </cell>
          <cell r="D168">
            <v>254933.885894337</v>
          </cell>
        </row>
        <row r="169">
          <cell r="A169" t="str">
            <v>452.4</v>
          </cell>
          <cell r="B169" t="str">
            <v>MEZCLA DISCONTINUA EN CALIENTE TIPO F-10</v>
          </cell>
          <cell r="C169" t="str">
            <v>m3</v>
          </cell>
          <cell r="D169">
            <v>254933.885894337</v>
          </cell>
        </row>
        <row r="170">
          <cell r="A170" t="str">
            <v>453.1</v>
          </cell>
          <cell r="B170" t="str">
            <v>MEZCLA DRENANTE</v>
          </cell>
          <cell r="C170" t="str">
            <v>m3</v>
          </cell>
          <cell r="D170">
            <v>257562.6287138669</v>
          </cell>
        </row>
        <row r="171">
          <cell r="A171" t="str">
            <v>460.1</v>
          </cell>
          <cell r="B171" t="str">
            <v>FRESADO DE PAVIMENTO ASFÁLTICO EN ESPESOR DE  10 CM</v>
          </cell>
          <cell r="C171" t="str">
            <v>m2</v>
          </cell>
          <cell r="D171">
            <v>11684.328734742659</v>
          </cell>
        </row>
        <row r="172">
          <cell r="A172" t="str">
            <v>460.2</v>
          </cell>
          <cell r="B172" t="str">
            <v>FRESADO DE PAVIMENTO ASFÁLTICO EN ESPESOR DE 5 CM</v>
          </cell>
          <cell r="C172" t="str">
            <v>m2</v>
          </cell>
          <cell r="D172">
            <v>5842.1643673713297</v>
          </cell>
        </row>
        <row r="173">
          <cell r="A173" t="str">
            <v>461.1</v>
          </cell>
          <cell r="B173" t="str">
            <v>PAVIMENTO RECICLADO EN FRÍO EN EL LUGAR CON EMULSIÓN ASFÁLTICA</v>
          </cell>
          <cell r="C173" t="str">
            <v>m3</v>
          </cell>
          <cell r="D173">
            <v>160925.41355373547</v>
          </cell>
        </row>
        <row r="174">
          <cell r="A174" t="str">
            <v>461.2</v>
          </cell>
          <cell r="B174" t="str">
            <v>PAVIMENTO RECICLADO EN FRÍO EN EL LUGAR CON CEMENTO ASFÁLTICO ESPUMADO</v>
          </cell>
          <cell r="C174" t="str">
            <v>m3</v>
          </cell>
          <cell r="D174">
            <v>133174.54775759074</v>
          </cell>
        </row>
        <row r="175">
          <cell r="A175" t="str">
            <v>462.1.1</v>
          </cell>
          <cell r="B175" t="str">
            <v>MEZCLA ASFALTICA RECICLADA EN CALIENTE DE TIPO MDC-25</v>
          </cell>
          <cell r="C175" t="str">
            <v>m3</v>
          </cell>
          <cell r="D175">
            <v>205049.01707115603</v>
          </cell>
        </row>
        <row r="176">
          <cell r="A176" t="str">
            <v>462.1.2</v>
          </cell>
          <cell r="B176" t="str">
            <v>MEZCLA ASFALTICA RECICLADA EN CALIENTE DE TIPO MDC-19</v>
          </cell>
          <cell r="C176" t="str">
            <v>m3</v>
          </cell>
          <cell r="D176">
            <v>213321.89080214762</v>
          </cell>
        </row>
        <row r="177">
          <cell r="A177" t="str">
            <v>462.2.1</v>
          </cell>
          <cell r="B177" t="str">
            <v>MEZCLA ASFALTICA RECICLADA EN CALIENTE DE TIPO MDC-25 PARA BACHEO</v>
          </cell>
          <cell r="C177" t="str">
            <v>m3</v>
          </cell>
          <cell r="D177">
            <v>221653.18445238221</v>
          </cell>
        </row>
        <row r="178">
          <cell r="A178" t="str">
            <v>462.2.2</v>
          </cell>
          <cell r="B178" t="str">
            <v>MEZCLA ASFALTICA RECICLADA EN CALIENTE DE TIPO MDC-19  PARA BACHEO</v>
          </cell>
          <cell r="C178" t="str">
            <v>m3</v>
          </cell>
          <cell r="D178">
            <v>199798.98485492141</v>
          </cell>
        </row>
        <row r="179">
          <cell r="A179" t="str">
            <v>464.1</v>
          </cell>
          <cell r="B179" t="str">
            <v>GEOTEXTIL PARA REPAVIMENTACIÒN</v>
          </cell>
          <cell r="C179" t="str">
            <v>m2</v>
          </cell>
          <cell r="D179">
            <v>8745.9154805000653</v>
          </cell>
        </row>
        <row r="180">
          <cell r="A180" t="str">
            <v>465.1</v>
          </cell>
          <cell r="B180" t="str">
            <v>EXCAVACIÓN PARA REPARACIÓN DE PAVIMENTO ASFÁLTICO EXISTENTE INCLUYENDO EL CORTE Y LA REMOCIÒN DE LAS CAPAS ASFALTICAS SUBYACENTES</v>
          </cell>
          <cell r="C180" t="str">
            <v>m3</v>
          </cell>
          <cell r="D180">
            <v>152185.3287895511</v>
          </cell>
        </row>
        <row r="181">
          <cell r="A181" t="str">
            <v>465.2</v>
          </cell>
          <cell r="B181" t="str">
            <v>EXCAVACIÒN PARA LA REPARACIÒN DE PAVIMENTO ASFALTICO EXISTENTE EXCLUYENDO EL CORTE Y LA REMOCIÒN DE LAS CAPAS ASFALTICAS Y DE LAS SUBYACENTES.</v>
          </cell>
          <cell r="C181" t="str">
            <v>m3</v>
          </cell>
          <cell r="D181">
            <v>27336.070614424731</v>
          </cell>
        </row>
        <row r="182">
          <cell r="A182" t="str">
            <v>466.1</v>
          </cell>
          <cell r="B182" t="str">
            <v>SELLO DE GRIETAS EN PAVIMENTO ASFÁLTICO SIN RUTEO.</v>
          </cell>
          <cell r="C182" t="str">
            <v>m</v>
          </cell>
          <cell r="D182">
            <v>3432.515794621344</v>
          </cell>
        </row>
        <row r="183">
          <cell r="A183" t="str">
            <v>466.2</v>
          </cell>
          <cell r="B183" t="str">
            <v>SELLO DE GRIETAS EN PAVIMENTO ASFÁLTICO CON RUTEO.</v>
          </cell>
          <cell r="C183" t="str">
            <v>m</v>
          </cell>
          <cell r="D183">
            <v>5429.2848370389484</v>
          </cell>
        </row>
        <row r="184">
          <cell r="A184" t="str">
            <v>500.1</v>
          </cell>
          <cell r="B184" t="str">
            <v>PAVIMENTO DE CONCRETO HIDRÁULICO.</v>
          </cell>
          <cell r="C184" t="str">
            <v>m3</v>
          </cell>
          <cell r="D184">
            <v>780147.21001257375</v>
          </cell>
        </row>
        <row r="185">
          <cell r="A185" t="str">
            <v>500.2</v>
          </cell>
          <cell r="B185" t="str">
            <v>PAVIMENTO DE CONCRETO HIDRÁULICO DE FRAGUADO RAPIDO (FAST TRACK)</v>
          </cell>
          <cell r="C185" t="str">
            <v>m3</v>
          </cell>
          <cell r="D185">
            <v>803307.32550748449</v>
          </cell>
        </row>
        <row r="186">
          <cell r="A186" t="str">
            <v>501.1</v>
          </cell>
          <cell r="B186" t="str">
            <v>CEMENTO PORTHLAND, NORMA ASTM C150, TIPO ______ . SE DEBE ELABORAR UN ITEM DE PAGO PARA CADA TIPO DE CEMENTO QUE SE ESPECIFIQUE EN LOS DOCUMENTOS DEL CONTRATO.</v>
          </cell>
          <cell r="C186" t="str">
            <v>kg</v>
          </cell>
          <cell r="D186">
            <v>827.66870157573067</v>
          </cell>
        </row>
        <row r="187">
          <cell r="A187" t="str">
            <v>501.10</v>
          </cell>
          <cell r="B187" t="str">
            <v>CEMENTO HIDRAULICO  SDICIONADO, NORMA ASTM C595, TIPO ______ SE DEBE ELABORAR UN ITEM DE PAGO PARA CADA TIPO DE CEMENTO QUE SE ESPECIFIQUE EN LOS DOCUMENTOS DEL CONTRATO</v>
          </cell>
          <cell r="C187" t="str">
            <v>kg</v>
          </cell>
          <cell r="D187">
            <v>876.24722699957101</v>
          </cell>
        </row>
        <row r="188">
          <cell r="A188" t="str">
            <v>501.20</v>
          </cell>
          <cell r="B188" t="str">
            <v xml:space="preserve">CEMENTO HIDRAULICO ESPECIFICADO POR DESEMPEÑO, NORMA ASTM C1137, TIPO ______ .SE DEBE ELABORAR UN ITEM DE PAGO PARA CADA TIPO DE CEMENTO QUE SE ESPECIFIQUE EN LOS DOCUMENTOS DEL CONTRATO. </v>
          </cell>
          <cell r="C188" t="str">
            <v>kg</v>
          </cell>
          <cell r="D188">
            <v>583.40431731070919</v>
          </cell>
        </row>
        <row r="189">
          <cell r="A189" t="str">
            <v>505.1</v>
          </cell>
          <cell r="B189" t="str">
            <v xml:space="preserve">BASE DE CONCRETO HIDRÁULICO </v>
          </cell>
          <cell r="C189" t="str">
            <v>m3</v>
          </cell>
          <cell r="D189">
            <v>717286.17544966796</v>
          </cell>
        </row>
        <row r="190">
          <cell r="A190" t="str">
            <v>510.1</v>
          </cell>
          <cell r="B190" t="str">
            <v>PAVIMENTO DE ADOQUINES DE CONCRETO.</v>
          </cell>
          <cell r="C190" t="str">
            <v>m2</v>
          </cell>
          <cell r="D190">
            <v>106163.34805800246</v>
          </cell>
        </row>
        <row r="191">
          <cell r="A191" t="str">
            <v>600.1.1</v>
          </cell>
          <cell r="B191" t="str">
            <v>EXCAVACIONES VARIAS SIN CLASIFICAR</v>
          </cell>
          <cell r="C191" t="str">
            <v>m3</v>
          </cell>
          <cell r="D191">
            <v>67953.950275344076</v>
          </cell>
        </row>
        <row r="192">
          <cell r="A192" t="str">
            <v>600.2.1</v>
          </cell>
          <cell r="B192" t="str">
            <v>EXCAVACIONES VARIAS EN ROCA EN SECO.</v>
          </cell>
          <cell r="C192" t="str">
            <v>m3</v>
          </cell>
          <cell r="D192">
            <v>166029.06784256254</v>
          </cell>
        </row>
        <row r="193">
          <cell r="A193" t="str">
            <v>600.2.2</v>
          </cell>
          <cell r="B193" t="str">
            <v>EXCAVACIONES VARIAS EN ROCA BAJO AGUA.</v>
          </cell>
          <cell r="C193" t="str">
            <v>m3</v>
          </cell>
          <cell r="D193">
            <v>210887.4584426099</v>
          </cell>
        </row>
        <row r="194">
          <cell r="A194" t="str">
            <v>600.2.3</v>
          </cell>
          <cell r="B194" t="str">
            <v>EXCAVACIONES VARIAS EN MATERIAL COMUN EN SECO</v>
          </cell>
          <cell r="C194" t="str">
            <v>m3</v>
          </cell>
          <cell r="D194">
            <v>78156.194860094198</v>
          </cell>
        </row>
        <row r="195">
          <cell r="A195" t="str">
            <v>600.2.4</v>
          </cell>
          <cell r="B195" t="str">
            <v>EXCAVACIONES VARIAS EN MATERIAL COMÚN BAJO AGUA.</v>
          </cell>
          <cell r="C195" t="str">
            <v>m3</v>
          </cell>
          <cell r="D195">
            <v>84833.800787215107</v>
          </cell>
        </row>
        <row r="196">
          <cell r="A196" t="str">
            <v>610.1</v>
          </cell>
          <cell r="B196" t="str">
            <v>RELLENOS PARA ESTRUCTURAS CON SUELO.</v>
          </cell>
          <cell r="C196" t="str">
            <v>m3</v>
          </cell>
          <cell r="D196">
            <v>164362.8922747685</v>
          </cell>
        </row>
        <row r="197">
          <cell r="A197" t="str">
            <v>610.2</v>
          </cell>
          <cell r="B197" t="str">
            <v>RELLENOS PARA ESTRUCTURAS CON RECEBO.</v>
          </cell>
          <cell r="C197" t="str">
            <v>m3</v>
          </cell>
          <cell r="D197">
            <v>158991.85064822523</v>
          </cell>
        </row>
        <row r="198">
          <cell r="A198" t="str">
            <v>610.3</v>
          </cell>
          <cell r="B198" t="str">
            <v>RELLENO PARA ESTRUCTURAS CON MATERIAL GRANULAR TIPO SBG</v>
          </cell>
          <cell r="C198" t="str">
            <v>m3</v>
          </cell>
          <cell r="D198">
            <v>345244.47075190488</v>
          </cell>
        </row>
        <row r="199">
          <cell r="A199" t="str">
            <v>610.4</v>
          </cell>
          <cell r="B199" t="str">
            <v>RELLENO PARA ESTRUCTURAS CON MATERIAL GRANULAR TIPO BG</v>
          </cell>
          <cell r="C199" t="str">
            <v>m3</v>
          </cell>
          <cell r="D199">
            <v>367582.33267227712</v>
          </cell>
        </row>
        <row r="200">
          <cell r="A200" t="str">
            <v>610.5</v>
          </cell>
          <cell r="B200" t="str">
            <v>RELLENOS CON MATERIAL FILTRANTE</v>
          </cell>
          <cell r="C200" t="str">
            <v>m3</v>
          </cell>
          <cell r="D200">
            <v>356963.71048533591</v>
          </cell>
        </row>
        <row r="201">
          <cell r="A201" t="str">
            <v>610.6</v>
          </cell>
          <cell r="B201" t="str">
            <v>RELLENO CON GRAVILLA</v>
          </cell>
          <cell r="C201" t="str">
            <v>m3</v>
          </cell>
          <cell r="D201">
            <v>348558.37373133539</v>
          </cell>
        </row>
        <row r="202">
          <cell r="A202" t="str">
            <v>610.7</v>
          </cell>
          <cell r="B202" t="str">
            <v>RELLENO CON ARENA</v>
          </cell>
          <cell r="C202" t="str">
            <v>m3</v>
          </cell>
          <cell r="D202">
            <v>378376.35190168535</v>
          </cell>
        </row>
        <row r="203">
          <cell r="A203" t="str">
            <v>620.1</v>
          </cell>
          <cell r="B203" t="str">
            <v>PILOTES PREFABRICADOS DE CONCRETO DIÁMETRO 0,40 M</v>
          </cell>
          <cell r="C203" t="str">
            <v>m</v>
          </cell>
          <cell r="D203">
            <v>354617.06646876479</v>
          </cell>
        </row>
        <row r="204">
          <cell r="A204" t="str">
            <v>620.2</v>
          </cell>
          <cell r="B204" t="str">
            <v>EXTENSION DE PILOTES, SECCION, 0.40 METROS</v>
          </cell>
          <cell r="C204" t="str">
            <v>m</v>
          </cell>
          <cell r="D204">
            <v>354617.06646876479</v>
          </cell>
        </row>
        <row r="205">
          <cell r="A205" t="str">
            <v>620.3</v>
          </cell>
          <cell r="B205" t="str">
            <v>PRUEBA DE CARGA TIPO ________ SE DEBERA ELABORA R ITEMS DE PAGO INDEPENDIENTE POR CADA TIPO DE PRUEBA.</v>
          </cell>
          <cell r="C205" t="str">
            <v>Unidad</v>
          </cell>
          <cell r="D205">
            <v>83774677.837114468</v>
          </cell>
        </row>
        <row r="206">
          <cell r="A206" t="str">
            <v>621.1.1</v>
          </cell>
          <cell r="B206" t="str">
            <v>PILOTE DE CONCRETO VACIADO IN SITU, DE DIÁMETRO 1 M_</v>
          </cell>
          <cell r="C206" t="str">
            <v>m</v>
          </cell>
          <cell r="D206">
            <v>2541005.3171792314</v>
          </cell>
        </row>
        <row r="207">
          <cell r="A207" t="str">
            <v>621.1.2</v>
          </cell>
          <cell r="B207" t="str">
            <v>PILOTE DE CONCRETO VACIADO IN SITU, DE DIÁMETRO 1,2 M, INCLUYE EXCAVACIÓN EN ROCA, BAJO AGUA</v>
          </cell>
          <cell r="C207" t="str">
            <v>m</v>
          </cell>
          <cell r="D207">
            <v>3933548.4361093715</v>
          </cell>
        </row>
        <row r="208">
          <cell r="A208" t="str">
            <v>621.1.3P</v>
          </cell>
          <cell r="B208" t="str">
            <v>Pilote de Concreto Vaciado In Situ, de diámetro 1,5 m</v>
          </cell>
          <cell r="C208" t="str">
            <v>M</v>
          </cell>
          <cell r="D208">
            <v>3739946.3594277431</v>
          </cell>
        </row>
        <row r="209">
          <cell r="A209" t="str">
            <v>621.2</v>
          </cell>
          <cell r="B209" t="str">
            <v>BASE ACAMPANADA.</v>
          </cell>
          <cell r="C209" t="str">
            <v>m3</v>
          </cell>
          <cell r="D209">
            <v>2673818.3096698695</v>
          </cell>
        </row>
        <row r="210">
          <cell r="A210" t="str">
            <v>621.3</v>
          </cell>
          <cell r="B210" t="str">
            <v>PERFORACION DE PRUEBA PARA PILOTE, D= VARIABLE</v>
          </cell>
          <cell r="C210" t="str">
            <v>m</v>
          </cell>
          <cell r="D210">
            <v>77314073.685498074</v>
          </cell>
        </row>
        <row r="211">
          <cell r="A211" t="str">
            <v>621.4</v>
          </cell>
          <cell r="B211" t="str">
            <v>PERFORACION DE PRUEBA PARA BASE ACAMPANADA</v>
          </cell>
          <cell r="C211" t="str">
            <v>m3</v>
          </cell>
          <cell r="D211">
            <v>69302096.116004288</v>
          </cell>
        </row>
        <row r="212">
          <cell r="A212" t="str">
            <v>621.5</v>
          </cell>
          <cell r="B212" t="str">
            <v>CAMISA PERMANENTE DE DIÁMETRO EXTERIOR VARIABLE</v>
          </cell>
          <cell r="C212" t="str">
            <v>m</v>
          </cell>
          <cell r="D212">
            <v>4333676.1421486689</v>
          </cell>
        </row>
        <row r="213">
          <cell r="A213" t="str">
            <v>621.5.1</v>
          </cell>
          <cell r="B213" t="str">
            <v>CAMISA PERMANENTE DE DIÁMETRO EXTERIOR 1,50 M, EN CONCRETO</v>
          </cell>
          <cell r="C213" t="str">
            <v>m</v>
          </cell>
          <cell r="D213">
            <v>655144.15811912238</v>
          </cell>
        </row>
        <row r="214">
          <cell r="A214" t="str">
            <v>621.6</v>
          </cell>
          <cell r="B214" t="str">
            <v>PRUEBA DE CARGA TIPO (PILOTE PRE EXCAVADO)</v>
          </cell>
          <cell r="C214" t="str">
            <v>Unidad</v>
          </cell>
          <cell r="D214">
            <v>78341432.111040905</v>
          </cell>
        </row>
        <row r="215">
          <cell r="A215" t="str">
            <v>621.7</v>
          </cell>
          <cell r="B215" t="str">
            <v>PRUEBA DE INTEGRIDAD TIPO ____</v>
          </cell>
          <cell r="C215" t="str">
            <v>Unidad</v>
          </cell>
          <cell r="D215">
            <v>658879.98884650331</v>
          </cell>
        </row>
        <row r="216">
          <cell r="A216" t="str">
            <v>622.1</v>
          </cell>
          <cell r="B216" t="str">
            <v>TABLESTACADO DE MADERA</v>
          </cell>
          <cell r="C216" t="str">
            <v>m2</v>
          </cell>
          <cell r="D216">
            <v>99329.144102176113</v>
          </cell>
        </row>
        <row r="217">
          <cell r="A217" t="str">
            <v>622.2</v>
          </cell>
          <cell r="B217" t="str">
            <v>TABLESTACADO METÁLICO.</v>
          </cell>
          <cell r="C217" t="str">
            <v>m2</v>
          </cell>
          <cell r="D217">
            <v>382295.03928206605</v>
          </cell>
        </row>
        <row r="218">
          <cell r="A218" t="str">
            <v>622.3</v>
          </cell>
          <cell r="B218" t="str">
            <v>TABLESTACADO DE CONCRETO REFORZADO.</v>
          </cell>
          <cell r="C218" t="str">
            <v>m2</v>
          </cell>
          <cell r="D218">
            <v>862844.77213726996</v>
          </cell>
        </row>
        <row r="219">
          <cell r="A219" t="str">
            <v>622.4</v>
          </cell>
          <cell r="B219" t="str">
            <v>TABLESTACADO DE CONCRETO PRE ESFORZADO.</v>
          </cell>
          <cell r="C219" t="str">
            <v>m2</v>
          </cell>
          <cell r="D219">
            <v>861687.58405779558</v>
          </cell>
        </row>
        <row r="220">
          <cell r="A220" t="str">
            <v>622.5</v>
          </cell>
          <cell r="B220" t="str">
            <v>CORTE DEL EXTREMO SUPERIOR DEL ELEMENTO.</v>
          </cell>
          <cell r="C220" t="str">
            <v>m</v>
          </cell>
          <cell r="D220">
            <v>71971.306561793725</v>
          </cell>
        </row>
        <row r="221">
          <cell r="A221" t="str">
            <v>623.1</v>
          </cell>
          <cell r="B221" t="str">
            <v>ANCLAJE TIPO _____ (ROCA)</v>
          </cell>
          <cell r="C221" t="str">
            <v>m</v>
          </cell>
          <cell r="D221">
            <v>492666.1589690086</v>
          </cell>
        </row>
        <row r="222">
          <cell r="A222" t="str">
            <v>623.2</v>
          </cell>
          <cell r="B222" t="str">
            <v>PRUEBA DE CARGA</v>
          </cell>
          <cell r="C222" t="str">
            <v>unidad</v>
          </cell>
          <cell r="D222">
            <v>2600636.5036780238</v>
          </cell>
        </row>
        <row r="223">
          <cell r="A223" t="str">
            <v>630P</v>
          </cell>
          <cell r="B223" t="str">
            <v>BOLSACRETO 1M3(21MPA)</v>
          </cell>
          <cell r="C223" t="str">
            <v>M3</v>
          </cell>
          <cell r="D223">
            <v>1058308.5970719282</v>
          </cell>
        </row>
        <row r="224">
          <cell r="A224" t="str">
            <v>630.1</v>
          </cell>
          <cell r="B224" t="str">
            <v xml:space="preserve">CONCRETO RESISTENCIA 35MPA (A) </v>
          </cell>
          <cell r="C224" t="str">
            <v>m3</v>
          </cell>
          <cell r="D224">
            <v>1250530.5558106648</v>
          </cell>
        </row>
        <row r="225">
          <cell r="A225" t="str">
            <v>630.2</v>
          </cell>
          <cell r="B225" t="str">
            <v>CONCRETO RESISTENCIA 32MPA (B)</v>
          </cell>
          <cell r="C225" t="str">
            <v>m3</v>
          </cell>
          <cell r="D225">
            <v>1211697.1647336509</v>
          </cell>
        </row>
        <row r="226">
          <cell r="A226" t="str">
            <v>630.3</v>
          </cell>
          <cell r="B226" t="str">
            <v>CONCRETO RESISTENCIA 28MPA (C )</v>
          </cell>
          <cell r="C226" t="str">
            <v>m3</v>
          </cell>
          <cell r="D226">
            <v>821900.06755201006</v>
          </cell>
        </row>
        <row r="227">
          <cell r="A227" t="str">
            <v>630.4</v>
          </cell>
          <cell r="B227" t="str">
            <v>CONCRETO RESISTENCIA 21MPA (D)</v>
          </cell>
          <cell r="C227" t="str">
            <v>m3</v>
          </cell>
          <cell r="D227">
            <v>871855.23056364793</v>
          </cell>
        </row>
        <row r="228">
          <cell r="A228" t="str">
            <v>630.5</v>
          </cell>
          <cell r="B228" t="str">
            <v>CONCRETO RESISTENCIA 17.5MPA (E )</v>
          </cell>
          <cell r="C228" t="str">
            <v>m3</v>
          </cell>
          <cell r="D228">
            <v>735031.04931538599</v>
          </cell>
        </row>
        <row r="229">
          <cell r="A229" t="str">
            <v>630.6</v>
          </cell>
          <cell r="B229" t="str">
            <v>CONCRETO RESISTENCIA 14MPA  (F)</v>
          </cell>
          <cell r="C229" t="str">
            <v>m3</v>
          </cell>
          <cell r="D229">
            <v>674387.0151947831</v>
          </cell>
        </row>
        <row r="230">
          <cell r="A230" t="str">
            <v>630.7</v>
          </cell>
          <cell r="B230" t="str">
            <v>CONCRETO RESISTENCIA 14MPA (G) (CICLOPEO)</v>
          </cell>
          <cell r="C230" t="str">
            <v>m3</v>
          </cell>
          <cell r="D230">
            <v>530138.01220093726</v>
          </cell>
        </row>
        <row r="231">
          <cell r="A231" t="str">
            <v>632P</v>
          </cell>
          <cell r="B231" t="str">
            <v>Baranda Metalica</v>
          </cell>
          <cell r="C231" t="str">
            <v>m</v>
          </cell>
          <cell r="D231">
            <v>728266.59139089473</v>
          </cell>
        </row>
        <row r="232">
          <cell r="A232" t="str">
            <v>632.1</v>
          </cell>
          <cell r="B232" t="str">
            <v>BARANDA DE CONCRETO, COCRETO 21 MPA</v>
          </cell>
          <cell r="C232" t="str">
            <v>m</v>
          </cell>
          <cell r="D232">
            <v>385255.59671805514</v>
          </cell>
        </row>
        <row r="233">
          <cell r="A233" t="str">
            <v>632.2</v>
          </cell>
          <cell r="B233" t="str">
            <v>BARANDA DE CONCRETO CONCRETO 28 MPA.</v>
          </cell>
          <cell r="C233" t="str">
            <v>m</v>
          </cell>
          <cell r="D233">
            <v>392581.57150291529</v>
          </cell>
        </row>
        <row r="234">
          <cell r="A234" t="str">
            <v>640.1</v>
          </cell>
          <cell r="B234" t="str">
            <v>ACERO DE REFUERZO FY 4200 MPA.</v>
          </cell>
          <cell r="C234" t="str">
            <v>kg</v>
          </cell>
          <cell r="D234">
            <v>6085.8496982034649</v>
          </cell>
        </row>
        <row r="235">
          <cell r="A235" t="str">
            <v>640.2</v>
          </cell>
          <cell r="B235" t="str">
            <v>MALLA DE REFUERZO FY 4200 MPA.</v>
          </cell>
          <cell r="C235" t="str">
            <v>kg</v>
          </cell>
          <cell r="D235">
            <v>6310.1381221336305</v>
          </cell>
        </row>
        <row r="236">
          <cell r="A236" t="str">
            <v>641.1</v>
          </cell>
          <cell r="B236" t="str">
            <v>ACERO DE PREESFUERZO.</v>
          </cell>
          <cell r="C236" t="str">
            <v>tf/m</v>
          </cell>
          <cell r="D236">
            <v>1942.1866698730159</v>
          </cell>
        </row>
        <row r="237">
          <cell r="A237" t="str">
            <v>641.2</v>
          </cell>
          <cell r="B237" t="str">
            <v>ACERO DE PREESFUERZO.</v>
          </cell>
          <cell r="C237" t="str">
            <v>kg</v>
          </cell>
          <cell r="D237">
            <v>46951.916614062517</v>
          </cell>
        </row>
        <row r="238">
          <cell r="A238" t="str">
            <v>642.1</v>
          </cell>
          <cell r="B238" t="str">
            <v>APOYO ELASTOMÉRICO.</v>
          </cell>
          <cell r="C238" t="str">
            <v>Unidad</v>
          </cell>
          <cell r="D238">
            <v>678003.49061381829</v>
          </cell>
        </row>
        <row r="239">
          <cell r="A239" t="str">
            <v>642.2</v>
          </cell>
          <cell r="B239" t="str">
            <v>SELLO PARA JUNTAS DE PUENTES.</v>
          </cell>
          <cell r="C239" t="str">
            <v>m</v>
          </cell>
          <cell r="D239">
            <v>50493.89573688127</v>
          </cell>
        </row>
        <row r="240">
          <cell r="A240" t="str">
            <v>650.1</v>
          </cell>
          <cell r="B240" t="str">
            <v>DISEÑO Y FABRICACIÓN DE ESTRUCTURA METÁLICA.</v>
          </cell>
          <cell r="C240" t="str">
            <v>kg</v>
          </cell>
          <cell r="D240">
            <v>10553.263617928445</v>
          </cell>
        </row>
        <row r="241">
          <cell r="A241" t="str">
            <v>650.2</v>
          </cell>
          <cell r="B241" t="str">
            <v>FABRICACIÓN DE ESTRUCTURA METÁLICA.</v>
          </cell>
          <cell r="C241" t="str">
            <v>kg</v>
          </cell>
          <cell r="D241">
            <v>10367.457973672588</v>
          </cell>
        </row>
        <row r="242">
          <cell r="A242" t="str">
            <v>650.3</v>
          </cell>
          <cell r="B242" t="str">
            <v>TRANSPORTE DE ESTRUCTURA METÁLICA.</v>
          </cell>
          <cell r="C242" t="str">
            <v>kg</v>
          </cell>
          <cell r="D242">
            <v>0.5962866989450577</v>
          </cell>
        </row>
        <row r="243">
          <cell r="A243" t="str">
            <v>650.4</v>
          </cell>
          <cell r="B243" t="str">
            <v>MONTAJE Y PINTURA  DE ESTRUCTURA METÁLICA.</v>
          </cell>
          <cell r="C243" t="str">
            <v>kg</v>
          </cell>
          <cell r="D243">
            <v>4365.9327302706515</v>
          </cell>
        </row>
        <row r="244">
          <cell r="A244" t="str">
            <v>660.1</v>
          </cell>
          <cell r="B244" t="str">
            <v>TUBERÍA DE CONCRETO SIMPLE 14 MPA DE 450 MM DE DIAMETRO INTERIOR. SE DEBERA ELABORAR ITEM DE PAGO POR CADA CLASE DE TUBERIA DE CONCRETO SIMPLE Y CADA DIAMETRO QUE TENGAN LAS TUBERIAS DEL PROYECTO.</v>
          </cell>
          <cell r="C244" t="str">
            <v>m2</v>
          </cell>
          <cell r="D244">
            <v>366937.43769187795</v>
          </cell>
        </row>
        <row r="245">
          <cell r="A245" t="str">
            <v>660.2</v>
          </cell>
          <cell r="B245"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5" t="str">
            <v>m</v>
          </cell>
          <cell r="D245">
            <v>421400.40709563717</v>
          </cell>
        </row>
        <row r="246">
          <cell r="A246" t="str">
            <v>661.1</v>
          </cell>
          <cell r="B246" t="str">
            <v>TUBERÍA DE CONCRETO REFORZADO  21 MPA DE 900 MM DE DIAMETRO INTERIOR</v>
          </cell>
          <cell r="C246" t="str">
            <v>m</v>
          </cell>
          <cell r="D246">
            <v>689897.64607454219</v>
          </cell>
        </row>
        <row r="247">
          <cell r="A247" t="str">
            <v>662.1</v>
          </cell>
          <cell r="B247" t="str">
            <v>TUBERÍA CORRUGADA DE ACERO GALVANIZADO MP-68, DE LÁMINA CALIBRE__ Y DIAMETRO __</v>
          </cell>
          <cell r="C247" t="str">
            <v>m</v>
          </cell>
          <cell r="D247">
            <v>455684.47566871851</v>
          </cell>
        </row>
        <row r="248">
          <cell r="A248" t="str">
            <v>662.2</v>
          </cell>
          <cell r="B248" t="str">
            <v>TUBERÍA CORRUGADA DE ACERO CON RECUBRIMIENTO BITUMINOSO, DE LÁMINA CALIBRE 12  Y D=60´´</v>
          </cell>
          <cell r="C248" t="str">
            <v>m</v>
          </cell>
          <cell r="D248">
            <v>434379.43961531576</v>
          </cell>
        </row>
        <row r="249">
          <cell r="A249" t="str">
            <v>663.1</v>
          </cell>
          <cell r="B249" t="str">
            <v>TUBERÍA DE PLASTICO TIPO__NORMA___DE DIAMETRO__MM</v>
          </cell>
          <cell r="C249" t="str">
            <v>m</v>
          </cell>
          <cell r="D249">
            <v>19097.278577366022</v>
          </cell>
        </row>
        <row r="250">
          <cell r="A250" t="str">
            <v>670.1</v>
          </cell>
          <cell r="B250" t="str">
            <v>DISIPADORES DE ENERGÍA Y SEDIMENTADORES EN GAVIONES DE ALAMBRE DE ACERO ENTRELAZADO CLASE 1: RECUBRIMIENTO DE ZINC (GALVANIZADO)</v>
          </cell>
          <cell r="C250" t="str">
            <v>m3</v>
          </cell>
          <cell r="D250">
            <v>280681.32460721995</v>
          </cell>
        </row>
        <row r="251">
          <cell r="A251" t="str">
            <v>670.2</v>
          </cell>
          <cell r="B251" t="str">
            <v>DISIPADORES DE ENERGÍA Y SEDIMENTADORES EN GAVIONES DE ALAMBRE DE ACERO ENTRELAZADO CLASE 2: RECUBRIMIENTO DE ALEACION ZN-5A1-MM</v>
          </cell>
          <cell r="C251" t="str">
            <v>m3</v>
          </cell>
          <cell r="D251">
            <v>303286.95216983173</v>
          </cell>
        </row>
        <row r="252">
          <cell r="A252" t="str">
            <v>670.3</v>
          </cell>
          <cell r="B252" t="str">
            <v>DISIPADORES DE ENERGÍA Y SEDIMENTADORES EN GAVIONES DE ALAMBRE DE ACERO ENTRELAZADO CLASE 3: RECUBRIMIENTO DE ZINC (GALVANIZADO) Y PVC</v>
          </cell>
          <cell r="C252" t="str">
            <v>m3</v>
          </cell>
          <cell r="D252">
            <v>310425.48722612404</v>
          </cell>
        </row>
        <row r="253">
          <cell r="A253" t="str">
            <v>670.4</v>
          </cell>
          <cell r="B253" t="str">
            <v>DISIPADORES DE ENERGÍA Y SEDIMENTADORES EN GAVIONES DE ALAMBRE DE ACERO ENTRELAZADO CLASE 4: RECUBRIMIENTO DE ALEACION ZN-5A1-MM Y PVC</v>
          </cell>
          <cell r="C253" t="str">
            <v>m3</v>
          </cell>
          <cell r="D253">
            <v>309335.03815545852</v>
          </cell>
        </row>
        <row r="254">
          <cell r="A254" t="str">
            <v>670.5</v>
          </cell>
          <cell r="B254" t="str">
            <v>DISIPADORES DE ENERGÍA Y SEDIMENTADORES EN CONCRETO CICLOPEO</v>
          </cell>
          <cell r="C254" t="str">
            <v>m3</v>
          </cell>
          <cell r="D254">
            <v>310598.51989618799</v>
          </cell>
        </row>
        <row r="255">
          <cell r="A255" t="str">
            <v>671.1</v>
          </cell>
          <cell r="B255" t="str">
            <v>CUNETA DE CONCRETO VACIADA IN SITU; NO INCLUYE LA CONFORMACION DE LA SUPERFICIE DE APOYO</v>
          </cell>
          <cell r="C255" t="str">
            <v>m3</v>
          </cell>
          <cell r="D255">
            <v>763349.4275498481</v>
          </cell>
        </row>
        <row r="256">
          <cell r="A256" t="str">
            <v>671.2</v>
          </cell>
          <cell r="B256" t="str">
            <v>CUNETA DE PIEZAS PREFABRICADAS DE CONCRETO; NO INCLUYE LA CONFORMACION DE LA SUPERFICIE DE APOYO</v>
          </cell>
          <cell r="C256" t="str">
            <v>m</v>
          </cell>
          <cell r="D256">
            <v>68074.828432594673</v>
          </cell>
        </row>
        <row r="257">
          <cell r="A257" t="str">
            <v>671.3</v>
          </cell>
          <cell r="B257" t="str">
            <v>CUNETA DE CONCRETO VACIADA IN SITU; INCLUYE LA CONFORMACION DE LA SUPERFICIE DE APOYO</v>
          </cell>
          <cell r="C257" t="str">
            <v>m3</v>
          </cell>
          <cell r="D257">
            <v>841791.75196838728</v>
          </cell>
        </row>
        <row r="258">
          <cell r="A258" t="str">
            <v>671.4</v>
          </cell>
          <cell r="B258" t="str">
            <v>CUNETA DE PIEZAS PREFABRICADAS DE CONCRETO; INCLUYE LA CONFORMACION DE LA SUPERFICIE DE APOYO</v>
          </cell>
          <cell r="C258" t="str">
            <v>m</v>
          </cell>
          <cell r="D258">
            <v>70928.851565778794</v>
          </cell>
        </row>
        <row r="259">
          <cell r="A259" t="str">
            <v>672.1</v>
          </cell>
          <cell r="B259" t="str">
            <v>BORDILLO DE CONCRETO VACIADO IN SITU; NO INCLUYE LA PREPARACION DE LA SUPERFICIE DE APOYO</v>
          </cell>
          <cell r="C259" t="str">
            <v>m</v>
          </cell>
          <cell r="D259">
            <v>42203.776687659134</v>
          </cell>
        </row>
        <row r="260">
          <cell r="A260" t="str">
            <v>672.2</v>
          </cell>
          <cell r="B260" t="str">
            <v>BORDILLO DE PIEZAS PREFABRICADAS DE CONCRETO; NO INCLUYE LA PREPARACION DE LA SUPERFICIE DE APOYO</v>
          </cell>
          <cell r="C260" t="str">
            <v>m</v>
          </cell>
          <cell r="D260">
            <v>54666.348716876746</v>
          </cell>
        </row>
        <row r="261">
          <cell r="A261" t="str">
            <v>672.3</v>
          </cell>
          <cell r="B261" t="str">
            <v>BORDILLO DE CONCRETO VACIADO IN SITU; INCLUYE LA PREPARACION DE LA SUPERFICIE DE APOYO</v>
          </cell>
          <cell r="C261" t="str">
            <v>m</v>
          </cell>
          <cell r="D261">
            <v>44002.997976041916</v>
          </cell>
        </row>
        <row r="262">
          <cell r="A262" t="str">
            <v>672.4</v>
          </cell>
          <cell r="B262" t="str">
            <v>BORDILLO DE PIEZAS PREFABRICADAS DE CONCRETO; INCLUYE LA PREPARACION DE LA SUPERFICIE DE APOYO</v>
          </cell>
          <cell r="C262" t="str">
            <v>m</v>
          </cell>
          <cell r="D262">
            <v>44002.997976041916</v>
          </cell>
        </row>
        <row r="263">
          <cell r="A263" t="str">
            <v>673.1.1</v>
          </cell>
          <cell r="B263" t="str">
            <v>GEOTEXTIL TIPO NT-2500 O SIMILAR NO TEJIDO</v>
          </cell>
          <cell r="C263" t="str">
            <v>m2</v>
          </cell>
          <cell r="D263">
            <v>9456.5538137606618</v>
          </cell>
        </row>
        <row r="264">
          <cell r="A264" t="str">
            <v>673.1.2</v>
          </cell>
          <cell r="B264" t="str">
            <v>GEOTEXTIL  TIPO T-2400 O SIMILAR TEJIDO</v>
          </cell>
          <cell r="C264" t="str">
            <v>m2</v>
          </cell>
          <cell r="D264">
            <v>10983.835173625577</v>
          </cell>
        </row>
        <row r="265">
          <cell r="A265" t="str">
            <v>673.2</v>
          </cell>
          <cell r="B265" t="str">
            <v>MATERIAL GRANULAR DRENANTE</v>
          </cell>
          <cell r="C265" t="str">
            <v>m3</v>
          </cell>
          <cell r="D265">
            <v>84364.417561781069</v>
          </cell>
        </row>
        <row r="266">
          <cell r="A266" t="str">
            <v>673.3</v>
          </cell>
          <cell r="B266" t="str">
            <v>MATERIAL DE COBERTURA TIPO SUB- BASE CBR=20%</v>
          </cell>
          <cell r="C266" t="str">
            <v>m3</v>
          </cell>
          <cell r="D266">
            <v>83318.353653301398</v>
          </cell>
        </row>
        <row r="267">
          <cell r="A267" t="str">
            <v>674.1</v>
          </cell>
          <cell r="B267" t="str">
            <v>DREN HORIZONTAL DE LONGITUD MENOR O IGUAL A DIEZ (10) METROS.</v>
          </cell>
          <cell r="C267" t="str">
            <v>m</v>
          </cell>
          <cell r="D267">
            <v>122421.15517513713</v>
          </cell>
        </row>
        <row r="268">
          <cell r="A268" t="str">
            <v>674.2</v>
          </cell>
          <cell r="B268" t="str">
            <v>DREN HORIZONTAL DE LONGITUD MAYOR A DIEZ (10) METROS.</v>
          </cell>
          <cell r="C268" t="str">
            <v>m</v>
          </cell>
          <cell r="D268">
            <v>227176.68957116379</v>
          </cell>
        </row>
        <row r="269">
          <cell r="A269" t="str">
            <v>680.1</v>
          </cell>
          <cell r="B269" t="str">
            <v>PÁNELES DE CONCRETO.</v>
          </cell>
          <cell r="C269" t="str">
            <v>m2</v>
          </cell>
          <cell r="D269">
            <v>188278.87818896835</v>
          </cell>
        </row>
        <row r="270">
          <cell r="A270" t="str">
            <v>680.2</v>
          </cell>
          <cell r="B270" t="str">
            <v>ARMADURA GALVANIZADA.</v>
          </cell>
          <cell r="C270" t="str">
            <v>m</v>
          </cell>
          <cell r="D270">
            <v>12284.138691638846</v>
          </cell>
        </row>
        <row r="271">
          <cell r="A271" t="str">
            <v>680.3</v>
          </cell>
          <cell r="B271" t="str">
            <v xml:space="preserve">RELLENO GRANULAR PARA TIERRA MECANICAMETE ESTABILIZADA CON PÁNELES DE CONCRETO </v>
          </cell>
          <cell r="C271" t="str">
            <v>m3</v>
          </cell>
          <cell r="D271">
            <v>64831.715188751718</v>
          </cell>
        </row>
        <row r="272">
          <cell r="A272" t="str">
            <v>681.1</v>
          </cell>
          <cell r="B272" t="str">
            <v xml:space="preserve">GAVIÓNES DE MALLA DE ALAMBRE DE ACERO ENTRELAZADO  CLASE 1; RECUBRIMIENTO DE ZINC (GALVANIZADO) </v>
          </cell>
          <cell r="C272" t="str">
            <v>m3</v>
          </cell>
          <cell r="D272">
            <v>400986.60185015475</v>
          </cell>
        </row>
        <row r="273">
          <cell r="A273" t="str">
            <v>681.2</v>
          </cell>
          <cell r="B273" t="str">
            <v>GAVIÓN DE MALLA DE ALAMBRE DE ACERO ENTRELAZADO  CLASE 2; RECUBRIMIENTO DE ALEACION ZN-5A1-MM</v>
          </cell>
          <cell r="C273" t="str">
            <v>m3</v>
          </cell>
          <cell r="D273">
            <v>423592.22941276652</v>
          </cell>
        </row>
        <row r="274">
          <cell r="A274" t="str">
            <v>681.3</v>
          </cell>
          <cell r="B274" t="str">
            <v>GAVIÓN DE MALLA DE ALAMBRE DE ACERO ENTRELAZADO  CLASE 3; RECUBRIMIENTO DE ZINC (GALVANIZADO) Y PVC</v>
          </cell>
          <cell r="C274" t="str">
            <v>m3</v>
          </cell>
          <cell r="D274">
            <v>430730.76446905878</v>
          </cell>
        </row>
        <row r="275">
          <cell r="A275" t="str">
            <v>681.4</v>
          </cell>
          <cell r="B275" t="str">
            <v>GAVIÓN DE MALLA DE ALAMBRE DE ACERO ETRELAZADO  CLASE 4; RECUBRIMIENTO DE ALEACION ZN-5A1-MM Y PVC</v>
          </cell>
          <cell r="C275" t="str">
            <v>m3</v>
          </cell>
          <cell r="D275">
            <v>429640.31539839326</v>
          </cell>
        </row>
        <row r="276">
          <cell r="A276" t="str">
            <v>682.1</v>
          </cell>
          <cell r="B276" t="str">
            <v xml:space="preserve">COLCHOGAVIÓN DE MALLA DE ALAMBRE DE ACERO ENTRELAZADO CLASE 1; RECUBRIMIENTO DE ZINC (GALVANIZADO) </v>
          </cell>
          <cell r="C276" t="str">
            <v>m3</v>
          </cell>
          <cell r="D276">
            <v>202544.21877760554</v>
          </cell>
        </row>
        <row r="277">
          <cell r="A277" t="str">
            <v>682.2</v>
          </cell>
          <cell r="B277" t="str">
            <v>COLCHOGAVIÓN DE MALLA DE ALAMBRE DE ACERO ENTRELAZADO CLASE 2; RECUBRIMIENTO DE ALEACION ZN-5A1-MM</v>
          </cell>
          <cell r="C277" t="str">
            <v>m3</v>
          </cell>
          <cell r="D277">
            <v>202544.21877760554</v>
          </cell>
        </row>
        <row r="278">
          <cell r="A278" t="str">
            <v>682.3</v>
          </cell>
          <cell r="B278" t="str">
            <v>COLCHOGAVIÓN DE MALLA DE ALAMBRE DE ACERO ENTRELAZADO CLASE 3; RECUBRIMIENTO DE ZINC (GALVANIZADO) Y PVC</v>
          </cell>
          <cell r="C278" t="str">
            <v>m3</v>
          </cell>
          <cell r="D278">
            <v>202544.21877760554</v>
          </cell>
        </row>
        <row r="279">
          <cell r="A279" t="str">
            <v>682.4</v>
          </cell>
          <cell r="B279" t="str">
            <v>COLCHOGAVIÓN DE MALLA DE ALAMBRE DE ACERO ENTRELAZADO CLASE 4; RECUBRIMIENTO DE ALEACION ZN-5A1-MM Y PVC</v>
          </cell>
          <cell r="C279" t="str">
            <v>m3</v>
          </cell>
          <cell r="D279">
            <v>202544.21877760554</v>
          </cell>
        </row>
        <row r="280">
          <cell r="A280" t="str">
            <v>683.1</v>
          </cell>
          <cell r="B280" t="str">
            <v>GEOTEXTIL DE REFUERZO TIPO___ PARA MUROS DE TIERRA ESTABILIZADA MECANICAMENTE  CON GEOSINTETICOS</v>
          </cell>
          <cell r="C280" t="str">
            <v>m2</v>
          </cell>
          <cell r="D280">
            <v>9450.7809758745407</v>
          </cell>
        </row>
        <row r="281">
          <cell r="A281" t="str">
            <v>683.2</v>
          </cell>
          <cell r="B281" t="str">
            <v>GEOMALLA DE REFUERZO TIPO___ PARA MUROS DE TIERRA ESTABILIZADA MECANICAMENTE  CON GEOSINTETICOS</v>
          </cell>
          <cell r="C281" t="str">
            <v>m2</v>
          </cell>
          <cell r="D281">
            <v>32443.32929857741</v>
          </cell>
        </row>
        <row r="282">
          <cell r="A282" t="str">
            <v>683.3</v>
          </cell>
          <cell r="B282" t="str">
            <v>GEOTEXTIL DE FACHADA TIPO___ PARA MUROS DE TIERRA ESTABILIZADA MECANICAMENTE  CON GEOSINTETICOS</v>
          </cell>
          <cell r="C282" t="str">
            <v>m2</v>
          </cell>
          <cell r="D282">
            <v>9450.7809758745407</v>
          </cell>
        </row>
        <row r="283">
          <cell r="A283" t="str">
            <v>683.4</v>
          </cell>
          <cell r="B283" t="str">
            <v>GEOMALLA DE FACHADA TIPO___ PARA MUROS DE TIERRA ESTABILIZADA MECANICAMENTE CON GEOSINTETICOS.</v>
          </cell>
          <cell r="C283" t="str">
            <v>m2</v>
          </cell>
          <cell r="D283">
            <v>32443.32929857741</v>
          </cell>
        </row>
        <row r="284">
          <cell r="A284" t="str">
            <v>683.5</v>
          </cell>
          <cell r="B284" t="str">
            <v>RELLENO TIPO___ PARA MUROS DE TIERRA ESTABILIZADA MECANICAMENTE CON GEOSINTETICOS</v>
          </cell>
          <cell r="C284" t="str">
            <v>m2</v>
          </cell>
          <cell r="D284">
            <v>73447.424823046371</v>
          </cell>
        </row>
        <row r="285">
          <cell r="A285" t="str">
            <v>690.1.1</v>
          </cell>
          <cell r="B285" t="str">
            <v>IMPERMEABILIZANTE PARA CONCRETO</v>
          </cell>
          <cell r="C285" t="str">
            <v>m2</v>
          </cell>
          <cell r="D285">
            <v>13896.827583990949</v>
          </cell>
        </row>
        <row r="286">
          <cell r="A286" t="str">
            <v>690.1.2</v>
          </cell>
          <cell r="B286" t="str">
            <v>IMPERMEABILIZACIÓN DE ESTRUCTURAS.</v>
          </cell>
          <cell r="C286" t="str">
            <v>m2</v>
          </cell>
          <cell r="D286">
            <v>29775.1973423089</v>
          </cell>
        </row>
        <row r="287">
          <cell r="A287" t="str">
            <v>700.1</v>
          </cell>
          <cell r="B287" t="str">
            <v>LÍNEA DE DEMARCACIÓN CON PINTURA EN FRÍO.</v>
          </cell>
          <cell r="C287" t="str">
            <v>m</v>
          </cell>
          <cell r="D287">
            <v>2258.525793871835</v>
          </cell>
        </row>
        <row r="288">
          <cell r="A288" t="str">
            <v>700.2</v>
          </cell>
          <cell r="B288" t="str">
            <v>LÍNEA DE DEMARCACIÓN CON RESINA TERMOPLÁSTICA.</v>
          </cell>
          <cell r="C288" t="str">
            <v>m</v>
          </cell>
          <cell r="D288">
            <v>2003.5203496694219</v>
          </cell>
        </row>
        <row r="289">
          <cell r="A289" t="str">
            <v>700.3</v>
          </cell>
          <cell r="B289" t="str">
            <v>MARCA VIAL CON PINTURA EN FRÍO.</v>
          </cell>
          <cell r="C289" t="str">
            <v>m2</v>
          </cell>
          <cell r="D289">
            <v>42694.564046556181</v>
          </cell>
        </row>
        <row r="290">
          <cell r="A290" t="str">
            <v>700.4</v>
          </cell>
          <cell r="B290" t="str">
            <v>MARCA VIAL CON RESINA TERMOPLÁSTICA.</v>
          </cell>
          <cell r="C290" t="str">
            <v>m2</v>
          </cell>
          <cell r="D290">
            <v>51870.095101378902</v>
          </cell>
        </row>
        <row r="291">
          <cell r="A291" t="str">
            <v>701.1</v>
          </cell>
          <cell r="B291" t="str">
            <v>TACHA REFLECTIVA.</v>
          </cell>
          <cell r="C291" t="str">
            <v>Unidad</v>
          </cell>
          <cell r="D291">
            <v>9061.4477325600928</v>
          </cell>
        </row>
        <row r="292">
          <cell r="A292" t="str">
            <v>710.1</v>
          </cell>
          <cell r="B292" t="str">
            <v>SEÑAL VERTICAL DE TRANSITO TIPO 1 CON LAMINA RETRORREFLECTIVA TIPO III (75 X 75 ) CM</v>
          </cell>
          <cell r="C292" t="str">
            <v>Unidad</v>
          </cell>
          <cell r="D292">
            <v>476422.26587601355</v>
          </cell>
        </row>
        <row r="293">
          <cell r="A293" t="str">
            <v>710.2</v>
          </cell>
          <cell r="B293" t="str">
            <v>SEÑAL VERTICAL DE TRANSITO TIPO 2 CON LAMINA RETRORREFLECTIVA TIPO (1.20X0.40 M)</v>
          </cell>
          <cell r="C293" t="str">
            <v>m2</v>
          </cell>
          <cell r="D293">
            <v>427470.78428018105</v>
          </cell>
        </row>
        <row r="294">
          <cell r="A294" t="str">
            <v>720.1</v>
          </cell>
          <cell r="B294" t="str">
            <v>POSTE DE REFERENCIA.</v>
          </cell>
          <cell r="C294" t="str">
            <v>Unidad</v>
          </cell>
          <cell r="D294">
            <v>168232.79145866109</v>
          </cell>
        </row>
        <row r="295">
          <cell r="A295" t="str">
            <v>730.1</v>
          </cell>
          <cell r="B295" t="str">
            <v>DEFENSA METÁLICA.</v>
          </cell>
          <cell r="C295" t="str">
            <v>m</v>
          </cell>
          <cell r="D295">
            <v>187098.64084418304</v>
          </cell>
        </row>
        <row r="296">
          <cell r="A296" t="str">
            <v>730.2</v>
          </cell>
          <cell r="B296" t="str">
            <v>SECCIÓN FINAL.</v>
          </cell>
          <cell r="C296" t="str">
            <v>Unidad</v>
          </cell>
          <cell r="D296">
            <v>91071.386284501932</v>
          </cell>
        </row>
        <row r="297">
          <cell r="A297" t="str">
            <v>730.3</v>
          </cell>
          <cell r="B297" t="str">
            <v>SECCIÓN DE TOPE.</v>
          </cell>
          <cell r="C297" t="str">
            <v>Unidad</v>
          </cell>
          <cell r="D297">
            <v>88709.389369623474</v>
          </cell>
        </row>
        <row r="298">
          <cell r="A298" t="str">
            <v>730.4</v>
          </cell>
          <cell r="B298" t="str">
            <v>ELEMENTO ESPECIAL TIPO AMORTIGUADORES</v>
          </cell>
          <cell r="C298" t="str">
            <v>Unidad</v>
          </cell>
          <cell r="D298">
            <v>48358.569567244544</v>
          </cell>
        </row>
        <row r="299">
          <cell r="A299" t="str">
            <v>731.1</v>
          </cell>
          <cell r="B299" t="str">
            <v>DEFENSA DE CONCRETO.</v>
          </cell>
          <cell r="C299" t="str">
            <v>m</v>
          </cell>
          <cell r="D299">
            <v>173140.35019756781</v>
          </cell>
        </row>
        <row r="300">
          <cell r="A300" t="str">
            <v>740.1</v>
          </cell>
          <cell r="B300" t="str">
            <v>CAPTAFAROS.</v>
          </cell>
          <cell r="C300" t="str">
            <v>unidad</v>
          </cell>
          <cell r="D300">
            <v>15409.234236048527</v>
          </cell>
        </row>
        <row r="301">
          <cell r="A301" t="str">
            <v>741.1</v>
          </cell>
          <cell r="B301" t="str">
            <v>DELINEADOR DE CORONA.</v>
          </cell>
          <cell r="C301" t="str">
            <v>Unidad</v>
          </cell>
          <cell r="D301">
            <v>59462.632678740643</v>
          </cell>
        </row>
        <row r="302">
          <cell r="A302" t="str">
            <v>800.1</v>
          </cell>
          <cell r="B302" t="str">
            <v>CERCA DE ALAMBRE DE PUAS CON POSTES DE MADERA.</v>
          </cell>
          <cell r="C302" t="str">
            <v>m</v>
          </cell>
          <cell r="D302">
            <v>9574.9918778598694</v>
          </cell>
        </row>
        <row r="303">
          <cell r="A303" t="str">
            <v>800.2</v>
          </cell>
          <cell r="B303" t="str">
            <v>CERCA DE ALAMBRE DE PUAS CON POSTES DE CONCRETO.</v>
          </cell>
          <cell r="C303" t="str">
            <v>m</v>
          </cell>
          <cell r="D303">
            <v>23652.92915863467</v>
          </cell>
        </row>
        <row r="304">
          <cell r="A304" t="str">
            <v>800.3</v>
          </cell>
          <cell r="B304" t="str">
            <v>CERCA DE MALLA CON POSTES DE MADERA.</v>
          </cell>
          <cell r="C304" t="str">
            <v>m</v>
          </cell>
          <cell r="D304">
            <v>42967.260986096546</v>
          </cell>
        </row>
        <row r="305">
          <cell r="A305" t="str">
            <v>800.4</v>
          </cell>
          <cell r="B305" t="str">
            <v>CERCA DE MALLA CON POSTES DE CONCRETO.</v>
          </cell>
          <cell r="C305" t="str">
            <v>m</v>
          </cell>
          <cell r="D305">
            <v>56670.462811618701</v>
          </cell>
        </row>
        <row r="306">
          <cell r="A306" t="str">
            <v>802.1</v>
          </cell>
          <cell r="B306" t="str">
            <v>PODA DE LA PARTE AEREA DE ARBOLES TIPO I</v>
          </cell>
          <cell r="C306" t="str">
            <v>Unidad</v>
          </cell>
          <cell r="D306">
            <v>334049.38107097265</v>
          </cell>
        </row>
        <row r="307">
          <cell r="A307" t="str">
            <v>802.2</v>
          </cell>
          <cell r="B307" t="str">
            <v>PODA DE LA PARTE AEREA DE ARBOLES TIPO II</v>
          </cell>
          <cell r="C307" t="str">
            <v>Unidad</v>
          </cell>
          <cell r="D307">
            <v>73149.596014555544</v>
          </cell>
        </row>
        <row r="308">
          <cell r="A308" t="str">
            <v>802.3</v>
          </cell>
          <cell r="B308" t="str">
            <v>PODA DE LA PARTE AEREA DE ARBOLES TIPO III</v>
          </cell>
          <cell r="C308" t="str">
            <v>Unidad</v>
          </cell>
          <cell r="D308">
            <v>47458.112193374327</v>
          </cell>
        </row>
        <row r="309">
          <cell r="A309" t="str">
            <v>802.4</v>
          </cell>
          <cell r="B309" t="str">
            <v>PODA DE LA PARTE AEREA DE ARBOLES TIPO IV</v>
          </cell>
          <cell r="C309" t="str">
            <v>Unidad</v>
          </cell>
          <cell r="D309">
            <v>40763.370022467243</v>
          </cell>
        </row>
        <row r="310">
          <cell r="A310" t="str">
            <v>802.5</v>
          </cell>
          <cell r="B310" t="str">
            <v>PODA DE LA PARTE RADICULAR DE ARBOLES TIPO I</v>
          </cell>
          <cell r="C310" t="str">
            <v>Unidad</v>
          </cell>
          <cell r="D310">
            <v>302413.69898366625</v>
          </cell>
        </row>
        <row r="311">
          <cell r="A311" t="str">
            <v>802.6</v>
          </cell>
          <cell r="B311" t="str">
            <v>PODA DE LA PARTE RADFICULAR DE ARBOLES TIPO II</v>
          </cell>
          <cell r="C311" t="str">
            <v>Unidad</v>
          </cell>
          <cell r="D311">
            <v>294363.56034369889</v>
          </cell>
        </row>
        <row r="312">
          <cell r="A312" t="str">
            <v>802.7</v>
          </cell>
          <cell r="B312" t="str">
            <v>PODA DE LA PARTE RADICULAR DE ARBOLES TIPO III</v>
          </cell>
          <cell r="C312" t="str">
            <v>Unidad</v>
          </cell>
          <cell r="D312">
            <v>193641.80502114398</v>
          </cell>
        </row>
        <row r="313">
          <cell r="A313" t="str">
            <v>802.8</v>
          </cell>
          <cell r="B313" t="str">
            <v>PODA DE LA PARTE RADICULAR DE ARBOLES TIPO  IV</v>
          </cell>
          <cell r="C313" t="str">
            <v>Unidad</v>
          </cell>
          <cell r="D313">
            <v>165816.45066241722</v>
          </cell>
        </row>
        <row r="314">
          <cell r="A314" t="str">
            <v>810.1</v>
          </cell>
          <cell r="B314" t="str">
            <v>PROTECCIÓN DE TALUDES CON BLOQUES DE CÉSPED.</v>
          </cell>
          <cell r="C314" t="str">
            <v>m2</v>
          </cell>
          <cell r="D314">
            <v>19490.924541072527</v>
          </cell>
        </row>
        <row r="315">
          <cell r="A315" t="str">
            <v>810.2</v>
          </cell>
          <cell r="B315" t="str">
            <v>PROTECCIÓN DE TALUDES CON TIERRA ORGÁNICA.</v>
          </cell>
          <cell r="C315" t="str">
            <v>m2</v>
          </cell>
          <cell r="D315">
            <v>11411.041980284434</v>
          </cell>
        </row>
        <row r="316">
          <cell r="A316" t="str">
            <v>810.3</v>
          </cell>
          <cell r="B316" t="str">
            <v>PROTECCIÓN DE TALUDES CON HIDROSIEMBRA CONTROLADA.</v>
          </cell>
          <cell r="C316" t="str">
            <v>m2</v>
          </cell>
          <cell r="D316">
            <v>5686.8539213130534</v>
          </cell>
        </row>
        <row r="317">
          <cell r="A317" t="str">
            <v>811.1</v>
          </cell>
          <cell r="B317" t="str">
            <v>PROTECCION DE TALUDES CON PRODUCTO ENROLLADO PARA CONTROL DE EROSION. DE TIPO MANTO TEMPORAL. SE DEBERA ELABORAR UN ITEM DE PAGO PARA CADA PRODUCTO ENROLLADO QUE SE ESPECIFIQUE EN EL PROYECTO.</v>
          </cell>
          <cell r="C317" t="str">
            <v>m2</v>
          </cell>
          <cell r="D317">
            <v>35528.566715500463</v>
          </cell>
        </row>
        <row r="318">
          <cell r="A318" t="str">
            <v>811.2</v>
          </cell>
          <cell r="B318" t="str">
            <v>PROTECCION DE TALUDES CON PRODUCTO ENROLLADO PARA CONTROL DE EROSION. DE TIPO MANTO PERMANENTE. SE DEBERA ELABORAR UN ITEM DE PAGO PARA CADA PRODUCTO ENROLLADO QUE SE ESPECIFIQUE EN EL PROYECTO.</v>
          </cell>
          <cell r="C318" t="str">
            <v>m2</v>
          </cell>
          <cell r="D318">
            <v>41281.752897939492</v>
          </cell>
        </row>
        <row r="319">
          <cell r="A319" t="str">
            <v>812.1</v>
          </cell>
          <cell r="B319" t="str">
            <v>RECUBRIMIENTO DE TALUDES CON MALLA Y MORTERO 1:4 DE E= 10 CM</v>
          </cell>
          <cell r="C319" t="str">
            <v>m2</v>
          </cell>
          <cell r="D319">
            <v>69428.570623610838</v>
          </cell>
        </row>
        <row r="320">
          <cell r="A320" t="str">
            <v>820.1</v>
          </cell>
          <cell r="B320" t="str">
            <v>PLANTACIÓN DE ÁRBOLES (TIPO PAISAJÍSTICO)</v>
          </cell>
          <cell r="C320" t="str">
            <v>unidad</v>
          </cell>
          <cell r="D320">
            <v>71159.414879027056</v>
          </cell>
        </row>
        <row r="321">
          <cell r="A321" t="str">
            <v>820.1.2</v>
          </cell>
          <cell r="B321" t="str">
            <v>PLANTACIÓN DE ÁRBOLES (REFORESTACIÓN PROTECTORA DENSIDAD 1100)</v>
          </cell>
          <cell r="C321" t="str">
            <v>Ha</v>
          </cell>
          <cell r="D321">
            <v>43239560.811430894</v>
          </cell>
        </row>
        <row r="322">
          <cell r="A322" t="str">
            <v>900.1</v>
          </cell>
          <cell r="B322" t="str">
            <v>TRANSPORTE DE MATERIALES PROVENIENTES DE LA EXCAVACION DE LA EXPLANACION, CANALES Y PRESTAMOS, ENTRE  CIEN METROS (100 M) Y MIL METROS (1000 M) DE DISTANCIA</v>
          </cell>
          <cell r="C322" t="str">
            <v>m3/e</v>
          </cell>
          <cell r="D322">
            <v>1435.8541733216543</v>
          </cell>
        </row>
        <row r="323">
          <cell r="A323" t="str">
            <v>900.2</v>
          </cell>
          <cell r="B323" t="str">
            <v>TRANSPORTE DE MATERIALES PROVENIENTES DE LA EXCAVACIÓN DE LA EXPLANACIÓN, CANALES Y PRÉSTAMOS PARA DISTANCIAS MAYORES DE MIL METROS (1.000 M) MEDIDO A PARTIR DE CIEN METROS (100 M).</v>
          </cell>
          <cell r="C323" t="str">
            <v>m3/km</v>
          </cell>
          <cell r="D323">
            <v>1762.1846672583943</v>
          </cell>
        </row>
        <row r="324">
          <cell r="A324" t="str">
            <v>900.3</v>
          </cell>
          <cell r="B324" t="str">
            <v>TRANSPORTE DE MATERIALES PROVENIENTES DE DERRUMBES, MEDIDO A PARTIR DE CIEN METROS (100 M)</v>
          </cell>
          <cell r="C324" t="str">
            <v>m3/km</v>
          </cell>
          <cell r="D324">
            <v>1762.1846672583943</v>
          </cell>
        </row>
        <row r="325">
          <cell r="D325"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
      <sheetName val="Equipo"/>
      <sheetName val="Materiales"/>
      <sheetName val="INDICE"/>
      <sheetName val="EQUIPO 2017"/>
      <sheetName val="MATRIALES 2017"/>
      <sheetName val="TRANSPORTE 2017"/>
      <sheetName val="MANO DE OBRA 2017"/>
      <sheetName val="Otros"/>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P"/>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0P"/>
      <sheetName val="630 2P"/>
      <sheetName val="631.1"/>
      <sheetName val="632,1"/>
      <sheetName val="640.1"/>
      <sheetName val="640.2"/>
      <sheetName val="641.1"/>
      <sheetName val="641.2"/>
      <sheetName val="642.1"/>
      <sheetName val="642.2"/>
      <sheetName val="650.1"/>
      <sheetName val="650.2"/>
      <sheetName val="650.3"/>
      <sheetName val="650.4"/>
      <sheetName val="660.1"/>
      <sheetName val="660.2"/>
      <sheetName val="661.1"/>
      <sheetName val="661.2"/>
      <sheetName val="662.1"/>
      <sheetName val="662.2"/>
      <sheetName val="663.1"/>
      <sheetName val="663P"/>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2.1"/>
      <sheetName val="820.1"/>
      <sheetName val="900.1"/>
      <sheetName val="900.2"/>
      <sheetName val="900.3"/>
      <sheetName val="Mezcla Concreto 35 MP"/>
      <sheetName val="Mezcla Concreto 32 MP"/>
      <sheetName val="Mezcla Concreto 28 MP"/>
      <sheetName val="Mezcla Concreto 21 MP"/>
      <sheetName val="Mezcla Concreto 17 MP"/>
      <sheetName val="Mezcla Concreto 14 MP"/>
      <sheetName val="Mortero 1.3"/>
      <sheetName val="Mortero 1.4"/>
      <sheetName val="Comentarios"/>
      <sheetName val="201.P"/>
      <sheetName val="1.1P"/>
      <sheetName val="1.2P"/>
      <sheetName val="2P"/>
      <sheetName val="3P"/>
      <sheetName val="4P"/>
      <sheetName val="5P"/>
      <sheetName val="6P"/>
      <sheetName val="7P"/>
    </sheetNames>
    <sheetDataSet>
      <sheetData sheetId="0" refreshError="1"/>
      <sheetData sheetId="1" refreshError="1"/>
      <sheetData sheetId="2" refreshError="1"/>
      <sheetData sheetId="3" refreshError="1">
        <row r="2">
          <cell r="A2" t="str">
            <v>INSTITUTO NACIONAL DE VIAS</v>
          </cell>
          <cell r="B2">
            <v>0</v>
          </cell>
          <cell r="C2">
            <v>0</v>
          </cell>
          <cell r="D2">
            <v>0</v>
          </cell>
        </row>
        <row r="3">
          <cell r="A3" t="str">
            <v>TERRITORIAL ANTIOQUIA</v>
          </cell>
          <cell r="B3">
            <v>0</v>
          </cell>
          <cell r="C3">
            <v>0</v>
          </cell>
          <cell r="D3">
            <v>0</v>
          </cell>
        </row>
        <row r="4">
          <cell r="A4" t="str">
            <v>ADMINISTRACION VIAL GRUPO 1</v>
          </cell>
          <cell r="B4">
            <v>0</v>
          </cell>
          <cell r="C4">
            <v>0</v>
          </cell>
          <cell r="D4">
            <v>0</v>
          </cell>
        </row>
        <row r="5">
          <cell r="A5" t="str">
            <v>INDICE</v>
          </cell>
          <cell r="B5">
            <v>0</v>
          </cell>
          <cell r="C5">
            <v>0</v>
          </cell>
          <cell r="D5">
            <v>0</v>
          </cell>
        </row>
        <row r="6">
          <cell r="A6">
            <v>0</v>
          </cell>
          <cell r="B6">
            <v>0</v>
          </cell>
          <cell r="C6">
            <v>0</v>
          </cell>
          <cell r="D6">
            <v>0</v>
          </cell>
        </row>
        <row r="7">
          <cell r="C7">
            <v>0</v>
          </cell>
        </row>
        <row r="8">
          <cell r="A8" t="str">
            <v>ITEM</v>
          </cell>
          <cell r="B8" t="str">
            <v>DESCRIPCION</v>
          </cell>
          <cell r="C8" t="str">
            <v xml:space="preserve">UNIDAD </v>
          </cell>
          <cell r="D8" t="str">
            <v>COSTO TOTAL</v>
          </cell>
        </row>
        <row r="9">
          <cell r="A9">
            <v>0</v>
          </cell>
          <cell r="B9" t="str">
            <v>ARTICULO 200. DESMONTE Y LIMPIEZA</v>
          </cell>
          <cell r="C9">
            <v>0</v>
          </cell>
          <cell r="D9">
            <v>0</v>
          </cell>
        </row>
        <row r="10">
          <cell r="A10">
            <v>200.1</v>
          </cell>
          <cell r="B10" t="str">
            <v>DESMONTE Y LIMPIEZA EN BOSQUE</v>
          </cell>
          <cell r="C10" t="str">
            <v xml:space="preserve"> HA</v>
          </cell>
          <cell r="D10">
            <v>3389407</v>
          </cell>
        </row>
        <row r="11">
          <cell r="A11">
            <v>200.2</v>
          </cell>
          <cell r="B11" t="str">
            <v>DESMONTE Y LIMPIEZA EN ZONAS NO BOSCOSAS</v>
          </cell>
          <cell r="C11" t="str">
            <v xml:space="preserve"> HA</v>
          </cell>
          <cell r="D11">
            <v>844521.13524584926</v>
          </cell>
        </row>
        <row r="12">
          <cell r="A12">
            <v>0</v>
          </cell>
          <cell r="B12" t="str">
            <v>ARTICULO 201. DEMOLICIÓN Y REMOCIÓN</v>
          </cell>
          <cell r="C12" t="str">
            <v/>
          </cell>
          <cell r="D12">
            <v>0</v>
          </cell>
        </row>
        <row r="13">
          <cell r="A13">
            <v>201.1</v>
          </cell>
          <cell r="B13" t="str">
            <v>DEMOLICIÓN DE EDIFICACIONES</v>
          </cell>
          <cell r="C13" t="str">
            <v>GL</v>
          </cell>
          <cell r="D13">
            <v>211245</v>
          </cell>
        </row>
        <row r="14">
          <cell r="A14">
            <v>201.2</v>
          </cell>
          <cell r="B14" t="str">
            <v>DEMOLICIÓN DE ESTRUCTURAS</v>
          </cell>
          <cell r="C14" t="str">
            <v>GL</v>
          </cell>
          <cell r="D14">
            <v>196370</v>
          </cell>
        </row>
        <row r="15">
          <cell r="A15">
            <v>201.3</v>
          </cell>
          <cell r="B15" t="str">
            <v>DEMOLICIÓN DE PAVIMENTOS RÍGIDOS, PISOS, ANDENES Y BORDILLOS DE CONCRETO</v>
          </cell>
          <cell r="C15" t="str">
            <v>GL</v>
          </cell>
          <cell r="D15">
            <v>72546</v>
          </cell>
        </row>
        <row r="16">
          <cell r="A16">
            <v>201.4</v>
          </cell>
          <cell r="B16" t="str">
            <v>DEMOLICIÓN DE OBSTÁCULOS</v>
          </cell>
          <cell r="C16" t="str">
            <v>GL</v>
          </cell>
          <cell r="D16">
            <v>61369</v>
          </cell>
        </row>
        <row r="17">
          <cell r="A17">
            <v>201.5</v>
          </cell>
          <cell r="B17" t="str">
            <v>DEMOLICIÓN DE EDIFICACIONES</v>
          </cell>
          <cell r="C17" t="str">
            <v>U</v>
          </cell>
          <cell r="D17">
            <v>36921</v>
          </cell>
        </row>
        <row r="18">
          <cell r="A18">
            <v>201.6</v>
          </cell>
          <cell r="B18" t="str">
            <v>DEMOLICIÓN DE ESTRUCTURAS</v>
          </cell>
          <cell r="C18" t="str">
            <v>U</v>
          </cell>
          <cell r="D18">
            <v>112689</v>
          </cell>
        </row>
        <row r="19">
          <cell r="A19">
            <v>201.7</v>
          </cell>
          <cell r="B19" t="str">
            <v>DEMOLICIÓN DE ESTRUCTURAS</v>
          </cell>
          <cell r="C19" t="str">
            <v>M³</v>
          </cell>
          <cell r="D19">
            <v>86511</v>
          </cell>
        </row>
        <row r="20">
          <cell r="A20">
            <v>201.8</v>
          </cell>
          <cell r="B20" t="str">
            <v>DEMOLICIÓN DE PAVIMENTOS RÍGIDOS</v>
          </cell>
          <cell r="C20" t="str">
            <v>M²</v>
          </cell>
          <cell r="D20">
            <v>63037</v>
          </cell>
        </row>
        <row r="21">
          <cell r="A21">
            <v>201.9</v>
          </cell>
          <cell r="B21" t="str">
            <v>DEMOLICIÓN DE PISOS Y ANDENES DE CONCRETO</v>
          </cell>
          <cell r="C21" t="str">
            <v>M²</v>
          </cell>
          <cell r="D21">
            <v>32313</v>
          </cell>
        </row>
        <row r="22">
          <cell r="A22">
            <v>201.1</v>
          </cell>
          <cell r="B22" t="str">
            <v>DEMOLICIÓN DE BORDILLOS DE CONCRETO</v>
          </cell>
          <cell r="C22" t="str">
            <v>M</v>
          </cell>
          <cell r="D22">
            <v>28640</v>
          </cell>
        </row>
        <row r="23">
          <cell r="A23">
            <v>201.11</v>
          </cell>
          <cell r="B23" t="str">
            <v>DESMONTAJE Y TRASLADO DE ESTRUCTURAS METÁLICAS</v>
          </cell>
          <cell r="C23" t="str">
            <v>KG</v>
          </cell>
          <cell r="D23">
            <v>55729</v>
          </cell>
        </row>
        <row r="24">
          <cell r="A24">
            <v>201.12</v>
          </cell>
          <cell r="B24" t="str">
            <v>REMOCIÓN DE ESPECIES VEGETALES</v>
          </cell>
          <cell r="C24" t="str">
            <v>U</v>
          </cell>
          <cell r="D24">
            <v>108427</v>
          </cell>
        </row>
        <row r="25">
          <cell r="A25">
            <v>201.13</v>
          </cell>
          <cell r="B25" t="str">
            <v>REMOCIÓN DE OBSTÁCULOS SE DEBERÁ HACER UN ÍTEM DE PAGO PARA CADA TIPO DE OBSTÁCULO</v>
          </cell>
          <cell r="C25" t="str">
            <v>U</v>
          </cell>
          <cell r="D25">
            <v>10212</v>
          </cell>
        </row>
        <row r="26">
          <cell r="A26">
            <v>201.14</v>
          </cell>
          <cell r="B26" t="str">
            <v>REMOCIÓN DE DUCTOS DE SERVICIOS EXISTENTES</v>
          </cell>
          <cell r="C26" t="str">
            <v>M</v>
          </cell>
          <cell r="D26">
            <v>59437</v>
          </cell>
        </row>
        <row r="27">
          <cell r="A27">
            <v>201.15</v>
          </cell>
          <cell r="B27" t="str">
            <v>REMOCIÓN DE ALCANTARILLAS</v>
          </cell>
          <cell r="C27" t="str">
            <v>M</v>
          </cell>
          <cell r="D27">
            <v>78393</v>
          </cell>
        </row>
        <row r="28">
          <cell r="A28">
            <v>201.16</v>
          </cell>
          <cell r="B28" t="str">
            <v>REMOCIÓN DE CERCAS DE ALAMBRE</v>
          </cell>
          <cell r="C28" t="str">
            <v>M</v>
          </cell>
          <cell r="D28">
            <v>2045</v>
          </cell>
        </row>
        <row r="29">
          <cell r="A29">
            <v>201.17</v>
          </cell>
          <cell r="B29" t="str">
            <v xml:space="preserve">TRASLADO DE POSTES </v>
          </cell>
          <cell r="C29" t="str">
            <v>U</v>
          </cell>
          <cell r="D29">
            <v>79288</v>
          </cell>
        </row>
        <row r="30">
          <cell r="A30">
            <v>201.18</v>
          </cell>
          <cell r="B30" t="str">
            <v xml:space="preserve">TRASLADO DE TORRES </v>
          </cell>
          <cell r="C30" t="str">
            <v>U</v>
          </cell>
          <cell r="D30">
            <v>109069</v>
          </cell>
        </row>
        <row r="31">
          <cell r="A31">
            <v>201.19</v>
          </cell>
          <cell r="B31" t="str">
            <v>REMOCIÓN DE RIELES</v>
          </cell>
          <cell r="C31" t="str">
            <v>M</v>
          </cell>
          <cell r="D31">
            <v>6394</v>
          </cell>
        </row>
        <row r="32">
          <cell r="A32">
            <v>201.2</v>
          </cell>
          <cell r="B32" t="str">
            <v>REMOCIÓN DE DEFENSAS METÁLICAS</v>
          </cell>
          <cell r="C32" t="str">
            <v>M</v>
          </cell>
          <cell r="D32">
            <v>912</v>
          </cell>
        </row>
        <row r="33">
          <cell r="A33">
            <v>201.21</v>
          </cell>
          <cell r="B33" t="str">
            <v>REMOCIÓN DE BARRERAS DE SEGURIDAD</v>
          </cell>
          <cell r="C33" t="str">
            <v>M</v>
          </cell>
          <cell r="D33">
            <v>13525</v>
          </cell>
        </row>
        <row r="34">
          <cell r="A34">
            <v>0</v>
          </cell>
          <cell r="B34" t="str">
            <v>ARTICULO 203.TRASPLANTE DE ÁRBOLES</v>
          </cell>
          <cell r="C34" t="str">
            <v/>
          </cell>
          <cell r="D34">
            <v>0</v>
          </cell>
        </row>
        <row r="35">
          <cell r="A35">
            <v>203.1</v>
          </cell>
          <cell r="B35" t="str">
            <v>TRASPLANTE DE ÁRBOLES TIPO I, TRASLADO CORTO</v>
          </cell>
          <cell r="C35" t="str">
            <v>U</v>
          </cell>
          <cell r="D35">
            <v>841055</v>
          </cell>
        </row>
        <row r="36">
          <cell r="A36">
            <v>203.2</v>
          </cell>
          <cell r="B36" t="str">
            <v>TRASPLANTE DE ÁRBOLES TIPO I, TRASLADO LARGO</v>
          </cell>
          <cell r="C36" t="str">
            <v>U</v>
          </cell>
          <cell r="D36">
            <v>985648</v>
          </cell>
        </row>
        <row r="37">
          <cell r="A37">
            <v>203.3</v>
          </cell>
          <cell r="B37" t="str">
            <v>TRASPLANTE DE ÁRBOLES TIPO I, TRASLADO ESPECIAL</v>
          </cell>
          <cell r="C37" t="str">
            <v>U</v>
          </cell>
          <cell r="D37">
            <v>1087985</v>
          </cell>
        </row>
        <row r="38">
          <cell r="A38">
            <v>203.4</v>
          </cell>
          <cell r="B38" t="str">
            <v>TRASPLANTE DE ÁRBOLES TIPO II, TRASLADO CORTO</v>
          </cell>
          <cell r="C38" t="str">
            <v>U</v>
          </cell>
          <cell r="D38">
            <v>488449</v>
          </cell>
        </row>
        <row r="39">
          <cell r="A39">
            <v>203.5</v>
          </cell>
          <cell r="B39" t="str">
            <v>TRASPLANTE DE ÁRBOLES TIPO II, TRASLADO LARGO</v>
          </cell>
          <cell r="C39" t="str">
            <v>U</v>
          </cell>
          <cell r="D39">
            <v>557302</v>
          </cell>
        </row>
        <row r="40">
          <cell r="A40">
            <v>203.6</v>
          </cell>
          <cell r="B40" t="str">
            <v>TRASPLANTE DE ÁRBOLES TIPO II, TRASLADO ESPECIAL</v>
          </cell>
          <cell r="C40" t="str">
            <v>U</v>
          </cell>
          <cell r="D40">
            <v>600736</v>
          </cell>
        </row>
        <row r="41">
          <cell r="A41">
            <v>203.7</v>
          </cell>
          <cell r="B41" t="str">
            <v>TRASPLANTE DE ÁRBOLES TIPO III, TRASLADO CORTO</v>
          </cell>
          <cell r="C41" t="str">
            <v>U</v>
          </cell>
          <cell r="D41">
            <v>188527</v>
          </cell>
        </row>
        <row r="42">
          <cell r="A42">
            <v>203.8</v>
          </cell>
          <cell r="B42" t="str">
            <v>TRASPLANTE DE ÁRBOLES TIPO III, TRASLADO LARGO</v>
          </cell>
          <cell r="C42" t="str">
            <v>U</v>
          </cell>
          <cell r="D42">
            <v>312059</v>
          </cell>
        </row>
        <row r="43">
          <cell r="A43">
            <v>203.9</v>
          </cell>
          <cell r="B43" t="str">
            <v>TRASPLANTE DE ÁRBOLES TIPO III, TRASLADO ESPECIAL</v>
          </cell>
          <cell r="C43" t="str">
            <v>U</v>
          </cell>
          <cell r="D43">
            <v>328731</v>
          </cell>
        </row>
        <row r="44">
          <cell r="A44">
            <v>203.1</v>
          </cell>
          <cell r="B44" t="str">
            <v>TRASPLANTE DE ÁRBOLES TIPO IV, TRASLADO CORTO</v>
          </cell>
          <cell r="C44" t="str">
            <v>U</v>
          </cell>
          <cell r="D44">
            <v>148610</v>
          </cell>
        </row>
        <row r="45">
          <cell r="A45">
            <v>203.11</v>
          </cell>
          <cell r="B45" t="str">
            <v>TRASPLANTE DE ÁRBOLES TIPO IV, TRASLADO LARGO</v>
          </cell>
          <cell r="C45" t="str">
            <v>U</v>
          </cell>
          <cell r="D45">
            <v>238924</v>
          </cell>
        </row>
        <row r="46">
          <cell r="A46">
            <v>203.12</v>
          </cell>
          <cell r="B46" t="str">
            <v>TRASPLANTE DE ÁRBOLES TIPO IV, TRASLADO ESPECIAL</v>
          </cell>
          <cell r="C46" t="str">
            <v>U</v>
          </cell>
          <cell r="D46">
            <v>244189</v>
          </cell>
        </row>
        <row r="47">
          <cell r="A47">
            <v>0</v>
          </cell>
          <cell r="B47" t="str">
            <v>ARTICULO 210. EXCAVACIÒN DE LA EXPLANACIÓN, CANALES Y PRESTAMOS</v>
          </cell>
          <cell r="C47" t="str">
            <v/>
          </cell>
          <cell r="D47">
            <v>0</v>
          </cell>
        </row>
        <row r="48">
          <cell r="A48" t="str">
            <v>210,1,1</v>
          </cell>
          <cell r="B48" t="str">
            <v>EXCAVACIÓN SIN CLASIFICAR DE LA EXPLANACIÓN Y CANALES</v>
          </cell>
          <cell r="C48" t="str">
            <v>M³</v>
          </cell>
          <cell r="D48">
            <v>12828</v>
          </cell>
        </row>
        <row r="49">
          <cell r="A49" t="str">
            <v>210,1,2</v>
          </cell>
          <cell r="B49" t="str">
            <v>EXCAVACIÓN SIN CLASIFICAR DE PRÉSTAMOS</v>
          </cell>
          <cell r="C49" t="str">
            <v>M³</v>
          </cell>
          <cell r="D49">
            <v>3859</v>
          </cell>
        </row>
        <row r="50">
          <cell r="A50" t="str">
            <v>210,2,1</v>
          </cell>
          <cell r="B50" t="str">
            <v>EXCAVACIÓN EN ROCA DE LA EXPLANACIÓN Y CANALES</v>
          </cell>
          <cell r="C50" t="str">
            <v>M³</v>
          </cell>
          <cell r="D50">
            <v>50802</v>
          </cell>
        </row>
        <row r="51">
          <cell r="A51" t="str">
            <v>210,2,2</v>
          </cell>
          <cell r="B51" t="str">
            <v>EXCAVACIÓN EN MATERIAL COMÚN DE LA EXPLANACIÓN Y CANALES</v>
          </cell>
          <cell r="C51" t="str">
            <v>M³</v>
          </cell>
          <cell r="D51">
            <v>12525</v>
          </cell>
        </row>
        <row r="52">
          <cell r="A52" t="str">
            <v>210,2,3</v>
          </cell>
          <cell r="B52" t="str">
            <v>EXCAVACIÓN EN ROCA DE PRÉSTAMOS</v>
          </cell>
          <cell r="C52" t="str">
            <v>M³</v>
          </cell>
          <cell r="D52">
            <v>27029</v>
          </cell>
        </row>
        <row r="53">
          <cell r="A53" t="str">
            <v>210,2,4</v>
          </cell>
          <cell r="B53" t="str">
            <v>EXCAVACIÓN EN MATERIAL COMÚN DE LA EXPLANACIÓN Y CANALES</v>
          </cell>
          <cell r="C53" t="str">
            <v>M³</v>
          </cell>
          <cell r="D53">
            <v>3859</v>
          </cell>
        </row>
        <row r="54">
          <cell r="A54">
            <v>0</v>
          </cell>
          <cell r="B54" t="str">
            <v>ARTICULO 211. REMOCION DE DERRUMBES</v>
          </cell>
          <cell r="C54" t="str">
            <v/>
          </cell>
          <cell r="D54">
            <v>0</v>
          </cell>
        </row>
        <row r="55">
          <cell r="A55">
            <v>211.1</v>
          </cell>
          <cell r="B55" t="str">
            <v>REMOCIÓN DE DERRUMBES</v>
          </cell>
          <cell r="C55" t="str">
            <v>M³</v>
          </cell>
          <cell r="D55">
            <v>10012</v>
          </cell>
        </row>
        <row r="56">
          <cell r="A56">
            <v>0</v>
          </cell>
          <cell r="B56" t="str">
            <v>ARTICULO 220. TERRAPLENES</v>
          </cell>
          <cell r="C56" t="str">
            <v/>
          </cell>
          <cell r="D56">
            <v>0</v>
          </cell>
        </row>
        <row r="57">
          <cell r="A57">
            <v>220.1</v>
          </cell>
          <cell r="B57" t="str">
            <v>TERRAPLENES</v>
          </cell>
          <cell r="C57" t="str">
            <v>M³</v>
          </cell>
          <cell r="D57">
            <v>13553</v>
          </cell>
        </row>
        <row r="58">
          <cell r="A58">
            <v>0</v>
          </cell>
          <cell r="B58" t="str">
            <v>ARTICULO 221. PEDRAPLENES</v>
          </cell>
          <cell r="C58" t="str">
            <v/>
          </cell>
          <cell r="D58">
            <v>0</v>
          </cell>
        </row>
        <row r="59">
          <cell r="A59">
            <v>221.1</v>
          </cell>
          <cell r="B59" t="str">
            <v>PEDRAPLÉN COMPACTO</v>
          </cell>
          <cell r="C59" t="str">
            <v>M³</v>
          </cell>
          <cell r="D59">
            <v>10925</v>
          </cell>
        </row>
        <row r="60">
          <cell r="A60">
            <v>221.2</v>
          </cell>
          <cell r="B60" t="str">
            <v>PEDRAPLÉN SUELTO</v>
          </cell>
          <cell r="C60" t="str">
            <v>M³</v>
          </cell>
          <cell r="D60">
            <v>6920</v>
          </cell>
        </row>
        <row r="61">
          <cell r="A61">
            <v>0</v>
          </cell>
          <cell r="B61" t="str">
            <v>ARTICULO 223. TERRAPLENES REFORZADOS CON GEOSINTÉTICOS</v>
          </cell>
          <cell r="C61" t="str">
            <v/>
          </cell>
          <cell r="D61">
            <v>0</v>
          </cell>
        </row>
        <row r="62">
          <cell r="A62">
            <v>223.1</v>
          </cell>
          <cell r="B62" t="str">
            <v>GEOTEXTIL DE REFUERZO TIPO ___ PARA TERRAPLENES REFORZADOS CON GEOSINTÉTICOS</v>
          </cell>
          <cell r="C62" t="str">
            <v>M²</v>
          </cell>
          <cell r="D62">
            <v>9840</v>
          </cell>
        </row>
        <row r="63">
          <cell r="A63">
            <v>223.2</v>
          </cell>
          <cell r="B63" t="str">
            <v>GEOMALLA DE REFUERZO TIPO ___ PARA TERRAPLENES REFORZADOS CON GEOSINTÉTICOS</v>
          </cell>
          <cell r="C63" t="str">
            <v>M²</v>
          </cell>
          <cell r="D63">
            <v>14119</v>
          </cell>
        </row>
        <row r="64">
          <cell r="A64" t="str">
            <v>223.3.1</v>
          </cell>
          <cell r="B64" t="str">
            <v>RELLENO TIPO _____ PARA TERRAPLENES REFORZADOS CON GEOSINTÉTICOS</v>
          </cell>
          <cell r="C64" t="str">
            <v>M³</v>
          </cell>
          <cell r="D64">
            <v>64633</v>
          </cell>
        </row>
        <row r="65">
          <cell r="A65" t="str">
            <v>223.3.2</v>
          </cell>
          <cell r="B65" t="str">
            <v>RELLENO SELECCIONADO PARA TERRAPLENES REFORZADOS CON GEOSINTETICOS</v>
          </cell>
          <cell r="C65" t="str">
            <v>M3</v>
          </cell>
          <cell r="D65">
            <v>79519</v>
          </cell>
        </row>
        <row r="66">
          <cell r="A66" t="str">
            <v>223.3.3</v>
          </cell>
          <cell r="B66" t="str">
            <v>RELLENO TIPO BASE GRANULAR PARA TERRAPLENES REFORZADOS CON GEOSINTETICOS</v>
          </cell>
          <cell r="C66" t="str">
            <v>M3</v>
          </cell>
          <cell r="D66">
            <v>122187</v>
          </cell>
        </row>
        <row r="67">
          <cell r="A67">
            <v>0</v>
          </cell>
          <cell r="B67" t="str">
            <v>ARTICULO 230. MEJORAMIENTO DE LA SUBRASANTE CON ADICION DE MATERIALES</v>
          </cell>
          <cell r="C67" t="str">
            <v/>
          </cell>
          <cell r="D67">
            <v>0</v>
          </cell>
        </row>
        <row r="68">
          <cell r="A68">
            <v>230.1</v>
          </cell>
          <cell r="B68" t="str">
            <v>MEJORAMIENTO DE LA SUBRASANTE CON ADICIÓN DE MATERIALES</v>
          </cell>
          <cell r="C68" t="str">
            <v>M²</v>
          </cell>
          <cell r="D68">
            <v>32313</v>
          </cell>
        </row>
        <row r="69">
          <cell r="A69">
            <v>0</v>
          </cell>
          <cell r="B69" t="str">
            <v xml:space="preserve">ARTICULO 231. SEPARACIÓN DE SUELOS DE SUBRASANTE Y CAPAS GRANULARES CON GEOTEXTIL   </v>
          </cell>
          <cell r="C69" t="str">
            <v/>
          </cell>
          <cell r="D69">
            <v>0</v>
          </cell>
        </row>
        <row r="70">
          <cell r="A70">
            <v>231.1</v>
          </cell>
          <cell r="B70" t="str">
            <v>GEOTEXTIL PARA SEPARACIÓN DE SUELOS DE SUBRASANTE Y CAPAS GRANULARES</v>
          </cell>
          <cell r="C70" t="str">
            <v>M²</v>
          </cell>
          <cell r="D70">
            <v>9851</v>
          </cell>
        </row>
        <row r="71">
          <cell r="A71">
            <v>0</v>
          </cell>
          <cell r="B71" t="str">
            <v>ARTICULO 232. ESTABILIZACIÓN DE SUELOS DE SUBRASANTE CON GEOTEXTIL</v>
          </cell>
          <cell r="C71" t="str">
            <v/>
          </cell>
          <cell r="D71">
            <v>0</v>
          </cell>
        </row>
        <row r="72">
          <cell r="A72">
            <v>232.1</v>
          </cell>
          <cell r="B72" t="str">
            <v>GEOTEXTIL PARA ESTABILIZACIÓN DE LA SUBRASANTE</v>
          </cell>
          <cell r="C72" t="str">
            <v>M²</v>
          </cell>
          <cell r="D72">
            <v>8080</v>
          </cell>
        </row>
        <row r="73">
          <cell r="A73">
            <v>0</v>
          </cell>
          <cell r="B73" t="str">
            <v>ARTICULO 233. ESTABILIZACIÓN DE SUELOS DE SUBRASANTE Y REFUERZO DE CAPAS GRANULARES CON GEOMALLAS</v>
          </cell>
          <cell r="C73" t="str">
            <v/>
          </cell>
          <cell r="D73">
            <v>0</v>
          </cell>
        </row>
        <row r="74">
          <cell r="A74">
            <v>233.1</v>
          </cell>
          <cell r="B74" t="str">
            <v>GEOMALLA PARA ESTABILIZACIÓN DE SUELOS DE SUBRASANTE</v>
          </cell>
          <cell r="C74" t="str">
            <v>M²</v>
          </cell>
          <cell r="D74">
            <v>12737</v>
          </cell>
        </row>
        <row r="75">
          <cell r="A75">
            <v>233.1</v>
          </cell>
          <cell r="B75" t="str">
            <v>GEOMALLA PARA REFUERZO DE CAPAS GRANULARES</v>
          </cell>
          <cell r="C75" t="str">
            <v>M²</v>
          </cell>
          <cell r="D75">
            <v>23638</v>
          </cell>
        </row>
        <row r="76">
          <cell r="A76">
            <v>0</v>
          </cell>
          <cell r="B76" t="str">
            <v>ARTICULO 234. CONFOMACIÓN DE TALUDES EXISTENTES</v>
          </cell>
          <cell r="C76" t="str">
            <v/>
          </cell>
          <cell r="D76">
            <v>0</v>
          </cell>
        </row>
        <row r="77">
          <cell r="A77">
            <v>234.1</v>
          </cell>
          <cell r="B77" t="str">
            <v>CONFORMACIÓN DE TALUDES EXISTENTES</v>
          </cell>
          <cell r="C77" t="str">
            <v>M²</v>
          </cell>
          <cell r="D77">
            <v>1112</v>
          </cell>
        </row>
        <row r="78">
          <cell r="A78">
            <v>0</v>
          </cell>
          <cell r="B78" t="str">
            <v>ARTICULO 235. CONFOMACIÓN DE SUELOS DE SUBRASANTE CON CEMENTO</v>
          </cell>
          <cell r="C78" t="str">
            <v/>
          </cell>
          <cell r="D78">
            <v>0</v>
          </cell>
        </row>
        <row r="79">
          <cell r="A79">
            <v>235.1</v>
          </cell>
          <cell r="B79" t="str">
            <v>SUBRASANTE ESTABILIZADA CON CEMENTO INCLUYE SUMINISTRO DEL CEMENTO</v>
          </cell>
          <cell r="C79" t="str">
            <v>M³</v>
          </cell>
          <cell r="D79">
            <v>71501</v>
          </cell>
        </row>
        <row r="80">
          <cell r="A80">
            <v>235.1</v>
          </cell>
          <cell r="B80" t="str">
            <v>SUBRASANTE ESTABILIZADA CON CEMENTO NO INCLUYE SUMINISTRO DEL CEMENTO</v>
          </cell>
          <cell r="C80" t="str">
            <v>M³</v>
          </cell>
          <cell r="D80">
            <v>15750</v>
          </cell>
        </row>
        <row r="81">
          <cell r="A81">
            <v>235.11</v>
          </cell>
          <cell r="B81" t="str">
            <v>CEMENTO PARA ESTABILIZACIÓN DE SUBRASANTE</v>
          </cell>
          <cell r="C81" t="str">
            <v>KG</v>
          </cell>
          <cell r="D81">
            <v>617</v>
          </cell>
        </row>
        <row r="82">
          <cell r="A82">
            <v>0</v>
          </cell>
          <cell r="B82" t="str">
            <v>ARTICULO 236. ESTABILIZACIÓN DE LA SUBRASANTE CON CAL</v>
          </cell>
          <cell r="C82" t="str">
            <v/>
          </cell>
          <cell r="D82">
            <v>0</v>
          </cell>
        </row>
        <row r="83">
          <cell r="A83">
            <v>236.1</v>
          </cell>
          <cell r="B83" t="str">
            <v>SUBRASANTE ESTABILIZADA CON CAL INCLUYE SUMINISTRO DE LA CAL</v>
          </cell>
          <cell r="C83" t="str">
            <v>M³</v>
          </cell>
          <cell r="D83">
            <v>110109</v>
          </cell>
        </row>
        <row r="84">
          <cell r="A84">
            <v>236.1</v>
          </cell>
          <cell r="B84" t="str">
            <v>SUBRASANTE ESTABILIZADA CON CAL NO INCLUYE SUMINISTRO DE LA CAL</v>
          </cell>
          <cell r="C84" t="str">
            <v>M³</v>
          </cell>
          <cell r="D84">
            <v>15781</v>
          </cell>
        </row>
        <row r="85">
          <cell r="A85">
            <v>236.11</v>
          </cell>
          <cell r="B85" t="str">
            <v>CAL HIDRATADA PARA ESTABILIZACIÓN DE SUBRASANTE</v>
          </cell>
          <cell r="C85" t="str">
            <v>KG</v>
          </cell>
          <cell r="D85">
            <v>1000</v>
          </cell>
        </row>
        <row r="86">
          <cell r="A86">
            <v>0</v>
          </cell>
          <cell r="B86" t="str">
            <v>ARTICULO 310. CONFORMACIÓN DE LA CALZADA EXISTENTE</v>
          </cell>
          <cell r="C86" t="str">
            <v/>
          </cell>
          <cell r="D86">
            <v>0</v>
          </cell>
        </row>
        <row r="87">
          <cell r="A87">
            <v>310.10000000000002</v>
          </cell>
          <cell r="B87" t="str">
            <v xml:space="preserve">CONFORMACIÓN DE LA CALZADA EXISTENTE </v>
          </cell>
          <cell r="C87" t="str">
            <v>M²</v>
          </cell>
          <cell r="D87">
            <v>1010</v>
          </cell>
        </row>
        <row r="88">
          <cell r="A88">
            <v>0</v>
          </cell>
          <cell r="B88" t="str">
            <v>ARTICULO 311. AFIRMADO</v>
          </cell>
          <cell r="C88" t="str">
            <v/>
          </cell>
          <cell r="D88">
            <v>0</v>
          </cell>
        </row>
        <row r="89">
          <cell r="A89">
            <v>311.10000000000002</v>
          </cell>
          <cell r="B89" t="str">
            <v xml:space="preserve">AFIRMADO </v>
          </cell>
          <cell r="C89" t="str">
            <v>M³</v>
          </cell>
          <cell r="D89">
            <v>86923</v>
          </cell>
        </row>
        <row r="90">
          <cell r="A90">
            <v>0</v>
          </cell>
          <cell r="B90" t="str">
            <v>ARTICULO 312.TRATAMIENTO PALIATIVO DE POLVO EN AFIRMADOS</v>
          </cell>
          <cell r="C90" t="str">
            <v/>
          </cell>
          <cell r="D90">
            <v>0</v>
          </cell>
        </row>
        <row r="91">
          <cell r="A91">
            <v>312.10000000000002</v>
          </cell>
          <cell r="B91" t="str">
            <v xml:space="preserve"> TRATAMIENTO PALIATIVO DE POLVO APLICADO EN FORMA SÓLIDA EN HOJUELAS</v>
          </cell>
          <cell r="C91" t="str">
            <v>KG</v>
          </cell>
          <cell r="D91">
            <v>5678</v>
          </cell>
        </row>
        <row r="92">
          <cell r="A92">
            <v>312.2</v>
          </cell>
          <cell r="B92" t="str">
            <v xml:space="preserve"> TRATAMIENTO PALIATIVO DE POLVO APLICADO EN FORMA SÓLIDA EN ESFERAS</v>
          </cell>
          <cell r="C92" t="str">
            <v>KG</v>
          </cell>
          <cell r="D92">
            <v>5464</v>
          </cell>
        </row>
        <row r="93">
          <cell r="A93">
            <v>312.3</v>
          </cell>
          <cell r="B93" t="str">
            <v xml:space="preserve"> TRATAMIENTO PALIATIVO DE POLVO APLICADO EN FORMA LÍQUIDA</v>
          </cell>
          <cell r="C93" t="str">
            <v>L</v>
          </cell>
          <cell r="D93">
            <v>5148</v>
          </cell>
        </row>
        <row r="94">
          <cell r="A94">
            <v>312.39999999999998</v>
          </cell>
          <cell r="B94" t="str">
            <v xml:space="preserve"> MATERIAL GRANULAR DE ADICIÓN</v>
          </cell>
          <cell r="C94" t="str">
            <v>M³</v>
          </cell>
          <cell r="D94">
            <v>65320</v>
          </cell>
        </row>
        <row r="95">
          <cell r="A95">
            <v>0</v>
          </cell>
          <cell r="B95" t="str">
            <v>ARTICULO 320. SÚB-BASE GRANULAR</v>
          </cell>
          <cell r="C95" t="str">
            <v/>
          </cell>
          <cell r="D95">
            <v>0</v>
          </cell>
        </row>
        <row r="96">
          <cell r="A96">
            <v>320.10000000000002</v>
          </cell>
          <cell r="B96" t="str">
            <v>SUB‐BASE GRANULAR CLASE A</v>
          </cell>
          <cell r="C96" t="str">
            <v>M³</v>
          </cell>
          <cell r="D96">
            <v>90505</v>
          </cell>
        </row>
        <row r="97">
          <cell r="A97">
            <v>320.2</v>
          </cell>
          <cell r="B97" t="str">
            <v>SUB‐BASE GRANULAR CLASE B</v>
          </cell>
          <cell r="C97" t="str">
            <v>M³</v>
          </cell>
          <cell r="D97">
            <v>105567</v>
          </cell>
        </row>
        <row r="98">
          <cell r="A98">
            <v>320.3</v>
          </cell>
          <cell r="B98" t="str">
            <v>SUB‐BASE GRANULAR CLASE C</v>
          </cell>
          <cell r="C98" t="str">
            <v>M³</v>
          </cell>
          <cell r="D98">
            <v>105076</v>
          </cell>
        </row>
        <row r="99">
          <cell r="A99">
            <v>320.39999999999998</v>
          </cell>
          <cell r="B99" t="str">
            <v>SUB‐BASE GRANULAR PARA BACHEO CLASE A</v>
          </cell>
          <cell r="C99" t="str">
            <v>M³</v>
          </cell>
          <cell r="D99">
            <v>129090</v>
          </cell>
        </row>
        <row r="100">
          <cell r="A100">
            <v>320.5</v>
          </cell>
          <cell r="B100" t="str">
            <v>SUB‐BASE GRANULAR PARA BACHEO CLASE B</v>
          </cell>
          <cell r="C100" t="str">
            <v>M³</v>
          </cell>
          <cell r="D100">
            <v>115947</v>
          </cell>
        </row>
        <row r="101">
          <cell r="A101">
            <v>320.60000000000002</v>
          </cell>
          <cell r="B101" t="str">
            <v>SUB‐BASE GRANULAR PARA BACHEO CLASE C</v>
          </cell>
          <cell r="C101" t="str">
            <v>M³</v>
          </cell>
          <cell r="D101">
            <v>151796</v>
          </cell>
        </row>
        <row r="102">
          <cell r="A102">
            <v>0</v>
          </cell>
          <cell r="B102" t="str">
            <v>ARTICULO 330. BASE GRANULAR</v>
          </cell>
          <cell r="C102" t="str">
            <v/>
          </cell>
          <cell r="D102">
            <v>0</v>
          </cell>
        </row>
        <row r="103">
          <cell r="A103">
            <v>330.1</v>
          </cell>
          <cell r="B103" t="str">
            <v>BASE GRANULAR CLASE A</v>
          </cell>
          <cell r="C103" t="str">
            <v>M³</v>
          </cell>
          <cell r="D103">
            <v>152508</v>
          </cell>
        </row>
        <row r="104">
          <cell r="A104">
            <v>330.1</v>
          </cell>
          <cell r="B104" t="str">
            <v>BASE GRANULAR CLASE B</v>
          </cell>
          <cell r="C104" t="str">
            <v>M³</v>
          </cell>
          <cell r="D104">
            <v>152508</v>
          </cell>
        </row>
        <row r="105">
          <cell r="A105">
            <v>330.3</v>
          </cell>
          <cell r="B105" t="str">
            <v>BASE GRANULAR CLASE C</v>
          </cell>
          <cell r="C105" t="str">
            <v>M³</v>
          </cell>
          <cell r="D105">
            <v>142599</v>
          </cell>
        </row>
        <row r="106">
          <cell r="A106">
            <v>330.4</v>
          </cell>
          <cell r="B106" t="str">
            <v>BASE GRANULAR PARA BACHEO CLASE A</v>
          </cell>
          <cell r="C106" t="str">
            <v>M³</v>
          </cell>
          <cell r="D106">
            <v>134541</v>
          </cell>
        </row>
        <row r="107">
          <cell r="A107">
            <v>330.5</v>
          </cell>
          <cell r="B107" t="str">
            <v>BASE GRANULAR PARA BACHEO CLASE B</v>
          </cell>
          <cell r="C107" t="str">
            <v>M³</v>
          </cell>
          <cell r="D107">
            <v>120363</v>
          </cell>
        </row>
        <row r="108">
          <cell r="A108">
            <v>330.6</v>
          </cell>
          <cell r="B108" t="str">
            <v>BASE GRANULAR PARA BACHEO CLASE C</v>
          </cell>
          <cell r="C108" t="str">
            <v>M³</v>
          </cell>
          <cell r="D108">
            <v>136961</v>
          </cell>
        </row>
        <row r="109">
          <cell r="A109">
            <v>0</v>
          </cell>
          <cell r="B109" t="str">
            <v>ARTICULO 340. BASE ESTABILIZADA CON EMULSIÓN ASFÁLTICA</v>
          </cell>
          <cell r="C109" t="str">
            <v/>
          </cell>
          <cell r="D109">
            <v>0</v>
          </cell>
        </row>
        <row r="110">
          <cell r="A110">
            <v>340.1</v>
          </cell>
          <cell r="B110" t="str">
            <v>BASE ESTABILIZADA CON EMULSIÓN ASFÁLTICA TIPO BEE‐38</v>
          </cell>
          <cell r="C110" t="str">
            <v>M³</v>
          </cell>
          <cell r="D110">
            <v>150232</v>
          </cell>
        </row>
        <row r="111">
          <cell r="A111">
            <v>340.2</v>
          </cell>
          <cell r="B111" t="str">
            <v>BASE ESTABILIZADA CON EMULSIÓN ASFÁLTICA TIPO BEE‐25</v>
          </cell>
          <cell r="C111" t="str">
            <v>M³</v>
          </cell>
          <cell r="D111">
            <v>149523</v>
          </cell>
        </row>
        <row r="112">
          <cell r="A112">
            <v>340.3</v>
          </cell>
          <cell r="B112" t="str">
            <v xml:space="preserve">BASE ESTABILIZADA CON EMULSIÓN ASFÁLTICA TIPO BEE‐5 </v>
          </cell>
          <cell r="C112" t="str">
            <v>M³</v>
          </cell>
          <cell r="D112">
            <v>149523</v>
          </cell>
        </row>
        <row r="113">
          <cell r="A113">
            <v>0</v>
          </cell>
          <cell r="B113" t="str">
            <v>ARTICULO 350. SUELO-CEMENTO</v>
          </cell>
          <cell r="C113" t="str">
            <v/>
          </cell>
          <cell r="D113">
            <v>0</v>
          </cell>
        </row>
        <row r="114">
          <cell r="A114">
            <v>350.1</v>
          </cell>
          <cell r="B114" t="str">
            <v>SUELO‐CEMENTO CLASE SC‐D, GRADACIÓN TIPO A INCLUYE SUMINISTRO DEL CEMENTO</v>
          </cell>
          <cell r="C114" t="str">
            <v>M³</v>
          </cell>
          <cell r="D114">
            <v>83882</v>
          </cell>
        </row>
        <row r="115">
          <cell r="A115">
            <v>350.2</v>
          </cell>
          <cell r="B115" t="str">
            <v>SUELO‐CEMENTO CLASE SC‐D, GRADACIÓN TIPO B INCLUYE SUMINISTRO DEL CEMENTO</v>
          </cell>
          <cell r="C115" t="str">
            <v>M³</v>
          </cell>
          <cell r="D115">
            <v>83882</v>
          </cell>
        </row>
        <row r="116">
          <cell r="A116">
            <v>350.3</v>
          </cell>
          <cell r="B116" t="str">
            <v>SUELO‐CEMENTO CLASE SC‐R, GRADACIÓN TIPO A INCLUYE SUMINISTRO DEL CEMENTO</v>
          </cell>
          <cell r="C116" t="str">
            <v>M³</v>
          </cell>
          <cell r="D116">
            <v>96284</v>
          </cell>
        </row>
        <row r="117">
          <cell r="A117">
            <v>350.4</v>
          </cell>
          <cell r="B117" t="str">
            <v>SUELO‐CEMENTO CLASE SC‐R, GRADACIÓN TIPO B INCLUYE SUMINISTRO DEL CEMENTO</v>
          </cell>
          <cell r="C117" t="str">
            <v>M³</v>
          </cell>
          <cell r="D117">
            <v>96284</v>
          </cell>
        </row>
        <row r="118">
          <cell r="A118">
            <v>350.1</v>
          </cell>
          <cell r="B118" t="str">
            <v>SUELO‐CEMENTO CLASE SC‐D, GRADACIÓN TIPO A NO INCLUYE SUMINISTRO DEL CEMENTO</v>
          </cell>
          <cell r="C118" t="str">
            <v>M³</v>
          </cell>
          <cell r="D118">
            <v>43306</v>
          </cell>
        </row>
        <row r="119">
          <cell r="A119">
            <v>350.11</v>
          </cell>
          <cell r="B119" t="str">
            <v>SUELO‐CEMENTO CLASE SC‐D, GRADACIÓN TIPO B NO INCLUYE SUMINISTRO DEL CEMENTO</v>
          </cell>
          <cell r="C119" t="str">
            <v>M³</v>
          </cell>
          <cell r="D119">
            <v>43306</v>
          </cell>
        </row>
        <row r="120">
          <cell r="A120">
            <v>350.12</v>
          </cell>
          <cell r="B120" t="str">
            <v>SUELO‐CEMENTO CLASE SC‐R, GRADACIÓN TIPO A NO INCLUYE SUMINISTRO DEL CEMENTO</v>
          </cell>
          <cell r="C120" t="str">
            <v>M³</v>
          </cell>
          <cell r="D120">
            <v>43306</v>
          </cell>
        </row>
        <row r="121">
          <cell r="A121">
            <v>350.13</v>
          </cell>
          <cell r="B121" t="str">
            <v>SUELO‐CEMENTO CLASE SC‐R, GRADACIÓN TIPO B NO INCLUYE SUMINISTRO DEL CEMENTO</v>
          </cell>
          <cell r="C121" t="str">
            <v>M³</v>
          </cell>
          <cell r="D121">
            <v>43306</v>
          </cell>
        </row>
        <row r="122">
          <cell r="A122">
            <v>350.14</v>
          </cell>
          <cell r="B122" t="str">
            <v xml:space="preserve">CEMENTO HIDRÁULICO PARA SUELO‐CEMENTO </v>
          </cell>
          <cell r="C122" t="str">
            <v>KG</v>
          </cell>
          <cell r="D122">
            <v>636</v>
          </cell>
        </row>
        <row r="123">
          <cell r="A123">
            <v>0</v>
          </cell>
          <cell r="B123" t="str">
            <v>ARTICULO 351. BASE TRATADA CON CEMENTO</v>
          </cell>
          <cell r="C123" t="str">
            <v/>
          </cell>
          <cell r="D123">
            <v>0</v>
          </cell>
        </row>
        <row r="124">
          <cell r="A124">
            <v>351.1</v>
          </cell>
          <cell r="B124" t="str">
            <v>BASE TRATADA CON CEMENTO, RESISTENCIA R3.5 INCLUYE SUMINISTRO DEL CEMENTO</v>
          </cell>
          <cell r="C124" t="str">
            <v>M³</v>
          </cell>
          <cell r="D124">
            <v>117025</v>
          </cell>
        </row>
        <row r="125">
          <cell r="A125">
            <v>351.2</v>
          </cell>
          <cell r="B125" t="str">
            <v>BASE TRATADA CON CEMENTO, RESISTENCIA R5.2 INCLUYE SUMINISTRO DEL CEMENTO</v>
          </cell>
          <cell r="C125" t="str">
            <v>M³</v>
          </cell>
          <cell r="D125">
            <v>123226</v>
          </cell>
        </row>
        <row r="126">
          <cell r="A126">
            <v>351.1</v>
          </cell>
          <cell r="B126" t="str">
            <v>BASE TRATADA CON CEMENTO, RESISTENCIA R3.5 NO INCLUYE SUMINISTRO DEL CEMENTO</v>
          </cell>
          <cell r="C126" t="str">
            <v>M³</v>
          </cell>
          <cell r="D126">
            <v>138884</v>
          </cell>
        </row>
        <row r="127">
          <cell r="A127">
            <v>351.11</v>
          </cell>
          <cell r="B127" t="str">
            <v>BASE TRATADA CON CEMENTO, RESISTENCIA R5.2 NO INCLUYE SUMINISTRO DEL CEMENTO</v>
          </cell>
          <cell r="C127" t="str">
            <v>M³</v>
          </cell>
          <cell r="D127">
            <v>64048</v>
          </cell>
        </row>
        <row r="128">
          <cell r="A128">
            <v>351.12</v>
          </cell>
          <cell r="B128" t="str">
            <v>CEMENTO HIDRÁULICO PARA BASE TRATADA CON CEMENTO</v>
          </cell>
          <cell r="C128" t="str">
            <v>KG</v>
          </cell>
          <cell r="D128">
            <v>636</v>
          </cell>
        </row>
        <row r="129">
          <cell r="A129">
            <v>0</v>
          </cell>
          <cell r="B129" t="str">
            <v>ARTICULO 410. SUMINISTRO DE CEMENTO ASFÁLTICO</v>
          </cell>
          <cell r="C129" t="str">
            <v/>
          </cell>
          <cell r="D129">
            <v>0</v>
          </cell>
        </row>
        <row r="130">
          <cell r="A130">
            <v>410.1</v>
          </cell>
          <cell r="B130" t="str">
            <v>CEMENTO ASFÁLTICO DE PENETRACIÓN 40‐50</v>
          </cell>
          <cell r="C130" t="str">
            <v>KG</v>
          </cell>
          <cell r="D130">
            <v>1610</v>
          </cell>
        </row>
        <row r="131">
          <cell r="A131">
            <v>410.2</v>
          </cell>
          <cell r="B131" t="str">
            <v>CEMENTO ASFÁLTICO DE PENETRACIÓN 60‐70</v>
          </cell>
          <cell r="C131" t="str">
            <v>KG</v>
          </cell>
          <cell r="D131">
            <v>1342</v>
          </cell>
        </row>
        <row r="132">
          <cell r="A132">
            <v>410.3</v>
          </cell>
          <cell r="B132" t="str">
            <v>CEMENTO ASFÁLTICO DE PENETRACIÓN 80‐100</v>
          </cell>
          <cell r="C132" t="str">
            <v>KG</v>
          </cell>
          <cell r="D132">
            <v>1342</v>
          </cell>
        </row>
        <row r="133">
          <cell r="A133">
            <v>0</v>
          </cell>
          <cell r="B133" t="str">
            <v>ARTICULO 411. SUMINISTRO DE EMULSION ASFÁLTICA</v>
          </cell>
          <cell r="C133" t="str">
            <v/>
          </cell>
          <cell r="D133">
            <v>0</v>
          </cell>
        </row>
        <row r="134">
          <cell r="A134">
            <v>411.1</v>
          </cell>
          <cell r="B134" t="str">
            <v>EMULSIÓN ASFÁLTICA DE ROTURA MEDIA CRM</v>
          </cell>
          <cell r="C134" t="str">
            <v>L</v>
          </cell>
          <cell r="D134">
            <v>1462</v>
          </cell>
        </row>
        <row r="135">
          <cell r="A135">
            <v>411.2</v>
          </cell>
          <cell r="B135" t="str">
            <v>EMULSIÓN ASFÁLTICA DE ROTURA LENTA CRL‐1 ARD</v>
          </cell>
          <cell r="C135" t="str">
            <v>L</v>
          </cell>
          <cell r="D135">
            <v>1205</v>
          </cell>
        </row>
        <row r="136">
          <cell r="A136">
            <v>411.3</v>
          </cell>
          <cell r="B136" t="str">
            <v>EMULSIÓN ASFÁLTICA DE ROTURA LENTA CRL‐1 ARB</v>
          </cell>
          <cell r="C136" t="str">
            <v>L</v>
          </cell>
          <cell r="D136">
            <v>979</v>
          </cell>
        </row>
        <row r="137">
          <cell r="A137">
            <v>411.4</v>
          </cell>
          <cell r="B137" t="str">
            <v>EMULSIÓN ASFÁLTICA DE ROTURA LENTA CRL‐1H</v>
          </cell>
          <cell r="C137" t="str">
            <v>L</v>
          </cell>
          <cell r="D137">
            <v>1462</v>
          </cell>
        </row>
        <row r="138">
          <cell r="A138">
            <v>0</v>
          </cell>
          <cell r="B138" t="str">
            <v>ARTICULO 413. SUMINISTRO DE CEMENTO ASFÁLTICO MODIFICADO CON GRANO DE CAUCHO RECICLADO</v>
          </cell>
          <cell r="C138" t="str">
            <v/>
          </cell>
          <cell r="D138">
            <v>0</v>
          </cell>
        </row>
        <row r="139">
          <cell r="A139">
            <v>413.1</v>
          </cell>
          <cell r="B139" t="str">
            <v>CEMENTO ASFÁLTICO MODIFICADO CON GRANO DE CAUCHO RECICLADO TIPO I</v>
          </cell>
          <cell r="C139" t="str">
            <v>KG</v>
          </cell>
          <cell r="D139">
            <v>2334</v>
          </cell>
        </row>
        <row r="140">
          <cell r="A140">
            <v>413.2</v>
          </cell>
          <cell r="B140" t="str">
            <v>CEMENTO ASFÁLTICO MODIFICADO CON GRANO DE CAUCHO RECICLADO TIPO II</v>
          </cell>
          <cell r="C140" t="str">
            <v>KG</v>
          </cell>
          <cell r="D140">
            <v>2421</v>
          </cell>
        </row>
        <row r="141">
          <cell r="A141">
            <v>413.3</v>
          </cell>
          <cell r="B141" t="str">
            <v>CEMENTO ASFÁLTICO MODIFICADO CON GRANO DE CAUCHO RECICLADO TIPO III</v>
          </cell>
          <cell r="C141" t="str">
            <v>KG</v>
          </cell>
          <cell r="D141">
            <v>2526</v>
          </cell>
        </row>
        <row r="142">
          <cell r="A142">
            <v>0</v>
          </cell>
          <cell r="B142" t="str">
            <v>ARTICULO 414. SUMINISTRO DE CEMENTO ASFÁLTICO MODIFICADO CON POLIMEROS.</v>
          </cell>
          <cell r="C142" t="str">
            <v/>
          </cell>
          <cell r="D142">
            <v>0</v>
          </cell>
        </row>
        <row r="143">
          <cell r="A143">
            <v>414.1</v>
          </cell>
          <cell r="B143" t="str">
            <v>CEMENTO ASFÁLTICO MODIFICADO CON POLÍMEROS TIPO I</v>
          </cell>
          <cell r="C143" t="str">
            <v>KG</v>
          </cell>
          <cell r="D143">
            <v>2012</v>
          </cell>
        </row>
        <row r="144">
          <cell r="A144">
            <v>414.2</v>
          </cell>
          <cell r="B144" t="str">
            <v>CEMENTO ASFÁLTICO MODIFICADO CON POLÍMEROS TIPO IIA</v>
          </cell>
          <cell r="C144" t="str">
            <v>KG</v>
          </cell>
          <cell r="D144">
            <v>2414</v>
          </cell>
        </row>
        <row r="145">
          <cell r="A145">
            <v>414.3</v>
          </cell>
          <cell r="B145" t="str">
            <v>CEMENTO ASFÁLTICO MODIFICADO CON POLÍMEROS TIPO IIB</v>
          </cell>
          <cell r="C145" t="str">
            <v>KG</v>
          </cell>
          <cell r="D145">
            <v>2504</v>
          </cell>
        </row>
        <row r="146">
          <cell r="A146">
            <v>414.4</v>
          </cell>
          <cell r="B146" t="str">
            <v>CEMENTO ASFÁLTICO MODIFICADO CON POLÍMEROS TIPO III</v>
          </cell>
          <cell r="C146" t="str">
            <v>KG</v>
          </cell>
          <cell r="D146">
            <v>2178</v>
          </cell>
        </row>
        <row r="147">
          <cell r="A147">
            <v>414.5</v>
          </cell>
          <cell r="B147" t="str">
            <v>CEMENTO ASFÁLTICO MODIFICADO CON POLÍMEROS TIPO IV</v>
          </cell>
          <cell r="C147" t="str">
            <v>KG</v>
          </cell>
          <cell r="D147">
            <v>2574</v>
          </cell>
        </row>
        <row r="148">
          <cell r="A148">
            <v>414.6</v>
          </cell>
          <cell r="B148" t="str">
            <v>CEMENTO ASFÁLTICO MODIFICADO CON POLÍMEROS TIPO V</v>
          </cell>
          <cell r="C148" t="str">
            <v>KG</v>
          </cell>
          <cell r="D148">
            <v>2574</v>
          </cell>
        </row>
        <row r="149">
          <cell r="A149">
            <v>0</v>
          </cell>
          <cell r="B149" t="str">
            <v>ARTICULO 415. SUMINISTRO DE EMULSIÓN ASFÁLTICAS MODIFICADA CON POLIMEROS</v>
          </cell>
          <cell r="C149" t="str">
            <v/>
          </cell>
          <cell r="D149">
            <v>0</v>
          </cell>
        </row>
        <row r="150">
          <cell r="A150">
            <v>415.1</v>
          </cell>
          <cell r="B150" t="str">
            <v>EMULSIÓN ASFÁLTICA DE ROTURA MEDIA, MODIFICADA CON POLÍMEROS, CRM‐M</v>
          </cell>
          <cell r="C150" t="str">
            <v>L</v>
          </cell>
          <cell r="D150">
            <v>2132</v>
          </cell>
        </row>
        <row r="151">
          <cell r="A151">
            <v>0</v>
          </cell>
          <cell r="B151" t="str">
            <v>ARTICULO 420 RIEGO DE IMPRIMACIÓN</v>
          </cell>
          <cell r="C151" t="str">
            <v/>
          </cell>
          <cell r="D151">
            <v>0</v>
          </cell>
        </row>
        <row r="152">
          <cell r="A152">
            <v>420.1</v>
          </cell>
          <cell r="B152" t="str">
            <v>RIEGO DE IMPRIMACIÓN CON EMULSIÓN ASFÁLTICA CRL‐0</v>
          </cell>
          <cell r="C152" t="str">
            <v>M²</v>
          </cell>
          <cell r="D152">
            <v>1785</v>
          </cell>
        </row>
        <row r="153">
          <cell r="A153">
            <v>420.2</v>
          </cell>
          <cell r="B153" t="str">
            <v>RIEGO DE IMPRIMACIÓN CON EMULSIÓN ASFÁLTICA CRL‐1</v>
          </cell>
          <cell r="C153" t="str">
            <v>M²</v>
          </cell>
          <cell r="D153">
            <v>1545</v>
          </cell>
        </row>
        <row r="154">
          <cell r="A154">
            <v>420.3</v>
          </cell>
          <cell r="B154" t="str">
            <v>RIEGO DE IMPRIMACIÓN CON ASFALTO LÍQUIDO</v>
          </cell>
          <cell r="C154" t="str">
            <v>M²</v>
          </cell>
          <cell r="D154">
            <v>3431</v>
          </cell>
        </row>
        <row r="155">
          <cell r="A155">
            <v>0</v>
          </cell>
          <cell r="B155" t="str">
            <v>ARTICULO 421. RIEGO DE LIGA</v>
          </cell>
          <cell r="C155" t="str">
            <v/>
          </cell>
          <cell r="D155">
            <v>0</v>
          </cell>
        </row>
        <row r="156">
          <cell r="A156">
            <v>421.1</v>
          </cell>
          <cell r="B156" t="str">
            <v>RIEGO DE LIGA CON EMULSIÓN ASFÁLTICA CRR‐1</v>
          </cell>
          <cell r="C156" t="str">
            <v>M²</v>
          </cell>
          <cell r="D156">
            <v>858</v>
          </cell>
        </row>
        <row r="157">
          <cell r="A157">
            <v>421.2</v>
          </cell>
          <cell r="B157" t="str">
            <v>RIEGO DE LIGA CON EMULSIÓN ASFÁLTICA CRR‐2</v>
          </cell>
          <cell r="C157" t="str">
            <v>M²</v>
          </cell>
          <cell r="D157">
            <v>809</v>
          </cell>
        </row>
        <row r="158">
          <cell r="A158">
            <v>421.3</v>
          </cell>
          <cell r="B158" t="str">
            <v>RIEGO DE LIGA CON EMULSIÓN MODIFICADA CON POLÍMEROS CRR‐1M</v>
          </cell>
          <cell r="C158" t="str">
            <v>M²</v>
          </cell>
          <cell r="D158">
            <v>1355</v>
          </cell>
        </row>
        <row r="159">
          <cell r="A159">
            <v>421.4</v>
          </cell>
          <cell r="B159" t="str">
            <v>RIEGO DE LIGA CON EMULSIÓN MODIFICADA CON POLÍMEROS CRR‐2M</v>
          </cell>
          <cell r="C159" t="str">
            <v>M²</v>
          </cell>
          <cell r="D159">
            <v>992</v>
          </cell>
        </row>
        <row r="160">
          <cell r="A160">
            <v>0</v>
          </cell>
          <cell r="B160" t="str">
            <v>ARTICULO 430. TRATAMIENTO SUPERFICIAL SIMPLE</v>
          </cell>
          <cell r="C160" t="str">
            <v/>
          </cell>
          <cell r="D160">
            <v>0</v>
          </cell>
        </row>
        <row r="161">
          <cell r="A161">
            <v>430.1</v>
          </cell>
          <cell r="B161" t="str">
            <v>TRATAMIENTO SUPERFICIAL SIMPLE CON EMULSIÓN CRR‐2</v>
          </cell>
          <cell r="C161" t="str">
            <v>M²</v>
          </cell>
          <cell r="D161">
            <v>6950</v>
          </cell>
        </row>
        <row r="162">
          <cell r="A162">
            <v>430.2</v>
          </cell>
          <cell r="B162" t="str">
            <v>TRATAMIENTO SUPERFICIAL SIMPLE CON EMULSIÓN CRR‐2 M</v>
          </cell>
          <cell r="C162" t="str">
            <v>M²</v>
          </cell>
          <cell r="D162">
            <v>7551</v>
          </cell>
        </row>
        <row r="163">
          <cell r="A163">
            <v>0</v>
          </cell>
          <cell r="B163" t="str">
            <v>ARTICULO 431. TRATAMIENTO SUPERFICIAL DOBLE</v>
          </cell>
          <cell r="C163" t="str">
            <v/>
          </cell>
          <cell r="D163">
            <v>0</v>
          </cell>
        </row>
        <row r="164">
          <cell r="A164">
            <v>431.1</v>
          </cell>
          <cell r="B164" t="str">
            <v>TRATAMIENTO SUPERFICIAL DOBLE CON EMULSIÓN CRR‐2</v>
          </cell>
          <cell r="C164" t="str">
            <v>M²</v>
          </cell>
          <cell r="D164">
            <v>7789</v>
          </cell>
        </row>
        <row r="165">
          <cell r="A165">
            <v>431.2</v>
          </cell>
          <cell r="B165" t="str">
            <v>TRATAMIENTO SUPERFICIAL DOBLE CON EMULSIÓN CRR‐2 M</v>
          </cell>
          <cell r="C165" t="str">
            <v>M²</v>
          </cell>
          <cell r="D165">
            <v>6969</v>
          </cell>
        </row>
        <row r="166">
          <cell r="A166">
            <v>0</v>
          </cell>
          <cell r="B166" t="str">
            <v>ARTICULO 432. SELLO DE ARENA-ASFALTO</v>
          </cell>
          <cell r="C166" t="str">
            <v/>
          </cell>
          <cell r="D166">
            <v>0</v>
          </cell>
        </row>
        <row r="167">
          <cell r="A167">
            <v>432.1</v>
          </cell>
          <cell r="B167" t="str">
            <v>SELLO DE ARENA‐ASFALTO CON EMULSIÓN CRR‐2</v>
          </cell>
          <cell r="C167" t="str">
            <v>M²</v>
          </cell>
          <cell r="D167">
            <v>2902</v>
          </cell>
        </row>
        <row r="168">
          <cell r="A168">
            <v>432.2</v>
          </cell>
          <cell r="B168" t="str">
            <v>SELLO DE ARENA‐ASFALTO CON EMULSIÓN CRR‐2M</v>
          </cell>
          <cell r="C168" t="str">
            <v>M²</v>
          </cell>
          <cell r="D168">
            <v>3272</v>
          </cell>
        </row>
        <row r="169">
          <cell r="A169">
            <v>0</v>
          </cell>
          <cell r="B169" t="str">
            <v>ARTICULO 433. LECHADA ASFÁLTICA</v>
          </cell>
          <cell r="C169" t="str">
            <v/>
          </cell>
          <cell r="D169">
            <v>0</v>
          </cell>
        </row>
        <row r="170">
          <cell r="A170">
            <v>433.1</v>
          </cell>
          <cell r="B170" t="str">
            <v>LECHADA ASFÁLTICA CON EMULSIÓN CRL‐1H, TIPO LA‐13</v>
          </cell>
          <cell r="C170" t="str">
            <v>M²</v>
          </cell>
          <cell r="D170">
            <v>8157</v>
          </cell>
        </row>
        <row r="171">
          <cell r="A171">
            <v>433.2</v>
          </cell>
          <cell r="B171" t="str">
            <v>LECHADA ASFÁLTICA CON EMULSIÓN CRL‐1H, TIPO LA‐10</v>
          </cell>
          <cell r="C171" t="str">
            <v>M²</v>
          </cell>
          <cell r="D171">
            <v>6444</v>
          </cell>
        </row>
        <row r="172">
          <cell r="A172">
            <v>433.3</v>
          </cell>
          <cell r="B172" t="str">
            <v>LECHADA ASFÁLTICA CON EMULSIÓN CRL‐1H, TIPO LA‐5</v>
          </cell>
          <cell r="C172" t="str">
            <v>M²</v>
          </cell>
          <cell r="D172">
            <v>6444</v>
          </cell>
        </row>
        <row r="173">
          <cell r="A173">
            <v>433.4</v>
          </cell>
          <cell r="B173" t="str">
            <v>LECHADA ASFÁLTICA CON EMULSIÓN CRL‐1H, TIPO LA‐3</v>
          </cell>
          <cell r="C173" t="str">
            <v>M²</v>
          </cell>
          <cell r="D173">
            <v>6444</v>
          </cell>
        </row>
        <row r="174">
          <cell r="A174">
            <v>433.5</v>
          </cell>
          <cell r="B174" t="str">
            <v>LECHADA ASFÁLTICA CON EMULSIÓN CRL‐1HM, TIPO LA‐13</v>
          </cell>
          <cell r="C174" t="str">
            <v>M²</v>
          </cell>
          <cell r="D174">
            <v>6444</v>
          </cell>
        </row>
        <row r="175">
          <cell r="A175">
            <v>433.6</v>
          </cell>
          <cell r="B175" t="str">
            <v>LECHADA ASFÁLTICA CON EMULSIÓN CRL‐1HM, TIPO LA‐10</v>
          </cell>
          <cell r="C175" t="str">
            <v>M²</v>
          </cell>
          <cell r="D175">
            <v>6444</v>
          </cell>
        </row>
        <row r="176">
          <cell r="A176">
            <v>433.7</v>
          </cell>
          <cell r="B176" t="str">
            <v>LECHADA ASFÁLTICA CON EMULSIÓN CRL‐1HM, TIPO LA‐5</v>
          </cell>
          <cell r="C176" t="str">
            <v>M²</v>
          </cell>
          <cell r="D176">
            <v>6444</v>
          </cell>
        </row>
        <row r="177">
          <cell r="A177">
            <v>433.8</v>
          </cell>
          <cell r="B177" t="str">
            <v>LECHADA ASFÁLTICA CON EMULSIÓN CRL‐1HM, TIPO LA‐3</v>
          </cell>
          <cell r="C177" t="str">
            <v>M²</v>
          </cell>
          <cell r="D177">
            <v>6444</v>
          </cell>
        </row>
        <row r="178">
          <cell r="A178">
            <v>0</v>
          </cell>
          <cell r="B178" t="str">
            <v>ARTICULO 440. MEZCLA DENSA EN FRIO</v>
          </cell>
          <cell r="C178" t="str">
            <v/>
          </cell>
          <cell r="D178">
            <v>0</v>
          </cell>
        </row>
        <row r="179">
          <cell r="A179">
            <v>440.1</v>
          </cell>
          <cell r="B179" t="str">
            <v>MEZCLA DENSA EN FRÍO TIPO MDF‐38</v>
          </cell>
          <cell r="C179" t="str">
            <v>M³</v>
          </cell>
          <cell r="D179">
            <v>494717</v>
          </cell>
        </row>
        <row r="180">
          <cell r="A180">
            <v>440.2</v>
          </cell>
          <cell r="B180" t="str">
            <v>MEZCLA DENSA EN FRÍO TIPO MDF‐25</v>
          </cell>
          <cell r="C180" t="str">
            <v>M³</v>
          </cell>
          <cell r="D180">
            <v>494717</v>
          </cell>
        </row>
        <row r="181">
          <cell r="A181">
            <v>440.3</v>
          </cell>
          <cell r="B181" t="str">
            <v>MEZCLA DENSA EN FRÍO TIPO MDF‐19</v>
          </cell>
          <cell r="C181" t="str">
            <v>M³</v>
          </cell>
          <cell r="D181">
            <v>494717</v>
          </cell>
        </row>
        <row r="182">
          <cell r="A182">
            <v>440.4</v>
          </cell>
          <cell r="B182" t="str">
            <v>MEZCLA DENSA EN FRÍO PARA BACHEO</v>
          </cell>
          <cell r="C182" t="str">
            <v>M³</v>
          </cell>
          <cell r="D182">
            <v>731503</v>
          </cell>
        </row>
        <row r="183">
          <cell r="A183">
            <v>0</v>
          </cell>
          <cell r="B183" t="str">
            <v>ARTICULO 441. MEZCLA ABIERTA EN FRIO</v>
          </cell>
          <cell r="C183" t="str">
            <v/>
          </cell>
          <cell r="D183">
            <v>0</v>
          </cell>
        </row>
        <row r="184">
          <cell r="A184">
            <v>441.1</v>
          </cell>
          <cell r="B184" t="str">
            <v>MEZCLA ABIERTA EN FRÍO TIPO MAF‐19</v>
          </cell>
          <cell r="C184" t="str">
            <v>M³</v>
          </cell>
          <cell r="D184">
            <v>494717</v>
          </cell>
        </row>
        <row r="185">
          <cell r="A185">
            <v>441.2</v>
          </cell>
          <cell r="B185" t="str">
            <v>MEZCLA ABIERTA EN FRÍO TIPO MAF‐25</v>
          </cell>
          <cell r="C185" t="str">
            <v>M³</v>
          </cell>
          <cell r="D185">
            <v>494717</v>
          </cell>
        </row>
        <row r="186">
          <cell r="A186">
            <v>441.3</v>
          </cell>
          <cell r="B186" t="str">
            <v>MEZCLA ABIERTA EN FRÍO TIPO MAF‐38</v>
          </cell>
          <cell r="C186" t="str">
            <v>M³</v>
          </cell>
          <cell r="D186">
            <v>494717</v>
          </cell>
        </row>
        <row r="187">
          <cell r="A187">
            <v>441.4</v>
          </cell>
          <cell r="B187" t="str">
            <v>MEZCLA ABIERTA EN FRÍO TIPO MAF‐38 PARA BACHEO</v>
          </cell>
          <cell r="C187" t="str">
            <v>M³</v>
          </cell>
          <cell r="D187">
            <v>731503</v>
          </cell>
        </row>
        <row r="188">
          <cell r="A188">
            <v>0</v>
          </cell>
          <cell r="B188" t="str">
            <v>ARTICULO 450. MEZCLAS ASFÁLTICAS EN CALIENTE DE GRADDACIÓN CONTINUA (CONCRETO ASFÁLTICO)</v>
          </cell>
          <cell r="C188" t="str">
            <v/>
          </cell>
          <cell r="D188">
            <v>0</v>
          </cell>
        </row>
        <row r="189">
          <cell r="A189">
            <v>450.1</v>
          </cell>
          <cell r="B189" t="str">
            <v>MEZCLA DENSA EN CALIENTE TIPO MDC‐25</v>
          </cell>
          <cell r="C189" t="str">
            <v>M³</v>
          </cell>
          <cell r="D189">
            <v>429623</v>
          </cell>
        </row>
        <row r="190">
          <cell r="A190">
            <v>450.2</v>
          </cell>
          <cell r="B190" t="str">
            <v>MEZCLA DENSA EN CALIENTE TIPO MDC‐19</v>
          </cell>
          <cell r="C190" t="str">
            <v>M³</v>
          </cell>
          <cell r="D190">
            <v>429623</v>
          </cell>
        </row>
        <row r="191">
          <cell r="A191" t="str">
            <v>450.2 P</v>
          </cell>
          <cell r="B191" t="str">
            <v>MEZCLA DENSA EN CALIENTE TIPO MDC‐19 COMPRADA (INCLUYE TTE)</v>
          </cell>
          <cell r="C191" t="str">
            <v>M³</v>
          </cell>
          <cell r="D191">
            <v>783214</v>
          </cell>
        </row>
        <row r="192">
          <cell r="A192">
            <v>450.3</v>
          </cell>
          <cell r="B192" t="str">
            <v>MEZCLA DENSA EN CALIENTE TIPO MDC‐10</v>
          </cell>
          <cell r="C192" t="str">
            <v>M³</v>
          </cell>
          <cell r="D192">
            <v>429623</v>
          </cell>
        </row>
        <row r="193">
          <cell r="A193">
            <v>450.4</v>
          </cell>
          <cell r="B193" t="str">
            <v>MEZCLA SEMIDENSA EN CALIENTE TIPO MSC‐25</v>
          </cell>
          <cell r="C193" t="str">
            <v>M³</v>
          </cell>
          <cell r="D193">
            <v>429623</v>
          </cell>
        </row>
        <row r="194">
          <cell r="A194">
            <v>450.5</v>
          </cell>
          <cell r="B194" t="str">
            <v>MEZCLA SEMIDENSA EN CALIENTE TIPO MSC‐19</v>
          </cell>
          <cell r="C194" t="str">
            <v>M³</v>
          </cell>
          <cell r="D194">
            <v>429623</v>
          </cell>
        </row>
        <row r="195">
          <cell r="A195">
            <v>450.6</v>
          </cell>
          <cell r="B195" t="str">
            <v>MEZCLA GRUESA EN CALIENTE TIPO MGC‐38</v>
          </cell>
          <cell r="C195" t="str">
            <v>M³</v>
          </cell>
          <cell r="D195">
            <v>429623</v>
          </cell>
        </row>
        <row r="196">
          <cell r="A196">
            <v>450.7</v>
          </cell>
          <cell r="B196" t="str">
            <v>MEZCLA GRUESA EN CALIENTE TIPO MGC‐25</v>
          </cell>
          <cell r="C196" t="str">
            <v>M³</v>
          </cell>
          <cell r="D196">
            <v>429623</v>
          </cell>
        </row>
        <row r="197">
          <cell r="A197">
            <v>450.8</v>
          </cell>
          <cell r="B197" t="str">
            <v>MEZCLA DE ALTO MÓDULO MAM‐25</v>
          </cell>
          <cell r="C197" t="str">
            <v>M³</v>
          </cell>
          <cell r="D197">
            <v>429623</v>
          </cell>
        </row>
        <row r="198">
          <cell r="A198" t="str">
            <v>450,10</v>
          </cell>
          <cell r="B198" t="str">
            <v>MEZCLA EN CALIENTE PARA BACHEO MSC‐25</v>
          </cell>
          <cell r="C198" t="str">
            <v>M³</v>
          </cell>
          <cell r="D198">
            <v>535425</v>
          </cell>
        </row>
        <row r="199">
          <cell r="A199">
            <v>450.11</v>
          </cell>
          <cell r="B199" t="str">
            <v>MEZCLA EN CALIENTE PARA BACHEO MGC‐25</v>
          </cell>
          <cell r="C199" t="str">
            <v>M³</v>
          </cell>
          <cell r="D199">
            <v>535425</v>
          </cell>
        </row>
        <row r="200">
          <cell r="A200">
            <v>450.12</v>
          </cell>
          <cell r="B200" t="str">
            <v>MEZCLA EN CALIENTE PARA BACHEO MGC‐38</v>
          </cell>
          <cell r="C200" t="str">
            <v>M³</v>
          </cell>
          <cell r="D200">
            <v>532835</v>
          </cell>
        </row>
        <row r="201">
          <cell r="A201">
            <v>0</v>
          </cell>
          <cell r="B201" t="str">
            <v>ARTICULO 451. MEZCLA ABIERTA EN CALIENTE</v>
          </cell>
          <cell r="C201" t="str">
            <v/>
          </cell>
          <cell r="D201">
            <v>0</v>
          </cell>
        </row>
        <row r="202">
          <cell r="A202">
            <v>451.1</v>
          </cell>
          <cell r="B202" t="str">
            <v>MEZCLA ABIERTA EN CALIENTE TIPO MAC‐75</v>
          </cell>
          <cell r="C202" t="str">
            <v>M³</v>
          </cell>
          <cell r="D202">
            <v>0</v>
          </cell>
        </row>
        <row r="203">
          <cell r="A203">
            <v>451.2</v>
          </cell>
          <cell r="B203" t="str">
            <v>MEZCLA ABIERTA EN CALIENTE TIPO MAC‐63</v>
          </cell>
          <cell r="C203" t="str">
            <v>M³</v>
          </cell>
          <cell r="D203">
            <v>0</v>
          </cell>
        </row>
        <row r="204">
          <cell r="A204">
            <v>451.3</v>
          </cell>
          <cell r="B204" t="str">
            <v>MEZCLA ABIERTA EN CALIENTE TIPO MAC‐50</v>
          </cell>
          <cell r="C204" t="str">
            <v>M³</v>
          </cell>
          <cell r="D204">
            <v>0</v>
          </cell>
        </row>
        <row r="205">
          <cell r="A205">
            <v>451.4</v>
          </cell>
          <cell r="B205" t="str">
            <v>MEZCLA ABIERTA EN CALIENTE TIPO MAC‐50 PARA BACHEO</v>
          </cell>
          <cell r="C205" t="str">
            <v>M³</v>
          </cell>
          <cell r="D205">
            <v>0</v>
          </cell>
        </row>
        <row r="206">
          <cell r="A206">
            <v>0</v>
          </cell>
          <cell r="B206" t="str">
            <v>ARTICULO 452. MEZCLA DISCONTINUA EN CALIENTE PARA CAPA DE RODADURA (MICROAGLOMERADOS EN CALIENTE)</v>
          </cell>
          <cell r="C206" t="str">
            <v/>
          </cell>
          <cell r="D206">
            <v>0</v>
          </cell>
        </row>
        <row r="207">
          <cell r="A207">
            <v>452.1</v>
          </cell>
          <cell r="B207" t="str">
            <v>MEZCLA DISCONTINUA EN CALIENTE TIPO M‐13</v>
          </cell>
          <cell r="C207" t="str">
            <v>M³</v>
          </cell>
          <cell r="D207">
            <v>0</v>
          </cell>
        </row>
        <row r="208">
          <cell r="A208">
            <v>452.2</v>
          </cell>
          <cell r="B208" t="str">
            <v>MEZCLA DISCONTINUA EN CALIENTE TIPO M‐10</v>
          </cell>
          <cell r="C208" t="str">
            <v>M³</v>
          </cell>
          <cell r="D208">
            <v>0</v>
          </cell>
        </row>
        <row r="209">
          <cell r="A209">
            <v>452.3</v>
          </cell>
          <cell r="B209" t="str">
            <v>MEZCLA DISCONTINUA EN CALIENTE TIPO F‐13</v>
          </cell>
          <cell r="C209" t="str">
            <v>M³</v>
          </cell>
          <cell r="D209">
            <v>0</v>
          </cell>
        </row>
        <row r="210">
          <cell r="A210">
            <v>452.4</v>
          </cell>
          <cell r="B210" t="str">
            <v>MEZCLA DISCONTINUA EN CALIENTE TIPO F‐10</v>
          </cell>
          <cell r="C210" t="str">
            <v>M³</v>
          </cell>
          <cell r="D210">
            <v>0</v>
          </cell>
        </row>
        <row r="211">
          <cell r="A211">
            <v>0</v>
          </cell>
          <cell r="B211" t="str">
            <v>ARTICULO 453. MEZCLA DRENANTE</v>
          </cell>
          <cell r="C211" t="str">
            <v/>
          </cell>
          <cell r="D211">
            <v>0</v>
          </cell>
        </row>
        <row r="212">
          <cell r="A212">
            <v>453.1</v>
          </cell>
          <cell r="B212" t="str">
            <v>MEZCLA DRENANTE</v>
          </cell>
          <cell r="C212" t="str">
            <v>M³</v>
          </cell>
          <cell r="D212">
            <v>463182</v>
          </cell>
        </row>
        <row r="213">
          <cell r="A213">
            <v>0</v>
          </cell>
          <cell r="B213" t="str">
            <v>ARTICULO 460. FRESADO DE PAVIMENTO ASFÁLTICO</v>
          </cell>
          <cell r="C213" t="str">
            <v/>
          </cell>
          <cell r="D213">
            <v>0</v>
          </cell>
        </row>
        <row r="214">
          <cell r="A214">
            <v>460.1</v>
          </cell>
          <cell r="B214" t="str">
            <v>FRESADO DE PAVIMENTO ASFÁLTICO EN ESPESOR DE ______CM</v>
          </cell>
          <cell r="C214" t="str">
            <v>M²</v>
          </cell>
          <cell r="D214">
            <v>5645</v>
          </cell>
        </row>
        <row r="215">
          <cell r="A215">
            <v>0</v>
          </cell>
          <cell r="B215" t="str">
            <v>ARTICULO 461. RECICLADO DE PAVIMENTO ASFÁLTICO EN FRIO EN EL LUGAR, EMPLEANDO LIGANTES BITUMINOSOS</v>
          </cell>
          <cell r="C215" t="str">
            <v/>
          </cell>
          <cell r="D215">
            <v>0</v>
          </cell>
        </row>
        <row r="216">
          <cell r="A216">
            <v>461.1</v>
          </cell>
          <cell r="B216" t="str">
            <v>PAVIMENTO RECICLADO EN FRÍO EN EL LUGAR CON EMULSIÓN ASFÁLTICA</v>
          </cell>
          <cell r="C216" t="str">
            <v>M³</v>
          </cell>
          <cell r="D216">
            <v>119649</v>
          </cell>
        </row>
        <row r="217">
          <cell r="A217">
            <v>461.2</v>
          </cell>
          <cell r="B217" t="str">
            <v>PAVIMENTO RECICLADO EN FRÍO EN EL LUGAR CON ASFALTO ESPUMADO</v>
          </cell>
          <cell r="C217" t="str">
            <v>M³</v>
          </cell>
          <cell r="D217">
            <v>115850</v>
          </cell>
        </row>
        <row r="218">
          <cell r="A218">
            <v>0</v>
          </cell>
          <cell r="B218" t="str">
            <v>ARTICULO 462. RECICLADO DE PAVIMENTO ASFÁLTICO EN PLANTA Y EN CALIENTE</v>
          </cell>
          <cell r="C218" t="str">
            <v/>
          </cell>
          <cell r="D218">
            <v>0</v>
          </cell>
        </row>
        <row r="219">
          <cell r="A219">
            <v>462.1</v>
          </cell>
          <cell r="B219" t="str">
            <v>MEZCLA ASFÁLTICA RECICLADA EN CALIENTE DEL TIPO ______</v>
          </cell>
          <cell r="C219" t="str">
            <v>M³</v>
          </cell>
          <cell r="D219">
            <v>0</v>
          </cell>
        </row>
        <row r="220">
          <cell r="A220">
            <v>462.2</v>
          </cell>
          <cell r="B220" t="str">
            <v>MEZCLA ASFÁLTICA RECICLADA EN CALIENTE DEL TIPO ______ PARA BACHEO</v>
          </cell>
          <cell r="C220" t="str">
            <v>M³</v>
          </cell>
          <cell r="D220">
            <v>0</v>
          </cell>
        </row>
        <row r="221">
          <cell r="A221">
            <v>0</v>
          </cell>
          <cell r="B221" t="str">
            <v>ARTICULO 464. GEOTEXTIL PARA REPAVIMENTACIÓN</v>
          </cell>
          <cell r="C221" t="str">
            <v/>
          </cell>
          <cell r="D221">
            <v>0</v>
          </cell>
        </row>
        <row r="222">
          <cell r="A222">
            <v>464.1</v>
          </cell>
          <cell r="B222" t="str">
            <v>GEOTEXTIL PARA REPAVIMENTACIÓN</v>
          </cell>
          <cell r="C222" t="str">
            <v>M²</v>
          </cell>
          <cell r="D222">
            <v>37601</v>
          </cell>
        </row>
        <row r="223">
          <cell r="A223">
            <v>0</v>
          </cell>
          <cell r="B223" t="str">
            <v>ARTICULO 465. EXCAVACIÓN PARA REPARACIÓN DE PAVIMENTO ASFÁLTICO EXISTENTE</v>
          </cell>
          <cell r="C223" t="str">
            <v/>
          </cell>
          <cell r="D223">
            <v>0</v>
          </cell>
        </row>
        <row r="224">
          <cell r="A224">
            <v>465.1</v>
          </cell>
          <cell r="B224" t="str">
            <v>EXCAVACIÓN PARA REPARACIÓN DEL PAVIMENTO ASFÁLTICO EXISTENTE INCLUYENDO EL CORTE Y LA REMOCIÓN DE LAS CAPAS ASFÁLTICAS Y DE LAS SUBYACENTES</v>
          </cell>
          <cell r="C224" t="str">
            <v>M³</v>
          </cell>
          <cell r="D224">
            <v>76840</v>
          </cell>
        </row>
        <row r="225">
          <cell r="A225">
            <v>465.2</v>
          </cell>
          <cell r="B225" t="str">
            <v>EXCAVACIÓN PARA REPARACIÓN DEL PAVIMENTO ASFÁLTICO EXISTENTE EXCLUYENDO EL CORTE Y LA REMOCIÓN DE LAS CAPAS ASFÁLTICAS</v>
          </cell>
          <cell r="C225" t="str">
            <v>M³</v>
          </cell>
          <cell r="D225">
            <v>0</v>
          </cell>
        </row>
        <row r="226">
          <cell r="A226">
            <v>0</v>
          </cell>
          <cell r="B226" t="str">
            <v>ARTICULO 466. SELLO DE GRIETAS EN PAVIMENTOS ASFÁLTICOS</v>
          </cell>
          <cell r="C226" t="str">
            <v/>
          </cell>
          <cell r="D226">
            <v>0</v>
          </cell>
        </row>
        <row r="227">
          <cell r="A227">
            <v>466.1</v>
          </cell>
          <cell r="B227" t="str">
            <v>SELLO DE GRIETAS EN PAVIMENTO ASFÁLTICO SIN RUTEO</v>
          </cell>
          <cell r="C227" t="str">
            <v>M</v>
          </cell>
          <cell r="D227">
            <v>2338</v>
          </cell>
        </row>
        <row r="228">
          <cell r="A228">
            <v>466.2</v>
          </cell>
          <cell r="B228" t="str">
            <v>SELLO DE GRIETAS EN PAVIMENTO ASFÁLTICO CON RUTEO</v>
          </cell>
          <cell r="C228" t="str">
            <v>M</v>
          </cell>
          <cell r="D228">
            <v>2272</v>
          </cell>
        </row>
        <row r="229">
          <cell r="A229">
            <v>0</v>
          </cell>
          <cell r="B229" t="str">
            <v>ARTICULO 500. PAVIMENTO DE CONCRETO HIDRÁULICO</v>
          </cell>
          <cell r="C229" t="str">
            <v/>
          </cell>
          <cell r="D229">
            <v>0</v>
          </cell>
        </row>
        <row r="230">
          <cell r="A230">
            <v>500.1</v>
          </cell>
          <cell r="B230" t="str">
            <v>PAVIMENTO DE CONCRETO HIDRÁULICO</v>
          </cell>
          <cell r="C230" t="str">
            <v>M³</v>
          </cell>
          <cell r="D230">
            <v>756214</v>
          </cell>
        </row>
        <row r="231">
          <cell r="A231">
            <v>500.2</v>
          </cell>
          <cell r="B231" t="str">
            <v>PAVIMENTO DE CONCRETO HIDRÁULICO DE FRAGUADO RÁPIDO FAST ‐TRACK</v>
          </cell>
          <cell r="C231" t="str">
            <v>M³</v>
          </cell>
          <cell r="D231">
            <v>0</v>
          </cell>
        </row>
        <row r="232">
          <cell r="A232">
            <v>0</v>
          </cell>
          <cell r="B232" t="str">
            <v>ARTICULO 501. SUMINISTRO DE CEMENTO HIDRÁULICO</v>
          </cell>
          <cell r="C232" t="str">
            <v/>
          </cell>
          <cell r="D232">
            <v>0</v>
          </cell>
        </row>
        <row r="233">
          <cell r="A233">
            <v>501.1</v>
          </cell>
          <cell r="B233" t="str">
            <v>CEMENTO PORTLAND TIPO ____</v>
          </cell>
          <cell r="C233" t="str">
            <v>KG</v>
          </cell>
          <cell r="D233">
            <v>0</v>
          </cell>
        </row>
        <row r="234">
          <cell r="A234">
            <v>501.1</v>
          </cell>
          <cell r="B234" t="str">
            <v>CEMENTO HIDRÁULICO ADICIONADO, NORMA ASTM C595, TIPO _____</v>
          </cell>
          <cell r="C234" t="str">
            <v>KG</v>
          </cell>
          <cell r="D234">
            <v>0</v>
          </cell>
        </row>
        <row r="235">
          <cell r="A235">
            <v>501.2</v>
          </cell>
          <cell r="B235" t="str">
            <v>CEMENTO HIDRÁULICO ESPECIFICADO POR DESEMPEÑO, NORMA ASTM C1137, TIPO _____</v>
          </cell>
          <cell r="C235" t="str">
            <v>KG</v>
          </cell>
          <cell r="D235">
            <v>0</v>
          </cell>
        </row>
        <row r="236">
          <cell r="A236">
            <v>0</v>
          </cell>
          <cell r="B236" t="str">
            <v>ARTICULO 505. BASE DE CONCRETO HIDRÁULICO</v>
          </cell>
          <cell r="C236" t="str">
            <v/>
          </cell>
          <cell r="D236">
            <v>0</v>
          </cell>
        </row>
        <row r="237">
          <cell r="A237">
            <v>505.1</v>
          </cell>
          <cell r="B237" t="str">
            <v>BASE DE CONCRETO HIDRÁULICO</v>
          </cell>
          <cell r="C237" t="str">
            <v>M³</v>
          </cell>
          <cell r="D237">
            <v>0</v>
          </cell>
        </row>
        <row r="238">
          <cell r="A238">
            <v>0</v>
          </cell>
          <cell r="B238" t="str">
            <v>ARTICULO 510. PAVIMENTOS DE ADOQUINES DE CONCRETO</v>
          </cell>
          <cell r="C238" t="str">
            <v/>
          </cell>
          <cell r="D238">
            <v>0</v>
          </cell>
        </row>
        <row r="239">
          <cell r="A239">
            <v>510.1</v>
          </cell>
          <cell r="B239" t="str">
            <v>PAVIMENTO DE ADOQUINES DE CONCRETO</v>
          </cell>
          <cell r="C239" t="str">
            <v>M²</v>
          </cell>
          <cell r="D239">
            <v>0</v>
          </cell>
        </row>
        <row r="240">
          <cell r="A240">
            <v>0</v>
          </cell>
          <cell r="B240" t="str">
            <v>ARTICULO 600. EXCAVACIONES VARIAS</v>
          </cell>
          <cell r="C240" t="str">
            <v/>
          </cell>
          <cell r="D240">
            <v>0</v>
          </cell>
        </row>
        <row r="241">
          <cell r="A241" t="str">
            <v>600,1,1</v>
          </cell>
          <cell r="B241" t="str">
            <v>EXCAVACIONES VARIAS SIN CLASIFICAR</v>
          </cell>
          <cell r="C241" t="str">
            <v>M³</v>
          </cell>
          <cell r="D241">
            <v>22706</v>
          </cell>
        </row>
        <row r="242">
          <cell r="A242" t="str">
            <v>600,2,1</v>
          </cell>
          <cell r="B242" t="str">
            <v>EXCAVACIONES VARIAS EN ROCA EN SECO</v>
          </cell>
          <cell r="C242" t="str">
            <v>M³</v>
          </cell>
          <cell r="D242">
            <v>193300</v>
          </cell>
        </row>
        <row r="243">
          <cell r="A243" t="str">
            <v>600,2,2</v>
          </cell>
          <cell r="B243" t="str">
            <v>EXCAVACIONES VARIAS EN ROCA BAJO AGUA</v>
          </cell>
          <cell r="C243" t="str">
            <v>M³</v>
          </cell>
          <cell r="D243">
            <v>247279</v>
          </cell>
        </row>
        <row r="244">
          <cell r="A244" t="str">
            <v>600,2,3</v>
          </cell>
          <cell r="B244" t="str">
            <v>EXCAVACIONES VARIAS EN MATERIAL COMÚN EN SECO</v>
          </cell>
          <cell r="C244" t="str">
            <v>M³</v>
          </cell>
          <cell r="D244">
            <v>19424</v>
          </cell>
        </row>
        <row r="245">
          <cell r="A245" t="str">
            <v>600,2,4</v>
          </cell>
          <cell r="B245" t="str">
            <v>EXCAVACIONES VARIAS EN MATERIAL COMÚN BAJO AGUA</v>
          </cell>
          <cell r="C245" t="str">
            <v>M³</v>
          </cell>
          <cell r="D245">
            <v>44867</v>
          </cell>
        </row>
        <row r="246">
          <cell r="A246">
            <v>0</v>
          </cell>
          <cell r="B246" t="str">
            <v>ARTICULO 610. RELLENOS PARA ESTRUCTURAS</v>
          </cell>
          <cell r="C246" t="str">
            <v/>
          </cell>
          <cell r="D246">
            <v>0</v>
          </cell>
        </row>
        <row r="247">
          <cell r="A247">
            <v>610.1</v>
          </cell>
          <cell r="B247" t="str">
            <v>RELLENOS PARA ESTRUCTURAS CON SUELO</v>
          </cell>
          <cell r="C247" t="str">
            <v>M³</v>
          </cell>
          <cell r="D247">
            <v>101799</v>
          </cell>
        </row>
        <row r="248">
          <cell r="A248">
            <v>610.20000000000005</v>
          </cell>
          <cell r="B248" t="str">
            <v>RELLENOS PARA ESTRUCTURAS CON RECEBO</v>
          </cell>
          <cell r="C248" t="str">
            <v>M³</v>
          </cell>
          <cell r="D248">
            <v>91574</v>
          </cell>
        </row>
        <row r="249">
          <cell r="A249">
            <v>610.29999999999995</v>
          </cell>
          <cell r="B249" t="str">
            <v>RELLENOS PARA ESTRUCTURAS CON MATERIAL GRANULAR TIPO SBG</v>
          </cell>
          <cell r="C249" t="str">
            <v>M³</v>
          </cell>
          <cell r="D249">
            <v>0</v>
          </cell>
        </row>
        <row r="250">
          <cell r="A250">
            <v>610.4</v>
          </cell>
          <cell r="B250" t="str">
            <v>RELLENOS PARA ESTRUCTURAS CON MATERIAL GRANULAR TIPO BG</v>
          </cell>
          <cell r="C250" t="str">
            <v>M³</v>
          </cell>
          <cell r="D250">
            <v>0</v>
          </cell>
        </row>
        <row r="251">
          <cell r="A251">
            <v>610.5</v>
          </cell>
          <cell r="B251" t="str">
            <v>RELLENOS CON MATERIAL FILTRANTE</v>
          </cell>
          <cell r="C251" t="str">
            <v>M³</v>
          </cell>
          <cell r="D251">
            <v>129203</v>
          </cell>
        </row>
        <row r="252">
          <cell r="A252">
            <v>610.6</v>
          </cell>
          <cell r="B252" t="str">
            <v>RELLENO CON GRAVILLA</v>
          </cell>
          <cell r="C252" t="str">
            <v>M³</v>
          </cell>
          <cell r="D252">
            <v>0</v>
          </cell>
        </row>
        <row r="253">
          <cell r="A253">
            <v>610.70000000000005</v>
          </cell>
          <cell r="B253" t="str">
            <v xml:space="preserve">RELLENO CON ARENA </v>
          </cell>
          <cell r="C253" t="str">
            <v>M³</v>
          </cell>
          <cell r="D253">
            <v>0</v>
          </cell>
        </row>
        <row r="254">
          <cell r="A254">
            <v>0</v>
          </cell>
          <cell r="B254" t="str">
            <v>ARTICULO 620. PILOTES PREFABRICADOS DE CONCRETO</v>
          </cell>
          <cell r="C254" t="str">
            <v/>
          </cell>
          <cell r="D254">
            <v>0</v>
          </cell>
        </row>
        <row r="255">
          <cell r="A255">
            <v>620.1</v>
          </cell>
          <cell r="B255" t="str">
            <v>PILOTES PREFABRICADOS DE CONCRETO, DE SECCIÓN _____</v>
          </cell>
          <cell r="C255" t="str">
            <v>M</v>
          </cell>
          <cell r="D255">
            <v>0</v>
          </cell>
        </row>
        <row r="256">
          <cell r="A256">
            <v>620.20000000000005</v>
          </cell>
          <cell r="B256" t="str">
            <v>EXTENSIÓN DE PILOTES, DE SECCIÓN _____</v>
          </cell>
          <cell r="C256" t="str">
            <v>M</v>
          </cell>
          <cell r="D256">
            <v>0</v>
          </cell>
        </row>
        <row r="257">
          <cell r="A257">
            <v>620.29999999999995</v>
          </cell>
          <cell r="B257" t="str">
            <v>PRUEBA DE CARGA TIPO ______</v>
          </cell>
          <cell r="C257" t="str">
            <v>U</v>
          </cell>
          <cell r="D257">
            <v>0</v>
          </cell>
        </row>
        <row r="258">
          <cell r="A258">
            <v>0</v>
          </cell>
          <cell r="B258" t="str">
            <v>ARTICULO 621. PILOTES PREEXCAVADOS</v>
          </cell>
          <cell r="C258" t="str">
            <v/>
          </cell>
          <cell r="D258">
            <v>0</v>
          </cell>
        </row>
        <row r="259">
          <cell r="A259">
            <v>621.1</v>
          </cell>
          <cell r="B259" t="str">
            <v>PILOTE DE CONCRETO VACIADO IN SITU, DE DIÁMETRO 1.3m</v>
          </cell>
          <cell r="C259" t="str">
            <v>M</v>
          </cell>
          <cell r="D259">
            <v>2895294</v>
          </cell>
        </row>
        <row r="260">
          <cell r="A260">
            <v>621.20000000000005</v>
          </cell>
          <cell r="B260" t="str">
            <v>BASE ACAMPANADA</v>
          </cell>
          <cell r="C260" t="str">
            <v>M³</v>
          </cell>
          <cell r="D260">
            <v>0</v>
          </cell>
        </row>
        <row r="261">
          <cell r="A261">
            <v>621.29999999999995</v>
          </cell>
          <cell r="B261" t="str">
            <v>PERFORACIÓN DE PRUEBA PARA PILOTE, DE DIÁMETRO_____</v>
          </cell>
          <cell r="C261" t="str">
            <v>M</v>
          </cell>
          <cell r="D261">
            <v>0</v>
          </cell>
        </row>
        <row r="262">
          <cell r="A262">
            <v>621.4</v>
          </cell>
          <cell r="B262" t="str">
            <v>PERFORACIÓN DE PRUEBA PARA BASE ACAMPANADA</v>
          </cell>
          <cell r="C262" t="str">
            <v>M³</v>
          </cell>
          <cell r="D262">
            <v>769599</v>
          </cell>
        </row>
        <row r="263">
          <cell r="A263">
            <v>621.5</v>
          </cell>
          <cell r="B263" t="str">
            <v>CAMISA PERMANENTE DE DIÁMETRO EXTERIOR ______</v>
          </cell>
          <cell r="C263" t="str">
            <v>M</v>
          </cell>
          <cell r="D263">
            <v>4391730</v>
          </cell>
        </row>
        <row r="264">
          <cell r="A264">
            <v>621.6</v>
          </cell>
          <cell r="B264" t="str">
            <v>PRUEBA DE CARGA TIPO ______</v>
          </cell>
          <cell r="C264" t="str">
            <v>U</v>
          </cell>
          <cell r="D264">
            <v>0</v>
          </cell>
        </row>
        <row r="265">
          <cell r="A265">
            <v>621.70000000000005</v>
          </cell>
          <cell r="B265" t="str">
            <v>PRUEBA DE INTEGRIDAD TIPO ______</v>
          </cell>
          <cell r="C265" t="str">
            <v>U</v>
          </cell>
          <cell r="D265">
            <v>0</v>
          </cell>
        </row>
        <row r="266">
          <cell r="A266">
            <v>0</v>
          </cell>
          <cell r="B266" t="str">
            <v>ARTICULO 622. TABLESTACADOS</v>
          </cell>
          <cell r="C266" t="str">
            <v/>
          </cell>
          <cell r="D266">
            <v>0</v>
          </cell>
        </row>
        <row r="267">
          <cell r="A267">
            <v>622.1</v>
          </cell>
          <cell r="B267" t="str">
            <v>TABLESTACADO DE MADERA</v>
          </cell>
          <cell r="C267" t="str">
            <v>M²</v>
          </cell>
          <cell r="D267">
            <v>400768</v>
          </cell>
        </row>
        <row r="268">
          <cell r="A268">
            <v>622.20000000000005</v>
          </cell>
          <cell r="B268" t="str">
            <v>TABLESTACADO METÁLICO</v>
          </cell>
          <cell r="C268" t="str">
            <v>M²</v>
          </cell>
          <cell r="D268">
            <v>340031</v>
          </cell>
        </row>
        <row r="269">
          <cell r="A269">
            <v>622.29999999999995</v>
          </cell>
          <cell r="B269" t="str">
            <v>TABLESTACADO DE CONCRETO REFORZADO</v>
          </cell>
          <cell r="C269" t="str">
            <v>M²</v>
          </cell>
          <cell r="D269">
            <v>14474966</v>
          </cell>
        </row>
        <row r="270">
          <cell r="A270">
            <v>622.4</v>
          </cell>
          <cell r="B270" t="str">
            <v>TABLESTACADO DE CONCRETO PREESFORZADO</v>
          </cell>
          <cell r="C270" t="str">
            <v>M²</v>
          </cell>
          <cell r="D270">
            <v>417844</v>
          </cell>
        </row>
        <row r="271">
          <cell r="A271">
            <v>622.5</v>
          </cell>
          <cell r="B271" t="str">
            <v>CORTE DEL EXTREMO SUPERIOR DEL ELEMENTO</v>
          </cell>
          <cell r="C271" t="str">
            <v>M</v>
          </cell>
          <cell r="D271">
            <v>35514</v>
          </cell>
        </row>
        <row r="272">
          <cell r="A272">
            <v>0</v>
          </cell>
          <cell r="B272" t="str">
            <v>ARTICULO 623. ANCLAJES</v>
          </cell>
          <cell r="C272" t="str">
            <v/>
          </cell>
          <cell r="D272">
            <v>0</v>
          </cell>
        </row>
        <row r="273">
          <cell r="A273">
            <v>623.1</v>
          </cell>
          <cell r="B273" t="str">
            <v>ANCLAJES TIPO____</v>
          </cell>
          <cell r="C273" t="str">
            <v>M</v>
          </cell>
          <cell r="D273">
            <v>403429</v>
          </cell>
        </row>
        <row r="274">
          <cell r="A274">
            <v>623.20000000000005</v>
          </cell>
          <cell r="B274" t="str">
            <v>PRUEBA DE CARGA</v>
          </cell>
          <cell r="C274" t="str">
            <v>U</v>
          </cell>
          <cell r="D274">
            <v>2559838</v>
          </cell>
        </row>
        <row r="275">
          <cell r="A275">
            <v>0</v>
          </cell>
          <cell r="B275" t="str">
            <v>ARTICULO 630. CONCRETO ESTRUCTURAL</v>
          </cell>
          <cell r="C275" t="str">
            <v/>
          </cell>
          <cell r="D275">
            <v>0</v>
          </cell>
        </row>
        <row r="276">
          <cell r="A276">
            <v>630.1</v>
          </cell>
          <cell r="B276" t="str">
            <v>CONCRETO CLASE 35 MPA</v>
          </cell>
          <cell r="C276" t="str">
            <v>M³</v>
          </cell>
          <cell r="D276">
            <v>1151220</v>
          </cell>
        </row>
        <row r="277">
          <cell r="A277">
            <v>630.20000000000005</v>
          </cell>
          <cell r="B277" t="str">
            <v>CONCRETO CLASE 32 MPA</v>
          </cell>
          <cell r="C277" t="str">
            <v>M³</v>
          </cell>
          <cell r="D277">
            <v>1116346</v>
          </cell>
        </row>
        <row r="278">
          <cell r="A278">
            <v>630.29999999999995</v>
          </cell>
          <cell r="B278" t="str">
            <v>CONCRETO CLASE 28 MPA</v>
          </cell>
          <cell r="C278" t="str">
            <v>M³</v>
          </cell>
          <cell r="D278">
            <v>849389</v>
          </cell>
        </row>
        <row r="279">
          <cell r="A279">
            <v>630.4</v>
          </cell>
          <cell r="B279" t="str">
            <v>CONCRETO CLASE 21 MPA</v>
          </cell>
          <cell r="C279" t="str">
            <v>M³</v>
          </cell>
          <cell r="D279">
            <v>720896</v>
          </cell>
        </row>
        <row r="280">
          <cell r="A280">
            <v>630.5</v>
          </cell>
          <cell r="B280" t="str">
            <v>CONCRETO CLASE 17 MPA</v>
          </cell>
          <cell r="C280" t="str">
            <v>M³</v>
          </cell>
          <cell r="D280">
            <v>705760</v>
          </cell>
        </row>
        <row r="281">
          <cell r="A281">
            <v>630.6</v>
          </cell>
          <cell r="B281" t="str">
            <v>CONCRETO CLASE 14 MPA</v>
          </cell>
          <cell r="C281" t="str">
            <v>M³</v>
          </cell>
          <cell r="D281">
            <v>648842</v>
          </cell>
        </row>
        <row r="282">
          <cell r="A282">
            <v>630.70000000000005</v>
          </cell>
          <cell r="B282" t="str">
            <v>CONCRETO CLASE CICLÓPEO</v>
          </cell>
          <cell r="C282" t="str">
            <v>M³</v>
          </cell>
          <cell r="D282">
            <v>463697</v>
          </cell>
        </row>
        <row r="283">
          <cell r="A283" t="str">
            <v>630P</v>
          </cell>
          <cell r="B283" t="str">
            <v>BOLSACRETOS</v>
          </cell>
          <cell r="C283" t="str">
            <v>M³</v>
          </cell>
          <cell r="D283">
            <v>714423</v>
          </cell>
        </row>
        <row r="284">
          <cell r="A284" t="str">
            <v>630 2P</v>
          </cell>
          <cell r="B284" t="str">
            <v>CONCRETO LANZADO</v>
          </cell>
          <cell r="C284" t="str">
            <v>M³</v>
          </cell>
          <cell r="D284">
            <v>1967501</v>
          </cell>
        </row>
        <row r="285">
          <cell r="A285">
            <v>0</v>
          </cell>
          <cell r="B285" t="str">
            <v>ARTICULO 632. BARANDAS DE CONCRETO</v>
          </cell>
          <cell r="C285" t="str">
            <v/>
          </cell>
          <cell r="D285">
            <v>0</v>
          </cell>
        </row>
        <row r="286">
          <cell r="A286">
            <v>632.1</v>
          </cell>
          <cell r="B286" t="str">
            <v>BARANDA DE CONCRETO</v>
          </cell>
          <cell r="C286" t="str">
            <v>M</v>
          </cell>
          <cell r="D286">
            <v>247530</v>
          </cell>
        </row>
        <row r="287">
          <cell r="A287">
            <v>0</v>
          </cell>
          <cell r="B287" t="str">
            <v>ARTICULO 640. ACERO DE REFUERZO</v>
          </cell>
          <cell r="C287" t="str">
            <v/>
          </cell>
          <cell r="D287">
            <v>0</v>
          </cell>
        </row>
        <row r="288">
          <cell r="A288">
            <v>640.1</v>
          </cell>
          <cell r="B288" t="str">
            <v>ACERO DE REFUERZO FY= 420 MPA</v>
          </cell>
          <cell r="C288" t="str">
            <v>KG</v>
          </cell>
          <cell r="D288">
            <v>4029</v>
          </cell>
        </row>
        <row r="289">
          <cell r="A289">
            <v>640.20000000000005</v>
          </cell>
          <cell r="B289" t="str">
            <v>MALLA DE REFUERZO FY=_____MPA</v>
          </cell>
          <cell r="C289" t="str">
            <v>KG</v>
          </cell>
          <cell r="D289">
            <v>4762</v>
          </cell>
        </row>
        <row r="290">
          <cell r="A290">
            <v>0</v>
          </cell>
          <cell r="B290" t="str">
            <v>ARTICULO 641. ACERO DE PREESFUERZO</v>
          </cell>
          <cell r="C290" t="str">
            <v/>
          </cell>
          <cell r="D290">
            <v>0</v>
          </cell>
        </row>
        <row r="291">
          <cell r="A291">
            <v>641.1</v>
          </cell>
          <cell r="B291" t="str">
            <v>ACERO DE PREESFUERZO</v>
          </cell>
          <cell r="C291" t="str">
            <v>TF-M</v>
          </cell>
          <cell r="D291">
            <v>1244</v>
          </cell>
        </row>
        <row r="292">
          <cell r="A292">
            <v>641.20000000000005</v>
          </cell>
          <cell r="B292" t="str">
            <v>ACERO DE PREESFUERZO</v>
          </cell>
          <cell r="C292" t="str">
            <v>KG</v>
          </cell>
          <cell r="D292">
            <v>18720</v>
          </cell>
        </row>
        <row r="293">
          <cell r="A293">
            <v>0</v>
          </cell>
          <cell r="B293" t="str">
            <v>ARTICULO 642. APOYOS Y SELLOS PARA JUNTAS DE PUENTES</v>
          </cell>
          <cell r="C293" t="str">
            <v/>
          </cell>
          <cell r="D293">
            <v>0</v>
          </cell>
        </row>
        <row r="294">
          <cell r="A294">
            <v>642.1</v>
          </cell>
          <cell r="B294" t="str">
            <v>APOYO ELASTOMERICO</v>
          </cell>
          <cell r="C294" t="str">
            <v>U</v>
          </cell>
          <cell r="D294">
            <v>520986</v>
          </cell>
        </row>
        <row r="295">
          <cell r="A295">
            <v>642.20000000000005</v>
          </cell>
          <cell r="B295" t="str">
            <v>SELLO PARA JUNTAS DE PUENTES</v>
          </cell>
          <cell r="C295" t="str">
            <v>M</v>
          </cell>
          <cell r="D295">
            <v>1720792</v>
          </cell>
        </row>
        <row r="296">
          <cell r="A296">
            <v>0</v>
          </cell>
          <cell r="B296" t="str">
            <v>ARTICULO 650. ESTRUCTURAS DE ACERO</v>
          </cell>
          <cell r="C296" t="str">
            <v/>
          </cell>
          <cell r="D296">
            <v>0</v>
          </cell>
        </row>
        <row r="297">
          <cell r="A297">
            <v>650.1</v>
          </cell>
          <cell r="B297" t="str">
            <v>DISEÑO Y FABRICACIÓN DE ESTRUCTURA METÁLICA</v>
          </cell>
          <cell r="C297" t="str">
            <v>KG</v>
          </cell>
          <cell r="D297">
            <v>5826</v>
          </cell>
        </row>
        <row r="298">
          <cell r="A298">
            <v>650.20000000000005</v>
          </cell>
          <cell r="B298" t="str">
            <v>DISEÑO Y FABRICACIÓN DE ESTRUCTURA METÁLICA</v>
          </cell>
          <cell r="C298" t="str">
            <v>KG</v>
          </cell>
          <cell r="D298">
            <v>5344</v>
          </cell>
        </row>
        <row r="299">
          <cell r="A299">
            <v>650.29999999999995</v>
          </cell>
          <cell r="B299" t="str">
            <v>FABRICACIÓN DE LA ESTRUCTURA METÁLICA</v>
          </cell>
          <cell r="C299" t="str">
            <v>KG</v>
          </cell>
          <cell r="D299">
            <v>122990</v>
          </cell>
        </row>
        <row r="300">
          <cell r="A300">
            <v>650.4</v>
          </cell>
          <cell r="B300" t="str">
            <v>TRANSPORTE DE ESTRUCTURA METÁLICA</v>
          </cell>
          <cell r="C300" t="str">
            <v>KG</v>
          </cell>
          <cell r="D300">
            <v>1357</v>
          </cell>
        </row>
        <row r="301">
          <cell r="A301">
            <v>0</v>
          </cell>
          <cell r="B301" t="str">
            <v>MONTAJE Y PINTURA DE ESTRUCTURA METÁLICA</v>
          </cell>
          <cell r="C301" t="str">
            <v/>
          </cell>
          <cell r="D301">
            <v>0</v>
          </cell>
        </row>
        <row r="302">
          <cell r="A302">
            <v>660.1</v>
          </cell>
          <cell r="B302" t="str">
            <v>TUBERÍA DE CONCRETO SIMPLE CLASE ____ DE _____ MM DE DIÁMETRO INTERIOR</v>
          </cell>
          <cell r="C302" t="str">
            <v>M</v>
          </cell>
          <cell r="D302">
            <v>130833</v>
          </cell>
        </row>
        <row r="303">
          <cell r="A303">
            <v>0</v>
          </cell>
          <cell r="B303" t="str">
            <v>ARTICULO 661. TUBERÍA DE CONCRETO REFORZADO</v>
          </cell>
          <cell r="C303" t="str">
            <v/>
          </cell>
          <cell r="D303">
            <v>0</v>
          </cell>
        </row>
        <row r="304">
          <cell r="A304">
            <v>661.1</v>
          </cell>
          <cell r="B304" t="str">
            <v>TUBERÍA DE CONCRETO REFORZADO CLASE ____ , DE _____MM DE DIÁMETRO INTERIOR</v>
          </cell>
          <cell r="C304" t="str">
            <v>M</v>
          </cell>
          <cell r="D304">
            <v>508312</v>
          </cell>
        </row>
        <row r="305">
          <cell r="A305">
            <v>0</v>
          </cell>
          <cell r="B305" t="str">
            <v>ARTICULO 662. TUBERÍA METÁLICA CORRUGADA</v>
          </cell>
          <cell r="C305" t="str">
            <v/>
          </cell>
          <cell r="D305">
            <v>0</v>
          </cell>
        </row>
        <row r="306">
          <cell r="A306">
            <v>662.1</v>
          </cell>
          <cell r="B306" t="str">
            <v>TUBERÍA CORRUGADA DE ACERO GALVANIZADO, DE LÁMINA CALIBRE ___ Y DIÁMETRO ___ MM</v>
          </cell>
          <cell r="C306" t="str">
            <v>M</v>
          </cell>
          <cell r="D306">
            <v>323423</v>
          </cell>
        </row>
        <row r="307">
          <cell r="A307">
            <v>662.2</v>
          </cell>
          <cell r="B307" t="str">
            <v>TUBERÍA CORRUGADA DE ACERO CON RECUBRIMIENTO BITUMINOSO, DE LÁMINA CALIBRE ___ Y DIÁMETRO ___ MM</v>
          </cell>
          <cell r="C307" t="str">
            <v>M</v>
          </cell>
          <cell r="D307">
            <v>332378</v>
          </cell>
        </row>
        <row r="308">
          <cell r="A308">
            <v>0</v>
          </cell>
          <cell r="B308" t="str">
            <v>ARTICULO 663. TUBERÍA DE PLÁSTICO</v>
          </cell>
          <cell r="C308" t="str">
            <v/>
          </cell>
          <cell r="D308">
            <v>0</v>
          </cell>
        </row>
        <row r="309">
          <cell r="A309">
            <v>663.1</v>
          </cell>
          <cell r="B309" t="str">
            <v>TUBERÍA DE PLÁSTICO TIPO ___, NORMA _____, DE DIÁMETRO ______ MM</v>
          </cell>
          <cell r="C309" t="str">
            <v>M</v>
          </cell>
          <cell r="D309">
            <v>251080</v>
          </cell>
        </row>
        <row r="310">
          <cell r="A310" t="str">
            <v>663P</v>
          </cell>
          <cell r="B310" t="str">
            <v>TUBERIA NOVALOC 900 MM</v>
          </cell>
          <cell r="C310" t="str">
            <v>M</v>
          </cell>
          <cell r="D310">
            <v>1089200</v>
          </cell>
        </row>
        <row r="311">
          <cell r="A311">
            <v>0</v>
          </cell>
          <cell r="B311" t="str">
            <v>ARTICULO 670. DISIPADORES DE ENERGÍA Y SEDIMENTADORES EN GAVIONES DE ALAMBRE DE ACERO ENTRELAZADO O EN CONCRETO CICLÓPEO</v>
          </cell>
          <cell r="C311" t="str">
            <v/>
          </cell>
          <cell r="D311">
            <v>0</v>
          </cell>
        </row>
        <row r="312">
          <cell r="A312">
            <v>670.1</v>
          </cell>
          <cell r="B312" t="str">
            <v>DISIPADORES DE ENERGÍA Y SEDIMENTADORES EN GAVIONES DE ALAMBRE DE ACERO ENTRELAZADO CLASE 1: RECUBRIMIENTO DE ZINC GALVANIZADO</v>
          </cell>
          <cell r="C312" t="str">
            <v>M³</v>
          </cell>
          <cell r="D312">
            <v>213950</v>
          </cell>
        </row>
        <row r="313">
          <cell r="A313">
            <v>670.2</v>
          </cell>
          <cell r="B313" t="str">
            <v>DISIPADORES DE ENERGÍA Y SEDIMENTADORES EN GAVIONES DE ALAMBRE DE ACERO ENTRELAZADO CLASE</v>
          </cell>
          <cell r="C313" t="str">
            <v>M³</v>
          </cell>
          <cell r="D313">
            <v>224377</v>
          </cell>
        </row>
        <row r="314">
          <cell r="A314">
            <v>670.3</v>
          </cell>
          <cell r="B314" t="str">
            <v>DISIPADORES DE ENERGÍA Y SEDIMENTADORES EN GAVIONES DE ALAMBRE DE ACERO ENTRELAZADO CLASE 3: RECUBRIMIENTO DE ZINC GALVANIZADO Y PVC</v>
          </cell>
          <cell r="C314" t="str">
            <v>M³</v>
          </cell>
          <cell r="D314">
            <v>225534</v>
          </cell>
        </row>
        <row r="315">
          <cell r="A315">
            <v>670.4</v>
          </cell>
          <cell r="B315" t="str">
            <v>DISIPADORES DE ENERGÍA Y SEDIMENTADORES EN GAVIONES DE ALAMBRE DE ACERO ENTRELAZADO CLASE 4: RECUBRIMIENTO DE ALEACIÓN ZN‐5A1‐MM Y PVC</v>
          </cell>
          <cell r="C315" t="str">
            <v>M³</v>
          </cell>
          <cell r="D315">
            <v>225534</v>
          </cell>
        </row>
        <row r="316">
          <cell r="A316">
            <v>670.5</v>
          </cell>
          <cell r="B316" t="str">
            <v>DISIPADORES DE ENERGÍA Y SEDIMENTADORES EN CONCRETO CICLÓPEO</v>
          </cell>
          <cell r="C316" t="str">
            <v>M³</v>
          </cell>
          <cell r="D316">
            <v>443580</v>
          </cell>
        </row>
        <row r="317">
          <cell r="A317">
            <v>0</v>
          </cell>
          <cell r="B317" t="str">
            <v>ARTICULO 671. CUNETAS REVESTIDAS EN CONCRETO</v>
          </cell>
          <cell r="C317" t="str">
            <v/>
          </cell>
          <cell r="D317">
            <v>0</v>
          </cell>
        </row>
        <row r="318">
          <cell r="A318">
            <v>671.1</v>
          </cell>
          <cell r="B318" t="str">
            <v>CUNETA DE CONCRETO VACIADA IN SITU CONFORMACIÓN DE LA SUPERFICIE DE APOYO</v>
          </cell>
          <cell r="C318" t="str">
            <v>M³</v>
          </cell>
          <cell r="D318">
            <v>622510</v>
          </cell>
        </row>
        <row r="319">
          <cell r="A319">
            <v>671.2</v>
          </cell>
          <cell r="B319" t="str">
            <v>CUNETA DE PIEZAS PREFABRICADAS DE CONCRETO INCLUYE LA CONFORMACIÓN DE LA SUPERFICIE DE APOYO</v>
          </cell>
          <cell r="C319" t="str">
            <v>M</v>
          </cell>
          <cell r="D319">
            <v>107101</v>
          </cell>
        </row>
        <row r="320">
          <cell r="A320">
            <v>671.3</v>
          </cell>
          <cell r="B320" t="str">
            <v>CUNETA DE CONCRETO VACIADA IN SITU CONFORMACIÓN DE LA SUPERFICIE DE APOYO</v>
          </cell>
          <cell r="C320" t="str">
            <v>M³</v>
          </cell>
          <cell r="D320">
            <v>657723</v>
          </cell>
        </row>
        <row r="321">
          <cell r="A321">
            <v>671.4</v>
          </cell>
          <cell r="B321" t="str">
            <v>CUNETA DE PIEZAS PREFABRICADAS DE CONCRETO INCLUYE LA CONFORMACIÓN DE LA SUPERFICIE DE APOYO</v>
          </cell>
          <cell r="C321" t="str">
            <v>M</v>
          </cell>
          <cell r="D321">
            <v>125768</v>
          </cell>
        </row>
        <row r="322">
          <cell r="A322">
            <v>0</v>
          </cell>
          <cell r="B322" t="str">
            <v>ARTICULO 672. BORDILLOS DE CONCRETO</v>
          </cell>
          <cell r="C322" t="str">
            <v/>
          </cell>
          <cell r="D322">
            <v>0</v>
          </cell>
        </row>
        <row r="323">
          <cell r="A323">
            <v>672.1</v>
          </cell>
          <cell r="B323" t="str">
            <v>BORDILLO DE CONCRETO VACIADO IN SITU PREPARACIÓN DE LA SUPERFICIE DE APOYO</v>
          </cell>
          <cell r="C323" t="str">
            <v>M</v>
          </cell>
          <cell r="D323">
            <v>73921</v>
          </cell>
        </row>
        <row r="324">
          <cell r="A324">
            <v>672.2</v>
          </cell>
          <cell r="B324" t="str">
            <v>BORDILLO DE PIEZAS PREFABRICADAS DE CONCRETO INCLUYE LA PREPARACIÓN DE LA SUPERFICIE DE APOYO</v>
          </cell>
          <cell r="C324" t="str">
            <v>M</v>
          </cell>
          <cell r="D324">
            <v>88491</v>
          </cell>
        </row>
        <row r="325">
          <cell r="A325">
            <v>672.3</v>
          </cell>
          <cell r="B325" t="str">
            <v>BORDILLO DE CONCRETO VACIADO IN SITU PREPARACIÓN DE LA SUPERFICIE DE APOYO</v>
          </cell>
          <cell r="C325" t="str">
            <v>M</v>
          </cell>
          <cell r="D325">
            <v>75147</v>
          </cell>
        </row>
        <row r="326">
          <cell r="A326">
            <v>672.4</v>
          </cell>
          <cell r="B326" t="str">
            <v>BORDILLO DE PIEZAS PREFABRICADAS DE CONCRETO INCLUYE LA PREPARACIÓN DE LA SUPERFICIE DE APOYO</v>
          </cell>
          <cell r="C326" t="str">
            <v>M</v>
          </cell>
          <cell r="D326">
            <v>89309</v>
          </cell>
        </row>
        <row r="327">
          <cell r="A327">
            <v>0</v>
          </cell>
          <cell r="B327" t="str">
            <v>ARTICULO 673. SUBDRENES CON GEOTEXTIL Y MATERIAL GRANULAR</v>
          </cell>
          <cell r="C327" t="str">
            <v/>
          </cell>
          <cell r="D327">
            <v>0</v>
          </cell>
        </row>
        <row r="328">
          <cell r="A328">
            <v>673.1</v>
          </cell>
          <cell r="B328" t="str">
            <v>GEOTEXTIL TIPO _____</v>
          </cell>
          <cell r="C328" t="str">
            <v>M²</v>
          </cell>
          <cell r="D328">
            <v>8312</v>
          </cell>
        </row>
        <row r="329">
          <cell r="A329">
            <v>673.2</v>
          </cell>
          <cell r="B329" t="str">
            <v>MATERIAL GRANULAR DRENANTE</v>
          </cell>
          <cell r="C329" t="str">
            <v>M³</v>
          </cell>
          <cell r="D329">
            <v>141905</v>
          </cell>
        </row>
        <row r="330">
          <cell r="A330">
            <v>673.3</v>
          </cell>
          <cell r="B330" t="str">
            <v>MATERIAL DE COBERTURA TIPO _____</v>
          </cell>
          <cell r="C330" t="str">
            <v>M³</v>
          </cell>
          <cell r="D330">
            <v>139457</v>
          </cell>
        </row>
        <row r="331">
          <cell r="A331">
            <v>0</v>
          </cell>
          <cell r="B331" t="str">
            <v>ARTICULO 674. DRENES HORIZONTALES EN TALUDES</v>
          </cell>
          <cell r="C331" t="str">
            <v/>
          </cell>
          <cell r="D331">
            <v>0</v>
          </cell>
        </row>
        <row r="332">
          <cell r="A332">
            <v>674.1</v>
          </cell>
          <cell r="B332" t="str">
            <v>DREN HORIZONTAL DE LONGITUD MENOR O IGUAL A DIEZ 10 METROS</v>
          </cell>
          <cell r="C332" t="str">
            <v>M</v>
          </cell>
          <cell r="D332">
            <v>82738</v>
          </cell>
        </row>
        <row r="333">
          <cell r="A333">
            <v>674.2</v>
          </cell>
          <cell r="B333" t="str">
            <v>DREN HORIZONTAL DE LONGITUD MAYOR A DIEZ 10 METROS</v>
          </cell>
          <cell r="C333" t="str">
            <v>M</v>
          </cell>
          <cell r="D333">
            <v>93800</v>
          </cell>
        </row>
        <row r="334">
          <cell r="A334">
            <v>0</v>
          </cell>
          <cell r="B334" t="str">
            <v>ARTICULO 680. MUROS DE TIERRA ESTABILIZADA MECÁNICAMENTE CON PANELES DE CONCRETO</v>
          </cell>
          <cell r="C334" t="str">
            <v/>
          </cell>
          <cell r="D334">
            <v>0</v>
          </cell>
        </row>
        <row r="335">
          <cell r="A335">
            <v>680.1</v>
          </cell>
          <cell r="B335" t="str">
            <v>PANELES DE CONCRETO</v>
          </cell>
          <cell r="C335" t="str">
            <v>M²</v>
          </cell>
          <cell r="D335">
            <v>801490</v>
          </cell>
        </row>
        <row r="336">
          <cell r="A336">
            <v>680.2</v>
          </cell>
          <cell r="B336" t="str">
            <v>ARMADURA GALVANIZADA</v>
          </cell>
          <cell r="C336" t="str">
            <v>M</v>
          </cell>
          <cell r="D336">
            <v>2586505</v>
          </cell>
        </row>
        <row r="337">
          <cell r="A337">
            <v>680.3</v>
          </cell>
          <cell r="B337" t="str">
            <v>RELLENO GRANULAR PARA TIERRA MECÁNICAMENTE ESTABILIZADA CON PANELES DE CONCRETO</v>
          </cell>
          <cell r="C337" t="str">
            <v>M³</v>
          </cell>
          <cell r="D337">
            <v>87768</v>
          </cell>
        </row>
        <row r="338">
          <cell r="A338">
            <v>0</v>
          </cell>
          <cell r="B338" t="str">
            <v>ARTICULO 681. GAVIONES DE MALLA DE ALAMBRE DE ACERO ENTRELAZADO</v>
          </cell>
          <cell r="C338" t="str">
            <v/>
          </cell>
          <cell r="D338">
            <v>0</v>
          </cell>
        </row>
        <row r="339">
          <cell r="A339">
            <v>681.1</v>
          </cell>
          <cell r="B339" t="str">
            <v>GAVIONES DE MALLA DE ALAMBRE DE ACERO ENTRELAZADO CLASE 1: RECUBRIMIENTO DE ZINC GALVANIZADO</v>
          </cell>
          <cell r="C339" t="str">
            <v>M³</v>
          </cell>
          <cell r="D339">
            <v>199487</v>
          </cell>
        </row>
        <row r="340">
          <cell r="A340">
            <v>681.2</v>
          </cell>
          <cell r="B340" t="str">
            <v>GAVIONES DE MALLA DE ALAMBRE DE ACERO ENTRELAZADO CLASE 2: RECUBRIMIENTO DE ALEACIÓN ZN‐5A1‐MM</v>
          </cell>
          <cell r="C340" t="str">
            <v>M³</v>
          </cell>
          <cell r="D340">
            <v>209914</v>
          </cell>
        </row>
        <row r="341">
          <cell r="A341">
            <v>681.3</v>
          </cell>
          <cell r="B341" t="str">
            <v>GAVIONES DE MALLA DE ALAMBRE DE ACERO ENTRELAZADO CLASE 3: RECUBRIMIENTO DE ZINC GALVANIZADO Y PVC</v>
          </cell>
          <cell r="C341" t="str">
            <v>M³</v>
          </cell>
          <cell r="D341">
            <v>211070</v>
          </cell>
        </row>
        <row r="342">
          <cell r="A342">
            <v>681.4</v>
          </cell>
          <cell r="B342" t="str">
            <v>GAVIONES DE MALLA DE ALAMBRE DE ACERO ENTRELAZADO CLASE 4: RECUBRIMIENTO DE ALEACIÓN ZN‐5A1‐MM Y PVC</v>
          </cell>
          <cell r="C342" t="str">
            <v>M³</v>
          </cell>
          <cell r="D342">
            <v>217241</v>
          </cell>
        </row>
        <row r="343">
          <cell r="A343">
            <v>0</v>
          </cell>
          <cell r="B343" t="str">
            <v>ARTICULO 682. COLCHOGAVIONESDE MALLA DE ALAMBRE DE ACERO ENTRELAZADO</v>
          </cell>
          <cell r="C343" t="str">
            <v/>
          </cell>
          <cell r="D343">
            <v>0</v>
          </cell>
        </row>
        <row r="344">
          <cell r="A344">
            <v>682.1</v>
          </cell>
          <cell r="B344" t="str">
            <v>COLCHOGAVIONES DE MALLA DE ALAMBRE DE ACERO ENTRELAZADO CLASE 1: RECUBRIMIENTO DE ZINC GALVANIZADO</v>
          </cell>
          <cell r="C344" t="str">
            <v>M³</v>
          </cell>
          <cell r="D344">
            <v>67889</v>
          </cell>
        </row>
        <row r="345">
          <cell r="A345">
            <v>682.2</v>
          </cell>
          <cell r="B345" t="str">
            <v>COLCHOGAVIONES DE MALLA DE ALAMBRE DE ACERO ENTRELAZADO CLASE 2: RECUBRIMIENTO DE ALEACIÓN ZN‐5A1‐MM</v>
          </cell>
          <cell r="C345" t="str">
            <v>M³</v>
          </cell>
          <cell r="D345">
            <v>69678</v>
          </cell>
        </row>
        <row r="346">
          <cell r="A346">
            <v>682.3</v>
          </cell>
          <cell r="B346" t="str">
            <v>COLCHOGAVIONES DE MALLA DE ALAMBRE DE ACERO ENTRELAZADO CLASE 3: RECUBRIMIENTO DE ZINC GALVANIZADO Y PVC</v>
          </cell>
          <cell r="C346" t="str">
            <v>M³</v>
          </cell>
          <cell r="D346">
            <v>71005</v>
          </cell>
        </row>
        <row r="347">
          <cell r="A347">
            <v>682.4</v>
          </cell>
          <cell r="B347" t="str">
            <v>COLCHOGAVIONES DE MALLA DE ALAMBRE DE ACERO ENTRELAZADO CLASE 4: RECUBRIMIENTO DE ALEACIÓN ZN‐5A1‐MM Y PVC</v>
          </cell>
          <cell r="C347" t="str">
            <v>M³</v>
          </cell>
          <cell r="D347">
            <v>56408</v>
          </cell>
        </row>
        <row r="348">
          <cell r="A348">
            <v>0</v>
          </cell>
          <cell r="B348" t="str">
            <v>ARTICULO 683. MUROS DE TIERRA ESTABILIZADA MECÁNICAMENTE CON GEOSINTÉTICOS</v>
          </cell>
          <cell r="C348" t="str">
            <v/>
          </cell>
          <cell r="D348">
            <v>0</v>
          </cell>
        </row>
        <row r="349">
          <cell r="A349">
            <v>683.1</v>
          </cell>
          <cell r="B349" t="str">
            <v>GEOTEXTIL DE REFUERZO TIPO _____ PARA MUROS DE TIERRA ESTABILIZADA MECÁNICAMENTE CON GEOSINTÉTICOS</v>
          </cell>
          <cell r="C349" t="str">
            <v>M²</v>
          </cell>
          <cell r="D349">
            <v>8075</v>
          </cell>
        </row>
        <row r="350">
          <cell r="A350">
            <v>683.2</v>
          </cell>
          <cell r="B350" t="str">
            <v>GEOMALLA DE REFUERZO TIPO _____ PARA MUROS DE TIERRA ESTABILIZADA MECÁNICAMENTE CON GEOSINTÉTICOS</v>
          </cell>
          <cell r="C350" t="str">
            <v>M²</v>
          </cell>
          <cell r="D350">
            <v>0</v>
          </cell>
        </row>
        <row r="351">
          <cell r="A351">
            <v>683.3</v>
          </cell>
          <cell r="B351" t="str">
            <v>GEOTEXTIL DE FACHADA TIPO _____ PARA MUROS DE TIERRA ESTABILIZADA MECÁNICAMENTE CON GEOSINTÉTICOS</v>
          </cell>
          <cell r="C351" t="str">
            <v>M²</v>
          </cell>
          <cell r="D351">
            <v>0</v>
          </cell>
        </row>
        <row r="352">
          <cell r="A352">
            <v>683.4</v>
          </cell>
          <cell r="B352" t="str">
            <v>GEOMALLA DE FACHADA TIPO _____ PARA MUROS DE TIERRA ESTABILIZADA MECÁNICAMENTE CON GEOSINTÉTICOS</v>
          </cell>
          <cell r="C352" t="str">
            <v>M²</v>
          </cell>
          <cell r="D352">
            <v>0</v>
          </cell>
        </row>
        <row r="353">
          <cell r="A353">
            <v>683.5</v>
          </cell>
          <cell r="B353" t="str">
            <v>RELLENO TIPO _____ PARA MUROS DE TIERRA ESTABILIZADA MECÁNICAMENTE CON GEOSINTÉTICOS</v>
          </cell>
          <cell r="C353" t="str">
            <v>M³</v>
          </cell>
          <cell r="D353">
            <v>54824</v>
          </cell>
        </row>
        <row r="354">
          <cell r="A354">
            <v>0</v>
          </cell>
          <cell r="B354" t="str">
            <v>ARTICULO 690. IMPERMEABILIZACIÓN DE ESTRUCTURAS</v>
          </cell>
          <cell r="C354" t="str">
            <v/>
          </cell>
          <cell r="D354">
            <v>0</v>
          </cell>
        </row>
        <row r="355">
          <cell r="A355">
            <v>690.1</v>
          </cell>
          <cell r="B355" t="str">
            <v>IMPERMEABILIZACIÓN DE ESTRUCTURAS</v>
          </cell>
          <cell r="C355" t="str">
            <v>M²</v>
          </cell>
          <cell r="D355">
            <v>120384</v>
          </cell>
        </row>
        <row r="356">
          <cell r="A356">
            <v>0</v>
          </cell>
          <cell r="B356" t="str">
            <v>ARTICULO 700. LINEAS DE DEMARCACIÒN Y MARCAS VIALES</v>
          </cell>
          <cell r="C356" t="str">
            <v/>
          </cell>
          <cell r="D356">
            <v>0</v>
          </cell>
        </row>
        <row r="357">
          <cell r="A357">
            <v>700.1</v>
          </cell>
          <cell r="B357" t="str">
            <v>LÍNEA DE DEMARCACIÓN CON PINTURA EN FRÍO</v>
          </cell>
          <cell r="C357" t="str">
            <v>M</v>
          </cell>
          <cell r="D357">
            <v>1827</v>
          </cell>
        </row>
        <row r="358">
          <cell r="A358">
            <v>700.2</v>
          </cell>
          <cell r="B358" t="str">
            <v>LÍNEA DE DEMARCACIÓN CON RESINA TERMOPLÁSTICA</v>
          </cell>
          <cell r="C358" t="str">
            <v>M</v>
          </cell>
          <cell r="D358">
            <v>6076</v>
          </cell>
        </row>
        <row r="359">
          <cell r="A359">
            <v>700.3</v>
          </cell>
          <cell r="B359" t="str">
            <v>MARCA VIAL CON PINTURA EN FRÍO</v>
          </cell>
          <cell r="C359" t="str">
            <v>M²</v>
          </cell>
          <cell r="D359">
            <v>32949</v>
          </cell>
        </row>
        <row r="360">
          <cell r="A360">
            <v>700.4</v>
          </cell>
          <cell r="B360" t="str">
            <v>MARCA VIAL CON RESINA TERMOPLÁSTICA</v>
          </cell>
          <cell r="C360" t="str">
            <v>M²</v>
          </cell>
          <cell r="D360">
            <v>39925</v>
          </cell>
        </row>
        <row r="361">
          <cell r="A361">
            <v>0</v>
          </cell>
          <cell r="B361" t="str">
            <v>ARTICULO 701. TACHAS REFLECTIVAS</v>
          </cell>
          <cell r="C361" t="str">
            <v/>
          </cell>
          <cell r="D361">
            <v>0</v>
          </cell>
        </row>
        <row r="362">
          <cell r="A362">
            <v>701.1</v>
          </cell>
          <cell r="B362" t="str">
            <v>TACHA REFLECTIVA</v>
          </cell>
          <cell r="C362" t="str">
            <v>U</v>
          </cell>
          <cell r="D362">
            <v>6222</v>
          </cell>
        </row>
        <row r="363">
          <cell r="A363">
            <v>0</v>
          </cell>
          <cell r="B363" t="str">
            <v>ARTICULO 710. SEÑALES VERTICALES DE TRÁNSITO</v>
          </cell>
          <cell r="C363" t="str">
            <v/>
          </cell>
          <cell r="D363">
            <v>0</v>
          </cell>
        </row>
        <row r="364">
          <cell r="A364">
            <v>710.1</v>
          </cell>
          <cell r="B364" t="str">
            <v>SEÑAL VERTICAL DE TRÁNSITO TIPO ___ CON LÁMINA RETRORREFLECTIVA TIPO ___</v>
          </cell>
          <cell r="C364" t="str">
            <v>U</v>
          </cell>
          <cell r="D364">
            <v>352298</v>
          </cell>
        </row>
        <row r="365">
          <cell r="A365">
            <v>710.2</v>
          </cell>
          <cell r="B365" t="str">
            <v>SEÑAL VERTICAL DE TRÁNSITO TIPO ___ CON LÁMINA RETRORREFLECTIVA TIPO ___</v>
          </cell>
          <cell r="C365" t="str">
            <v>M²</v>
          </cell>
          <cell r="D365">
            <v>359320</v>
          </cell>
        </row>
        <row r="366">
          <cell r="A366">
            <v>0</v>
          </cell>
          <cell r="B366" t="str">
            <v>ARTICULO 720. POSTES DE REFERENCIA</v>
          </cell>
          <cell r="C366" t="str">
            <v/>
          </cell>
          <cell r="D366">
            <v>0</v>
          </cell>
        </row>
        <row r="367">
          <cell r="A367">
            <v>720.1</v>
          </cell>
          <cell r="B367" t="str">
            <v>POSTE DE REFERENCIA</v>
          </cell>
          <cell r="C367" t="str">
            <v>U</v>
          </cell>
          <cell r="D367">
            <v>126811</v>
          </cell>
        </row>
        <row r="368">
          <cell r="A368">
            <v>0</v>
          </cell>
          <cell r="B368" t="str">
            <v>ARTICULO 730. DEFENSAS METÁLICAS</v>
          </cell>
          <cell r="C368" t="str">
            <v/>
          </cell>
          <cell r="D368">
            <v>0</v>
          </cell>
        </row>
        <row r="369">
          <cell r="A369">
            <v>730.1</v>
          </cell>
          <cell r="B369" t="str">
            <v>DEFENSA METÁLICA</v>
          </cell>
          <cell r="C369" t="str">
            <v>M</v>
          </cell>
          <cell r="D369">
            <v>246402</v>
          </cell>
        </row>
        <row r="370">
          <cell r="A370">
            <v>730.2</v>
          </cell>
          <cell r="B370" t="str">
            <v>SECCIÓN FINAL</v>
          </cell>
          <cell r="C370" t="str">
            <v>U</v>
          </cell>
          <cell r="D370">
            <v>102181</v>
          </cell>
        </row>
        <row r="371">
          <cell r="A371">
            <v>730.3</v>
          </cell>
          <cell r="B371" t="str">
            <v>SECCIÓN DE TOPE</v>
          </cell>
          <cell r="C371" t="str">
            <v>U</v>
          </cell>
          <cell r="D371">
            <v>39711</v>
          </cell>
        </row>
        <row r="372">
          <cell r="A372">
            <v>730.4</v>
          </cell>
          <cell r="B372" t="str">
            <v>ELEMENTO ESPECIAL TIPO _______</v>
          </cell>
          <cell r="C372" t="str">
            <v>U</v>
          </cell>
          <cell r="D372">
            <v>0</v>
          </cell>
        </row>
        <row r="373">
          <cell r="A373">
            <v>0</v>
          </cell>
          <cell r="B373" t="str">
            <v>ARTICULO 731. DEFENSAS DE CONCRETO</v>
          </cell>
          <cell r="C373" t="str">
            <v/>
          </cell>
          <cell r="D373">
            <v>0</v>
          </cell>
        </row>
        <row r="374">
          <cell r="A374">
            <v>731.1</v>
          </cell>
          <cell r="B374" t="str">
            <v>DEFENSA DE CONCRETO</v>
          </cell>
          <cell r="C374" t="str">
            <v>M</v>
          </cell>
          <cell r="D374">
            <v>245366</v>
          </cell>
        </row>
        <row r="375">
          <cell r="A375">
            <v>0</v>
          </cell>
          <cell r="B375" t="str">
            <v>ARTICULO 740. CAPTAFAROS</v>
          </cell>
          <cell r="C375" t="str">
            <v/>
          </cell>
          <cell r="D375">
            <v>0</v>
          </cell>
        </row>
        <row r="376">
          <cell r="A376">
            <v>740.1</v>
          </cell>
          <cell r="B376" t="str">
            <v>CAPTAFAROS</v>
          </cell>
          <cell r="C376" t="str">
            <v>U</v>
          </cell>
          <cell r="D376">
            <v>12155</v>
          </cell>
        </row>
        <row r="377">
          <cell r="A377">
            <v>0</v>
          </cell>
          <cell r="B377" t="str">
            <v>ARTICULO 741. DELINEADORES DE CORONA</v>
          </cell>
          <cell r="C377" t="str">
            <v/>
          </cell>
          <cell r="D377">
            <v>0</v>
          </cell>
        </row>
        <row r="378">
          <cell r="A378">
            <v>741.1</v>
          </cell>
          <cell r="B378" t="str">
            <v>DELINEADOR DE CORONA</v>
          </cell>
          <cell r="C378" t="str">
            <v>U</v>
          </cell>
          <cell r="D378">
            <v>94080</v>
          </cell>
        </row>
        <row r="379">
          <cell r="A379">
            <v>0</v>
          </cell>
          <cell r="B379" t="str">
            <v>ARTICULO 800. CERCAS DE ALAMBRE</v>
          </cell>
          <cell r="C379" t="str">
            <v/>
          </cell>
          <cell r="D379">
            <v>0</v>
          </cell>
        </row>
        <row r="380">
          <cell r="A380">
            <v>800.1</v>
          </cell>
          <cell r="B380" t="str">
            <v>CERCA DE ALAMBRE DE PÚAS CON POSTES DE MADERA</v>
          </cell>
          <cell r="C380" t="str">
            <v>M</v>
          </cell>
          <cell r="D380">
            <v>19515</v>
          </cell>
        </row>
        <row r="381">
          <cell r="A381">
            <v>800.2</v>
          </cell>
          <cell r="B381" t="str">
            <v>CERCA DE ALAMBRE DE PÚAS CON POSTES DE CONCRETO</v>
          </cell>
          <cell r="C381" t="str">
            <v>M</v>
          </cell>
          <cell r="D381">
            <v>20876</v>
          </cell>
        </row>
        <row r="382">
          <cell r="A382">
            <v>800.3</v>
          </cell>
          <cell r="B382" t="str">
            <v>CERCA DE MALLA CON POSTES DE MADERA</v>
          </cell>
          <cell r="C382" t="str">
            <v>M</v>
          </cell>
          <cell r="D382">
            <v>86275</v>
          </cell>
        </row>
        <row r="383">
          <cell r="A383">
            <v>800.4</v>
          </cell>
          <cell r="B383" t="str">
            <v>CERCA DE MALLA CON POSTES DE CONCRETO</v>
          </cell>
          <cell r="C383" t="str">
            <v>M</v>
          </cell>
          <cell r="D383">
            <v>86015</v>
          </cell>
        </row>
        <row r="384">
          <cell r="A384">
            <v>0</v>
          </cell>
          <cell r="B384" t="str">
            <v>ARTICULO 802. PODA DE ÁRBOLES</v>
          </cell>
          <cell r="C384" t="str">
            <v/>
          </cell>
          <cell r="D384">
            <v>0</v>
          </cell>
        </row>
        <row r="385">
          <cell r="A385">
            <v>802.1</v>
          </cell>
          <cell r="B385" t="str">
            <v>PODA DE LA PARTE AÉREA DE ÁRBOLES TIPO I</v>
          </cell>
          <cell r="C385" t="str">
            <v>U</v>
          </cell>
          <cell r="D385">
            <v>136845</v>
          </cell>
        </row>
        <row r="386">
          <cell r="A386">
            <v>802.2</v>
          </cell>
          <cell r="B386" t="str">
            <v>PODA DE LA PARTE AÉREA DE ÁRBOLES TIPO II</v>
          </cell>
          <cell r="C386" t="str">
            <v>U</v>
          </cell>
          <cell r="D386">
            <v>106980</v>
          </cell>
        </row>
        <row r="387">
          <cell r="A387">
            <v>802.3</v>
          </cell>
          <cell r="B387" t="str">
            <v>PODA DE LA PARTE AÉREA DE ÁRBOLES TIPO III</v>
          </cell>
          <cell r="C387" t="str">
            <v>U</v>
          </cell>
          <cell r="D387">
            <v>82066</v>
          </cell>
        </row>
        <row r="388">
          <cell r="A388">
            <v>802.4</v>
          </cell>
          <cell r="B388" t="str">
            <v>PODA DE LA PARTE AÉREA DE ÁRBOLES TIPO IV</v>
          </cell>
          <cell r="C388" t="str">
            <v>U</v>
          </cell>
          <cell r="D388">
            <v>60901</v>
          </cell>
        </row>
        <row r="389">
          <cell r="A389">
            <v>802.5</v>
          </cell>
          <cell r="B389" t="str">
            <v>PODA DE LA PARTE RADICULAR DE ÁRBOLES TIPO I</v>
          </cell>
          <cell r="C389" t="str">
            <v>U</v>
          </cell>
          <cell r="D389">
            <v>137391</v>
          </cell>
        </row>
        <row r="390">
          <cell r="A390">
            <v>802.6</v>
          </cell>
          <cell r="B390" t="str">
            <v>PODA DE LA PARTE RADICULAR DE ÁRBOLES TIPO II</v>
          </cell>
          <cell r="C390" t="str">
            <v>U</v>
          </cell>
          <cell r="D390">
            <v>97433</v>
          </cell>
        </row>
        <row r="391">
          <cell r="A391">
            <v>802.7</v>
          </cell>
          <cell r="B391" t="str">
            <v>PODA DE LA PARTE RADICULAR DE ÁRBOLES TIPO III</v>
          </cell>
          <cell r="C391" t="str">
            <v>U</v>
          </cell>
          <cell r="D391">
            <v>70234</v>
          </cell>
        </row>
        <row r="392">
          <cell r="A392">
            <v>802.8</v>
          </cell>
          <cell r="B392" t="str">
            <v>PODA DE LA PARTE RADICULAR DE ÁRBOLES TIPO IV</v>
          </cell>
          <cell r="C392" t="str">
            <v>U</v>
          </cell>
          <cell r="D392">
            <v>54815</v>
          </cell>
        </row>
        <row r="393">
          <cell r="A393">
            <v>0</v>
          </cell>
          <cell r="B393" t="str">
            <v>ARTICULO 810. PROTECCIÓN VEGETAL DE TALUDES</v>
          </cell>
          <cell r="C393" t="str">
            <v/>
          </cell>
          <cell r="D393">
            <v>0</v>
          </cell>
        </row>
        <row r="394">
          <cell r="A394">
            <v>810.1</v>
          </cell>
          <cell r="B394" t="str">
            <v>PROTECCIÓN DE TALUDES CON BLOQUES DE CÉSPED</v>
          </cell>
          <cell r="C394" t="str">
            <v>M²</v>
          </cell>
          <cell r="D394">
            <v>14544</v>
          </cell>
        </row>
        <row r="395">
          <cell r="A395">
            <v>810.2</v>
          </cell>
          <cell r="B395" t="str">
            <v>PROTECCIÓN DE TALUDES CON TIERRA ORGÁNICA</v>
          </cell>
          <cell r="C395" t="str">
            <v>M²</v>
          </cell>
          <cell r="D395">
            <v>23700</v>
          </cell>
        </row>
        <row r="396">
          <cell r="A396">
            <v>810.3</v>
          </cell>
          <cell r="B396" t="str">
            <v>PROTECCIÓN DE TALUDES CON HIDROSIEMBRA CONTROLADA</v>
          </cell>
          <cell r="C396" t="str">
            <v>M²</v>
          </cell>
          <cell r="D396">
            <v>31568</v>
          </cell>
        </row>
        <row r="397">
          <cell r="A397">
            <v>0</v>
          </cell>
          <cell r="B397" t="str">
            <v>ARTICULO 811. PROTECCIÓN DE TALUDES CON PRODUCTOS ENROLLADOS PARA CONTROL DE EROSIÓN</v>
          </cell>
          <cell r="C397" t="str">
            <v/>
          </cell>
          <cell r="D397">
            <v>0</v>
          </cell>
        </row>
        <row r="398">
          <cell r="A398">
            <v>811.1</v>
          </cell>
          <cell r="B398" t="str">
            <v>PROTECCIÓN DE TALUDES CON PRODUCTO ENROLLADO PARA CONTROL DE EROSIÓN DEL TIPO ________________</v>
          </cell>
          <cell r="C398" t="str">
            <v>M²</v>
          </cell>
          <cell r="D398">
            <v>15756</v>
          </cell>
        </row>
        <row r="399">
          <cell r="A399">
            <v>0</v>
          </cell>
          <cell r="B399" t="str">
            <v>ARTICULO 812. RECUBRIMIENTO DE TALUDES CON MALLA Y MORTERO</v>
          </cell>
          <cell r="C399" t="str">
            <v/>
          </cell>
          <cell r="D399">
            <v>0</v>
          </cell>
        </row>
        <row r="400">
          <cell r="A400">
            <v>812.1</v>
          </cell>
          <cell r="B400" t="str">
            <v>RECUBRIMIENTO DE TALUDES CON MALLA Y MORTERO 1:4 DE E = ____ CM</v>
          </cell>
          <cell r="C400" t="str">
            <v>M²</v>
          </cell>
          <cell r="D400">
            <v>58964</v>
          </cell>
        </row>
        <row r="401">
          <cell r="A401">
            <v>0</v>
          </cell>
          <cell r="B401" t="str">
            <v>ARTICULO 820. PLANTACIÓN DE ÁRBOLES</v>
          </cell>
          <cell r="C401" t="str">
            <v/>
          </cell>
          <cell r="D401">
            <v>0</v>
          </cell>
        </row>
        <row r="402">
          <cell r="A402">
            <v>820.1</v>
          </cell>
          <cell r="B402" t="str">
            <v>PLANTACIÓN DE ÁRBOLE</v>
          </cell>
          <cell r="C402" t="str">
            <v>U</v>
          </cell>
          <cell r="D402">
            <v>70214</v>
          </cell>
        </row>
        <row r="403">
          <cell r="A403">
            <v>0</v>
          </cell>
          <cell r="B403" t="str">
            <v>ARTICULO 900. TRANSPORTE DE MATERIALES PROVENIENTES DE EXCAVACIONES Y DERRUMBES</v>
          </cell>
          <cell r="C403" t="str">
            <v/>
          </cell>
          <cell r="D403">
            <v>0</v>
          </cell>
        </row>
        <row r="404">
          <cell r="A404">
            <v>900.1</v>
          </cell>
          <cell r="B404" t="str">
            <v xml:space="preserve">TRANSPORTE DE MATERIALES PROVENIENTES DE LA EXCAVACIÓN DE LA EXPLANACIÓN, CANALES Y PRÉSTAMOS, ENTRE CIEN METROS 100 M Y MIL METROS 1000 M DE DISTANCIA </v>
          </cell>
          <cell r="C404" t="str">
            <v>M³-ESTACION</v>
          </cell>
          <cell r="D404">
            <v>1326</v>
          </cell>
        </row>
        <row r="405">
          <cell r="A405">
            <v>900.2</v>
          </cell>
          <cell r="B405" t="str">
            <v xml:space="preserve">TRANSPORTE DE MATERIALES PROVENIENTES DE LA EXCAVACIÓN DE LA EXPLANACIÓN, CANALES Y PRÉSTAMOS PARA DISTANCIAS MAYORES DE MIL METROS 1000 M, MEDIDO A PARTIR DE CIEN METROS 100 M </v>
          </cell>
          <cell r="C405" t="str">
            <v>M³-KM</v>
          </cell>
          <cell r="D405">
            <v>1279</v>
          </cell>
        </row>
        <row r="406">
          <cell r="A406">
            <v>900.3</v>
          </cell>
          <cell r="B406" t="str">
            <v xml:space="preserve">TRANSPORTE DE MATERIALES PROVENIENTES DE DERRUMBES, MEDIDO A PARTIR DE CIEN METROS 100M </v>
          </cell>
          <cell r="C406" t="str">
            <v>M³-KM</v>
          </cell>
          <cell r="D406">
            <v>1279</v>
          </cell>
        </row>
        <row r="407">
          <cell r="A407" t="str">
            <v>1.1P</v>
          </cell>
          <cell r="B407" t="str">
            <v>Suministro e instalación de fibra de carbono en manto</v>
          </cell>
          <cell r="C407" t="str">
            <v>M²</v>
          </cell>
          <cell r="D407">
            <v>405086</v>
          </cell>
        </row>
        <row r="408">
          <cell r="A408" t="str">
            <v>1.2P</v>
          </cell>
          <cell r="B408" t="str">
            <v>Suministro e instalación de fibra de carbono en platina</v>
          </cell>
          <cell r="C408" t="str">
            <v>M</v>
          </cell>
          <cell r="D408">
            <v>397537</v>
          </cell>
        </row>
        <row r="409">
          <cell r="A409" t="str">
            <v>2P</v>
          </cell>
          <cell r="B409" t="str">
            <v>Limpieza y pintura baranda metálica</v>
          </cell>
          <cell r="C409" t="str">
            <v>M²</v>
          </cell>
          <cell r="D409">
            <v>24019</v>
          </cell>
        </row>
        <row r="410">
          <cell r="A410" t="str">
            <v>3P</v>
          </cell>
          <cell r="B410" t="str">
            <v>Limpieza de estructuras con chorro de agua (Hidro Blasting)</v>
          </cell>
          <cell r="C410" t="str">
            <v>M²</v>
          </cell>
          <cell r="D410">
            <v>19899</v>
          </cell>
        </row>
        <row r="411">
          <cell r="A411" t="str">
            <v>4P</v>
          </cell>
          <cell r="B411" t="str">
            <v>PINTURA ACRILICA VIGAS, TABLERO Y MUROS PROTECCION MEDIO AMBIENTE TIPO 555W 0 SIMILAR, 2 MANOS</v>
          </cell>
          <cell r="C411" t="str">
            <v>M2</v>
          </cell>
          <cell r="D411">
            <v>37896</v>
          </cell>
        </row>
        <row r="412">
          <cell r="A412" t="str">
            <v>5P</v>
          </cell>
          <cell r="B412" t="str">
            <v>Suministro E Inyección De Resina Epóxica Para Sello De Fisuras</v>
          </cell>
          <cell r="C412" t="str">
            <v>KG</v>
          </cell>
          <cell r="D412">
            <v>246403</v>
          </cell>
        </row>
        <row r="413">
          <cell r="A413" t="str">
            <v>6P</v>
          </cell>
          <cell r="B413" t="str">
            <v>Tratamiento De Superficies De Concreto Con Mortero Acrílico De Reparación</v>
          </cell>
          <cell r="C413" t="str">
            <v>M²</v>
          </cell>
          <cell r="D413">
            <v>490480</v>
          </cell>
        </row>
        <row r="414">
          <cell r="A414" t="str">
            <v>7P</v>
          </cell>
          <cell r="B414" t="str">
            <v>Suministro E Instalación Baranda Metálica</v>
          </cell>
          <cell r="C414" t="str">
            <v>M</v>
          </cell>
          <cell r="D414">
            <v>645786.41651985515</v>
          </cell>
        </row>
        <row r="415">
          <cell r="A415">
            <v>0</v>
          </cell>
          <cell r="B415">
            <v>0</v>
          </cell>
          <cell r="C415">
            <v>0</v>
          </cell>
          <cell r="D415">
            <v>0</v>
          </cell>
        </row>
        <row r="416">
          <cell r="A416" t="str">
            <v>201P</v>
          </cell>
          <cell r="B416" t="str">
            <v>DEMOLICION DE ROCAS AISLADAS</v>
          </cell>
          <cell r="C416" t="str">
            <v>M³</v>
          </cell>
          <cell r="D416">
            <v>61204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TABLA DE CONTENIDO"/>
      <sheetName val="GENERALIDADES "/>
      <sheetName val="CUMPLIMIENTO % "/>
      <sheetName val="ESTADO RED VIS"/>
      <sheetName val="SEMAFORO VIS"/>
      <sheetName val="TORTA EST. VIAS VIS"/>
      <sheetName val="ESTADO RED TEC"/>
      <sheetName val="SEMAFORO TEC"/>
      <sheetName val="TORTA EST. VIAS TEC"/>
      <sheetName val="MAPA EST RED"/>
      <sheetName val="NECESIDAD VIA"/>
      <sheetName val="NECESIDADES CRITICAS"/>
      <sheetName val="CANT OBRA"/>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R"/>
      <sheetName val="CUALI MR"/>
      <sheetName val="INTERVENTORIA DE CONTRATOS"/>
      <sheetName val="FOTOG1"/>
      <sheetName val="FOTOG2"/>
      <sheetName val="PRENSA"/>
      <sheetName val="COMENTARIOS"/>
      <sheetName val="CAPACITACION MICRO 1"/>
      <sheetName val="REG. FOT. CAPACITACION JUN-28 "/>
      <sheetName val="CAPACITACION MICRO (2)"/>
      <sheetName val="REG. FOT. CAPACITACION JUL-25"/>
      <sheetName val="CAPACITACION MICRO (3)"/>
      <sheetName val="REG. FOT. CAPACITACION AGO-29"/>
      <sheetName val="CAPACITACION MICRO (4)"/>
      <sheetName val="REG. FOT. CAPACITACION SEP- 26"/>
      <sheetName val="RESUMEN TEMAS CAPACIT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45">
          <cell r="F45">
            <v>4551388087</v>
          </cell>
        </row>
      </sheetData>
      <sheetData sheetId="12">
        <row r="59">
          <cell r="F59">
            <v>3043607778</v>
          </cell>
        </row>
      </sheetData>
      <sheetData sheetId="13" refreshError="1"/>
      <sheetData sheetId="14" refreshError="1"/>
      <sheetData sheetId="15" refreshError="1"/>
      <sheetData sheetId="16">
        <row r="20">
          <cell r="N20">
            <v>1288070</v>
          </cell>
        </row>
      </sheetData>
      <sheetData sheetId="17" refreshError="1"/>
      <sheetData sheetId="18">
        <row r="12">
          <cell r="F12">
            <v>4109880</v>
          </cell>
        </row>
      </sheetData>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mvantioquia02@gmail.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hyperlink" Target="mailto:amvantioquia02@gmail.com" TargetMode="Externa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9.xml"/><Relationship Id="rId1" Type="http://schemas.openxmlformats.org/officeDocument/2006/relationships/printerSettings" Target="../printerSettings/printerSettings34.bin"/><Relationship Id="rId6" Type="http://schemas.openxmlformats.org/officeDocument/2006/relationships/oleObject" Target="../embeddings/oleObject4.bin"/><Relationship Id="rId5" Type="http://schemas.openxmlformats.org/officeDocument/2006/relationships/image" Target="../media/image68.emf"/><Relationship Id="rId4" Type="http://schemas.openxmlformats.org/officeDocument/2006/relationships/oleObject" Target="../embeddings/oleObject3.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0.xml"/><Relationship Id="rId1" Type="http://schemas.openxmlformats.org/officeDocument/2006/relationships/printerSettings" Target="../printerSettings/printerSettings35.bin"/><Relationship Id="rId5" Type="http://schemas.openxmlformats.org/officeDocument/2006/relationships/image" Target="../media/image68.emf"/><Relationship Id="rId4" Type="http://schemas.openxmlformats.org/officeDocument/2006/relationships/oleObject" Target="../embeddings/oleObject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tabSelected="1" workbookViewId="0">
      <selection activeCell="C1" sqref="C1:E1"/>
    </sheetView>
  </sheetViews>
  <sheetFormatPr defaultColWidth="11.42578125" defaultRowHeight="12.75"/>
  <sheetData>
    <row r="1" spans="1:7" ht="21" customHeight="1">
      <c r="C1" s="1253" t="s">
        <v>0</v>
      </c>
      <c r="D1" s="1253"/>
      <c r="E1" s="1253"/>
    </row>
    <row r="2" spans="1:7" ht="23.25">
      <c r="A2" s="208"/>
      <c r="B2" s="208"/>
      <c r="C2" s="208"/>
      <c r="D2" s="208"/>
      <c r="E2" s="208"/>
      <c r="F2" s="208"/>
      <c r="G2" s="208"/>
    </row>
    <row r="3" spans="1:7" ht="23.25">
      <c r="A3" s="1261" t="s">
        <v>1</v>
      </c>
      <c r="B3" s="1261"/>
      <c r="C3" s="1261"/>
      <c r="D3" s="1261"/>
      <c r="E3" s="1261"/>
      <c r="F3" s="1261"/>
      <c r="G3" s="1261"/>
    </row>
    <row r="4" spans="1:7" ht="22.9" customHeight="1">
      <c r="A4" s="1255" t="s">
        <v>2</v>
      </c>
      <c r="B4" s="1255"/>
      <c r="C4" s="1255"/>
      <c r="D4" s="1255"/>
      <c r="E4" s="1255"/>
      <c r="F4" s="1255"/>
      <c r="G4" s="1255"/>
    </row>
    <row r="6" spans="1:7">
      <c r="A6" s="188"/>
      <c r="B6" s="188"/>
      <c r="C6" s="188"/>
      <c r="D6" s="188"/>
      <c r="E6" s="188"/>
      <c r="F6" s="188"/>
      <c r="G6" s="188"/>
    </row>
    <row r="14" spans="1:7" ht="20.25">
      <c r="A14" s="1252" t="s">
        <v>3</v>
      </c>
      <c r="B14" s="1252"/>
      <c r="C14" s="1252"/>
      <c r="D14" s="1252"/>
      <c r="E14" s="1252"/>
      <c r="F14" s="1252"/>
      <c r="G14" s="1252"/>
    </row>
    <row r="15" spans="1:7" ht="20.25">
      <c r="A15" s="1252" t="s">
        <v>4</v>
      </c>
      <c r="B15" s="1252"/>
      <c r="C15" s="1252"/>
      <c r="D15" s="1252"/>
      <c r="E15" s="1252"/>
      <c r="F15" s="1252"/>
      <c r="G15" s="1252"/>
    </row>
    <row r="16" spans="1:7" ht="15.75">
      <c r="A16" s="1253" t="s">
        <v>5</v>
      </c>
      <c r="B16" s="1253"/>
      <c r="C16" s="1253"/>
      <c r="D16" s="1253"/>
      <c r="E16" s="1253"/>
      <c r="F16" s="1253"/>
      <c r="G16" s="1253"/>
    </row>
    <row r="17" spans="1:10" ht="20.25">
      <c r="A17" s="1252" t="s">
        <v>6</v>
      </c>
      <c r="B17" s="1252"/>
      <c r="C17" s="1252"/>
      <c r="D17" s="1252"/>
      <c r="E17" s="1252"/>
      <c r="F17" s="1252"/>
      <c r="G17" s="1252"/>
      <c r="J17" s="97"/>
    </row>
    <row r="18" spans="1:10" ht="20.25">
      <c r="A18" s="1252" t="s">
        <v>7</v>
      </c>
      <c r="B18" s="1252"/>
      <c r="C18" s="1252"/>
      <c r="D18" s="1252"/>
      <c r="E18" s="1252"/>
      <c r="F18" s="1252"/>
      <c r="G18" s="1252"/>
    </row>
    <row r="21" spans="1:10" ht="15.75">
      <c r="A21" s="1253"/>
      <c r="B21" s="1253"/>
      <c r="C21" s="1253"/>
      <c r="D21" s="1253"/>
      <c r="E21" s="1253"/>
      <c r="F21" s="1253"/>
      <c r="G21" s="1253"/>
    </row>
    <row r="22" spans="1:10" ht="18">
      <c r="A22" s="1256" t="s">
        <v>8</v>
      </c>
      <c r="B22" s="1256"/>
      <c r="C22" s="1256"/>
      <c r="D22" s="1256"/>
      <c r="E22" s="1256"/>
      <c r="F22" s="1256"/>
      <c r="G22" s="1256"/>
      <c r="H22" s="445"/>
    </row>
    <row r="23" spans="1:10" ht="20.25">
      <c r="A23" s="1252" t="s">
        <v>9</v>
      </c>
      <c r="B23" s="1252"/>
      <c r="C23" s="1252"/>
      <c r="D23" s="1252"/>
      <c r="E23" s="1252"/>
      <c r="F23" s="1252"/>
      <c r="G23" s="1252"/>
      <c r="H23" s="1"/>
    </row>
    <row r="24" spans="1:10" ht="20.25">
      <c r="A24" s="1252" t="s">
        <v>10</v>
      </c>
      <c r="B24" s="1252"/>
      <c r="C24" s="1252"/>
      <c r="D24" s="1252"/>
      <c r="E24" s="1252"/>
      <c r="F24" s="1252"/>
      <c r="G24" s="1252"/>
      <c r="H24" s="1"/>
    </row>
    <row r="25" spans="1:10" ht="20.25">
      <c r="A25" s="1252"/>
      <c r="B25" s="1252"/>
      <c r="C25" s="1252"/>
      <c r="D25" s="1252"/>
      <c r="E25" s="1252"/>
      <c r="F25" s="1252"/>
      <c r="G25" s="1252"/>
      <c r="H25" s="1"/>
    </row>
    <row r="26" spans="1:10" ht="20.25">
      <c r="A26" s="1252"/>
      <c r="B26" s="1252"/>
      <c r="C26" s="1252"/>
      <c r="D26" s="1252"/>
      <c r="E26" s="1252"/>
      <c r="F26" s="1252"/>
      <c r="G26" s="1252"/>
      <c r="H26" s="1"/>
    </row>
    <row r="33" spans="1:8" ht="15.75">
      <c r="A33" s="1253" t="s">
        <v>11</v>
      </c>
      <c r="B33" s="1253"/>
      <c r="C33" s="1253"/>
      <c r="D33" s="1253"/>
      <c r="E33" s="1253"/>
      <c r="F33" s="1253"/>
      <c r="G33" s="1253"/>
    </row>
    <row r="35" spans="1:8" ht="20.25">
      <c r="A35" s="1255" t="s">
        <v>12</v>
      </c>
      <c r="B35" s="1255"/>
      <c r="C35" s="1255"/>
      <c r="D35" s="1255"/>
      <c r="E35" s="1255"/>
      <c r="F35" s="1255"/>
      <c r="G35" s="1255"/>
      <c r="H35" s="446"/>
    </row>
    <row r="42" spans="1:8" ht="33.75">
      <c r="A42" s="1254" t="s">
        <v>13</v>
      </c>
      <c r="B42" s="1254"/>
      <c r="C42" s="1254"/>
      <c r="D42" s="1254"/>
      <c r="E42" s="1254"/>
      <c r="F42" s="1254"/>
      <c r="G42" s="1254"/>
    </row>
  </sheetData>
  <mergeCells count="17">
    <mergeCell ref="A24:G24"/>
    <mergeCell ref="A25:G25"/>
    <mergeCell ref="C1:E1"/>
    <mergeCell ref="A42:G42"/>
    <mergeCell ref="A3:G3"/>
    <mergeCell ref="A14:G14"/>
    <mergeCell ref="A15:G15"/>
    <mergeCell ref="A18:G18"/>
    <mergeCell ref="A4:G4"/>
    <mergeCell ref="A21:G21"/>
    <mergeCell ref="A33:G33"/>
    <mergeCell ref="A17:G17"/>
    <mergeCell ref="A16:G16"/>
    <mergeCell ref="A26:G26"/>
    <mergeCell ref="A35:G35"/>
    <mergeCell ref="A22:G22"/>
    <mergeCell ref="A23:G23"/>
  </mergeCells>
  <phoneticPr fontId="4" type="noConversion"/>
  <printOptions horizontalCentered="1"/>
  <pageMargins left="1.05" right="0.75" top="0.62992125984251968" bottom="1" header="0.25" footer="0"/>
  <pageSetup orientation="portrait" horizontalDpi="300" verticalDpi="300" r:id="rId1"/>
  <headerFooter alignWithMargins="0"/>
  <drawing r:id="rId2"/>
  <legacyDrawing r:id="rId3"/>
  <oleObjects>
    <mc:AlternateContent xmlns:mc="http://schemas.openxmlformats.org/markup-compatibility/2006">
      <mc:Choice Requires="x14">
        <oleObject progId="Word.Document.6" shapeId="25601" r:id="rId4">
          <objectPr defaultSize="0" autoLine="0" r:id="rId5">
            <anchor moveWithCells="1">
              <from>
                <xdr:col>0</xdr:col>
                <xdr:colOff>0</xdr:colOff>
                <xdr:row>0</xdr:row>
                <xdr:rowOff>0</xdr:rowOff>
              </from>
              <to>
                <xdr:col>1</xdr:col>
                <xdr:colOff>123825</xdr:colOff>
                <xdr:row>2</xdr:row>
                <xdr:rowOff>180975</xdr:rowOff>
              </to>
            </anchor>
          </objectPr>
        </oleObject>
      </mc:Choice>
      <mc:Fallback>
        <oleObject progId="Word.Document.6" shapeId="2560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1"/>
  <sheetViews>
    <sheetView workbookViewId="0">
      <selection activeCell="D20" sqref="D20"/>
    </sheetView>
  </sheetViews>
  <sheetFormatPr defaultColWidth="11.42578125" defaultRowHeight="12.75"/>
  <cols>
    <col min="1" max="1" width="25.28515625" bestFit="1" customWidth="1"/>
    <col min="2" max="2" width="73" customWidth="1"/>
    <col min="4" max="4" width="6" customWidth="1"/>
  </cols>
  <sheetData>
    <row r="1" spans="1:3" ht="15">
      <c r="A1" s="1257" t="s">
        <v>1</v>
      </c>
      <c r="B1" s="1257"/>
    </row>
    <row r="2" spans="1:3" ht="15">
      <c r="A2" s="1257" t="s">
        <v>14</v>
      </c>
      <c r="B2" s="1257"/>
    </row>
    <row r="3" spans="1:3" ht="15">
      <c r="A3" s="1258" t="s">
        <v>15</v>
      </c>
      <c r="B3" s="1258"/>
    </row>
    <row r="4" spans="1:3" ht="12" customHeight="1">
      <c r="A4" s="413"/>
      <c r="B4" s="413"/>
    </row>
    <row r="5" spans="1:3" ht="23.25">
      <c r="A5" s="1261" t="s">
        <v>16</v>
      </c>
      <c r="B5" s="1261"/>
      <c r="C5" s="60"/>
    </row>
    <row r="7" spans="1:3">
      <c r="A7" s="176" t="s">
        <v>17</v>
      </c>
      <c r="B7" s="176" t="s">
        <v>18</v>
      </c>
    </row>
    <row r="8" spans="1:3">
      <c r="A8" s="176"/>
      <c r="B8" s="176"/>
    </row>
    <row r="9" spans="1:3">
      <c r="A9" s="392" t="s">
        <v>19</v>
      </c>
      <c r="B9" t="s">
        <v>20</v>
      </c>
    </row>
    <row r="10" spans="1:3">
      <c r="A10" s="392" t="s">
        <v>21</v>
      </c>
      <c r="B10" t="s">
        <v>22</v>
      </c>
    </row>
    <row r="11" spans="1:3">
      <c r="A11" s="392" t="s">
        <v>23</v>
      </c>
      <c r="B11" s="62" t="s">
        <v>24</v>
      </c>
    </row>
    <row r="12" spans="1:3">
      <c r="A12" s="392" t="s">
        <v>25</v>
      </c>
      <c r="B12" s="62" t="s">
        <v>26</v>
      </c>
    </row>
    <row r="13" spans="1:3">
      <c r="A13" s="414" t="s">
        <v>27</v>
      </c>
      <c r="B13" s="62" t="s">
        <v>28</v>
      </c>
    </row>
    <row r="14" spans="1:3">
      <c r="A14" s="392" t="s">
        <v>29</v>
      </c>
      <c r="B14" s="62" t="s">
        <v>30</v>
      </c>
    </row>
    <row r="15" spans="1:3">
      <c r="A15" s="414" t="s">
        <v>31</v>
      </c>
      <c r="B15" s="62" t="s">
        <v>32</v>
      </c>
    </row>
    <row r="16" spans="1:3">
      <c r="A16" s="414" t="s">
        <v>33</v>
      </c>
      <c r="B16" s="62" t="s">
        <v>34</v>
      </c>
    </row>
    <row r="17" spans="1:15">
      <c r="A17" s="392" t="s">
        <v>35</v>
      </c>
      <c r="B17" t="s">
        <v>36</v>
      </c>
    </row>
    <row r="18" spans="1:15">
      <c r="A18" s="392" t="s">
        <v>37</v>
      </c>
      <c r="B18" t="s">
        <v>38</v>
      </c>
    </row>
    <row r="19" spans="1:15">
      <c r="A19" s="392" t="s">
        <v>39</v>
      </c>
      <c r="B19" t="s">
        <v>40</v>
      </c>
    </row>
    <row r="20" spans="1:15">
      <c r="A20" s="392" t="s">
        <v>41</v>
      </c>
      <c r="B20" t="s">
        <v>42</v>
      </c>
    </row>
    <row r="21" spans="1:15">
      <c r="A21" s="392" t="s">
        <v>43</v>
      </c>
      <c r="B21" t="s">
        <v>44</v>
      </c>
    </row>
    <row r="22" spans="1:15">
      <c r="A22" s="392" t="s">
        <v>45</v>
      </c>
      <c r="B22" t="s">
        <v>46</v>
      </c>
    </row>
    <row r="23" spans="1:15" ht="18">
      <c r="A23" s="392" t="s">
        <v>47</v>
      </c>
      <c r="B23" s="362" t="s">
        <v>48</v>
      </c>
      <c r="C23" s="184"/>
      <c r="D23" s="298"/>
      <c r="E23" s="298"/>
      <c r="F23" s="298"/>
      <c r="G23" s="298"/>
      <c r="H23" s="298"/>
      <c r="I23" s="298"/>
      <c r="J23" s="298"/>
      <c r="K23" s="298"/>
      <c r="L23" s="298"/>
      <c r="M23" s="298"/>
      <c r="N23" s="298"/>
      <c r="O23" s="298"/>
    </row>
    <row r="24" spans="1:15">
      <c r="A24" s="392" t="s">
        <v>49</v>
      </c>
      <c r="B24" t="s">
        <v>50</v>
      </c>
    </row>
    <row r="25" spans="1:15">
      <c r="A25" s="392" t="s">
        <v>51</v>
      </c>
      <c r="B25" t="s">
        <v>52</v>
      </c>
    </row>
    <row r="26" spans="1:15">
      <c r="A26" s="392" t="s">
        <v>53</v>
      </c>
      <c r="B26" s="62" t="s">
        <v>54</v>
      </c>
    </row>
    <row r="27" spans="1:15">
      <c r="A27" s="392" t="s">
        <v>55</v>
      </c>
      <c r="B27" s="62" t="s">
        <v>56</v>
      </c>
    </row>
    <row r="28" spans="1:15">
      <c r="A28" s="392" t="s">
        <v>57</v>
      </c>
      <c r="B28" t="s">
        <v>58</v>
      </c>
    </row>
    <row r="29" spans="1:15">
      <c r="A29" s="392" t="s">
        <v>59</v>
      </c>
      <c r="B29" t="s">
        <v>60</v>
      </c>
    </row>
    <row r="30" spans="1:15">
      <c r="A30" s="392" t="s">
        <v>61</v>
      </c>
      <c r="B30" t="s">
        <v>62</v>
      </c>
    </row>
    <row r="31" spans="1:15">
      <c r="A31" s="392" t="s">
        <v>63</v>
      </c>
      <c r="B31" t="s">
        <v>64</v>
      </c>
    </row>
    <row r="32" spans="1:15">
      <c r="A32" s="392" t="s">
        <v>65</v>
      </c>
      <c r="B32" s="62" t="s">
        <v>66</v>
      </c>
    </row>
    <row r="33" spans="1:2">
      <c r="A33" s="392" t="s">
        <v>67</v>
      </c>
      <c r="B33" t="s">
        <v>68</v>
      </c>
    </row>
    <row r="34" spans="1:2">
      <c r="A34" s="392" t="s">
        <v>69</v>
      </c>
      <c r="B34" t="s">
        <v>70</v>
      </c>
    </row>
    <row r="35" spans="1:2">
      <c r="A35" s="392" t="s">
        <v>71</v>
      </c>
      <c r="B35" s="62" t="s">
        <v>72</v>
      </c>
    </row>
    <row r="36" spans="1:2">
      <c r="A36" s="392" t="s">
        <v>73</v>
      </c>
      <c r="B36" s="62" t="s">
        <v>74</v>
      </c>
    </row>
    <row r="37" spans="1:2">
      <c r="A37" s="392" t="s">
        <v>75</v>
      </c>
      <c r="B37" s="62" t="s">
        <v>76</v>
      </c>
    </row>
    <row r="38" spans="1:2">
      <c r="A38" s="392" t="s">
        <v>77</v>
      </c>
      <c r="B38" t="s">
        <v>78</v>
      </c>
    </row>
    <row r="39" spans="1:2">
      <c r="A39" s="392" t="s">
        <v>79</v>
      </c>
      <c r="B39" s="184" t="s">
        <v>80</v>
      </c>
    </row>
    <row r="40" spans="1:2">
      <c r="A40" s="392" t="s">
        <v>81</v>
      </c>
      <c r="B40" t="s">
        <v>82</v>
      </c>
    </row>
    <row r="41" spans="1:2">
      <c r="A41" s="392" t="s">
        <v>83</v>
      </c>
      <c r="B41" s="62" t="s">
        <v>83</v>
      </c>
    </row>
  </sheetData>
  <mergeCells count="4">
    <mergeCell ref="A5:B5"/>
    <mergeCell ref="A1:B1"/>
    <mergeCell ref="A2:B2"/>
    <mergeCell ref="A3:B3"/>
  </mergeCells>
  <phoneticPr fontId="4" type="noConversion"/>
  <hyperlinks>
    <hyperlink ref="A9" location="'GENERALIDADES '!A1" display="Cuadro No. 1" xr:uid="{00000000-0004-0000-0100-000000000000}"/>
    <hyperlink ref="A10" location="'CUMPLIMIENTO % '!A1" display="Cuadro No. 2" xr:uid="{00000000-0004-0000-0100-000001000000}"/>
    <hyperlink ref="A11" location="'ESTADO RED VIS'!A1" display="Cuadro No. 3" xr:uid="{00000000-0004-0000-0100-000002000000}"/>
    <hyperlink ref="A12" location="'SEMAFORO VIS'!A1" display="Gráfico No. 1" xr:uid="{00000000-0004-0000-0100-000003000000}"/>
    <hyperlink ref="A13" location="'TORTA EST. VIAS VIS'!A1" display="Gráfico No. 2" xr:uid="{00000000-0004-0000-0100-000004000000}"/>
    <hyperlink ref="A14" location="'ESTADO RED TEC'!A1" display="Cuadro No. 4" xr:uid="{00000000-0004-0000-0100-000005000000}"/>
    <hyperlink ref="A15" location="'SEMAFORO TEC'!A1" display="Gráfico No. 3" xr:uid="{00000000-0004-0000-0100-000006000000}"/>
    <hyperlink ref="A16" location="'TORTA EST. VIAS TEC'!A1" display="Gráfico No. 4" xr:uid="{00000000-0004-0000-0100-000007000000}"/>
    <hyperlink ref="A17" location="'MAPA EST RED'!A1" display="Mapa  No.  1" xr:uid="{00000000-0004-0000-0100-000008000000}"/>
    <hyperlink ref="A18" location="'NECESIDAD VIA'!A1" display="Cuadro No. 5" xr:uid="{00000000-0004-0000-0100-000009000000}"/>
    <hyperlink ref="A20" location="'CANT OBRA'!A1" display="Cuadro No. 7" xr:uid="{00000000-0004-0000-0100-00000A000000}"/>
    <hyperlink ref="A21" location="'INF. EMERGENCIAS'!A1" display="Cuadro No. 8" xr:uid="{00000000-0004-0000-0100-00000B000000}"/>
    <hyperlink ref="A22" location="PUENTES!A1" display="Cuadro No. 9" xr:uid="{00000000-0004-0000-0100-00000C000000}"/>
    <hyperlink ref="A23" location="'NEC PTES'!A1" display="Cuadro No. 10" xr:uid="{00000000-0004-0000-0100-00000D000000}"/>
    <hyperlink ref="A24" location="PONTONES!A1" display="Cuadro No. 11" xr:uid="{00000000-0004-0000-0100-00000E000000}"/>
    <hyperlink ref="A25" location="'NEC. PONTONES'!A1" display="Cuadro No. 12" xr:uid="{00000000-0004-0000-0100-00000F000000}"/>
    <hyperlink ref="A26" location="TUNELES!A1" display="Cuadro No. 13" xr:uid="{00000000-0004-0000-0100-000010000000}"/>
    <hyperlink ref="A27" location="'NECESIDADES EN TÚNELES'!A1" display="Cuadro No. 14" xr:uid="{00000000-0004-0000-0100-000011000000}"/>
    <hyperlink ref="A29" location="'Señalización Horizontal'!A1" display="Cuadro No. 16" xr:uid="{00000000-0004-0000-0100-000012000000}"/>
    <hyperlink ref="A30" location="ACCIDENTALIDAD!A1" display="Cuadro No. 17" xr:uid="{00000000-0004-0000-0100-000013000000}"/>
    <hyperlink ref="A31" location="'DEFENSA VIAS'!A1" display="Cuadro No. 18" xr:uid="{00000000-0004-0000-0100-000014000000}"/>
    <hyperlink ref="A32" location="SEGUIMIENTO!A1" display="Cuadro No. 19" xr:uid="{00000000-0004-0000-0100-000015000000}"/>
    <hyperlink ref="A33" location="'CUANTI AMV'!A1" display="Cuadro No. 20" xr:uid="{00000000-0004-0000-0100-000016000000}"/>
    <hyperlink ref="A34" location="'CUALI AMV'!A1" display="Cuadro No. 21" xr:uid="{00000000-0004-0000-0100-000017000000}"/>
    <hyperlink ref="A35" location="'CUANTI MR'!A1" display="Cuadro No. 22" xr:uid="{00000000-0004-0000-0100-000018000000}"/>
    <hyperlink ref="A36" location="'CUALI MR'!A1" display="Cuadro No. 23" xr:uid="{00000000-0004-0000-0100-000019000000}"/>
    <hyperlink ref="A38" location="FOTOG!A1" display="Reseña 1" xr:uid="{00000000-0004-0000-0100-00001A000000}"/>
    <hyperlink ref="A39" location="prensa!A1" display="Reseña 2" xr:uid="{00000000-0004-0000-0100-00001B000000}"/>
    <hyperlink ref="A40" location="COMENTARIOS!A1" display="Comentarios" xr:uid="{00000000-0004-0000-0100-00001C000000}"/>
    <hyperlink ref="A19" location="'NECESIDADES CRITICAS'!A1" display="Cuadro No. 6" xr:uid="{00000000-0004-0000-0100-00001D000000}"/>
    <hyperlink ref="A28" location="'Señalización Vertical'!A1" display="Cuadro No. 15" xr:uid="{00000000-0004-0000-0100-00001E000000}"/>
    <hyperlink ref="A37" location="'INTERVENTORIA DE CONTRATOS'!A1" display="Cuadro No. 24" xr:uid="{00000000-0004-0000-0100-00001F000000}"/>
    <hyperlink ref="A41" location="'CAPACITACION T.M. RUTINARIO'!A1" display="Capacitación Microempresas" xr:uid="{00000000-0004-0000-0100-000020000000}"/>
  </hyperlinks>
  <printOptions horizontalCentered="1"/>
  <pageMargins left="1.2204724409448819" right="0.59055118110236227" top="0.78740157480314965" bottom="0.98425196850393704" header="0.51181102362204722" footer="0.51181102362204722"/>
  <pageSetup scale="88" orientation="portrait" horizontalDpi="300" verticalDpi="300" r:id="rId1"/>
  <headerFooter alignWithMargins="0"/>
  <drawing r:id="rId2"/>
  <legacyDrawing r:id="rId3"/>
  <oleObjects>
    <mc:AlternateContent xmlns:mc="http://schemas.openxmlformats.org/markup-compatibility/2006">
      <mc:Choice Requires="x14">
        <oleObject progId="Word.Document.6" shapeId="2050" r:id="rId4">
          <objectPr defaultSize="0" autoLine="0" autoPict="0" r:id="rId5">
            <anchor moveWithCells="1">
              <from>
                <xdr:col>0</xdr:col>
                <xdr:colOff>0</xdr:colOff>
                <xdr:row>0</xdr:row>
                <xdr:rowOff>0</xdr:rowOff>
              </from>
              <to>
                <xdr:col>0</xdr:col>
                <xdr:colOff>552450</xdr:colOff>
                <xdr:row>4</xdr:row>
                <xdr:rowOff>200025</xdr:rowOff>
              </to>
            </anchor>
          </objectPr>
        </oleObject>
      </mc:Choice>
      <mc:Fallback>
        <oleObject progId="Word.Document.6" shapeId="2050"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1"/>
  <sheetViews>
    <sheetView topLeftCell="B17" workbookViewId="0">
      <selection activeCell="D20" sqref="D20"/>
    </sheetView>
  </sheetViews>
  <sheetFormatPr defaultColWidth="11.42578125" defaultRowHeight="12.75"/>
  <cols>
    <col min="1" max="1" width="4.28515625" hidden="1" customWidth="1"/>
    <col min="2" max="2" width="27" customWidth="1"/>
    <col min="3" max="3" width="9.42578125" customWidth="1"/>
    <col min="4" max="4" width="5.5703125" customWidth="1"/>
    <col min="5" max="5" width="4.85546875" customWidth="1"/>
    <col min="6" max="6" width="6.28515625" customWidth="1"/>
    <col min="7" max="7" width="8.42578125" customWidth="1"/>
    <col min="8" max="8" width="8.5703125" customWidth="1"/>
    <col min="9" max="9" width="10.85546875" customWidth="1"/>
    <col min="10" max="10" width="22.42578125" customWidth="1"/>
    <col min="11" max="11" width="30.85546875" customWidth="1"/>
  </cols>
  <sheetData>
    <row r="1" spans="1:11" s="34" customFormat="1" ht="23.25">
      <c r="B1" s="1259" t="s">
        <v>1</v>
      </c>
      <c r="C1" s="1259"/>
      <c r="D1" s="1259"/>
      <c r="E1" s="1259"/>
      <c r="F1" s="1259"/>
      <c r="G1" s="1259"/>
      <c r="H1" s="1259"/>
      <c r="I1" s="1259"/>
      <c r="J1" s="1259"/>
      <c r="K1" s="1259"/>
    </row>
    <row r="2" spans="1:11" s="34" customFormat="1" ht="18">
      <c r="B2" s="1260" t="s">
        <v>84</v>
      </c>
      <c r="C2" s="1260"/>
      <c r="D2" s="1260"/>
      <c r="E2" s="1260"/>
      <c r="F2" s="1260"/>
      <c r="G2" s="1260"/>
      <c r="H2" s="1260"/>
      <c r="I2" s="1260"/>
      <c r="J2" s="1260"/>
      <c r="K2" s="1260"/>
    </row>
    <row r="3" spans="1:11" s="34" customFormat="1">
      <c r="B3" s="45"/>
      <c r="C3" s="33"/>
      <c r="D3" s="33"/>
      <c r="E3" s="33"/>
      <c r="F3" s="33"/>
      <c r="G3" s="33"/>
      <c r="H3" s="33"/>
      <c r="I3" s="33"/>
      <c r="J3" s="33"/>
      <c r="K3" s="33"/>
    </row>
    <row r="4" spans="1:11" s="172" customFormat="1" ht="18">
      <c r="B4" s="44" t="s">
        <v>85</v>
      </c>
      <c r="C4" s="171"/>
      <c r="D4" s="171"/>
      <c r="E4" s="171"/>
      <c r="F4" s="171"/>
      <c r="G4" s="171"/>
      <c r="H4" s="171"/>
      <c r="I4" s="171"/>
      <c r="J4" s="171"/>
      <c r="K4" s="171"/>
    </row>
    <row r="5" spans="1:11" s="34" customFormat="1">
      <c r="B5"/>
      <c r="C5"/>
      <c r="D5"/>
      <c r="E5"/>
      <c r="F5"/>
      <c r="G5"/>
      <c r="H5"/>
      <c r="I5"/>
      <c r="J5"/>
      <c r="K5" s="33"/>
    </row>
    <row r="6" spans="1:11" ht="18">
      <c r="B6" s="61" t="s">
        <v>86</v>
      </c>
      <c r="C6" s="1"/>
      <c r="D6" s="1"/>
      <c r="E6" s="1"/>
      <c r="F6" s="1"/>
      <c r="G6" s="1"/>
      <c r="H6" s="1"/>
      <c r="I6" s="1"/>
      <c r="J6" s="1"/>
      <c r="K6" s="1"/>
    </row>
    <row r="7" spans="1:11" ht="10.5" customHeight="1" thickBot="1">
      <c r="B7" s="2"/>
      <c r="C7" s="1"/>
      <c r="D7" s="1"/>
      <c r="E7" s="1"/>
      <c r="F7" s="1"/>
      <c r="G7" s="1"/>
      <c r="H7" s="1"/>
      <c r="I7" s="1"/>
      <c r="J7" s="1"/>
      <c r="K7" s="1"/>
    </row>
    <row r="8" spans="1:11" ht="15.75" customHeight="1">
      <c r="B8" s="16" t="s">
        <v>87</v>
      </c>
      <c r="C8" s="17"/>
      <c r="D8" s="458" t="s">
        <v>88</v>
      </c>
      <c r="E8" s="458"/>
      <c r="F8" s="458"/>
      <c r="G8" s="458"/>
      <c r="H8" s="95"/>
      <c r="I8" s="95"/>
      <c r="J8" s="95"/>
      <c r="K8" s="18"/>
    </row>
    <row r="9" spans="1:11" ht="13.5" customHeight="1">
      <c r="B9" s="9" t="s">
        <v>89</v>
      </c>
      <c r="D9" s="194" t="s">
        <v>90</v>
      </c>
      <c r="E9" s="194"/>
      <c r="F9" s="194"/>
      <c r="G9" s="194"/>
      <c r="H9" s="96"/>
      <c r="I9" s="96"/>
      <c r="J9" s="96"/>
      <c r="K9" s="19"/>
    </row>
    <row r="10" spans="1:11" ht="13.5" customHeight="1">
      <c r="B10" s="9" t="s">
        <v>91</v>
      </c>
      <c r="D10" s="194" t="s">
        <v>92</v>
      </c>
      <c r="E10" s="194"/>
      <c r="F10" s="194"/>
      <c r="G10" s="194"/>
      <c r="H10" s="96"/>
      <c r="I10" s="96"/>
      <c r="J10" s="96"/>
      <c r="K10" s="19"/>
    </row>
    <row r="11" spans="1:11" ht="15" customHeight="1">
      <c r="B11" s="9" t="s">
        <v>93</v>
      </c>
      <c r="D11" s="97" t="s">
        <v>94</v>
      </c>
      <c r="E11" s="97"/>
      <c r="F11" s="97"/>
      <c r="G11" s="97"/>
      <c r="K11" s="19"/>
    </row>
    <row r="12" spans="1:11" ht="15.75" customHeight="1">
      <c r="B12" s="9" t="s">
        <v>95</v>
      </c>
      <c r="D12" t="s">
        <v>96</v>
      </c>
      <c r="F12" s="62" t="s">
        <v>97</v>
      </c>
      <c r="J12" t="s">
        <v>98</v>
      </c>
      <c r="K12" s="19"/>
    </row>
    <row r="13" spans="1:11" ht="14.25" customHeight="1">
      <c r="B13" s="9"/>
      <c r="D13" t="s">
        <v>99</v>
      </c>
      <c r="G13" s="62" t="s">
        <v>100</v>
      </c>
      <c r="J13" t="s">
        <v>101</v>
      </c>
      <c r="K13" s="460" t="s">
        <v>102</v>
      </c>
    </row>
    <row r="14" spans="1:11" ht="13.5" thickBot="1">
      <c r="B14" s="11"/>
      <c r="C14" s="20"/>
      <c r="D14" s="20"/>
      <c r="E14" s="20"/>
      <c r="F14" s="20"/>
      <c r="G14" s="20"/>
      <c r="H14" s="20"/>
      <c r="I14" s="20"/>
      <c r="J14" s="20"/>
      <c r="K14" s="21"/>
    </row>
    <row r="15" spans="1:11" ht="13.5" thickBot="1"/>
    <row r="16" spans="1:11" s="34" customFormat="1" ht="23.25" customHeight="1">
      <c r="A16" s="56">
        <v>1</v>
      </c>
      <c r="B16" s="105" t="s">
        <v>103</v>
      </c>
      <c r="C16" s="106"/>
      <c r="D16" s="107"/>
      <c r="E16" s="107"/>
      <c r="F16" s="107"/>
      <c r="G16" s="107"/>
      <c r="H16" s="107"/>
      <c r="I16" s="107"/>
      <c r="J16" s="107"/>
      <c r="K16" s="106"/>
    </row>
    <row r="17" spans="2:11" s="35" customFormat="1" ht="33.75" customHeight="1">
      <c r="B17" s="46" t="s">
        <v>104</v>
      </c>
      <c r="C17" s="48" t="s">
        <v>105</v>
      </c>
      <c r="D17" s="155" t="s">
        <v>106</v>
      </c>
      <c r="E17" s="155"/>
      <c r="F17" s="155"/>
      <c r="G17" s="110" t="s">
        <v>107</v>
      </c>
      <c r="H17" s="48" t="s">
        <v>108</v>
      </c>
      <c r="I17" s="47" t="s">
        <v>109</v>
      </c>
      <c r="J17" s="48" t="s">
        <v>110</v>
      </c>
      <c r="K17" s="116" t="s">
        <v>111</v>
      </c>
    </row>
    <row r="18" spans="2:11" s="35" customFormat="1" ht="18" customHeight="1">
      <c r="B18" s="109"/>
      <c r="C18" s="115"/>
      <c r="D18" s="111" t="s">
        <v>112</v>
      </c>
      <c r="E18" s="111" t="s">
        <v>113</v>
      </c>
      <c r="F18" s="111" t="s">
        <v>114</v>
      </c>
      <c r="G18" s="111"/>
      <c r="H18" s="112"/>
      <c r="I18" s="113"/>
      <c r="J18" s="15"/>
      <c r="K18" s="23"/>
    </row>
    <row r="19" spans="2:11" s="35" customFormat="1" ht="18" customHeight="1">
      <c r="B19" s="462" t="s">
        <v>115</v>
      </c>
      <c r="C19" s="463">
        <v>5601</v>
      </c>
      <c r="D19" s="1103">
        <v>53.74</v>
      </c>
      <c r="E19" s="464"/>
      <c r="F19" s="1103">
        <f>+D19+E19</f>
        <v>53.74</v>
      </c>
      <c r="G19" s="464" t="s">
        <v>116</v>
      </c>
      <c r="H19" s="465" t="s">
        <v>117</v>
      </c>
      <c r="I19" s="466" t="s">
        <v>118</v>
      </c>
      <c r="J19" s="459" t="s">
        <v>119</v>
      </c>
      <c r="K19" s="23"/>
    </row>
    <row r="20" spans="2:11" s="35" customFormat="1" ht="18" customHeight="1">
      <c r="B20" s="109"/>
      <c r="C20" s="115"/>
      <c r="D20" s="111"/>
      <c r="E20" s="111"/>
      <c r="F20" s="111"/>
      <c r="G20" s="111"/>
      <c r="H20" s="112"/>
      <c r="I20" s="113"/>
      <c r="J20" s="15"/>
      <c r="K20" s="23"/>
    </row>
    <row r="21" spans="2:11" s="35" customFormat="1" ht="18" customHeight="1">
      <c r="B21" s="109"/>
      <c r="C21" s="115"/>
      <c r="D21" s="111"/>
      <c r="E21" s="111"/>
      <c r="F21" s="111"/>
      <c r="G21" s="111"/>
      <c r="H21" s="112"/>
      <c r="I21" s="113"/>
      <c r="J21" s="15"/>
      <c r="K21" s="23"/>
    </row>
    <row r="22" spans="2:11" ht="18" customHeight="1">
      <c r="B22" s="109"/>
      <c r="C22" s="115"/>
      <c r="D22" s="111"/>
      <c r="E22" s="111"/>
      <c r="F22" s="111"/>
      <c r="G22" s="111"/>
      <c r="H22" s="112"/>
      <c r="I22" s="113"/>
      <c r="J22" s="15"/>
      <c r="K22" s="23"/>
    </row>
    <row r="23" spans="2:11" ht="18" customHeight="1">
      <c r="B23" s="109"/>
      <c r="C23" s="115"/>
      <c r="D23" s="111"/>
      <c r="E23" s="111"/>
      <c r="F23" s="111"/>
      <c r="G23" s="111"/>
      <c r="H23" s="112"/>
      <c r="I23" s="113"/>
      <c r="J23" s="15"/>
      <c r="K23" s="23"/>
    </row>
    <row r="24" spans="2:11" ht="18" customHeight="1">
      <c r="B24" s="49" t="s">
        <v>120</v>
      </c>
      <c r="C24" s="6"/>
      <c r="D24" s="114">
        <f>SUM(D19:D23)</f>
        <v>53.74</v>
      </c>
      <c r="E24" s="114"/>
      <c r="F24" s="114">
        <f>SUM(F19:F23)</f>
        <v>53.74</v>
      </c>
      <c r="G24" s="114"/>
      <c r="H24" s="22"/>
      <c r="I24" s="461" t="s">
        <v>121</v>
      </c>
      <c r="J24" s="15"/>
      <c r="K24" s="23"/>
    </row>
    <row r="25" spans="2:11" ht="21" customHeight="1" thickBot="1">
      <c r="B25" s="11"/>
      <c r="C25" s="301" t="s">
        <v>122</v>
      </c>
      <c r="D25" s="20"/>
      <c r="E25" s="20"/>
      <c r="F25" s="301" t="s">
        <v>123</v>
      </c>
      <c r="G25" s="20"/>
      <c r="H25" s="20"/>
      <c r="I25" s="20" t="s">
        <v>124</v>
      </c>
      <c r="J25" s="20"/>
      <c r="K25" s="21"/>
    </row>
    <row r="27" spans="2:11">
      <c r="K27" s="391" t="s">
        <v>125</v>
      </c>
    </row>
    <row r="28" spans="2:11">
      <c r="B28" s="1"/>
      <c r="C28" s="1"/>
      <c r="D28" s="1"/>
      <c r="E28" s="1"/>
      <c r="F28" s="1"/>
      <c r="G28" s="1"/>
      <c r="H28" s="1"/>
      <c r="I28" s="1"/>
      <c r="J28" s="1"/>
      <c r="K28" s="1"/>
    </row>
    <row r="29" spans="2:11">
      <c r="B29" s="383" t="s">
        <v>126</v>
      </c>
    </row>
    <row r="31" spans="2:11" ht="18.75" customHeight="1">
      <c r="B31" s="1"/>
      <c r="C31" s="1"/>
      <c r="D31" s="1"/>
      <c r="E31" s="1"/>
      <c r="F31" s="1"/>
      <c r="G31" s="1"/>
      <c r="H31" s="1"/>
      <c r="I31" s="1"/>
      <c r="J31" s="1"/>
      <c r="K31" s="1"/>
    </row>
  </sheetData>
  <mergeCells count="2">
    <mergeCell ref="B1:K1"/>
    <mergeCell ref="B2:K2"/>
  </mergeCells>
  <phoneticPr fontId="4" type="noConversion"/>
  <hyperlinks>
    <hyperlink ref="K27" location="'TABLA DE CONTENIDO'!A1" display="VOLVER A TABLA DE CONTENIDO" xr:uid="{00000000-0004-0000-0200-000000000000}"/>
    <hyperlink ref="K13" r:id="rId1" xr:uid="{00000000-0004-0000-0200-000001000000}"/>
  </hyperlinks>
  <printOptions horizontalCentered="1"/>
  <pageMargins left="0.70866141732283472" right="0.59055118110236227" top="0.78740157480314965" bottom="0.98425196850393704" header="0.51181102362204722" footer="0.51181102362204722"/>
  <pageSetup orientation="landscape" horizontalDpi="120" verticalDpi="144"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6"/>
  <sheetViews>
    <sheetView topLeftCell="A21" zoomScaleNormal="100" workbookViewId="0">
      <selection activeCell="D20" sqref="D20"/>
    </sheetView>
  </sheetViews>
  <sheetFormatPr defaultColWidth="11.42578125" defaultRowHeight="12.75"/>
  <cols>
    <col min="1" max="1" width="30" customWidth="1"/>
    <col min="2" max="2" width="0.85546875" customWidth="1"/>
    <col min="3" max="3" width="21.7109375" customWidth="1"/>
    <col min="4" max="4" width="0.85546875" customWidth="1"/>
    <col min="5" max="5" width="18.7109375" customWidth="1"/>
    <col min="6" max="6" width="0.85546875" customWidth="1"/>
    <col min="7" max="7" width="18.7109375" customWidth="1"/>
    <col min="8" max="8" width="0.85546875" customWidth="1"/>
    <col min="9" max="9" width="21.140625" customWidth="1"/>
    <col min="10" max="10" width="0.85546875" customWidth="1"/>
  </cols>
  <sheetData>
    <row r="1" spans="1:11" ht="23.25">
      <c r="A1" s="1261" t="s">
        <v>1</v>
      </c>
      <c r="B1" s="1261"/>
      <c r="C1" s="1261"/>
      <c r="D1" s="1261"/>
      <c r="E1" s="1261"/>
      <c r="F1" s="1261"/>
      <c r="G1" s="1261"/>
      <c r="H1" s="1261"/>
      <c r="I1" s="1261"/>
      <c r="J1" s="1"/>
    </row>
    <row r="2" spans="1:11" ht="18">
      <c r="A2" s="1256" t="s">
        <v>84</v>
      </c>
      <c r="B2" s="1256"/>
      <c r="C2" s="1256"/>
      <c r="D2" s="1256"/>
      <c r="E2" s="1256"/>
      <c r="F2" s="1256"/>
      <c r="G2" s="1256"/>
      <c r="H2" s="1256"/>
      <c r="I2" s="1256"/>
      <c r="J2" s="1"/>
    </row>
    <row r="3" spans="1:11" s="34" customFormat="1" ht="18">
      <c r="A3" s="1260" t="s">
        <v>127</v>
      </c>
      <c r="B3" s="1260"/>
      <c r="C3" s="1260"/>
      <c r="D3" s="1260"/>
      <c r="E3" s="1260"/>
      <c r="F3" s="1260"/>
      <c r="G3" s="1260"/>
      <c r="H3" s="1260"/>
      <c r="I3" s="1260"/>
    </row>
    <row r="5" spans="1:11" ht="18">
      <c r="A5" s="1256" t="s">
        <v>128</v>
      </c>
      <c r="B5" s="1256"/>
      <c r="C5" s="1256"/>
      <c r="D5" s="1256"/>
      <c r="E5" s="1256"/>
      <c r="F5" s="1256"/>
      <c r="G5" s="1256"/>
      <c r="H5" s="1256"/>
      <c r="I5" s="1256"/>
    </row>
    <row r="7" spans="1:11">
      <c r="A7" s="185" t="s">
        <v>129</v>
      </c>
      <c r="B7" s="317"/>
      <c r="C7" s="467" t="s">
        <v>88</v>
      </c>
      <c r="D7" s="3"/>
      <c r="E7" s="3"/>
      <c r="F7" s="3"/>
      <c r="I7" s="62" t="s">
        <v>130</v>
      </c>
    </row>
    <row r="8" spans="1:11" ht="13.5" thickBot="1">
      <c r="B8" s="132"/>
      <c r="D8" s="132"/>
      <c r="F8" s="132"/>
      <c r="H8" s="20"/>
    </row>
    <row r="9" spans="1:11">
      <c r="A9" s="316" t="s">
        <v>131</v>
      </c>
      <c r="B9" s="313"/>
      <c r="C9" s="307" t="s">
        <v>110</v>
      </c>
      <c r="D9" s="2"/>
      <c r="E9" s="307" t="s">
        <v>110</v>
      </c>
      <c r="F9" s="2"/>
      <c r="G9" s="307" t="s">
        <v>110</v>
      </c>
      <c r="H9" s="2"/>
      <c r="I9" s="307" t="s">
        <v>110</v>
      </c>
      <c r="J9" s="2"/>
    </row>
    <row r="10" spans="1:11">
      <c r="A10" s="101"/>
      <c r="B10" s="96"/>
      <c r="C10" s="468" t="s">
        <v>132</v>
      </c>
      <c r="D10" s="311"/>
      <c r="E10" s="308"/>
      <c r="F10" s="311"/>
      <c r="G10" s="308"/>
      <c r="H10" s="311"/>
      <c r="I10" s="308"/>
      <c r="J10" s="2"/>
    </row>
    <row r="11" spans="1:11" ht="13.5" thickBot="1">
      <c r="A11" s="102" t="s">
        <v>133</v>
      </c>
      <c r="B11" s="96"/>
      <c r="C11" s="312" t="s">
        <v>134</v>
      </c>
      <c r="D11" s="311"/>
      <c r="E11" s="312" t="s">
        <v>134</v>
      </c>
      <c r="F11" s="311"/>
      <c r="G11" s="312" t="s">
        <v>134</v>
      </c>
      <c r="H11" s="311"/>
      <c r="I11" s="312" t="s">
        <v>134</v>
      </c>
      <c r="J11" s="2"/>
    </row>
    <row r="12" spans="1:11" ht="21.95" customHeight="1">
      <c r="A12" s="303" t="s">
        <v>135</v>
      </c>
      <c r="B12" s="314"/>
      <c r="C12" s="318"/>
      <c r="D12" s="158"/>
      <c r="E12" s="318"/>
      <c r="F12" s="158"/>
      <c r="G12" s="318"/>
      <c r="H12" s="158"/>
      <c r="I12" s="318"/>
      <c r="J12" s="158"/>
      <c r="K12">
        <v>100</v>
      </c>
    </row>
    <row r="13" spans="1:11" ht="21.95" customHeight="1">
      <c r="A13" s="304" t="s">
        <v>136</v>
      </c>
      <c r="B13" s="314"/>
      <c r="C13" s="319"/>
      <c r="D13" s="158"/>
      <c r="E13" s="319"/>
      <c r="F13" s="158"/>
      <c r="G13" s="319"/>
      <c r="H13" s="158"/>
      <c r="I13" s="319"/>
      <c r="J13" s="158"/>
      <c r="K13">
        <v>100</v>
      </c>
    </row>
    <row r="14" spans="1:11" ht="21.95" customHeight="1">
      <c r="A14" s="304" t="s">
        <v>137</v>
      </c>
      <c r="B14" s="314"/>
      <c r="C14" s="191"/>
      <c r="D14" s="158"/>
      <c r="E14" s="191"/>
      <c r="F14" s="158"/>
      <c r="G14" s="191"/>
      <c r="H14" s="158"/>
      <c r="I14" s="191"/>
      <c r="J14" s="158"/>
      <c r="K14">
        <v>100</v>
      </c>
    </row>
    <row r="15" spans="1:11" ht="21.95" customHeight="1">
      <c r="A15" s="304" t="s">
        <v>138</v>
      </c>
      <c r="B15" s="314"/>
      <c r="C15" s="319"/>
      <c r="D15" s="158"/>
      <c r="E15" s="319"/>
      <c r="F15" s="158"/>
      <c r="G15" s="319"/>
      <c r="H15" s="158"/>
      <c r="I15" s="319"/>
      <c r="J15" s="158"/>
      <c r="K15">
        <v>100</v>
      </c>
    </row>
    <row r="16" spans="1:11" ht="21.95" customHeight="1">
      <c r="A16" s="304" t="s">
        <v>139</v>
      </c>
      <c r="B16" s="314"/>
      <c r="C16" s="191"/>
      <c r="D16" s="158"/>
      <c r="E16" s="191"/>
      <c r="F16" s="158"/>
      <c r="G16" s="191"/>
      <c r="H16" s="158"/>
      <c r="I16" s="191"/>
      <c r="J16" s="158"/>
      <c r="K16">
        <v>100</v>
      </c>
    </row>
    <row r="17" spans="1:11" ht="21.95" customHeight="1">
      <c r="A17" s="304" t="s">
        <v>140</v>
      </c>
      <c r="B17" s="314"/>
      <c r="C17" s="319"/>
      <c r="D17" s="158"/>
      <c r="E17" s="319"/>
      <c r="F17" s="302"/>
      <c r="G17" s="319"/>
      <c r="H17" s="158"/>
      <c r="I17" s="319"/>
      <c r="J17" s="158"/>
      <c r="K17">
        <v>50</v>
      </c>
    </row>
    <row r="18" spans="1:11" ht="21.95" customHeight="1">
      <c r="A18" s="304" t="s">
        <v>141</v>
      </c>
      <c r="B18" s="314"/>
      <c r="C18" s="191"/>
      <c r="D18" s="158"/>
      <c r="E18" s="191"/>
      <c r="F18" s="302"/>
      <c r="G18" s="191"/>
      <c r="H18" s="158"/>
      <c r="I18" s="191"/>
      <c r="J18" s="158"/>
      <c r="K18">
        <v>100</v>
      </c>
    </row>
    <row r="19" spans="1:11" ht="21.95" customHeight="1">
      <c r="A19" s="305" t="s">
        <v>142</v>
      </c>
      <c r="B19" s="315"/>
      <c r="C19" s="319"/>
      <c r="D19" s="158"/>
      <c r="E19" s="319"/>
      <c r="F19" s="302"/>
      <c r="G19" s="319"/>
      <c r="H19" s="158"/>
      <c r="I19" s="319"/>
      <c r="J19" s="158"/>
    </row>
    <row r="20" spans="1:11" ht="21.95" customHeight="1">
      <c r="A20" s="304" t="s">
        <v>143</v>
      </c>
      <c r="B20" s="314"/>
      <c r="C20" s="191"/>
      <c r="D20" s="158"/>
      <c r="E20" s="191"/>
      <c r="F20" s="302"/>
      <c r="G20" s="191"/>
      <c r="H20" s="158"/>
      <c r="I20" s="191"/>
      <c r="J20" s="158"/>
      <c r="K20">
        <v>100</v>
      </c>
    </row>
    <row r="21" spans="1:11" ht="21.95" customHeight="1">
      <c r="A21" s="304" t="s">
        <v>144</v>
      </c>
      <c r="B21" s="314"/>
      <c r="C21" s="319"/>
      <c r="D21" s="158"/>
      <c r="E21" s="319"/>
      <c r="F21" s="302"/>
      <c r="G21" s="319"/>
      <c r="H21" s="158"/>
      <c r="I21" s="319"/>
      <c r="J21" s="158"/>
      <c r="K21">
        <v>100</v>
      </c>
    </row>
    <row r="22" spans="1:11" ht="21.95" customHeight="1">
      <c r="A22" s="304" t="s">
        <v>145</v>
      </c>
      <c r="B22" s="314"/>
      <c r="C22" s="191"/>
      <c r="D22" s="158"/>
      <c r="E22" s="191"/>
      <c r="F22" s="302"/>
      <c r="G22" s="191"/>
      <c r="H22" s="158"/>
      <c r="I22" s="191"/>
      <c r="J22" s="158"/>
      <c r="K22">
        <v>100</v>
      </c>
    </row>
    <row r="23" spans="1:11" ht="21.95" customHeight="1">
      <c r="A23" s="304" t="s">
        <v>146</v>
      </c>
      <c r="B23" s="314"/>
      <c r="C23" s="319"/>
      <c r="D23" s="158"/>
      <c r="E23" s="319"/>
      <c r="F23" s="302"/>
      <c r="G23" s="319"/>
      <c r="H23" s="158"/>
      <c r="I23" s="319"/>
      <c r="J23" s="158"/>
    </row>
    <row r="24" spans="1:11" ht="21.95" customHeight="1">
      <c r="A24" s="304" t="s">
        <v>147</v>
      </c>
      <c r="B24" s="314"/>
      <c r="C24" s="371"/>
      <c r="D24" s="360"/>
      <c r="E24" s="371"/>
      <c r="F24" s="372"/>
      <c r="G24" s="371"/>
      <c r="H24" s="360"/>
      <c r="I24" s="371"/>
      <c r="J24" s="158"/>
      <c r="K24">
        <v>100</v>
      </c>
    </row>
    <row r="25" spans="1:11" ht="21.95" customHeight="1" thickBot="1">
      <c r="A25" s="306" t="s">
        <v>148</v>
      </c>
      <c r="B25" s="306"/>
      <c r="C25" s="310"/>
      <c r="D25" s="310"/>
      <c r="E25" s="310"/>
      <c r="F25" s="309"/>
      <c r="G25" s="310"/>
      <c r="H25" s="297"/>
      <c r="I25" s="310"/>
      <c r="J25" s="158"/>
      <c r="K25">
        <v>100</v>
      </c>
    </row>
    <row r="26" spans="1:11">
      <c r="C26" s="67"/>
      <c r="D26" s="67"/>
      <c r="E26" s="67"/>
      <c r="F26" s="67"/>
      <c r="G26" s="67"/>
      <c r="H26" s="67"/>
    </row>
    <row r="27" spans="1:11">
      <c r="C27" s="67"/>
      <c r="D27" s="67"/>
      <c r="E27" s="67"/>
      <c r="F27" s="67"/>
      <c r="G27" s="67"/>
      <c r="H27" s="67"/>
    </row>
    <row r="28" spans="1:11">
      <c r="B28" s="64"/>
      <c r="C28" s="67" t="s">
        <v>149</v>
      </c>
      <c r="D28" s="67"/>
      <c r="E28" s="1126" t="s">
        <v>150</v>
      </c>
      <c r="F28" s="1126"/>
      <c r="G28" s="67" t="s">
        <v>151</v>
      </c>
      <c r="H28" s="67"/>
      <c r="I28" s="67" t="s">
        <v>152</v>
      </c>
    </row>
    <row r="29" spans="1:11" ht="74.25" customHeight="1">
      <c r="A29" s="1263" t="s">
        <v>153</v>
      </c>
      <c r="B29" s="1263"/>
      <c r="C29" s="1263"/>
      <c r="D29" s="1263"/>
      <c r="E29" s="1263"/>
      <c r="F29" s="1263"/>
      <c r="G29" s="1263"/>
      <c r="H29" s="1263"/>
      <c r="I29" s="1263"/>
    </row>
    <row r="30" spans="1:11">
      <c r="A30" s="64"/>
      <c r="B30" s="1126"/>
      <c r="C30" s="67"/>
      <c r="D30" s="67"/>
      <c r="E30" s="67"/>
      <c r="F30" s="67"/>
      <c r="G30" s="67"/>
      <c r="H30" s="67"/>
    </row>
    <row r="31" spans="1:11" ht="18">
      <c r="A31" s="320" t="s">
        <v>154</v>
      </c>
      <c r="B31" s="1126"/>
      <c r="C31" s="67"/>
      <c r="D31" s="67"/>
      <c r="E31" s="67"/>
      <c r="F31" s="67"/>
      <c r="G31" s="67"/>
      <c r="H31" s="67"/>
    </row>
    <row r="32" spans="1:11">
      <c r="A32" s="1126" t="s">
        <v>155</v>
      </c>
      <c r="B32" s="1126"/>
      <c r="C32" s="67"/>
      <c r="D32" s="67"/>
      <c r="E32" s="67"/>
      <c r="F32" s="67"/>
      <c r="G32" s="1262" t="s">
        <v>125</v>
      </c>
      <c r="H32" s="1262"/>
      <c r="I32" s="1262"/>
    </row>
    <row r="33" spans="1:10">
      <c r="A33" s="447" t="s">
        <v>156</v>
      </c>
      <c r="B33" s="1126"/>
      <c r="C33" s="67"/>
      <c r="D33" s="67"/>
      <c r="E33" s="67"/>
      <c r="F33" s="67"/>
      <c r="G33" s="67"/>
      <c r="H33" s="67"/>
    </row>
    <row r="34" spans="1:10">
      <c r="A34" s="1126"/>
      <c r="B34" s="1126"/>
      <c r="C34" s="67"/>
      <c r="D34" s="67"/>
      <c r="E34" s="67"/>
      <c r="F34" s="67"/>
      <c r="G34" s="67"/>
      <c r="H34" s="67"/>
    </row>
    <row r="35" spans="1:10">
      <c r="A35" s="1126"/>
      <c r="B35" s="1126"/>
      <c r="C35" s="65"/>
      <c r="D35" s="65"/>
      <c r="E35" s="65"/>
      <c r="F35" s="65"/>
      <c r="G35" s="65"/>
      <c r="H35" s="65"/>
      <c r="I35" s="1"/>
      <c r="J35" s="1"/>
    </row>
    <row r="36" spans="1:10">
      <c r="A36" s="1126"/>
    </row>
  </sheetData>
  <mergeCells count="6">
    <mergeCell ref="A3:I3"/>
    <mergeCell ref="A1:I1"/>
    <mergeCell ref="A2:I2"/>
    <mergeCell ref="A5:I5"/>
    <mergeCell ref="G32:I32"/>
    <mergeCell ref="A29:I29"/>
  </mergeCells>
  <phoneticPr fontId="4" type="noConversion"/>
  <hyperlinks>
    <hyperlink ref="G32" location="'TABLA DE CONTENIDO'!A1" display="VOLVER A TABLA DE CONTENIDO" xr:uid="{00000000-0004-0000-0300-000000000000}"/>
  </hyperlinks>
  <printOptions horizontalCentered="1" verticalCentered="1"/>
  <pageMargins left="1.2598425196850394" right="0.78740157480314965" top="0.51181102362204722" bottom="0.51181102362204722" header="0.51181102362204722" footer="0.51181102362204722"/>
  <pageSetup scale="85"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0"/>
  <sheetViews>
    <sheetView zoomScaleNormal="100" workbookViewId="0">
      <selection activeCell="D20" sqref="D20"/>
    </sheetView>
  </sheetViews>
  <sheetFormatPr defaultColWidth="11.42578125" defaultRowHeight="12.75"/>
  <cols>
    <col min="1" max="1" width="12.42578125" customWidth="1"/>
    <col min="2" max="2" width="13.5703125" customWidth="1"/>
    <col min="3" max="3" width="13.42578125" customWidth="1"/>
    <col min="4" max="4" width="26.140625" customWidth="1"/>
    <col min="5" max="6" width="12.140625" customWidth="1"/>
    <col min="7" max="7" width="14.42578125" customWidth="1"/>
  </cols>
  <sheetData>
    <row r="1" spans="1:11" ht="23.25">
      <c r="A1" s="1266" t="s">
        <v>1</v>
      </c>
      <c r="B1" s="1266"/>
      <c r="C1" s="1266"/>
      <c r="D1" s="1266"/>
      <c r="E1" s="1266"/>
      <c r="F1" s="1266"/>
      <c r="G1" s="1266"/>
      <c r="H1" s="33"/>
      <c r="I1" s="33"/>
      <c r="J1" s="33"/>
    </row>
    <row r="2" spans="1:11" ht="18">
      <c r="A2" s="1267" t="s">
        <v>84</v>
      </c>
      <c r="B2" s="1267"/>
      <c r="C2" s="1267"/>
      <c r="D2" s="1267"/>
      <c r="E2" s="1267"/>
      <c r="F2" s="1267"/>
      <c r="G2" s="1267"/>
      <c r="H2" s="33"/>
      <c r="I2" s="33"/>
      <c r="J2" s="33"/>
    </row>
    <row r="3" spans="1:11">
      <c r="A3" s="177"/>
      <c r="B3" s="80"/>
      <c r="C3" s="80"/>
      <c r="D3" s="80"/>
      <c r="E3" s="80"/>
      <c r="F3" s="80"/>
      <c r="G3" s="80"/>
      <c r="H3" s="33"/>
      <c r="I3" s="33"/>
      <c r="J3" s="33"/>
    </row>
    <row r="4" spans="1:11" ht="18">
      <c r="A4" s="1267" t="s">
        <v>157</v>
      </c>
      <c r="B4" s="1267"/>
      <c r="C4" s="1267"/>
      <c r="D4" s="1267"/>
      <c r="E4" s="1267"/>
      <c r="F4" s="1267"/>
      <c r="G4" s="1267"/>
      <c r="H4" s="171"/>
      <c r="I4" s="171"/>
      <c r="J4" s="171"/>
    </row>
    <row r="5" spans="1:11">
      <c r="A5" s="178"/>
      <c r="B5" s="178"/>
      <c r="C5" s="178"/>
      <c r="D5" s="178"/>
      <c r="E5" s="178"/>
      <c r="F5" s="178"/>
      <c r="G5" s="178"/>
      <c r="J5" s="33"/>
    </row>
    <row r="6" spans="1:11" ht="18">
      <c r="A6" s="1268" t="s">
        <v>158</v>
      </c>
      <c r="B6" s="1268"/>
      <c r="C6" s="1268"/>
      <c r="D6" s="1268"/>
      <c r="E6" s="1268"/>
      <c r="F6" s="1268"/>
      <c r="G6" s="1268"/>
      <c r="H6" s="1"/>
      <c r="I6" s="1"/>
      <c r="J6" s="1"/>
    </row>
    <row r="7" spans="1:11" ht="18">
      <c r="A7" s="174"/>
      <c r="B7" s="174"/>
      <c r="C7" s="174"/>
      <c r="D7" s="174"/>
      <c r="E7" s="174"/>
      <c r="F7" s="174"/>
      <c r="G7" s="174"/>
      <c r="H7" s="1"/>
      <c r="I7" s="1"/>
      <c r="J7" s="1"/>
    </row>
    <row r="8" spans="1:11">
      <c r="A8" s="185" t="s">
        <v>129</v>
      </c>
      <c r="C8" s="467" t="s">
        <v>88</v>
      </c>
      <c r="D8" s="3"/>
      <c r="E8" s="188" t="s">
        <v>159</v>
      </c>
      <c r="G8" s="467" t="s">
        <v>160</v>
      </c>
      <c r="K8" s="100"/>
    </row>
    <row r="9" spans="1:11">
      <c r="A9" s="179"/>
      <c r="B9" s="178"/>
      <c r="C9" s="178"/>
      <c r="D9" s="178"/>
      <c r="E9" s="178"/>
      <c r="F9" s="178"/>
      <c r="G9" s="178"/>
      <c r="H9" s="1"/>
      <c r="I9" s="1"/>
      <c r="J9" s="1"/>
    </row>
    <row r="10" spans="1:11" s="176" customFormat="1">
      <c r="A10" s="186" t="s">
        <v>161</v>
      </c>
      <c r="B10" s="186" t="s">
        <v>162</v>
      </c>
      <c r="C10" s="186" t="s">
        <v>163</v>
      </c>
      <c r="D10" s="186" t="s">
        <v>104</v>
      </c>
      <c r="E10" s="186" t="s">
        <v>164</v>
      </c>
      <c r="F10" s="186" t="s">
        <v>165</v>
      </c>
      <c r="G10" s="182" t="s">
        <v>166</v>
      </c>
    </row>
    <row r="11" spans="1:11" s="176" customFormat="1">
      <c r="A11" s="183"/>
      <c r="B11" s="183"/>
      <c r="C11" s="183"/>
      <c r="D11" s="183"/>
      <c r="E11" s="183"/>
      <c r="F11" s="183" t="s">
        <v>167</v>
      </c>
      <c r="G11" s="187"/>
    </row>
    <row r="12" spans="1:11">
      <c r="A12" s="180"/>
      <c r="B12" s="181"/>
      <c r="C12" s="181"/>
      <c r="D12" s="181"/>
      <c r="E12" s="181"/>
      <c r="F12" s="181"/>
      <c r="G12" s="181"/>
    </row>
    <row r="13" spans="1:11" ht="12.95" customHeight="1">
      <c r="A13" s="469">
        <v>5601</v>
      </c>
      <c r="B13" s="470">
        <v>49000</v>
      </c>
      <c r="C13" s="470">
        <v>50000</v>
      </c>
      <c r="D13" s="469" t="s">
        <v>168</v>
      </c>
      <c r="E13" s="471">
        <f>905/1000</f>
        <v>0.90500000000000003</v>
      </c>
      <c r="F13" s="469" t="s">
        <v>112</v>
      </c>
      <c r="G13" s="472" t="s">
        <v>169</v>
      </c>
      <c r="H13" s="473" t="e">
        <f>+#REF!</f>
        <v>#REF!</v>
      </c>
      <c r="I13" s="62">
        <v>5601</v>
      </c>
    </row>
    <row r="14" spans="1:11" ht="12.95" customHeight="1">
      <c r="A14" s="469"/>
      <c r="B14" s="470"/>
      <c r="C14" s="470"/>
      <c r="D14" s="469"/>
      <c r="E14" s="471"/>
      <c r="F14" s="469"/>
      <c r="G14" s="472"/>
      <c r="H14" s="473"/>
      <c r="I14" s="474" t="s">
        <v>170</v>
      </c>
      <c r="J14" s="475">
        <f>+SUMIF(G$15,"B",E$15)+SUMIF(G$19,"B",E$19)+SUMIF(G$35,"B",E$35)</f>
        <v>33.585999999999999</v>
      </c>
    </row>
    <row r="15" spans="1:11" ht="12.95" customHeight="1">
      <c r="A15" s="469">
        <v>5601</v>
      </c>
      <c r="B15" s="470">
        <f>C13</f>
        <v>50000</v>
      </c>
      <c r="C15" s="470">
        <v>68613</v>
      </c>
      <c r="D15" s="469" t="s">
        <v>168</v>
      </c>
      <c r="E15" s="471">
        <f>(18863-211)/1000</f>
        <v>18.652000000000001</v>
      </c>
      <c r="F15" s="469" t="s">
        <v>112</v>
      </c>
      <c r="G15" s="472" t="s">
        <v>171</v>
      </c>
      <c r="H15" s="473">
        <f>+SUM(C37:C49)+0.5</f>
        <v>0.5</v>
      </c>
      <c r="I15" s="476" t="s">
        <v>172</v>
      </c>
      <c r="J15" s="475">
        <f>+SUMIF(G$23,"R",E$23)+SUMIF(G$27,"R",E$27)+SUMIF(G$31,"R",E$31)+SUMIF(G$13,"R",E$13)+SUMIF(G$25,"R",E$25)+SUMIF(G$33,"R",E$33)</f>
        <v>9.6829999999999998</v>
      </c>
    </row>
    <row r="16" spans="1:11" ht="12.95" customHeight="1">
      <c r="A16" s="469"/>
      <c r="B16" s="470"/>
      <c r="C16" s="470"/>
      <c r="D16" s="469"/>
      <c r="E16" s="471"/>
      <c r="F16" s="469"/>
      <c r="G16" s="472"/>
      <c r="H16" s="477"/>
      <c r="I16" s="478" t="s">
        <v>173</v>
      </c>
      <c r="J16" s="475">
        <f>+SUMIF(G$13,"M",E$13)+SUMIF(G$17,"M",E$17)+SUMIF(G$21,"M",E$21)+SUMIF(G$25,"M",E$25)+SUMIF(G$29,"M",E$29)+SUMIF(G$33,"M",E$33)</f>
        <v>10.471</v>
      </c>
    </row>
    <row r="17" spans="1:11" ht="12.95" customHeight="1">
      <c r="A17" s="469">
        <v>5601</v>
      </c>
      <c r="B17" s="470">
        <f>C15</f>
        <v>68613</v>
      </c>
      <c r="C17" s="470">
        <v>71323</v>
      </c>
      <c r="D17" s="469" t="s">
        <v>168</v>
      </c>
      <c r="E17" s="471">
        <f>(2698)/1000</f>
        <v>2.698</v>
      </c>
      <c r="F17" s="469" t="s">
        <v>112</v>
      </c>
      <c r="G17" s="472" t="s">
        <v>174</v>
      </c>
      <c r="H17" s="473">
        <f>+SUM(C49:C50)-0.5+0.323</f>
        <v>-0.17699999999999999</v>
      </c>
      <c r="I17" s="463" t="s">
        <v>175</v>
      </c>
      <c r="J17" s="475">
        <f>SUM(J14:J16)</f>
        <v>53.739999999999995</v>
      </c>
    </row>
    <row r="18" spans="1:11" ht="12.95" customHeight="1">
      <c r="A18" s="469"/>
      <c r="B18" s="470"/>
      <c r="C18" s="470"/>
      <c r="D18" s="469"/>
      <c r="E18" s="471"/>
      <c r="F18" s="469"/>
      <c r="G18" s="472"/>
      <c r="H18" s="477"/>
      <c r="I18" s="479"/>
      <c r="J18" s="480"/>
    </row>
    <row r="19" spans="1:11" ht="12.95" customHeight="1">
      <c r="A19" s="469">
        <v>5601</v>
      </c>
      <c r="B19" s="470">
        <f>C17</f>
        <v>71323</v>
      </c>
      <c r="C19" s="470">
        <v>85160</v>
      </c>
      <c r="D19" s="469" t="s">
        <v>168</v>
      </c>
      <c r="E19" s="481">
        <f>+(13545+160)/1000</f>
        <v>13.705</v>
      </c>
      <c r="F19" s="469" t="s">
        <v>112</v>
      </c>
      <c r="G19" s="472" t="s">
        <v>171</v>
      </c>
      <c r="H19" s="473">
        <f>+SUM(C51:C64)-0.323+0.13</f>
        <v>-0.193</v>
      </c>
      <c r="I19" s="479"/>
      <c r="J19" s="480"/>
      <c r="K19" s="479"/>
    </row>
    <row r="20" spans="1:11" ht="12.95" customHeight="1">
      <c r="A20" s="469"/>
      <c r="B20" s="470"/>
      <c r="C20" s="470"/>
      <c r="D20" s="469"/>
      <c r="E20" s="471"/>
      <c r="F20" s="469"/>
      <c r="G20" s="472"/>
      <c r="H20" s="477"/>
      <c r="I20" s="479"/>
      <c r="J20" s="480"/>
      <c r="K20" s="479"/>
    </row>
    <row r="21" spans="1:11" ht="12.95" customHeight="1">
      <c r="A21" s="469">
        <v>5601</v>
      </c>
      <c r="B21" s="470">
        <f>C19</f>
        <v>85160</v>
      </c>
      <c r="C21" s="470">
        <v>87000</v>
      </c>
      <c r="D21" s="469" t="s">
        <v>168</v>
      </c>
      <c r="E21" s="471">
        <f>+(1977-160)/1000</f>
        <v>1.8169999999999999</v>
      </c>
      <c r="F21" s="469" t="s">
        <v>112</v>
      </c>
      <c r="G21" s="472" t="s">
        <v>174</v>
      </c>
      <c r="H21" s="473">
        <f>+SUM(C65)-0.13+0.22</f>
        <v>0.09</v>
      </c>
      <c r="J21" s="154"/>
      <c r="K21" s="479"/>
    </row>
    <row r="22" spans="1:11" ht="12.95" customHeight="1">
      <c r="A22" s="469"/>
      <c r="B22" s="470"/>
      <c r="C22" s="470"/>
      <c r="D22" s="469"/>
      <c r="E22" s="471"/>
      <c r="F22" s="469"/>
      <c r="G22" s="472"/>
      <c r="H22" s="477"/>
      <c r="J22" s="154"/>
    </row>
    <row r="23" spans="1:11" ht="12.95" customHeight="1">
      <c r="A23" s="469">
        <v>5601</v>
      </c>
      <c r="B23" s="470">
        <f>C21</f>
        <v>87000</v>
      </c>
      <c r="C23" s="470">
        <v>88000</v>
      </c>
      <c r="D23" s="469" t="s">
        <v>168</v>
      </c>
      <c r="E23" s="471">
        <f>+(980)/1000</f>
        <v>0.98</v>
      </c>
      <c r="F23" s="469" t="s">
        <v>112</v>
      </c>
      <c r="G23" s="472" t="s">
        <v>169</v>
      </c>
      <c r="H23" s="473">
        <f>+SUM(C66)-0.22+0.16</f>
        <v>-0.06</v>
      </c>
      <c r="J23" s="154"/>
    </row>
    <row r="24" spans="1:11" ht="12.95" customHeight="1">
      <c r="A24" s="469"/>
      <c r="B24" s="470"/>
      <c r="C24" s="470"/>
      <c r="D24" s="469"/>
      <c r="E24" s="471"/>
      <c r="F24" s="469"/>
      <c r="G24" s="472"/>
      <c r="H24" s="473"/>
      <c r="J24" s="154"/>
    </row>
    <row r="25" spans="1:11" ht="12.95" customHeight="1">
      <c r="A25" s="469">
        <v>5601</v>
      </c>
      <c r="B25" s="470">
        <v>88000</v>
      </c>
      <c r="C25" s="470">
        <v>90000</v>
      </c>
      <c r="D25" s="469" t="s">
        <v>168</v>
      </c>
      <c r="E25" s="471">
        <f>+(1982)/1000</f>
        <v>1.982</v>
      </c>
      <c r="F25" s="469" t="s">
        <v>112</v>
      </c>
      <c r="G25" s="472" t="s">
        <v>174</v>
      </c>
      <c r="H25" s="473"/>
      <c r="J25" s="154"/>
    </row>
    <row r="26" spans="1:11" ht="12.95" customHeight="1">
      <c r="A26" s="469"/>
      <c r="B26" s="470"/>
      <c r="C26" s="470"/>
      <c r="D26" s="469"/>
      <c r="E26" s="471"/>
      <c r="F26" s="469"/>
      <c r="G26" s="472"/>
      <c r="H26" s="473"/>
      <c r="J26" s="154"/>
    </row>
    <row r="27" spans="1:11" ht="12.95" customHeight="1">
      <c r="A27" s="469">
        <v>5601</v>
      </c>
      <c r="B27" s="470">
        <f>+C25</f>
        <v>90000</v>
      </c>
      <c r="C27" s="470">
        <v>91000</v>
      </c>
      <c r="D27" s="469" t="s">
        <v>168</v>
      </c>
      <c r="E27" s="471">
        <f>+(994)/1000</f>
        <v>0.99399999999999999</v>
      </c>
      <c r="F27" s="469" t="s">
        <v>112</v>
      </c>
      <c r="G27" s="472" t="s">
        <v>169</v>
      </c>
      <c r="H27" s="473"/>
      <c r="J27" s="154"/>
    </row>
    <row r="28" spans="1:11" ht="12.95" customHeight="1">
      <c r="A28" s="469"/>
      <c r="B28" s="470"/>
      <c r="C28" s="470"/>
      <c r="D28" s="469"/>
      <c r="E28" s="471"/>
      <c r="F28" s="469"/>
      <c r="G28" s="472"/>
      <c r="J28" s="154"/>
    </row>
    <row r="29" spans="1:11" ht="12.95" customHeight="1">
      <c r="A29" s="469">
        <v>5601</v>
      </c>
      <c r="B29" s="470">
        <f>+C27</f>
        <v>91000</v>
      </c>
      <c r="C29" s="470">
        <v>95000</v>
      </c>
      <c r="D29" s="469" t="s">
        <v>168</v>
      </c>
      <c r="E29" s="471">
        <f>(3974)/1000</f>
        <v>3.9740000000000002</v>
      </c>
      <c r="F29" s="469" t="s">
        <v>112</v>
      </c>
      <c r="G29" s="472" t="s">
        <v>174</v>
      </c>
      <c r="J29" s="154"/>
    </row>
    <row r="30" spans="1:11" ht="12.95" customHeight="1">
      <c r="A30" s="469"/>
      <c r="B30" s="470"/>
      <c r="C30" s="482"/>
      <c r="D30" s="469"/>
      <c r="E30" s="471"/>
      <c r="F30" s="469"/>
      <c r="G30" s="472"/>
      <c r="J30" s="154"/>
    </row>
    <row r="31" spans="1:11" ht="12.95" customHeight="1">
      <c r="A31" s="469">
        <v>5601</v>
      </c>
      <c r="B31" s="470">
        <f>+C29</f>
        <v>95000</v>
      </c>
      <c r="C31" s="482">
        <v>98000</v>
      </c>
      <c r="D31" s="469" t="s">
        <v>168</v>
      </c>
      <c r="E31" s="471">
        <f>(2935)/1000</f>
        <v>2.9350000000000001</v>
      </c>
      <c r="F31" s="469" t="s">
        <v>112</v>
      </c>
      <c r="G31" s="472" t="s">
        <v>169</v>
      </c>
      <c r="J31" s="154"/>
    </row>
    <row r="32" spans="1:11" ht="12.95" customHeight="1">
      <c r="A32" s="469"/>
      <c r="B32" s="470"/>
      <c r="C32" s="482"/>
      <c r="D32" s="469"/>
      <c r="E32" s="471"/>
      <c r="F32" s="469"/>
      <c r="G32" s="472"/>
      <c r="J32" s="154"/>
    </row>
    <row r="33" spans="1:10" ht="12.95" customHeight="1">
      <c r="A33" s="469">
        <v>5601</v>
      </c>
      <c r="B33" s="470">
        <f>C31</f>
        <v>98000</v>
      </c>
      <c r="C33" s="482">
        <v>101900</v>
      </c>
      <c r="D33" s="469" t="s">
        <v>168</v>
      </c>
      <c r="E33" s="471">
        <f>(3875-6)/1000</f>
        <v>3.8690000000000002</v>
      </c>
      <c r="F33" s="469" t="s">
        <v>112</v>
      </c>
      <c r="G33" s="472" t="s">
        <v>169</v>
      </c>
      <c r="J33" s="154"/>
    </row>
    <row r="34" spans="1:10" ht="12.95" customHeight="1">
      <c r="A34" s="469"/>
      <c r="B34" s="470"/>
      <c r="C34" s="482"/>
      <c r="D34" s="469"/>
      <c r="E34" s="471"/>
      <c r="F34" s="469"/>
      <c r="G34" s="472"/>
      <c r="J34" s="154"/>
    </row>
    <row r="35" spans="1:10" ht="12.95" customHeight="1">
      <c r="A35" s="483">
        <v>5601</v>
      </c>
      <c r="B35" s="484">
        <f>C33</f>
        <v>101900</v>
      </c>
      <c r="C35" s="484">
        <v>103000</v>
      </c>
      <c r="D35" s="483" t="s">
        <v>168</v>
      </c>
      <c r="E35" s="485">
        <f>(2446+6-1135-88)/1000</f>
        <v>1.2290000000000001</v>
      </c>
      <c r="F35" s="483" t="s">
        <v>112</v>
      </c>
      <c r="G35" s="465" t="s">
        <v>171</v>
      </c>
      <c r="J35" s="154"/>
    </row>
    <row r="36" spans="1:10" ht="14.1" customHeight="1">
      <c r="A36" s="62"/>
      <c r="B36" s="62"/>
      <c r="C36" s="62"/>
      <c r="D36" s="62"/>
      <c r="E36" s="486">
        <f>SUM(E13:E35)</f>
        <v>53.739999999999995</v>
      </c>
      <c r="F36" s="62"/>
      <c r="G36" s="62"/>
      <c r="J36" s="154"/>
    </row>
    <row r="37" spans="1:10">
      <c r="E37" s="154"/>
    </row>
    <row r="38" spans="1:10">
      <c r="A38" s="67" t="s">
        <v>176</v>
      </c>
      <c r="E38" s="154"/>
    </row>
    <row r="39" spans="1:10">
      <c r="E39" s="154"/>
    </row>
    <row r="40" spans="1:10">
      <c r="E40" s="154"/>
    </row>
    <row r="41" spans="1:10" ht="9.9499999999999993" customHeight="1">
      <c r="E41" s="1264" t="s">
        <v>177</v>
      </c>
      <c r="F41" s="1265"/>
    </row>
    <row r="42" spans="1:10" ht="9.9499999999999993" customHeight="1">
      <c r="E42" s="324" t="s">
        <v>171</v>
      </c>
      <c r="F42" s="321" t="s">
        <v>170</v>
      </c>
    </row>
    <row r="43" spans="1:10" ht="9.9499999999999993" customHeight="1">
      <c r="E43" s="323" t="s">
        <v>169</v>
      </c>
      <c r="F43" s="321" t="s">
        <v>172</v>
      </c>
    </row>
    <row r="44" spans="1:10" ht="9.9499999999999993" customHeight="1">
      <c r="E44" s="322" t="s">
        <v>174</v>
      </c>
      <c r="F44" s="321" t="s">
        <v>173</v>
      </c>
    </row>
    <row r="45" spans="1:10">
      <c r="E45" s="154"/>
    </row>
    <row r="46" spans="1:10">
      <c r="E46" s="1262" t="s">
        <v>125</v>
      </c>
      <c r="F46" s="1262"/>
      <c r="G46" s="1262"/>
    </row>
    <row r="47" spans="1:10">
      <c r="E47" s="154"/>
    </row>
    <row r="48" spans="1:10">
      <c r="E48" s="154"/>
    </row>
    <row r="49" spans="5:5">
      <c r="E49" s="154"/>
    </row>
    <row r="50" spans="5:5">
      <c r="E50" s="154"/>
    </row>
  </sheetData>
  <mergeCells count="6">
    <mergeCell ref="E46:G46"/>
    <mergeCell ref="E41:F41"/>
    <mergeCell ref="A1:G1"/>
    <mergeCell ref="A2:G2"/>
    <mergeCell ref="A4:G4"/>
    <mergeCell ref="A6:G6"/>
  </mergeCells>
  <phoneticPr fontId="4" type="noConversion"/>
  <conditionalFormatting sqref="G15:G17 G19:G35 G13">
    <cfRule type="cellIs" dxfId="202" priority="4" stopIfTrue="1" operator="equal">
      <formula>"R"</formula>
    </cfRule>
  </conditionalFormatting>
  <conditionalFormatting sqref="G15:G35 G13">
    <cfRule type="cellIs" dxfId="201" priority="3" stopIfTrue="1" operator="equal">
      <formula>"M"</formula>
    </cfRule>
  </conditionalFormatting>
  <conditionalFormatting sqref="G16">
    <cfRule type="cellIs" dxfId="200" priority="2" stopIfTrue="1" operator="equal">
      <formula>"B"</formula>
    </cfRule>
  </conditionalFormatting>
  <conditionalFormatting sqref="G17 G15 G19:G35 G13">
    <cfRule type="cellIs" dxfId="199" priority="1" stopIfTrue="1" operator="equal">
      <formula>"B"</formula>
    </cfRule>
  </conditionalFormatting>
  <hyperlinks>
    <hyperlink ref="E46" location="'TABLA DE CONTENIDO'!A1" display="VOLVER A TABLA DE CONTENIDO" xr:uid="{00000000-0004-0000-0400-000000000000}"/>
  </hyperlinks>
  <printOptions horizontalCentered="1" verticalCentered="1"/>
  <pageMargins left="0.74803149606299213" right="0.39370078740157483" top="0.59055118110236227" bottom="0.98425196850393704" header="0.19685039370078741" footer="0"/>
  <pageSetup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O64"/>
  <sheetViews>
    <sheetView zoomScaleNormal="100" zoomScaleSheetLayoutView="100" zoomScalePageLayoutView="125" workbookViewId="0">
      <selection activeCell="D20" sqref="D20"/>
    </sheetView>
  </sheetViews>
  <sheetFormatPr defaultColWidth="11.42578125" defaultRowHeight="12.75"/>
  <cols>
    <col min="1" max="1" width="22" style="522" customWidth="1"/>
    <col min="2" max="55" width="0.85546875" style="522" customWidth="1"/>
    <col min="56" max="56" width="3" style="522" hidden="1" customWidth="1"/>
    <col min="57" max="57" width="6.140625" style="522" customWidth="1"/>
    <col min="58" max="58" width="6.7109375" style="522" customWidth="1"/>
    <col min="59" max="59" width="6.140625" style="522" customWidth="1"/>
    <col min="60" max="60" width="6.7109375" style="522" customWidth="1"/>
    <col min="61" max="61" width="6.140625" style="522" customWidth="1"/>
    <col min="62" max="62" width="6.7109375" style="522" customWidth="1"/>
    <col min="63" max="64" width="0" style="522" hidden="1" customWidth="1"/>
    <col min="65" max="65" width="7.7109375" style="522" customWidth="1"/>
    <col min="66" max="66" width="9.28515625" style="522" bestFit="1" customWidth="1"/>
    <col min="67" max="16384" width="11.42578125" style="522"/>
  </cols>
  <sheetData>
    <row r="1" spans="1:65" ht="23.25">
      <c r="A1" s="1300" t="s">
        <v>178</v>
      </c>
      <c r="B1" s="1300"/>
      <c r="C1" s="1300"/>
      <c r="D1" s="1300"/>
      <c r="E1" s="1300"/>
      <c r="F1" s="1300"/>
      <c r="G1" s="1300"/>
      <c r="H1" s="1300"/>
      <c r="I1" s="1300"/>
      <c r="J1" s="1300"/>
      <c r="K1" s="1300"/>
      <c r="L1" s="1300"/>
      <c r="M1" s="1300"/>
      <c r="N1" s="1300"/>
      <c r="O1" s="1300"/>
      <c r="P1" s="1300"/>
      <c r="Q1" s="1300"/>
      <c r="R1" s="1300"/>
      <c r="S1" s="1300"/>
      <c r="T1" s="1300"/>
      <c r="U1" s="1300"/>
      <c r="V1" s="1300"/>
      <c r="W1" s="1300"/>
      <c r="X1" s="1300"/>
      <c r="Y1" s="1300"/>
      <c r="Z1" s="1300"/>
      <c r="AA1" s="1300"/>
      <c r="AB1" s="1300"/>
      <c r="AC1" s="1300"/>
      <c r="AD1" s="1300"/>
      <c r="AE1" s="1300"/>
      <c r="AF1" s="1300"/>
      <c r="AG1" s="1300"/>
      <c r="AH1" s="1300"/>
      <c r="AI1" s="1300"/>
      <c r="AJ1" s="1300"/>
      <c r="AK1" s="1300"/>
      <c r="AL1" s="1300"/>
      <c r="AM1" s="1300"/>
      <c r="AN1" s="1300"/>
      <c r="AO1" s="1300"/>
      <c r="AP1" s="1300"/>
      <c r="AQ1" s="1300"/>
      <c r="AR1" s="1300"/>
      <c r="AS1" s="1300"/>
      <c r="AT1" s="1300"/>
      <c r="AU1" s="1300"/>
      <c r="AV1" s="1300"/>
      <c r="AW1" s="1300"/>
      <c r="AX1" s="1300"/>
      <c r="AY1" s="1300"/>
      <c r="AZ1" s="1300"/>
      <c r="BA1" s="1300"/>
      <c r="BB1" s="1300"/>
      <c r="BC1" s="1300"/>
      <c r="BD1" s="1300"/>
      <c r="BE1" s="1300"/>
      <c r="BF1" s="1300"/>
      <c r="BG1" s="1300"/>
      <c r="BH1" s="1300"/>
      <c r="BI1" s="1300"/>
      <c r="BJ1" s="1300"/>
    </row>
    <row r="2" spans="1:65" ht="18">
      <c r="A2" s="1301" t="s">
        <v>179</v>
      </c>
      <c r="B2" s="1301"/>
      <c r="C2" s="1301"/>
      <c r="D2" s="1301"/>
      <c r="E2" s="1301"/>
      <c r="F2" s="1301"/>
      <c r="G2" s="1301"/>
      <c r="H2" s="1301"/>
      <c r="I2" s="1301"/>
      <c r="J2" s="1301"/>
      <c r="K2" s="1301"/>
      <c r="L2" s="1301"/>
      <c r="M2" s="1301"/>
      <c r="N2" s="1301"/>
      <c r="O2" s="1301"/>
      <c r="P2" s="1301"/>
      <c r="Q2" s="1301"/>
      <c r="R2" s="1301"/>
      <c r="S2" s="1301"/>
      <c r="T2" s="1301"/>
      <c r="U2" s="1301"/>
      <c r="V2" s="1301"/>
      <c r="W2" s="1301"/>
      <c r="X2" s="1301"/>
      <c r="Y2" s="1301"/>
      <c r="Z2" s="1301"/>
      <c r="AA2" s="1301"/>
      <c r="AB2" s="1301"/>
      <c r="AC2" s="1301"/>
      <c r="AD2" s="1301"/>
      <c r="AE2" s="1301"/>
      <c r="AF2" s="1301"/>
      <c r="AG2" s="1301"/>
      <c r="AH2" s="1301"/>
      <c r="AI2" s="1301"/>
      <c r="AJ2" s="1301"/>
      <c r="AK2" s="1301"/>
      <c r="AL2" s="1301"/>
      <c r="AM2" s="1301"/>
      <c r="AN2" s="1301"/>
      <c r="AO2" s="1301"/>
      <c r="AP2" s="1301"/>
      <c r="AQ2" s="1301"/>
      <c r="AR2" s="1301"/>
      <c r="AS2" s="1301"/>
      <c r="AT2" s="1301"/>
      <c r="AU2" s="1301"/>
      <c r="AV2" s="1301"/>
      <c r="AW2" s="1301"/>
      <c r="AX2" s="1301"/>
      <c r="AY2" s="1301"/>
      <c r="AZ2" s="1301"/>
      <c r="BA2" s="1301"/>
      <c r="BB2" s="1301"/>
      <c r="BC2" s="1301"/>
      <c r="BD2" s="1301"/>
      <c r="BE2" s="1301"/>
      <c r="BF2" s="1301"/>
      <c r="BG2" s="1301"/>
      <c r="BH2" s="1301"/>
      <c r="BI2" s="1301"/>
      <c r="BJ2" s="1301"/>
    </row>
    <row r="3" spans="1:65" ht="15.75" customHeight="1">
      <c r="A3" s="1301" t="s">
        <v>180</v>
      </c>
      <c r="B3" s="1301"/>
      <c r="C3" s="1301"/>
      <c r="D3" s="1301"/>
      <c r="E3" s="1301"/>
      <c r="F3" s="1301"/>
      <c r="G3" s="1301"/>
      <c r="H3" s="1301"/>
      <c r="I3" s="1301"/>
      <c r="J3" s="1301"/>
      <c r="K3" s="1301"/>
      <c r="L3" s="1301"/>
      <c r="M3" s="1301"/>
      <c r="N3" s="1301"/>
      <c r="O3" s="1301"/>
      <c r="P3" s="1301"/>
      <c r="Q3" s="1301"/>
      <c r="R3" s="1301"/>
      <c r="S3" s="1301"/>
      <c r="T3" s="1301"/>
      <c r="U3" s="1301"/>
      <c r="V3" s="1301"/>
      <c r="W3" s="1301"/>
      <c r="X3" s="1301"/>
      <c r="Y3" s="1301"/>
      <c r="Z3" s="1301"/>
      <c r="AA3" s="1301"/>
      <c r="AB3" s="1301"/>
      <c r="AC3" s="1301"/>
      <c r="AD3" s="1301"/>
      <c r="AE3" s="1301"/>
      <c r="AF3" s="1301"/>
      <c r="AG3" s="1301"/>
      <c r="AH3" s="1301"/>
      <c r="AI3" s="1301"/>
      <c r="AJ3" s="1301"/>
      <c r="AK3" s="1301"/>
      <c r="AL3" s="1301"/>
      <c r="AM3" s="1301"/>
      <c r="AN3" s="1301"/>
      <c r="AO3" s="1301"/>
      <c r="AP3" s="1301"/>
      <c r="AQ3" s="1301"/>
      <c r="AR3" s="1301"/>
      <c r="AS3" s="1301"/>
      <c r="AT3" s="1301"/>
      <c r="AU3" s="1301"/>
      <c r="AV3" s="1301"/>
      <c r="AW3" s="1301"/>
      <c r="AX3" s="1301"/>
      <c r="AY3" s="1301"/>
      <c r="AZ3" s="1301"/>
      <c r="BA3" s="1301"/>
      <c r="BB3" s="1301"/>
      <c r="BC3" s="1301"/>
      <c r="BD3" s="1301"/>
      <c r="BE3" s="1301"/>
      <c r="BF3" s="1301"/>
      <c r="BG3" s="1301"/>
      <c r="BH3" s="1301"/>
      <c r="BI3" s="1301"/>
      <c r="BJ3" s="1301"/>
    </row>
    <row r="4" spans="1:65" ht="18">
      <c r="A4" s="1301" t="s">
        <v>181</v>
      </c>
      <c r="B4" s="1301"/>
      <c r="C4" s="1301"/>
      <c r="D4" s="1301"/>
      <c r="E4" s="1301"/>
      <c r="F4" s="1301"/>
      <c r="G4" s="1301"/>
      <c r="H4" s="1301"/>
      <c r="I4" s="1301"/>
      <c r="J4" s="1301"/>
      <c r="K4" s="1301"/>
      <c r="L4" s="1301"/>
      <c r="M4" s="1301"/>
      <c r="N4" s="1301"/>
      <c r="O4" s="1301"/>
      <c r="P4" s="1301"/>
      <c r="Q4" s="1301"/>
      <c r="R4" s="1301"/>
      <c r="S4" s="1301"/>
      <c r="T4" s="1301"/>
      <c r="U4" s="1301"/>
      <c r="V4" s="1301"/>
      <c r="W4" s="1301"/>
      <c r="X4" s="1301"/>
      <c r="Y4" s="1301"/>
      <c r="Z4" s="1301"/>
      <c r="AA4" s="1301"/>
      <c r="AB4" s="1301"/>
      <c r="AC4" s="1301"/>
      <c r="AD4" s="1301"/>
      <c r="AE4" s="1301"/>
      <c r="AF4" s="1301"/>
      <c r="AG4" s="1301"/>
      <c r="AH4" s="1301"/>
      <c r="AI4" s="1301"/>
      <c r="AJ4" s="1301"/>
      <c r="AK4" s="1301"/>
      <c r="AL4" s="1301"/>
      <c r="AM4" s="1301"/>
      <c r="AN4" s="1301"/>
      <c r="AO4" s="1301"/>
      <c r="AP4" s="1301"/>
      <c r="AQ4" s="1301"/>
      <c r="AR4" s="1301"/>
      <c r="AS4" s="1301"/>
      <c r="AT4" s="1301"/>
      <c r="AU4" s="1301"/>
      <c r="AV4" s="1301"/>
      <c r="AW4" s="1301"/>
      <c r="AX4" s="1301"/>
      <c r="AY4" s="1301"/>
      <c r="AZ4" s="1301"/>
      <c r="BA4" s="1301"/>
      <c r="BB4" s="1301"/>
      <c r="BC4" s="1301"/>
      <c r="BD4" s="1301"/>
      <c r="BE4" s="1301"/>
      <c r="BF4" s="1301"/>
      <c r="BG4" s="1301"/>
      <c r="BH4" s="1301"/>
      <c r="BI4" s="1301"/>
      <c r="BJ4" s="1301"/>
    </row>
    <row r="5" spans="1:65" ht="9.9499999999999993" customHeight="1">
      <c r="A5" s="523"/>
      <c r="B5" s="523"/>
      <c r="C5" s="523"/>
      <c r="D5" s="523"/>
      <c r="E5" s="523"/>
      <c r="F5" s="523"/>
      <c r="G5" s="523"/>
      <c r="H5" s="523"/>
      <c r="I5" s="523"/>
      <c r="J5" s="523"/>
      <c r="K5" s="523"/>
      <c r="L5" s="523"/>
      <c r="M5" s="523"/>
      <c r="N5" s="523"/>
      <c r="O5" s="523"/>
      <c r="P5" s="523"/>
      <c r="Q5" s="523"/>
      <c r="R5" s="523"/>
      <c r="S5" s="523"/>
      <c r="T5" s="523"/>
      <c r="U5" s="523"/>
      <c r="V5" s="523"/>
      <c r="W5" s="523"/>
      <c r="X5" s="523"/>
      <c r="Y5" s="523"/>
      <c r="Z5" s="523"/>
      <c r="AA5" s="523"/>
      <c r="AB5" s="523"/>
      <c r="AC5" s="523"/>
      <c r="AD5" s="523"/>
      <c r="AE5" s="523"/>
      <c r="AF5" s="523"/>
      <c r="AG5" s="523"/>
      <c r="AH5" s="523"/>
      <c r="AI5" s="523"/>
      <c r="AJ5" s="523"/>
      <c r="AK5" s="523"/>
      <c r="AL5" s="523"/>
      <c r="AM5" s="523"/>
      <c r="AN5" s="523"/>
      <c r="AO5" s="523"/>
      <c r="AP5" s="523"/>
      <c r="AQ5" s="523"/>
      <c r="AR5" s="523"/>
      <c r="AS5" s="523"/>
      <c r="AT5" s="523"/>
      <c r="AU5" s="523"/>
      <c r="AV5" s="523"/>
      <c r="AW5" s="523"/>
      <c r="AX5" s="523"/>
      <c r="AY5" s="523"/>
      <c r="AZ5" s="523"/>
      <c r="BA5" s="523"/>
      <c r="BB5" s="523"/>
      <c r="BC5" s="523"/>
      <c r="BD5" s="523"/>
      <c r="BE5" s="523"/>
      <c r="BF5" s="523"/>
      <c r="BG5" s="523"/>
      <c r="BH5" s="523"/>
      <c r="BI5" s="523"/>
      <c r="BJ5" s="523"/>
    </row>
    <row r="6" spans="1:65" ht="12" customHeight="1">
      <c r="A6" s="524"/>
      <c r="B6" s="524"/>
      <c r="C6" s="524"/>
      <c r="D6" s="524"/>
      <c r="E6" s="524"/>
      <c r="F6" s="525"/>
      <c r="G6" s="525"/>
      <c r="H6" s="525"/>
      <c r="I6" s="525"/>
      <c r="J6" s="525"/>
      <c r="K6" s="525"/>
      <c r="L6" s="525"/>
      <c r="M6" s="525"/>
      <c r="N6" s="525"/>
      <c r="O6" s="525"/>
      <c r="P6" s="525"/>
      <c r="Q6" s="525"/>
      <c r="R6" s="525"/>
      <c r="S6" s="525"/>
      <c r="T6" s="525"/>
      <c r="U6" s="525"/>
      <c r="V6" s="525"/>
      <c r="W6" s="525"/>
      <c r="X6" s="525"/>
      <c r="Y6" s="525"/>
      <c r="Z6" s="525"/>
      <c r="AA6" s="525"/>
      <c r="AB6" s="525"/>
      <c r="AC6" s="525"/>
      <c r="AD6" s="525"/>
      <c r="AE6" s="525"/>
      <c r="AF6" s="525"/>
      <c r="AG6" s="525"/>
      <c r="AH6" s="525"/>
      <c r="AI6" s="525"/>
      <c r="AJ6" s="525"/>
      <c r="AK6" s="525"/>
      <c r="AL6" s="525"/>
      <c r="AM6" s="525"/>
      <c r="AN6" s="525"/>
      <c r="AO6" s="525"/>
      <c r="AP6" s="525"/>
      <c r="AQ6" s="525"/>
      <c r="AR6" s="525"/>
      <c r="AS6" s="525"/>
      <c r="AT6" s="525"/>
      <c r="AU6" s="525"/>
      <c r="AV6" s="525"/>
      <c r="AW6" s="525"/>
      <c r="AX6" s="525"/>
      <c r="AY6" s="525"/>
      <c r="AZ6" s="525"/>
      <c r="BA6" s="525"/>
      <c r="BB6" s="525"/>
      <c r="BC6" s="525"/>
      <c r="BD6" s="525"/>
      <c r="BE6" s="525"/>
      <c r="BF6" s="525"/>
      <c r="BG6" s="525"/>
      <c r="BH6" s="525"/>
      <c r="BI6" s="525"/>
      <c r="BJ6" s="525"/>
    </row>
    <row r="7" spans="1:65" customFormat="1">
      <c r="A7" s="64" t="s">
        <v>182</v>
      </c>
      <c r="B7" s="487" t="s">
        <v>183</v>
      </c>
      <c r="C7" s="325"/>
      <c r="D7" s="325"/>
      <c r="E7" s="325"/>
      <c r="F7" s="325"/>
      <c r="G7" s="325"/>
      <c r="H7" s="325"/>
      <c r="I7" s="3"/>
      <c r="J7" s="366"/>
      <c r="K7" s="366"/>
      <c r="L7" s="325"/>
      <c r="M7" s="3"/>
      <c r="N7" s="325"/>
      <c r="O7" s="325"/>
      <c r="P7" s="325"/>
      <c r="Q7" s="1125"/>
      <c r="R7" s="1125"/>
      <c r="S7" s="3"/>
      <c r="T7" s="3"/>
      <c r="U7" s="3"/>
      <c r="V7" s="3"/>
      <c r="W7" s="3"/>
      <c r="X7" s="3"/>
      <c r="Y7" s="3"/>
      <c r="Z7" s="3"/>
      <c r="AA7" s="3"/>
      <c r="AB7" s="3"/>
      <c r="AC7" s="3"/>
      <c r="AD7" s="3"/>
      <c r="AE7" s="3"/>
      <c r="AF7" s="3"/>
      <c r="AG7" s="3"/>
      <c r="AH7" s="3"/>
      <c r="AI7" s="3"/>
      <c r="AJ7" s="3"/>
      <c r="BB7" s="66" t="s">
        <v>184</v>
      </c>
      <c r="BG7" s="1272">
        <v>5601</v>
      </c>
      <c r="BH7" s="1272"/>
      <c r="BI7" s="1272"/>
      <c r="BJ7" s="1272"/>
    </row>
    <row r="8" spans="1:65" customFormat="1" ht="9.75" customHeight="1">
      <c r="A8" s="64"/>
      <c r="B8" s="64"/>
      <c r="C8" s="65"/>
      <c r="D8" s="65"/>
      <c r="E8" s="65"/>
      <c r="F8" s="65"/>
      <c r="G8" s="65"/>
      <c r="H8" s="65"/>
      <c r="I8" s="66"/>
      <c r="J8" s="67"/>
      <c r="K8" s="67"/>
      <c r="L8" s="65"/>
      <c r="M8" s="65"/>
      <c r="N8" s="65"/>
      <c r="O8" s="65"/>
      <c r="P8" s="65"/>
      <c r="Q8" s="1115"/>
      <c r="R8" s="1115"/>
    </row>
    <row r="9" spans="1:65" customFormat="1" ht="18" customHeight="1">
      <c r="A9" s="66" t="s">
        <v>185</v>
      </c>
      <c r="B9" s="1273" t="s">
        <v>186</v>
      </c>
      <c r="C9" s="1274"/>
      <c r="D9" s="1274"/>
      <c r="E9" s="488"/>
      <c r="F9" s="488"/>
      <c r="G9" s="14"/>
      <c r="H9" s="488"/>
      <c r="I9" s="488" t="s">
        <v>187</v>
      </c>
      <c r="J9" s="488"/>
      <c r="K9" s="488"/>
      <c r="L9" s="488"/>
      <c r="M9" s="488"/>
      <c r="N9" s="488"/>
      <c r="O9" s="488"/>
      <c r="P9" s="488"/>
      <c r="Q9" s="1553"/>
      <c r="R9" s="1553"/>
      <c r="S9" s="14"/>
      <c r="T9" s="14"/>
      <c r="U9" s="14"/>
      <c r="V9" s="14"/>
      <c r="W9" s="14"/>
      <c r="X9" s="14"/>
      <c r="Y9" s="14"/>
      <c r="Z9" s="14"/>
      <c r="AA9" s="14"/>
      <c r="AB9" s="14"/>
      <c r="AC9" s="14"/>
      <c r="AD9" s="14"/>
      <c r="AE9" s="14"/>
      <c r="AF9" s="14"/>
      <c r="AG9" s="14"/>
      <c r="AH9" s="5"/>
      <c r="BF9" s="67" t="s">
        <v>188</v>
      </c>
    </row>
    <row r="10" spans="1:65" customFormat="1" ht="18" customHeight="1">
      <c r="A10" s="92"/>
      <c r="B10" s="1273" t="s">
        <v>189</v>
      </c>
      <c r="C10" s="1274"/>
      <c r="D10" s="1274"/>
      <c r="E10" s="488"/>
      <c r="F10" s="488"/>
      <c r="G10" s="488"/>
      <c r="H10" s="488"/>
      <c r="I10" s="488" t="s">
        <v>190</v>
      </c>
      <c r="J10" s="488"/>
      <c r="K10" s="488"/>
      <c r="L10" s="488"/>
      <c r="M10" s="488"/>
      <c r="N10" s="488"/>
      <c r="O10" s="488"/>
      <c r="P10" s="488"/>
      <c r="Q10" s="1553"/>
      <c r="R10" s="1553"/>
      <c r="S10" s="14"/>
      <c r="T10" s="14"/>
      <c r="U10" s="14"/>
      <c r="V10" s="14"/>
      <c r="W10" s="14"/>
      <c r="X10" s="14"/>
      <c r="Y10" s="14"/>
      <c r="Z10" s="14"/>
      <c r="AA10" s="14"/>
      <c r="AB10" s="14"/>
      <c r="AC10" s="14"/>
      <c r="AD10" s="14"/>
      <c r="AE10" s="14"/>
      <c r="AF10" s="14"/>
      <c r="AG10" s="14"/>
      <c r="AH10" s="5"/>
      <c r="BF10" s="67" t="s">
        <v>191</v>
      </c>
    </row>
    <row r="11" spans="1:65" s="528" customFormat="1">
      <c r="A11" s="526"/>
      <c r="B11" s="526"/>
      <c r="C11" s="526"/>
      <c r="D11" s="526"/>
      <c r="E11" s="526"/>
      <c r="F11" s="527"/>
      <c r="G11" s="527"/>
      <c r="H11" s="527"/>
      <c r="I11" s="527"/>
      <c r="J11" s="527"/>
      <c r="K11" s="527"/>
      <c r="L11" s="527"/>
      <c r="M11" s="527"/>
      <c r="N11" s="527"/>
      <c r="O11" s="527"/>
      <c r="P11" s="527"/>
      <c r="Q11" s="527"/>
      <c r="R11" s="527"/>
      <c r="S11" s="527"/>
      <c r="T11" s="527"/>
      <c r="U11" s="527"/>
      <c r="V11" s="527"/>
      <c r="W11" s="527"/>
      <c r="X11" s="527"/>
      <c r="Y11" s="527"/>
      <c r="Z11" s="527"/>
      <c r="AA11" s="527"/>
      <c r="AB11" s="527"/>
      <c r="AC11" s="527"/>
      <c r="AD11" s="527"/>
      <c r="AE11" s="527"/>
      <c r="AF11" s="527"/>
      <c r="AG11" s="527"/>
      <c r="AH11" s="527"/>
      <c r="AI11" s="527"/>
      <c r="AJ11" s="527"/>
      <c r="AK11" s="527"/>
      <c r="AL11" s="527"/>
      <c r="AM11" s="527"/>
      <c r="AN11" s="527"/>
      <c r="AO11" s="527"/>
      <c r="AP11" s="527"/>
      <c r="AQ11" s="527"/>
      <c r="AR11" s="527"/>
      <c r="AS11" s="527"/>
      <c r="AT11" s="527"/>
      <c r="AU11" s="527"/>
      <c r="AV11" s="527"/>
      <c r="AW11" s="527"/>
      <c r="AX11" s="527"/>
      <c r="AY11" s="527"/>
      <c r="AZ11" s="527"/>
      <c r="BA11" s="527"/>
      <c r="BB11" s="527"/>
      <c r="BC11" s="527"/>
      <c r="BD11" s="529"/>
      <c r="BE11" s="530"/>
      <c r="BF11" s="531"/>
      <c r="BG11" s="531"/>
      <c r="BH11" s="531"/>
      <c r="BI11" s="531"/>
      <c r="BJ11" s="529"/>
      <c r="BK11" s="529"/>
    </row>
    <row r="12" spans="1:65" ht="18" customHeight="1">
      <c r="A12" s="532" t="s">
        <v>129</v>
      </c>
      <c r="B12" s="533" t="s">
        <v>192</v>
      </c>
      <c r="C12" s="534"/>
      <c r="D12" s="534"/>
      <c r="E12" s="534"/>
      <c r="F12" s="534"/>
      <c r="G12" s="534"/>
      <c r="H12" s="534"/>
      <c r="I12" s="534"/>
      <c r="J12" s="534"/>
      <c r="K12" s="534"/>
      <c r="L12" s="534"/>
      <c r="M12" s="534"/>
      <c r="N12" s="534"/>
      <c r="O12" s="534"/>
      <c r="P12" s="534"/>
      <c r="Q12" s="534"/>
      <c r="R12" s="534"/>
      <c r="S12" s="534"/>
      <c r="T12" s="534"/>
      <c r="U12" s="534"/>
      <c r="V12" s="534"/>
      <c r="W12" s="534"/>
      <c r="X12" s="534"/>
      <c r="Y12" s="534"/>
      <c r="Z12" s="535"/>
      <c r="AA12" s="535"/>
      <c r="AB12" s="535"/>
      <c r="AC12" s="535"/>
      <c r="AD12" s="535"/>
      <c r="AE12" s="535"/>
      <c r="AF12" s="535"/>
      <c r="AG12" s="535"/>
      <c r="AV12" s="536" t="s">
        <v>193</v>
      </c>
      <c r="BD12" s="536"/>
      <c r="BE12" s="536"/>
      <c r="BF12" s="536"/>
      <c r="BG12" s="1302" t="str">
        <f>+'ESTADO RED VIS'!G8</f>
        <v>JUL-SEP 2020</v>
      </c>
      <c r="BH12" s="1302"/>
      <c r="BI12" s="1302"/>
      <c r="BJ12" s="1302"/>
    </row>
    <row r="13" spans="1:65" ht="13.5" thickBot="1">
      <c r="A13" s="537"/>
      <c r="B13" s="537"/>
      <c r="C13" s="537"/>
      <c r="D13" s="537"/>
      <c r="E13" s="537"/>
      <c r="F13" s="538"/>
      <c r="G13" s="538"/>
      <c r="H13" s="538"/>
      <c r="I13" s="538"/>
      <c r="J13" s="538"/>
      <c r="K13" s="538"/>
      <c r="L13" s="538"/>
      <c r="M13" s="538"/>
      <c r="N13" s="538"/>
      <c r="O13" s="538"/>
      <c r="P13" s="538"/>
      <c r="Q13" s="538"/>
      <c r="R13" s="538"/>
      <c r="S13" s="538"/>
      <c r="T13" s="538"/>
      <c r="U13" s="538"/>
      <c r="V13" s="538"/>
      <c r="W13" s="538"/>
      <c r="X13" s="538"/>
      <c r="Y13" s="538"/>
      <c r="Z13" s="538"/>
      <c r="AA13" s="538"/>
      <c r="AB13" s="538"/>
      <c r="AC13" s="538"/>
      <c r="AD13" s="538"/>
      <c r="AE13" s="538"/>
      <c r="AF13" s="538"/>
      <c r="AG13" s="538"/>
      <c r="AH13" s="539"/>
      <c r="AI13" s="539"/>
      <c r="AJ13" s="539"/>
      <c r="AK13" s="539"/>
      <c r="AL13" s="539"/>
      <c r="AM13" s="539"/>
      <c r="AN13" s="539"/>
      <c r="AO13" s="539"/>
      <c r="AP13" s="539"/>
      <c r="AQ13" s="539"/>
      <c r="AR13" s="539"/>
      <c r="AS13" s="539"/>
      <c r="AT13" s="539"/>
      <c r="AU13" s="539"/>
      <c r="AV13" s="539"/>
      <c r="AW13" s="539"/>
      <c r="AX13" s="539"/>
      <c r="AY13" s="539"/>
      <c r="AZ13" s="539"/>
      <c r="BA13" s="539"/>
      <c r="BB13" s="539"/>
      <c r="BC13" s="539"/>
      <c r="BD13" s="539"/>
      <c r="BE13" s="539"/>
      <c r="BF13" s="539"/>
      <c r="BG13" s="539"/>
      <c r="BH13" s="539"/>
      <c r="BI13" s="539"/>
      <c r="BJ13" s="539"/>
      <c r="BK13" s="540"/>
      <c r="BL13" s="540"/>
      <c r="BM13" s="540"/>
    </row>
    <row r="14" spans="1:65" ht="17.100000000000001" customHeight="1">
      <c r="A14" s="541"/>
      <c r="B14" s="542"/>
      <c r="C14" s="542"/>
      <c r="D14" s="542"/>
      <c r="E14" s="542"/>
      <c r="F14" s="543"/>
      <c r="G14" s="543"/>
      <c r="H14" s="543"/>
      <c r="I14" s="543"/>
      <c r="J14" s="543"/>
      <c r="K14" s="543"/>
      <c r="L14" s="543"/>
      <c r="M14" s="543"/>
      <c r="N14" s="543"/>
      <c r="O14" s="543"/>
      <c r="P14" s="543"/>
      <c r="Q14" s="543"/>
      <c r="R14" s="543"/>
      <c r="S14" s="543"/>
      <c r="T14" s="543"/>
      <c r="U14" s="543"/>
      <c r="V14" s="543"/>
      <c r="W14" s="543"/>
      <c r="X14" s="543"/>
      <c r="Y14" s="543"/>
      <c r="Z14" s="543"/>
      <c r="AA14" s="543"/>
      <c r="AB14" s="543"/>
      <c r="AC14" s="543"/>
      <c r="AD14" s="543"/>
      <c r="AE14" s="543"/>
      <c r="AF14" s="543"/>
      <c r="AG14" s="543"/>
      <c r="AH14" s="542"/>
      <c r="AI14" s="542"/>
      <c r="AJ14" s="542"/>
      <c r="AK14" s="542"/>
      <c r="AL14" s="542"/>
      <c r="AM14" s="542"/>
      <c r="AN14" s="542"/>
      <c r="AO14" s="542"/>
      <c r="AP14" s="542"/>
      <c r="AQ14" s="542"/>
      <c r="AR14" s="542"/>
      <c r="AS14" s="542"/>
      <c r="AT14" s="542"/>
      <c r="AU14" s="542"/>
      <c r="AV14" s="542"/>
      <c r="AW14" s="542"/>
      <c r="AX14" s="542"/>
      <c r="AY14" s="542"/>
      <c r="AZ14" s="542"/>
      <c r="BA14" s="542"/>
      <c r="BB14" s="542"/>
      <c r="BC14" s="542"/>
      <c r="BD14" s="542"/>
      <c r="BE14" s="542"/>
      <c r="BF14" s="542"/>
      <c r="BG14" s="542"/>
      <c r="BH14" s="542"/>
      <c r="BI14" s="544"/>
      <c r="BJ14" s="545"/>
    </row>
    <row r="15" spans="1:65" ht="17.100000000000001" customHeight="1">
      <c r="A15" s="546"/>
      <c r="F15" s="547"/>
      <c r="G15" s="547"/>
      <c r="H15" s="547"/>
      <c r="I15" s="547"/>
      <c r="J15" s="547"/>
      <c r="K15" s="547"/>
      <c r="L15" s="547"/>
      <c r="M15" s="547"/>
      <c r="N15" s="547"/>
      <c r="O15" s="547"/>
      <c r="P15" s="547"/>
      <c r="Q15" s="547"/>
      <c r="R15" s="547"/>
      <c r="S15" s="547"/>
      <c r="T15" s="547"/>
      <c r="U15" s="547"/>
      <c r="V15" s="547"/>
      <c r="W15" s="547"/>
      <c r="X15" s="547"/>
      <c r="Y15" s="547"/>
      <c r="Z15" s="547"/>
      <c r="AA15" s="547"/>
      <c r="AB15" s="547"/>
      <c r="AC15" s="547"/>
      <c r="AD15" s="547"/>
      <c r="AE15" s="547"/>
      <c r="AF15" s="547"/>
      <c r="AG15" s="547"/>
      <c r="AH15" s="548"/>
      <c r="AI15" s="548"/>
      <c r="AJ15" s="548"/>
      <c r="AK15" s="548"/>
      <c r="AL15" s="548"/>
      <c r="AM15" s="548"/>
      <c r="AN15" s="548"/>
      <c r="AO15" s="548"/>
      <c r="AP15" s="548"/>
      <c r="AQ15" s="548"/>
      <c r="AR15" s="548"/>
      <c r="AS15" s="548"/>
      <c r="AT15" s="548"/>
      <c r="AU15" s="548"/>
      <c r="AV15" s="548"/>
      <c r="AW15" s="548"/>
      <c r="AX15" s="548"/>
      <c r="AY15" s="548"/>
      <c r="AZ15" s="548"/>
      <c r="BA15" s="548"/>
      <c r="BB15" s="548"/>
      <c r="BC15" s="548"/>
      <c r="BD15" s="548"/>
      <c r="BE15" s="548"/>
      <c r="BF15" s="548"/>
      <c r="BG15" s="548"/>
      <c r="BH15" s="548"/>
      <c r="BI15" s="525"/>
      <c r="BJ15" s="549"/>
    </row>
    <row r="16" spans="1:65" ht="17.100000000000001" customHeight="1">
      <c r="A16" s="550"/>
      <c r="B16" s="548"/>
      <c r="C16" s="548"/>
      <c r="D16" s="548"/>
      <c r="E16" s="548"/>
      <c r="F16" s="547"/>
      <c r="G16" s="547"/>
      <c r="H16" s="547"/>
      <c r="I16" s="547"/>
      <c r="J16" s="547"/>
      <c r="K16" s="547"/>
      <c r="L16" s="547"/>
      <c r="M16" s="547"/>
      <c r="N16" s="547"/>
      <c r="O16" s="547"/>
      <c r="P16" s="547"/>
      <c r="Q16" s="547"/>
      <c r="R16" s="547"/>
      <c r="S16" s="547"/>
      <c r="T16" s="547"/>
      <c r="U16" s="547"/>
      <c r="V16" s="547"/>
      <c r="W16" s="547"/>
      <c r="X16" s="547"/>
      <c r="Y16" s="547"/>
      <c r="Z16" s="547"/>
      <c r="AA16" s="547"/>
      <c r="AB16" s="547"/>
      <c r="AC16" s="547"/>
      <c r="AD16" s="547"/>
      <c r="AE16" s="547"/>
      <c r="AF16" s="547"/>
      <c r="AG16" s="547"/>
      <c r="AH16" s="548"/>
      <c r="AI16" s="548"/>
      <c r="AJ16" s="548"/>
      <c r="AK16" s="548"/>
      <c r="AL16" s="548"/>
      <c r="AM16" s="548"/>
      <c r="AN16" s="548"/>
      <c r="AO16" s="548"/>
      <c r="AP16" s="548"/>
      <c r="AQ16" s="548"/>
      <c r="AR16" s="548"/>
      <c r="AS16" s="548"/>
      <c r="AT16" s="548"/>
      <c r="AU16" s="548"/>
      <c r="AV16" s="548"/>
      <c r="AW16" s="548"/>
      <c r="AX16" s="548"/>
      <c r="AY16" s="548"/>
      <c r="AZ16" s="548"/>
      <c r="BA16" s="548"/>
      <c r="BB16" s="548"/>
      <c r="BC16" s="548"/>
      <c r="BD16" s="548"/>
      <c r="BE16" s="548"/>
      <c r="BF16" s="548"/>
      <c r="BG16" s="548"/>
      <c r="BH16" s="548"/>
      <c r="BI16" s="525"/>
      <c r="BJ16" s="549"/>
    </row>
    <row r="17" spans="1:62" ht="17.100000000000001" customHeight="1">
      <c r="A17" s="550"/>
      <c r="B17" s="548"/>
      <c r="C17" s="548"/>
      <c r="D17" s="548"/>
      <c r="E17" s="548"/>
      <c r="F17" s="547"/>
      <c r="G17" s="547"/>
      <c r="H17" s="547"/>
      <c r="I17" s="547"/>
      <c r="J17" s="547"/>
      <c r="K17" s="547"/>
      <c r="L17" s="547"/>
      <c r="M17" s="547"/>
      <c r="N17" s="547"/>
      <c r="O17" s="547"/>
      <c r="P17" s="547"/>
      <c r="Q17" s="547"/>
      <c r="R17" s="547"/>
      <c r="S17" s="547"/>
      <c r="T17" s="547"/>
      <c r="U17" s="547"/>
      <c r="V17" s="547"/>
      <c r="W17" s="547"/>
      <c r="X17" s="547"/>
      <c r="Y17" s="547"/>
      <c r="Z17" s="547"/>
      <c r="AA17" s="547"/>
      <c r="AB17" s="547"/>
      <c r="AC17" s="547"/>
      <c r="AD17" s="547"/>
      <c r="AE17" s="547"/>
      <c r="AF17" s="547"/>
      <c r="AG17" s="547"/>
      <c r="AH17" s="548"/>
      <c r="AI17" s="548"/>
      <c r="AJ17" s="548"/>
      <c r="AK17" s="548"/>
      <c r="AL17" s="548"/>
      <c r="AM17" s="548"/>
      <c r="AN17" s="548"/>
      <c r="AO17" s="548"/>
      <c r="AP17" s="548"/>
      <c r="AQ17" s="548"/>
      <c r="AR17" s="548"/>
      <c r="AS17" s="548"/>
      <c r="AT17" s="548"/>
      <c r="AU17" s="548"/>
      <c r="AV17" s="548"/>
      <c r="AW17" s="548"/>
      <c r="AX17" s="548"/>
      <c r="AY17" s="548"/>
      <c r="AZ17" s="548"/>
      <c r="BA17" s="548"/>
      <c r="BB17" s="548"/>
      <c r="BC17" s="548"/>
      <c r="BD17" s="548"/>
      <c r="BE17" s="548"/>
      <c r="BF17" s="548"/>
      <c r="BG17" s="548"/>
      <c r="BH17" s="548"/>
      <c r="BI17" s="525"/>
      <c r="BJ17" s="549"/>
    </row>
    <row r="18" spans="1:62" ht="17.100000000000001" customHeight="1">
      <c r="A18" s="550"/>
      <c r="B18" s="548"/>
      <c r="C18" s="548"/>
      <c r="D18" s="548"/>
      <c r="E18" s="548"/>
      <c r="F18" s="547"/>
      <c r="G18" s="547"/>
      <c r="H18" s="547"/>
      <c r="I18" s="547"/>
      <c r="J18" s="547"/>
      <c r="K18" s="547"/>
      <c r="L18" s="547"/>
      <c r="M18" s="547"/>
      <c r="N18" s="547"/>
      <c r="O18" s="547"/>
      <c r="P18" s="547"/>
      <c r="Q18" s="547"/>
      <c r="R18" s="547"/>
      <c r="S18" s="547"/>
      <c r="T18" s="547"/>
      <c r="U18" s="547"/>
      <c r="V18" s="547"/>
      <c r="W18" s="547"/>
      <c r="X18" s="547"/>
      <c r="Y18" s="547"/>
      <c r="Z18" s="547"/>
      <c r="AA18" s="547"/>
      <c r="AB18" s="547"/>
      <c r="AC18" s="547"/>
      <c r="AD18" s="547"/>
      <c r="AE18" s="547"/>
      <c r="AF18" s="547"/>
      <c r="AG18" s="547"/>
      <c r="AH18" s="548"/>
      <c r="AI18" s="548"/>
      <c r="AJ18" s="548"/>
      <c r="AK18" s="548"/>
      <c r="AL18" s="548"/>
      <c r="AM18" s="548"/>
      <c r="AN18" s="548"/>
      <c r="AO18" s="548"/>
      <c r="AP18" s="548"/>
      <c r="AQ18" s="548"/>
      <c r="AR18" s="548"/>
      <c r="AS18" s="548"/>
      <c r="AT18" s="548"/>
      <c r="AU18" s="548"/>
      <c r="AV18" s="548"/>
      <c r="AW18" s="548"/>
      <c r="AX18" s="548"/>
      <c r="AY18" s="548"/>
      <c r="AZ18" s="548"/>
      <c r="BA18" s="548"/>
      <c r="BB18" s="548"/>
      <c r="BC18" s="548"/>
      <c r="BD18" s="548"/>
      <c r="BE18" s="548"/>
      <c r="BF18" s="548"/>
      <c r="BG18" s="548"/>
      <c r="BH18" s="548"/>
      <c r="BI18" s="525"/>
      <c r="BJ18" s="549"/>
    </row>
    <row r="19" spans="1:62" ht="17.100000000000001" customHeight="1">
      <c r="A19" s="550"/>
      <c r="B19" s="548"/>
      <c r="C19" s="548"/>
      <c r="D19" s="548"/>
      <c r="E19" s="548"/>
      <c r="F19" s="547"/>
      <c r="G19" s="547"/>
      <c r="H19" s="547"/>
      <c r="I19" s="547"/>
      <c r="J19" s="547"/>
      <c r="K19" s="547"/>
      <c r="L19" s="547"/>
      <c r="M19" s="547"/>
      <c r="N19" s="547"/>
      <c r="O19" s="547"/>
      <c r="P19" s="547"/>
      <c r="Q19" s="547"/>
      <c r="R19" s="547"/>
      <c r="S19" s="547"/>
      <c r="T19" s="547"/>
      <c r="U19" s="547"/>
      <c r="V19" s="547"/>
      <c r="W19" s="547"/>
      <c r="X19" s="547"/>
      <c r="Y19" s="547"/>
      <c r="Z19" s="547"/>
      <c r="AA19" s="547"/>
      <c r="AB19" s="547"/>
      <c r="AC19" s="547"/>
      <c r="AD19" s="547"/>
      <c r="AE19" s="547"/>
      <c r="AF19" s="547"/>
      <c r="AG19" s="547"/>
      <c r="AH19" s="548"/>
      <c r="AI19" s="548"/>
      <c r="AJ19" s="548"/>
      <c r="AK19" s="548"/>
      <c r="AL19" s="548"/>
      <c r="AM19" s="548"/>
      <c r="AN19" s="548"/>
      <c r="AO19" s="548"/>
      <c r="AP19" s="548"/>
      <c r="AQ19" s="548"/>
      <c r="AR19" s="548"/>
      <c r="AS19" s="548"/>
      <c r="AT19" s="548"/>
      <c r="AU19" s="548"/>
      <c r="AV19" s="548"/>
      <c r="AW19" s="548"/>
      <c r="AX19" s="548"/>
      <c r="AY19" s="548"/>
      <c r="AZ19" s="548"/>
      <c r="BA19" s="548"/>
      <c r="BB19" s="548"/>
      <c r="BC19" s="548"/>
      <c r="BD19" s="548"/>
      <c r="BE19" s="548"/>
      <c r="BF19" s="548"/>
      <c r="BG19" s="548"/>
      <c r="BH19" s="548"/>
      <c r="BI19" s="525"/>
      <c r="BJ19" s="549"/>
    </row>
    <row r="20" spans="1:62" ht="17.100000000000001" customHeight="1">
      <c r="A20" s="550"/>
      <c r="B20" s="548"/>
      <c r="C20" s="548"/>
      <c r="D20" s="548"/>
      <c r="E20" s="548"/>
      <c r="F20" s="547"/>
      <c r="G20" s="547"/>
      <c r="H20" s="547"/>
      <c r="I20" s="547"/>
      <c r="J20" s="547"/>
      <c r="K20" s="547"/>
      <c r="L20" s="547"/>
      <c r="M20" s="547"/>
      <c r="N20" s="547"/>
      <c r="O20" s="547"/>
      <c r="P20" s="547"/>
      <c r="Q20" s="547"/>
      <c r="R20" s="547"/>
      <c r="S20" s="547"/>
      <c r="T20" s="547"/>
      <c r="U20" s="547"/>
      <c r="V20" s="547"/>
      <c r="W20" s="547"/>
      <c r="X20" s="547"/>
      <c r="Y20" s="547"/>
      <c r="Z20" s="547"/>
      <c r="AA20" s="547"/>
      <c r="AB20" s="547"/>
      <c r="AC20" s="547"/>
      <c r="AD20" s="547"/>
      <c r="AE20" s="547"/>
      <c r="AF20" s="547"/>
      <c r="AG20" s="547"/>
      <c r="AH20" s="548"/>
      <c r="AI20" s="548"/>
      <c r="AJ20" s="548"/>
      <c r="AK20" s="548"/>
      <c r="AL20" s="548"/>
      <c r="AM20" s="548"/>
      <c r="AN20" s="548"/>
      <c r="AO20" s="548"/>
      <c r="AP20" s="548"/>
      <c r="AQ20" s="548"/>
      <c r="AR20" s="548"/>
      <c r="AS20" s="548"/>
      <c r="AT20" s="548"/>
      <c r="AU20" s="548"/>
      <c r="AV20" s="548"/>
      <c r="AW20" s="548"/>
      <c r="AX20" s="548"/>
      <c r="AY20" s="548"/>
      <c r="AZ20" s="548"/>
      <c r="BA20" s="548"/>
      <c r="BB20" s="548"/>
      <c r="BC20" s="548"/>
      <c r="BD20" s="548"/>
      <c r="BE20" s="548"/>
      <c r="BF20" s="548"/>
      <c r="BG20" s="548"/>
      <c r="BH20" s="548"/>
      <c r="BI20" s="525"/>
      <c r="BJ20" s="549"/>
    </row>
    <row r="21" spans="1:62" ht="17.100000000000001" customHeight="1">
      <c r="A21" s="550"/>
      <c r="B21" s="548"/>
      <c r="C21" s="548"/>
      <c r="D21" s="548"/>
      <c r="E21" s="548"/>
      <c r="F21" s="547"/>
      <c r="G21" s="547"/>
      <c r="H21" s="547"/>
      <c r="I21" s="547"/>
      <c r="J21" s="547"/>
      <c r="K21" s="547"/>
      <c r="L21" s="547"/>
      <c r="M21" s="547"/>
      <c r="N21" s="547"/>
      <c r="O21" s="547"/>
      <c r="P21" s="547"/>
      <c r="Q21" s="547"/>
      <c r="R21" s="547"/>
      <c r="S21" s="547"/>
      <c r="T21" s="547"/>
      <c r="U21" s="547"/>
      <c r="V21" s="547"/>
      <c r="W21" s="547"/>
      <c r="X21" s="547"/>
      <c r="Y21" s="547"/>
      <c r="Z21" s="547"/>
      <c r="AA21" s="547"/>
      <c r="AB21" s="547"/>
      <c r="AC21" s="547"/>
      <c r="AD21" s="547"/>
      <c r="AE21" s="547"/>
      <c r="AF21" s="547"/>
      <c r="AG21" s="547"/>
      <c r="AH21" s="548"/>
      <c r="AI21" s="548"/>
      <c r="AJ21" s="548"/>
      <c r="AK21" s="548"/>
      <c r="AL21" s="548"/>
      <c r="AM21" s="548"/>
      <c r="AN21" s="548"/>
      <c r="AO21" s="548"/>
      <c r="AP21" s="548"/>
      <c r="AQ21" s="548"/>
      <c r="AR21" s="548"/>
      <c r="AS21" s="548"/>
      <c r="AT21" s="548"/>
      <c r="AU21" s="548"/>
      <c r="AV21" s="548"/>
      <c r="AW21" s="548"/>
      <c r="AX21" s="548"/>
      <c r="AY21" s="548"/>
      <c r="AZ21" s="548"/>
      <c r="BA21" s="548"/>
      <c r="BB21" s="548"/>
      <c r="BC21" s="548"/>
      <c r="BD21" s="548"/>
      <c r="BE21" s="548"/>
      <c r="BF21" s="548"/>
      <c r="BG21" s="548"/>
      <c r="BH21" s="548"/>
      <c r="BI21" s="525"/>
      <c r="BJ21" s="549"/>
    </row>
    <row r="22" spans="1:62" ht="17.100000000000001" customHeight="1">
      <c r="A22" s="550"/>
      <c r="B22" s="548"/>
      <c r="C22" s="548"/>
      <c r="D22" s="548"/>
      <c r="E22" s="548"/>
      <c r="F22" s="547"/>
      <c r="G22" s="547"/>
      <c r="H22" s="547"/>
      <c r="I22" s="547"/>
      <c r="J22" s="547"/>
      <c r="K22" s="547"/>
      <c r="L22" s="547"/>
      <c r="M22" s="547"/>
      <c r="N22" s="547"/>
      <c r="O22" s="547"/>
      <c r="P22" s="547"/>
      <c r="Q22" s="547"/>
      <c r="R22" s="547"/>
      <c r="S22" s="547"/>
      <c r="T22" s="547"/>
      <c r="U22" s="547"/>
      <c r="V22" s="547"/>
      <c r="W22" s="547"/>
      <c r="X22" s="547"/>
      <c r="Y22" s="547"/>
      <c r="Z22" s="547"/>
      <c r="AA22" s="547"/>
      <c r="AB22" s="547"/>
      <c r="AC22" s="547"/>
      <c r="AD22" s="547"/>
      <c r="AE22" s="547"/>
      <c r="AF22" s="547"/>
      <c r="AG22" s="547"/>
      <c r="AH22" s="548"/>
      <c r="AI22" s="548"/>
      <c r="AJ22" s="548"/>
      <c r="AK22" s="548"/>
      <c r="AL22" s="548"/>
      <c r="AM22" s="548"/>
      <c r="AN22" s="548"/>
      <c r="AO22" s="548"/>
      <c r="AP22" s="548"/>
      <c r="AQ22" s="548"/>
      <c r="AR22" s="548"/>
      <c r="AS22" s="548"/>
      <c r="AT22" s="548"/>
      <c r="AU22" s="548"/>
      <c r="AV22" s="548"/>
      <c r="AW22" s="548"/>
      <c r="AX22" s="548"/>
      <c r="AY22" s="548"/>
      <c r="AZ22" s="548"/>
      <c r="BA22" s="548"/>
      <c r="BB22" s="548"/>
      <c r="BC22" s="548"/>
      <c r="BD22" s="548"/>
      <c r="BE22" s="548"/>
      <c r="BF22" s="548"/>
      <c r="BG22" s="548"/>
      <c r="BH22" s="548"/>
      <c r="BI22" s="525"/>
      <c r="BJ22" s="549"/>
    </row>
    <row r="23" spans="1:62" ht="17.100000000000001" customHeight="1">
      <c r="A23" s="550"/>
      <c r="B23" s="548"/>
      <c r="C23" s="548"/>
      <c r="D23" s="548"/>
      <c r="E23" s="548"/>
      <c r="F23" s="547"/>
      <c r="G23" s="547"/>
      <c r="H23" s="547"/>
      <c r="I23" s="547"/>
      <c r="J23" s="547"/>
      <c r="K23" s="547"/>
      <c r="L23" s="547"/>
      <c r="M23" s="547"/>
      <c r="N23" s="547"/>
      <c r="O23" s="547"/>
      <c r="P23" s="547"/>
      <c r="Q23" s="547"/>
      <c r="R23" s="547"/>
      <c r="S23" s="547"/>
      <c r="T23" s="547"/>
      <c r="U23" s="547"/>
      <c r="V23" s="547"/>
      <c r="W23" s="547"/>
      <c r="X23" s="547"/>
      <c r="Y23" s="547"/>
      <c r="Z23" s="547"/>
      <c r="AA23" s="547"/>
      <c r="AB23" s="547"/>
      <c r="AC23" s="547"/>
      <c r="AD23" s="547"/>
      <c r="AE23" s="547"/>
      <c r="AF23" s="547"/>
      <c r="AG23" s="547"/>
      <c r="AH23" s="548"/>
      <c r="AI23" s="548"/>
      <c r="AJ23" s="548"/>
      <c r="AK23" s="548"/>
      <c r="AL23" s="548"/>
      <c r="AM23" s="548"/>
      <c r="AN23" s="548"/>
      <c r="AO23" s="548"/>
      <c r="AP23" s="548"/>
      <c r="AQ23" s="548"/>
      <c r="AR23" s="548"/>
      <c r="AS23" s="548"/>
      <c r="AT23" s="548"/>
      <c r="AU23" s="548"/>
      <c r="AV23" s="548"/>
      <c r="AW23" s="548"/>
      <c r="AX23" s="548"/>
      <c r="AY23" s="548"/>
      <c r="AZ23" s="548"/>
      <c r="BA23" s="548"/>
      <c r="BB23" s="548"/>
      <c r="BC23" s="548"/>
      <c r="BD23" s="548"/>
      <c r="BE23" s="548"/>
      <c r="BF23" s="548"/>
      <c r="BG23" s="548"/>
      <c r="BH23" s="548"/>
      <c r="BI23" s="525"/>
      <c r="BJ23" s="549"/>
    </row>
    <row r="24" spans="1:62" ht="17.100000000000001" customHeight="1">
      <c r="A24" s="550"/>
      <c r="B24" s="548"/>
      <c r="C24" s="548"/>
      <c r="D24" s="548"/>
      <c r="E24" s="548"/>
      <c r="F24" s="547"/>
      <c r="G24" s="547"/>
      <c r="H24" s="547"/>
      <c r="I24" s="547"/>
      <c r="J24" s="547"/>
      <c r="K24" s="547"/>
      <c r="L24" s="547"/>
      <c r="M24" s="547"/>
      <c r="N24" s="547"/>
      <c r="O24" s="547"/>
      <c r="P24" s="547"/>
      <c r="Q24" s="547"/>
      <c r="R24" s="547"/>
      <c r="S24" s="547"/>
      <c r="T24" s="547"/>
      <c r="U24" s="547"/>
      <c r="V24" s="547"/>
      <c r="W24" s="547"/>
      <c r="X24" s="547"/>
      <c r="Y24" s="547"/>
      <c r="Z24" s="547"/>
      <c r="AA24" s="547"/>
      <c r="AB24" s="547"/>
      <c r="AC24" s="547"/>
      <c r="AD24" s="547"/>
      <c r="AE24" s="547"/>
      <c r="AF24" s="547"/>
      <c r="AG24" s="547"/>
      <c r="AH24" s="548"/>
      <c r="AI24" s="548"/>
      <c r="AJ24" s="548"/>
      <c r="AK24" s="548"/>
      <c r="AL24" s="548"/>
      <c r="AM24" s="548"/>
      <c r="AN24" s="548"/>
      <c r="AO24" s="548"/>
      <c r="AP24" s="548"/>
      <c r="AQ24" s="548"/>
      <c r="AR24" s="548"/>
      <c r="AS24" s="548"/>
      <c r="AT24" s="548"/>
      <c r="AU24" s="548"/>
      <c r="AV24" s="548"/>
      <c r="AW24" s="548"/>
      <c r="AX24" s="548"/>
      <c r="AY24" s="548"/>
      <c r="AZ24" s="548"/>
      <c r="BA24" s="548"/>
      <c r="BB24" s="548"/>
      <c r="BC24" s="548"/>
      <c r="BD24" s="548"/>
      <c r="BE24" s="548"/>
      <c r="BF24" s="548"/>
      <c r="BG24" s="548"/>
      <c r="BH24" s="548"/>
      <c r="BI24" s="525"/>
      <c r="BJ24" s="549"/>
    </row>
    <row r="25" spans="1:62" ht="17.100000000000001" customHeight="1">
      <c r="A25" s="550"/>
      <c r="B25" s="548"/>
      <c r="C25" s="548"/>
      <c r="D25" s="548"/>
      <c r="E25" s="548"/>
      <c r="F25" s="547"/>
      <c r="G25" s="547"/>
      <c r="H25" s="547"/>
      <c r="I25" s="547"/>
      <c r="J25" s="547"/>
      <c r="K25" s="547"/>
      <c r="L25" s="547"/>
      <c r="M25" s="547"/>
      <c r="N25" s="547"/>
      <c r="O25" s="547"/>
      <c r="P25" s="547"/>
      <c r="Q25" s="547"/>
      <c r="R25" s="547"/>
      <c r="S25" s="547"/>
      <c r="T25" s="547"/>
      <c r="U25" s="547"/>
      <c r="V25" s="547"/>
      <c r="W25" s="547"/>
      <c r="X25" s="547"/>
      <c r="Y25" s="547"/>
      <c r="Z25" s="547"/>
      <c r="AA25" s="547"/>
      <c r="AB25" s="547"/>
      <c r="AC25" s="547"/>
      <c r="AD25" s="547"/>
      <c r="AE25" s="547"/>
      <c r="AF25" s="547"/>
      <c r="AG25" s="547"/>
      <c r="AH25" s="548"/>
      <c r="AI25" s="548"/>
      <c r="AJ25" s="548"/>
      <c r="AK25" s="548"/>
      <c r="AL25" s="548"/>
      <c r="AM25" s="548"/>
      <c r="AN25" s="548"/>
      <c r="AO25" s="548"/>
      <c r="AP25" s="548"/>
      <c r="AQ25" s="548"/>
      <c r="AR25" s="548"/>
      <c r="AS25" s="548"/>
      <c r="AT25" s="548"/>
      <c r="AU25" s="548"/>
      <c r="AV25" s="548"/>
      <c r="AW25" s="548"/>
      <c r="AX25" s="548"/>
      <c r="AY25" s="548"/>
      <c r="AZ25" s="548"/>
      <c r="BA25" s="548"/>
      <c r="BB25" s="548"/>
      <c r="BC25" s="548"/>
      <c r="BD25" s="548"/>
      <c r="BE25" s="548"/>
      <c r="BF25" s="548"/>
      <c r="BG25" s="548"/>
      <c r="BH25" s="548"/>
      <c r="BI25" s="525"/>
      <c r="BJ25" s="549"/>
    </row>
    <row r="26" spans="1:62" ht="17.100000000000001" customHeight="1">
      <c r="A26" s="550"/>
      <c r="B26" s="548"/>
      <c r="C26" s="548"/>
      <c r="D26" s="548"/>
      <c r="E26" s="548"/>
      <c r="F26" s="547"/>
      <c r="G26" s="547"/>
      <c r="H26" s="547"/>
      <c r="I26" s="547"/>
      <c r="J26" s="547"/>
      <c r="K26" s="547"/>
      <c r="L26" s="547"/>
      <c r="M26" s="547"/>
      <c r="N26" s="547"/>
      <c r="O26" s="547"/>
      <c r="P26" s="547"/>
      <c r="Q26" s="547"/>
      <c r="R26" s="547"/>
      <c r="S26" s="547"/>
      <c r="T26" s="547"/>
      <c r="U26" s="547"/>
      <c r="V26" s="547"/>
      <c r="W26" s="547"/>
      <c r="X26" s="547"/>
      <c r="Y26" s="547"/>
      <c r="Z26" s="547"/>
      <c r="AA26" s="547"/>
      <c r="AB26" s="547"/>
      <c r="AC26" s="547"/>
      <c r="AD26" s="547"/>
      <c r="AE26" s="547"/>
      <c r="AF26" s="547"/>
      <c r="AG26" s="547"/>
      <c r="AH26" s="548"/>
      <c r="AI26" s="548"/>
      <c r="AJ26" s="548"/>
      <c r="AK26" s="548"/>
      <c r="AL26" s="548"/>
      <c r="AM26" s="548"/>
      <c r="AN26" s="548"/>
      <c r="AO26" s="548"/>
      <c r="AP26" s="548"/>
      <c r="AQ26" s="548"/>
      <c r="AR26" s="548"/>
      <c r="AS26" s="548"/>
      <c r="AT26" s="548"/>
      <c r="AU26" s="548"/>
      <c r="AV26" s="548"/>
      <c r="AW26" s="548"/>
      <c r="AX26" s="548"/>
      <c r="AY26" s="548"/>
      <c r="AZ26" s="548"/>
      <c r="BA26" s="548"/>
      <c r="BB26" s="548"/>
      <c r="BC26" s="548"/>
      <c r="BD26" s="548"/>
      <c r="BE26" s="548"/>
      <c r="BF26" s="548"/>
      <c r="BG26" s="548"/>
      <c r="BH26" s="548"/>
      <c r="BI26" s="525"/>
      <c r="BJ26" s="549"/>
    </row>
    <row r="27" spans="1:62" ht="17.100000000000001" customHeight="1">
      <c r="A27" s="550"/>
      <c r="B27" s="548"/>
      <c r="C27" s="548"/>
      <c r="D27" s="548"/>
      <c r="E27" s="548"/>
      <c r="F27" s="547"/>
      <c r="G27" s="547"/>
      <c r="H27" s="547"/>
      <c r="I27" s="547"/>
      <c r="J27" s="547"/>
      <c r="K27" s="547"/>
      <c r="L27" s="547"/>
      <c r="M27" s="547"/>
      <c r="N27" s="547"/>
      <c r="O27" s="547"/>
      <c r="P27" s="547"/>
      <c r="Q27" s="547"/>
      <c r="R27" s="547"/>
      <c r="S27" s="547"/>
      <c r="T27" s="547"/>
      <c r="U27" s="547"/>
      <c r="V27" s="547"/>
      <c r="W27" s="547"/>
      <c r="X27" s="547"/>
      <c r="Y27" s="547"/>
      <c r="Z27" s="547"/>
      <c r="AA27" s="547"/>
      <c r="AB27" s="547"/>
      <c r="AC27" s="547"/>
      <c r="AD27" s="547"/>
      <c r="AE27" s="547"/>
      <c r="AF27" s="547"/>
      <c r="AG27" s="547"/>
      <c r="AH27" s="548"/>
      <c r="AI27" s="548"/>
      <c r="AJ27" s="548"/>
      <c r="AK27" s="548"/>
      <c r="AL27" s="548"/>
      <c r="AM27" s="548"/>
      <c r="AN27" s="548"/>
      <c r="AO27" s="548"/>
      <c r="AP27" s="548"/>
      <c r="AQ27" s="548"/>
      <c r="AR27" s="548"/>
      <c r="AS27" s="548"/>
      <c r="AT27" s="548"/>
      <c r="AU27" s="548"/>
      <c r="AV27" s="548"/>
      <c r="AW27" s="548"/>
      <c r="AX27" s="548"/>
      <c r="AY27" s="548"/>
      <c r="AZ27" s="548"/>
      <c r="BA27" s="548"/>
      <c r="BB27" s="548"/>
      <c r="BC27" s="548"/>
      <c r="BD27" s="548"/>
      <c r="BE27" s="548"/>
      <c r="BF27" s="548"/>
      <c r="BG27" s="548"/>
      <c r="BH27" s="548"/>
      <c r="BI27" s="525"/>
      <c r="BJ27" s="549"/>
    </row>
    <row r="28" spans="1:62" ht="17.100000000000001" customHeight="1">
      <c r="A28" s="550"/>
      <c r="B28" s="548"/>
      <c r="C28" s="548"/>
      <c r="D28" s="548"/>
      <c r="E28" s="548"/>
      <c r="F28" s="547"/>
      <c r="G28" s="547"/>
      <c r="H28" s="547"/>
      <c r="I28" s="547"/>
      <c r="J28" s="547"/>
      <c r="K28" s="547"/>
      <c r="L28" s="547"/>
      <c r="M28" s="547"/>
      <c r="N28" s="547"/>
      <c r="O28" s="547"/>
      <c r="P28" s="547"/>
      <c r="Q28" s="547"/>
      <c r="R28" s="547"/>
      <c r="S28" s="547"/>
      <c r="T28" s="547"/>
      <c r="U28" s="547"/>
      <c r="V28" s="547"/>
      <c r="W28" s="547"/>
      <c r="X28" s="547"/>
      <c r="Y28" s="547"/>
      <c r="Z28" s="547"/>
      <c r="AA28" s="547"/>
      <c r="AB28" s="547"/>
      <c r="AC28" s="547"/>
      <c r="AD28" s="547"/>
      <c r="AE28" s="547"/>
      <c r="AF28" s="547"/>
      <c r="AG28" s="547"/>
      <c r="AH28" s="548"/>
      <c r="AI28" s="548"/>
      <c r="AJ28" s="548"/>
      <c r="AK28" s="548"/>
      <c r="AL28" s="548"/>
      <c r="AM28" s="548"/>
      <c r="AN28" s="548"/>
      <c r="AO28" s="548"/>
      <c r="AP28" s="548"/>
      <c r="AQ28" s="548"/>
      <c r="AR28" s="548"/>
      <c r="AS28" s="548"/>
      <c r="AT28" s="548"/>
      <c r="AU28" s="548"/>
      <c r="AV28" s="548"/>
      <c r="AW28" s="548"/>
      <c r="AX28" s="548"/>
      <c r="AY28" s="548"/>
      <c r="AZ28" s="548"/>
      <c r="BA28" s="548"/>
      <c r="BB28" s="548"/>
      <c r="BC28" s="548"/>
      <c r="BD28" s="548"/>
      <c r="BE28" s="548"/>
      <c r="BF28" s="548"/>
      <c r="BG28" s="548"/>
      <c r="BH28" s="548"/>
      <c r="BI28" s="525"/>
      <c r="BJ28" s="549"/>
    </row>
    <row r="29" spans="1:62" ht="17.100000000000001" customHeight="1">
      <c r="A29" s="550"/>
      <c r="B29" s="548"/>
      <c r="C29" s="548"/>
      <c r="D29" s="548"/>
      <c r="E29" s="548"/>
      <c r="F29" s="547"/>
      <c r="G29" s="547"/>
      <c r="H29" s="547"/>
      <c r="I29" s="547"/>
      <c r="J29" s="547"/>
      <c r="K29" s="547"/>
      <c r="L29" s="547"/>
      <c r="M29" s="547"/>
      <c r="N29" s="547"/>
      <c r="O29" s="547"/>
      <c r="P29" s="547"/>
      <c r="Q29" s="547"/>
      <c r="R29" s="547"/>
      <c r="S29" s="547"/>
      <c r="T29" s="547"/>
      <c r="U29" s="547"/>
      <c r="V29" s="547"/>
      <c r="W29" s="547"/>
      <c r="X29" s="547"/>
      <c r="Y29" s="547"/>
      <c r="Z29" s="547"/>
      <c r="AA29" s="547"/>
      <c r="AB29" s="547"/>
      <c r="AC29" s="547"/>
      <c r="AD29" s="547"/>
      <c r="AE29" s="547"/>
      <c r="AF29" s="547"/>
      <c r="AG29" s="547"/>
      <c r="AH29" s="548"/>
      <c r="AI29" s="548"/>
      <c r="AJ29" s="548"/>
      <c r="AK29" s="548"/>
      <c r="AL29" s="548"/>
      <c r="AM29" s="548"/>
      <c r="AN29" s="548"/>
      <c r="AO29" s="548"/>
      <c r="AP29" s="548"/>
      <c r="AQ29" s="548"/>
      <c r="AR29" s="548"/>
      <c r="AS29" s="548"/>
      <c r="AT29" s="548"/>
      <c r="AU29" s="548"/>
      <c r="AV29" s="548"/>
      <c r="AW29" s="548"/>
      <c r="AX29" s="548"/>
      <c r="AY29" s="548"/>
      <c r="AZ29" s="548"/>
      <c r="BA29" s="548"/>
      <c r="BB29" s="548"/>
      <c r="BC29" s="548"/>
      <c r="BD29" s="548"/>
      <c r="BE29" s="548"/>
      <c r="BF29" s="548"/>
      <c r="BG29" s="548"/>
      <c r="BH29" s="548"/>
      <c r="BI29" s="525"/>
      <c r="BJ29" s="549"/>
    </row>
    <row r="30" spans="1:62" ht="17.100000000000001" customHeight="1">
      <c r="A30" s="550"/>
      <c r="B30" s="548"/>
      <c r="C30" s="548"/>
      <c r="D30" s="548"/>
      <c r="E30" s="548"/>
      <c r="F30" s="547"/>
      <c r="G30" s="547"/>
      <c r="H30" s="547"/>
      <c r="I30" s="547"/>
      <c r="J30" s="547"/>
      <c r="K30" s="547"/>
      <c r="L30" s="547"/>
      <c r="M30" s="547"/>
      <c r="N30" s="547"/>
      <c r="O30" s="547"/>
      <c r="P30" s="547"/>
      <c r="Q30" s="547"/>
      <c r="R30" s="547"/>
      <c r="S30" s="547"/>
      <c r="T30" s="547"/>
      <c r="U30" s="547"/>
      <c r="V30" s="547"/>
      <c r="W30" s="547"/>
      <c r="X30" s="547"/>
      <c r="Y30" s="547"/>
      <c r="Z30" s="547"/>
      <c r="AA30" s="547"/>
      <c r="AB30" s="547"/>
      <c r="AC30" s="547"/>
      <c r="AD30" s="547"/>
      <c r="AE30" s="547"/>
      <c r="AF30" s="547"/>
      <c r="AG30" s="547"/>
      <c r="AH30" s="548"/>
      <c r="AI30" s="548"/>
      <c r="AJ30" s="548"/>
      <c r="AK30" s="548"/>
      <c r="AL30" s="548"/>
      <c r="AM30" s="548"/>
      <c r="AN30" s="548"/>
      <c r="AO30" s="548"/>
      <c r="AP30" s="548"/>
      <c r="AQ30" s="548"/>
      <c r="AR30" s="548"/>
      <c r="AS30" s="548"/>
      <c r="AT30" s="548"/>
      <c r="AU30" s="548"/>
      <c r="AV30" s="548"/>
      <c r="AW30" s="548"/>
      <c r="AX30" s="548"/>
      <c r="AY30" s="548"/>
      <c r="AZ30" s="548"/>
      <c r="BA30" s="548"/>
      <c r="BB30" s="548"/>
      <c r="BC30" s="548"/>
      <c r="BD30" s="548"/>
      <c r="BE30" s="548"/>
      <c r="BF30" s="548"/>
      <c r="BG30" s="548"/>
      <c r="BH30" s="548"/>
      <c r="BI30" s="525"/>
      <c r="BJ30" s="549"/>
    </row>
    <row r="31" spans="1:62" ht="17.100000000000001" customHeight="1">
      <c r="A31" s="550"/>
      <c r="B31" s="548"/>
      <c r="C31" s="548"/>
      <c r="D31" s="548"/>
      <c r="E31" s="548"/>
      <c r="F31" s="547"/>
      <c r="G31" s="547"/>
      <c r="H31" s="547"/>
      <c r="I31" s="547"/>
      <c r="J31" s="547"/>
      <c r="K31" s="547"/>
      <c r="L31" s="547"/>
      <c r="M31" s="547"/>
      <c r="N31" s="547"/>
      <c r="O31" s="547"/>
      <c r="P31" s="547"/>
      <c r="Q31" s="547"/>
      <c r="R31" s="547"/>
      <c r="S31" s="547"/>
      <c r="T31" s="547"/>
      <c r="U31" s="547"/>
      <c r="V31" s="547"/>
      <c r="W31" s="547"/>
      <c r="X31" s="547"/>
      <c r="Y31" s="547"/>
      <c r="Z31" s="547"/>
      <c r="AA31" s="547"/>
      <c r="AB31" s="547"/>
      <c r="AC31" s="547"/>
      <c r="AD31" s="547"/>
      <c r="AE31" s="547"/>
      <c r="AF31" s="547"/>
      <c r="AG31" s="547"/>
      <c r="AH31" s="548"/>
      <c r="AI31" s="548"/>
      <c r="AJ31" s="548"/>
      <c r="AK31" s="548"/>
      <c r="AL31" s="548"/>
      <c r="AM31" s="548"/>
      <c r="AN31" s="548"/>
      <c r="AO31" s="548"/>
      <c r="AP31" s="548"/>
      <c r="AQ31" s="548"/>
      <c r="AR31" s="548"/>
      <c r="AS31" s="548"/>
      <c r="AT31" s="548"/>
      <c r="AU31" s="548"/>
      <c r="AV31" s="548"/>
      <c r="AW31" s="548"/>
      <c r="AX31" s="548"/>
      <c r="AY31" s="548"/>
      <c r="AZ31" s="548"/>
      <c r="BA31" s="548"/>
      <c r="BB31" s="548"/>
      <c r="BC31" s="548"/>
      <c r="BD31" s="548"/>
      <c r="BE31" s="548"/>
      <c r="BF31" s="548"/>
      <c r="BG31" s="548"/>
      <c r="BH31" s="548"/>
      <c r="BI31" s="525"/>
      <c r="BJ31" s="549"/>
    </row>
    <row r="32" spans="1:62" ht="17.100000000000001" customHeight="1">
      <c r="A32" s="550"/>
      <c r="B32" s="548"/>
      <c r="C32" s="548"/>
      <c r="D32" s="548"/>
      <c r="E32" s="548"/>
      <c r="F32" s="547"/>
      <c r="G32" s="547"/>
      <c r="H32" s="547"/>
      <c r="I32" s="547"/>
      <c r="J32" s="547"/>
      <c r="K32" s="547"/>
      <c r="L32" s="547"/>
      <c r="M32" s="547"/>
      <c r="N32" s="547"/>
      <c r="O32" s="547"/>
      <c r="P32" s="547"/>
      <c r="Q32" s="547"/>
      <c r="R32" s="547"/>
      <c r="S32" s="547"/>
      <c r="T32" s="547"/>
      <c r="U32" s="547"/>
      <c r="V32" s="547"/>
      <c r="W32" s="547"/>
      <c r="X32" s="547"/>
      <c r="Y32" s="547"/>
      <c r="Z32" s="547"/>
      <c r="AA32" s="547"/>
      <c r="AB32" s="547"/>
      <c r="AC32" s="547"/>
      <c r="AD32" s="547"/>
      <c r="AE32" s="547"/>
      <c r="AF32" s="547"/>
      <c r="AG32" s="547"/>
      <c r="AH32" s="548"/>
      <c r="AI32" s="548"/>
      <c r="AJ32" s="548"/>
      <c r="AK32" s="548"/>
      <c r="AL32" s="548"/>
      <c r="AM32" s="548"/>
      <c r="AN32" s="548"/>
      <c r="AO32" s="548"/>
      <c r="AP32" s="548"/>
      <c r="AQ32" s="548"/>
      <c r="AR32" s="548"/>
      <c r="AS32" s="548"/>
      <c r="AT32" s="548"/>
      <c r="AU32" s="548"/>
      <c r="AV32" s="548"/>
      <c r="AW32" s="548"/>
      <c r="AX32" s="548"/>
      <c r="AY32" s="548"/>
      <c r="AZ32" s="548"/>
      <c r="BA32" s="548"/>
      <c r="BB32" s="548"/>
      <c r="BC32" s="548"/>
      <c r="BD32" s="548"/>
      <c r="BE32" s="548"/>
      <c r="BF32" s="548"/>
      <c r="BG32" s="548"/>
      <c r="BH32" s="548"/>
      <c r="BI32" s="525"/>
      <c r="BJ32" s="549"/>
    </row>
    <row r="33" spans="1:67" ht="17.100000000000001" customHeight="1">
      <c r="A33" s="550"/>
      <c r="B33" s="548"/>
      <c r="C33" s="548"/>
      <c r="D33" s="548"/>
      <c r="E33" s="548"/>
      <c r="F33" s="547"/>
      <c r="G33" s="547"/>
      <c r="H33" s="547"/>
      <c r="I33" s="547"/>
      <c r="J33" s="547"/>
      <c r="K33" s="547"/>
      <c r="L33" s="547"/>
      <c r="M33" s="547"/>
      <c r="N33" s="547"/>
      <c r="O33" s="547"/>
      <c r="P33" s="547"/>
      <c r="Q33" s="547"/>
      <c r="R33" s="547"/>
      <c r="S33" s="547"/>
      <c r="T33" s="547"/>
      <c r="U33" s="547"/>
      <c r="V33" s="547"/>
      <c r="W33" s="547"/>
      <c r="X33" s="547"/>
      <c r="Y33" s="547"/>
      <c r="Z33" s="547"/>
      <c r="AA33" s="547"/>
      <c r="AB33" s="547"/>
      <c r="AC33" s="547"/>
      <c r="AD33" s="547"/>
      <c r="AE33" s="547"/>
      <c r="AF33" s="547"/>
      <c r="AG33" s="547"/>
      <c r="AH33" s="548"/>
      <c r="AI33" s="548"/>
      <c r="AJ33" s="548"/>
      <c r="AK33" s="548"/>
      <c r="AL33" s="548"/>
      <c r="AM33" s="548"/>
      <c r="AN33" s="548"/>
      <c r="AO33" s="548"/>
      <c r="AP33" s="548"/>
      <c r="AQ33" s="548"/>
      <c r="AR33" s="548"/>
      <c r="AS33" s="548"/>
      <c r="AT33" s="548"/>
      <c r="AU33" s="548"/>
      <c r="AV33" s="548"/>
      <c r="AW33" s="548"/>
      <c r="AX33" s="548"/>
      <c r="AY33" s="548"/>
      <c r="AZ33" s="548"/>
      <c r="BA33" s="548"/>
      <c r="BB33" s="548"/>
      <c r="BC33" s="548"/>
      <c r="BD33" s="548"/>
      <c r="BE33" s="548"/>
      <c r="BF33" s="548"/>
      <c r="BG33" s="548"/>
      <c r="BH33" s="548"/>
      <c r="BI33" s="525"/>
      <c r="BJ33" s="549"/>
    </row>
    <row r="34" spans="1:67" ht="17.100000000000001" customHeight="1">
      <c r="A34" s="550"/>
      <c r="B34" s="548"/>
      <c r="C34" s="548"/>
      <c r="D34" s="548"/>
      <c r="E34" s="548"/>
      <c r="F34" s="547"/>
      <c r="G34" s="547"/>
      <c r="H34" s="547"/>
      <c r="I34" s="547"/>
      <c r="J34" s="547"/>
      <c r="K34" s="547"/>
      <c r="L34" s="547"/>
      <c r="M34" s="547"/>
      <c r="N34" s="547"/>
      <c r="O34" s="547"/>
      <c r="P34" s="547"/>
      <c r="Q34" s="547"/>
      <c r="R34" s="547"/>
      <c r="S34" s="547"/>
      <c r="T34" s="547"/>
      <c r="U34" s="547"/>
      <c r="V34" s="547"/>
      <c r="W34" s="547"/>
      <c r="X34" s="547"/>
      <c r="Y34" s="547"/>
      <c r="Z34" s="547"/>
      <c r="AA34" s="547"/>
      <c r="AB34" s="547"/>
      <c r="AC34" s="547"/>
      <c r="AD34" s="547"/>
      <c r="AE34" s="547"/>
      <c r="AF34" s="547"/>
      <c r="AG34" s="547"/>
      <c r="AH34" s="548"/>
      <c r="AI34" s="548"/>
      <c r="AJ34" s="548"/>
      <c r="AK34" s="548"/>
      <c r="AL34" s="548"/>
      <c r="AM34" s="548"/>
      <c r="AN34" s="548"/>
      <c r="AO34" s="548"/>
      <c r="AP34" s="548"/>
      <c r="AQ34" s="548"/>
      <c r="AR34" s="548"/>
      <c r="AS34" s="548"/>
      <c r="AT34" s="548"/>
      <c r="AU34" s="548"/>
      <c r="AV34" s="548"/>
      <c r="AW34" s="548"/>
      <c r="AX34" s="548"/>
      <c r="AY34" s="548"/>
      <c r="AZ34" s="548"/>
      <c r="BA34" s="548"/>
      <c r="BB34" s="548"/>
      <c r="BC34" s="548"/>
      <c r="BD34" s="548"/>
      <c r="BE34" s="548"/>
      <c r="BF34" s="548"/>
      <c r="BG34" s="548"/>
      <c r="BH34" s="548"/>
      <c r="BI34" s="525"/>
      <c r="BJ34" s="549"/>
    </row>
    <row r="35" spans="1:67" ht="17.100000000000001" customHeight="1">
      <c r="A35" s="550"/>
      <c r="B35" s="548"/>
      <c r="C35" s="548"/>
      <c r="D35" s="548"/>
      <c r="E35" s="548"/>
      <c r="F35" s="547"/>
      <c r="G35" s="547"/>
      <c r="H35" s="547"/>
      <c r="I35" s="547"/>
      <c r="J35" s="547"/>
      <c r="K35" s="547"/>
      <c r="L35" s="547"/>
      <c r="M35" s="547"/>
      <c r="N35" s="547"/>
      <c r="O35" s="547"/>
      <c r="P35" s="547"/>
      <c r="Q35" s="547"/>
      <c r="R35" s="547"/>
      <c r="S35" s="547"/>
      <c r="T35" s="547"/>
      <c r="U35" s="547"/>
      <c r="V35" s="547"/>
      <c r="W35" s="547"/>
      <c r="X35" s="547"/>
      <c r="Y35" s="547"/>
      <c r="Z35" s="547"/>
      <c r="AA35" s="547"/>
      <c r="AB35" s="547"/>
      <c r="AC35" s="547"/>
      <c r="AD35" s="547"/>
      <c r="AE35" s="547"/>
      <c r="AF35" s="547"/>
      <c r="AG35" s="547"/>
      <c r="AH35" s="548"/>
      <c r="AI35" s="548"/>
      <c r="AJ35" s="548"/>
      <c r="AK35" s="548"/>
      <c r="AL35" s="548"/>
      <c r="AM35" s="548"/>
      <c r="AN35" s="548"/>
      <c r="AO35" s="548"/>
      <c r="AP35" s="548"/>
      <c r="AQ35" s="548"/>
      <c r="AR35" s="548"/>
      <c r="AS35" s="548"/>
      <c r="AT35" s="548"/>
      <c r="AU35" s="548"/>
      <c r="AV35" s="548"/>
      <c r="AW35" s="548"/>
      <c r="AX35" s="548"/>
      <c r="AY35" s="548"/>
      <c r="AZ35" s="548"/>
      <c r="BA35" s="548"/>
      <c r="BB35" s="548"/>
      <c r="BC35" s="548"/>
      <c r="BD35" s="548"/>
      <c r="BE35" s="548"/>
      <c r="BF35" s="548"/>
      <c r="BG35" s="548"/>
      <c r="BH35" s="548"/>
      <c r="BI35" s="525"/>
      <c r="BJ35" s="549"/>
    </row>
    <row r="36" spans="1:67" ht="17.100000000000001" customHeight="1">
      <c r="A36" s="550"/>
      <c r="B36" s="548"/>
      <c r="C36" s="548"/>
      <c r="D36" s="548"/>
      <c r="E36" s="548"/>
      <c r="F36" s="547"/>
      <c r="G36" s="547"/>
      <c r="H36" s="547"/>
      <c r="I36" s="547"/>
      <c r="J36" s="547"/>
      <c r="K36" s="547"/>
      <c r="L36" s="547"/>
      <c r="M36" s="547"/>
      <c r="N36" s="547"/>
      <c r="O36" s="547"/>
      <c r="P36" s="547"/>
      <c r="Q36" s="547"/>
      <c r="R36" s="547"/>
      <c r="S36" s="547"/>
      <c r="T36" s="547"/>
      <c r="U36" s="547"/>
      <c r="V36" s="547"/>
      <c r="W36" s="547"/>
      <c r="X36" s="547"/>
      <c r="Y36" s="547"/>
      <c r="Z36" s="547"/>
      <c r="AA36" s="547"/>
      <c r="AB36" s="547"/>
      <c r="AC36" s="547"/>
      <c r="AD36" s="547"/>
      <c r="AE36" s="547"/>
      <c r="AF36" s="547"/>
      <c r="AG36" s="547"/>
      <c r="AH36" s="548"/>
      <c r="AI36" s="548"/>
      <c r="AJ36" s="548"/>
      <c r="AK36" s="548"/>
      <c r="AL36" s="548"/>
      <c r="AM36" s="548"/>
      <c r="AN36" s="548"/>
      <c r="AO36" s="548"/>
      <c r="AP36" s="548"/>
      <c r="AQ36" s="548"/>
      <c r="AR36" s="548"/>
      <c r="AS36" s="548"/>
      <c r="AT36" s="548"/>
      <c r="AU36" s="548"/>
      <c r="AV36" s="548"/>
      <c r="AW36" s="548"/>
      <c r="AX36" s="548"/>
      <c r="AY36" s="548"/>
      <c r="AZ36" s="548"/>
      <c r="BA36" s="548"/>
      <c r="BB36" s="548"/>
      <c r="BC36" s="548"/>
      <c r="BD36" s="548"/>
      <c r="BE36" s="548"/>
      <c r="BF36" s="548"/>
      <c r="BG36" s="548"/>
      <c r="BH36" s="548"/>
      <c r="BI36" s="525"/>
      <c r="BJ36" s="549"/>
    </row>
    <row r="37" spans="1:67" ht="17.100000000000001" customHeight="1" thickBot="1">
      <c r="A37" s="551"/>
      <c r="B37" s="552"/>
      <c r="C37" s="552"/>
      <c r="D37" s="552"/>
      <c r="E37" s="552"/>
      <c r="F37" s="553"/>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c r="AF37" s="553"/>
      <c r="AG37" s="553"/>
      <c r="AH37" s="552"/>
      <c r="AI37" s="552"/>
      <c r="AJ37" s="552"/>
      <c r="AK37" s="552"/>
      <c r="AL37" s="552"/>
      <c r="AM37" s="552"/>
      <c r="AN37" s="552"/>
      <c r="AO37" s="552"/>
      <c r="AP37" s="552"/>
      <c r="AQ37" s="552"/>
      <c r="AR37" s="552"/>
      <c r="AS37" s="552"/>
      <c r="AT37" s="552"/>
      <c r="AU37" s="552"/>
      <c r="AV37" s="552"/>
      <c r="AW37" s="552"/>
      <c r="AX37" s="552"/>
      <c r="AY37" s="552"/>
      <c r="AZ37" s="552"/>
      <c r="BA37" s="552"/>
      <c r="BB37" s="552"/>
      <c r="BC37" s="552"/>
      <c r="BD37" s="552"/>
      <c r="BE37" s="552"/>
      <c r="BF37" s="552"/>
      <c r="BG37" s="552"/>
      <c r="BH37" s="552"/>
      <c r="BI37" s="554"/>
      <c r="BJ37" s="555"/>
    </row>
    <row r="38" spans="1:67" ht="8.25" hidden="1" customHeight="1" thickBot="1">
      <c r="A38" s="551"/>
      <c r="B38" s="552"/>
      <c r="C38" s="552"/>
      <c r="D38" s="552"/>
      <c r="E38" s="552"/>
      <c r="F38" s="553"/>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c r="AF38" s="553"/>
      <c r="AG38" s="553"/>
      <c r="AH38" s="552"/>
      <c r="AI38" s="552"/>
      <c r="AJ38" s="552"/>
      <c r="AK38" s="552"/>
      <c r="AL38" s="552"/>
      <c r="AM38" s="552"/>
      <c r="AN38" s="552"/>
      <c r="AO38" s="552"/>
      <c r="AP38" s="552"/>
      <c r="AQ38" s="552"/>
      <c r="AR38" s="552"/>
      <c r="AS38" s="552"/>
      <c r="AT38" s="552"/>
      <c r="AU38" s="552"/>
      <c r="AV38" s="552"/>
      <c r="AW38" s="552"/>
      <c r="AX38" s="552"/>
      <c r="AY38" s="552"/>
      <c r="AZ38" s="552"/>
      <c r="BA38" s="552"/>
      <c r="BB38" s="552"/>
      <c r="BC38" s="552"/>
      <c r="BD38" s="552"/>
      <c r="BE38" s="552"/>
      <c r="BF38" s="552"/>
      <c r="BG38" s="552"/>
      <c r="BH38" s="552"/>
      <c r="BI38" s="554"/>
      <c r="BJ38" s="549"/>
    </row>
    <row r="39" spans="1:67" ht="8.25" customHeight="1" thickBot="1">
      <c r="A39" s="548"/>
      <c r="B39" s="548"/>
      <c r="C39" s="548"/>
      <c r="D39" s="548"/>
      <c r="E39" s="548"/>
      <c r="F39" s="547"/>
      <c r="G39" s="547"/>
      <c r="H39" s="547"/>
      <c r="I39" s="547"/>
      <c r="J39" s="547"/>
      <c r="K39" s="547"/>
      <c r="L39" s="547"/>
      <c r="M39" s="547"/>
      <c r="N39" s="547"/>
      <c r="O39" s="547"/>
      <c r="P39" s="547"/>
      <c r="Q39" s="547"/>
      <c r="R39" s="547"/>
      <c r="S39" s="547"/>
      <c r="T39" s="547"/>
      <c r="U39" s="547"/>
      <c r="V39" s="547"/>
      <c r="W39" s="547"/>
      <c r="X39" s="547"/>
      <c r="Y39" s="547"/>
      <c r="Z39" s="547"/>
      <c r="AA39" s="547"/>
      <c r="AB39" s="547"/>
      <c r="AC39" s="547"/>
      <c r="AD39" s="547"/>
      <c r="AE39" s="547"/>
      <c r="AF39" s="547"/>
      <c r="AG39" s="547"/>
      <c r="AH39" s="548"/>
      <c r="AI39" s="548"/>
      <c r="AJ39" s="548"/>
      <c r="AK39" s="548"/>
      <c r="AL39" s="548"/>
      <c r="AM39" s="548"/>
      <c r="AN39" s="548"/>
      <c r="AO39" s="548"/>
      <c r="AP39" s="548"/>
      <c r="AQ39" s="548"/>
      <c r="AR39" s="548"/>
      <c r="AS39" s="548"/>
      <c r="AT39" s="548"/>
      <c r="AU39" s="548"/>
      <c r="AV39" s="548"/>
      <c r="AW39" s="548"/>
      <c r="AX39" s="548"/>
      <c r="AY39" s="548"/>
      <c r="AZ39" s="548"/>
      <c r="BA39" s="548"/>
      <c r="BB39" s="548"/>
      <c r="BC39" s="548"/>
      <c r="BD39" s="548"/>
      <c r="BE39" s="548"/>
      <c r="BF39" s="548"/>
      <c r="BG39" s="548"/>
      <c r="BH39" s="548"/>
      <c r="BI39" s="525"/>
      <c r="BJ39" s="554"/>
    </row>
    <row r="40" spans="1:67" ht="15" customHeight="1">
      <c r="A40" s="556" t="s">
        <v>194</v>
      </c>
      <c r="B40" s="1295" t="s">
        <v>185</v>
      </c>
      <c r="C40" s="1296"/>
      <c r="D40" s="1296"/>
      <c r="E40" s="1296"/>
      <c r="F40" s="1296"/>
      <c r="G40" s="1296"/>
      <c r="H40" s="1296"/>
      <c r="I40" s="1296"/>
      <c r="J40" s="1296"/>
      <c r="K40" s="1296"/>
      <c r="L40" s="1296"/>
      <c r="M40" s="1296"/>
      <c r="N40" s="1296"/>
      <c r="O40" s="1296"/>
      <c r="P40" s="1296"/>
      <c r="Q40" s="1296"/>
      <c r="R40" s="1296"/>
      <c r="S40" s="1296"/>
      <c r="T40" s="1296"/>
      <c r="U40" s="1296"/>
      <c r="V40" s="1296"/>
      <c r="W40" s="1296"/>
      <c r="X40" s="1296"/>
      <c r="Y40" s="1296"/>
      <c r="Z40" s="1296"/>
      <c r="AA40" s="1296"/>
      <c r="AB40" s="1296"/>
      <c r="AC40" s="1296"/>
      <c r="AD40" s="1296"/>
      <c r="AE40" s="1296"/>
      <c r="AF40" s="1296"/>
      <c r="AG40" s="1296"/>
      <c r="AH40" s="1296"/>
      <c r="AI40" s="1296"/>
      <c r="AJ40" s="1296"/>
      <c r="AK40" s="1296"/>
      <c r="AL40" s="1296"/>
      <c r="AM40" s="1296"/>
      <c r="AN40" s="1296"/>
      <c r="AO40" s="1296"/>
      <c r="AP40" s="1296"/>
      <c r="AQ40" s="1296"/>
      <c r="AR40" s="1296"/>
      <c r="AS40" s="1296"/>
      <c r="AT40" s="1296"/>
      <c r="AU40" s="1296"/>
      <c r="AV40" s="1296"/>
      <c r="AW40" s="1296"/>
      <c r="AX40" s="1296"/>
      <c r="AY40" s="1296"/>
      <c r="AZ40" s="1296"/>
      <c r="BA40" s="1296"/>
      <c r="BB40" s="1296"/>
      <c r="BC40" s="1296"/>
      <c r="BD40" s="557"/>
      <c r="BE40" s="1297" t="s">
        <v>195</v>
      </c>
      <c r="BF40" s="1298"/>
      <c r="BG40" s="1298"/>
      <c r="BH40" s="1298"/>
      <c r="BI40" s="1298"/>
      <c r="BJ40" s="1299"/>
    </row>
    <row r="41" spans="1:67" ht="15" customHeight="1">
      <c r="A41" s="558"/>
      <c r="B41" s="1284">
        <v>5601</v>
      </c>
      <c r="C41" s="1285"/>
      <c r="D41" s="1285"/>
      <c r="E41" s="1285"/>
      <c r="F41" s="1285"/>
      <c r="G41" s="1285"/>
      <c r="H41" s="1285"/>
      <c r="I41" s="1285"/>
      <c r="J41" s="1285"/>
      <c r="K41" s="1285"/>
      <c r="L41" s="1285"/>
      <c r="M41" s="1285"/>
      <c r="N41" s="1285"/>
      <c r="O41" s="1285"/>
      <c r="P41" s="1285"/>
      <c r="Q41" s="1285"/>
      <c r="R41" s="1285"/>
      <c r="S41" s="1285"/>
      <c r="T41" s="1285"/>
      <c r="U41" s="1285"/>
      <c r="V41" s="1285"/>
      <c r="W41" s="1285"/>
      <c r="X41" s="1285"/>
      <c r="Y41" s="1285"/>
      <c r="Z41" s="1285"/>
      <c r="AA41" s="1285"/>
      <c r="AB41" s="1285"/>
      <c r="AC41" s="1285"/>
      <c r="AD41" s="1285"/>
      <c r="AE41" s="1285"/>
      <c r="AF41" s="1285"/>
      <c r="AG41" s="1285"/>
      <c r="AH41" s="1285"/>
      <c r="AI41" s="1285"/>
      <c r="AJ41" s="1285"/>
      <c r="AK41" s="1285"/>
      <c r="AL41" s="1285"/>
      <c r="AM41" s="1285"/>
      <c r="AN41" s="1285"/>
      <c r="AO41" s="1285"/>
      <c r="AP41" s="1285"/>
      <c r="AQ41" s="1285"/>
      <c r="AR41" s="1285"/>
      <c r="AS41" s="1285"/>
      <c r="AT41" s="1285"/>
      <c r="AU41" s="1285"/>
      <c r="AV41" s="1285"/>
      <c r="AW41" s="1285"/>
      <c r="AX41" s="1285"/>
      <c r="AY41" s="1285"/>
      <c r="AZ41" s="1285"/>
      <c r="BA41" s="1285"/>
      <c r="BB41" s="1285"/>
      <c r="BC41" s="1285"/>
      <c r="BD41" s="559"/>
      <c r="BE41" s="1286" t="s">
        <v>196</v>
      </c>
      <c r="BF41" s="1287"/>
      <c r="BG41" s="1287"/>
      <c r="BH41" s="1287"/>
      <c r="BI41" s="1287"/>
      <c r="BJ41" s="1288"/>
    </row>
    <row r="42" spans="1:67" ht="15" customHeight="1" thickBot="1">
      <c r="A42" s="560" t="s">
        <v>197</v>
      </c>
      <c r="B42" s="1289">
        <v>49</v>
      </c>
      <c r="C42" s="1290"/>
      <c r="D42" s="1290"/>
      <c r="E42" s="1290"/>
      <c r="F42" s="562"/>
      <c r="G42" s="562"/>
      <c r="H42" s="563"/>
      <c r="I42" s="562"/>
      <c r="J42" s="562"/>
      <c r="K42" s="562"/>
      <c r="L42" s="564"/>
      <c r="M42" s="1289">
        <v>60</v>
      </c>
      <c r="N42" s="1290"/>
      <c r="O42" s="1290"/>
      <c r="P42" s="1290"/>
      <c r="Q42" s="562"/>
      <c r="R42" s="563"/>
      <c r="S42" s="562"/>
      <c r="T42" s="562"/>
      <c r="U42" s="562"/>
      <c r="V42" s="562"/>
      <c r="W42" s="1289">
        <v>70</v>
      </c>
      <c r="X42" s="1290"/>
      <c r="Y42" s="1290"/>
      <c r="Z42" s="1290"/>
      <c r="AA42" s="562"/>
      <c r="AB42" s="563"/>
      <c r="AC42" s="562"/>
      <c r="AD42" s="562"/>
      <c r="AE42" s="562"/>
      <c r="AF42" s="562"/>
      <c r="AG42" s="1289">
        <v>80</v>
      </c>
      <c r="AH42" s="1290"/>
      <c r="AI42" s="1290"/>
      <c r="AJ42" s="1290"/>
      <c r="AK42" s="561"/>
      <c r="AL42" s="565"/>
      <c r="AM42" s="561"/>
      <c r="AN42" s="561"/>
      <c r="AO42" s="561"/>
      <c r="AP42" s="561"/>
      <c r="AQ42" s="1289">
        <v>90</v>
      </c>
      <c r="AR42" s="1290"/>
      <c r="AS42" s="1290"/>
      <c r="AT42" s="1290"/>
      <c r="AU42" s="561"/>
      <c r="AV42" s="565"/>
      <c r="AW42" s="561"/>
      <c r="AX42" s="1290">
        <v>100</v>
      </c>
      <c r="AY42" s="1290"/>
      <c r="AZ42" s="1291"/>
      <c r="BA42" s="1289">
        <v>103</v>
      </c>
      <c r="BB42" s="1290"/>
      <c r="BC42" s="1290"/>
      <c r="BD42" s="559"/>
      <c r="BE42" s="1292" t="s">
        <v>198</v>
      </c>
      <c r="BF42" s="1293"/>
      <c r="BG42" s="1293"/>
      <c r="BH42" s="1293"/>
      <c r="BI42" s="1293"/>
      <c r="BJ42" s="1294"/>
    </row>
    <row r="43" spans="1:67" ht="12" customHeight="1" thickBot="1">
      <c r="A43" s="566" t="s">
        <v>199</v>
      </c>
      <c r="B43" s="567"/>
      <c r="C43" s="568"/>
      <c r="D43" s="568"/>
      <c r="E43" s="568"/>
      <c r="F43" s="569">
        <v>49</v>
      </c>
      <c r="G43" s="569"/>
      <c r="H43" s="570"/>
      <c r="I43" s="569"/>
      <c r="J43" s="569"/>
      <c r="K43" s="569"/>
      <c r="L43" s="569"/>
      <c r="M43" s="571"/>
      <c r="N43" s="572"/>
      <c r="O43" s="572"/>
      <c r="P43" s="572"/>
      <c r="Q43" s="572"/>
      <c r="R43" s="573"/>
      <c r="S43" s="572"/>
      <c r="T43" s="572"/>
      <c r="U43" s="572"/>
      <c r="V43" s="572"/>
      <c r="W43" s="571"/>
      <c r="X43" s="572"/>
      <c r="Y43" s="572"/>
      <c r="Z43" s="572"/>
      <c r="AA43" s="572"/>
      <c r="AB43" s="573"/>
      <c r="AC43" s="572"/>
      <c r="AD43" s="572"/>
      <c r="AE43" s="572"/>
      <c r="AF43" s="572"/>
      <c r="AG43" s="571"/>
      <c r="AH43" s="572">
        <v>55</v>
      </c>
      <c r="AI43" s="572">
        <v>60</v>
      </c>
      <c r="AJ43" s="572">
        <v>65</v>
      </c>
      <c r="AK43" s="572"/>
      <c r="AL43" s="573"/>
      <c r="AM43" s="572"/>
      <c r="AN43" s="572"/>
      <c r="AO43" s="572"/>
      <c r="AP43" s="572"/>
      <c r="AQ43" s="571"/>
      <c r="AR43" s="572"/>
      <c r="AS43" s="572"/>
      <c r="AT43" s="572"/>
      <c r="AU43" s="572"/>
      <c r="AV43" s="573"/>
      <c r="AW43" s="572"/>
      <c r="AX43" s="572">
        <v>70</v>
      </c>
      <c r="AY43" s="572">
        <v>75</v>
      </c>
      <c r="AZ43" s="572">
        <v>80</v>
      </c>
      <c r="BA43" s="571"/>
      <c r="BB43" s="572"/>
      <c r="BC43" s="572"/>
      <c r="BD43" s="574">
        <v>103</v>
      </c>
      <c r="BE43" s="1276" t="s">
        <v>171</v>
      </c>
      <c r="BF43" s="1277"/>
      <c r="BG43" s="1278" t="s">
        <v>169</v>
      </c>
      <c r="BH43" s="1277"/>
      <c r="BI43" s="1278" t="s">
        <v>174</v>
      </c>
      <c r="BJ43" s="1279"/>
    </row>
    <row r="44" spans="1:67" ht="12" customHeight="1">
      <c r="A44" s="575"/>
      <c r="B44" s="576"/>
      <c r="C44" s="577"/>
      <c r="D44" s="577"/>
      <c r="E44" s="577"/>
      <c r="H44" s="578"/>
      <c r="M44" s="579"/>
      <c r="R44" s="578"/>
      <c r="W44" s="579"/>
      <c r="AB44" s="578"/>
      <c r="AG44" s="579"/>
      <c r="AL44" s="578"/>
      <c r="AQ44" s="579"/>
      <c r="AV44" s="578"/>
      <c r="BA44" s="579"/>
      <c r="BD44" s="580"/>
      <c r="BE44" s="581" t="s">
        <v>200</v>
      </c>
      <c r="BF44" s="582" t="s">
        <v>134</v>
      </c>
      <c r="BG44" s="582" t="s">
        <v>200</v>
      </c>
      <c r="BH44" s="582" t="s">
        <v>134</v>
      </c>
      <c r="BI44" s="582" t="s">
        <v>200</v>
      </c>
      <c r="BJ44" s="583" t="s">
        <v>134</v>
      </c>
      <c r="BN44" s="584"/>
    </row>
    <row r="45" spans="1:67" ht="10.5" customHeight="1">
      <c r="A45" s="1280" t="s">
        <v>201</v>
      </c>
      <c r="B45" s="576"/>
      <c r="C45" s="489" t="s">
        <v>171</v>
      </c>
      <c r="D45" s="577"/>
      <c r="E45" s="577"/>
      <c r="F45" s="585"/>
      <c r="G45" s="585"/>
      <c r="H45" s="586"/>
      <c r="I45" s="585"/>
      <c r="J45" s="585"/>
      <c r="K45" s="585"/>
      <c r="L45" s="585"/>
      <c r="M45" s="587"/>
      <c r="N45" s="585"/>
      <c r="O45" s="585"/>
      <c r="P45" s="585"/>
      <c r="Q45" s="585"/>
      <c r="R45" s="586"/>
      <c r="S45" s="585"/>
      <c r="T45" s="585"/>
      <c r="U45" s="585"/>
      <c r="V45" s="585"/>
      <c r="W45" s="587"/>
      <c r="X45" s="585"/>
      <c r="Y45" s="585"/>
      <c r="Z45" s="585"/>
      <c r="AA45" s="585"/>
      <c r="AB45" s="586"/>
      <c r="AC45" s="585"/>
      <c r="AD45" s="585"/>
      <c r="AE45" s="585"/>
      <c r="AF45" s="585"/>
      <c r="AG45" s="587"/>
      <c r="AH45" s="585"/>
      <c r="AI45" s="585"/>
      <c r="AJ45" s="585"/>
      <c r="AK45" s="585"/>
      <c r="AL45" s="586"/>
      <c r="AM45" s="585"/>
      <c r="AN45" s="585"/>
      <c r="AO45" s="585"/>
      <c r="AP45" s="585"/>
      <c r="AQ45" s="587"/>
      <c r="AR45" s="585"/>
      <c r="AS45" s="585"/>
      <c r="AT45" s="585"/>
      <c r="AU45" s="585"/>
      <c r="AV45" s="586"/>
      <c r="AW45" s="585"/>
      <c r="AX45" s="585"/>
      <c r="AY45" s="585"/>
      <c r="AZ45" s="585"/>
      <c r="BA45" s="587"/>
      <c r="BB45" s="585"/>
      <c r="BC45" s="489" t="s">
        <v>171</v>
      </c>
      <c r="BD45" s="588"/>
      <c r="BE45" s="589"/>
      <c r="BF45" s="590"/>
      <c r="BG45" s="591"/>
      <c r="BH45" s="592"/>
      <c r="BI45" s="593"/>
      <c r="BJ45" s="594"/>
      <c r="BN45" s="584"/>
    </row>
    <row r="46" spans="1:67" ht="15" customHeight="1">
      <c r="A46" s="1275"/>
      <c r="B46" s="490" t="s">
        <v>202</v>
      </c>
      <c r="C46" s="491" t="s">
        <v>171</v>
      </c>
      <c r="D46" s="491" t="s">
        <v>203</v>
      </c>
      <c r="E46" s="491" t="s">
        <v>203</v>
      </c>
      <c r="F46" s="491" t="s">
        <v>171</v>
      </c>
      <c r="G46" s="491" t="s">
        <v>171</v>
      </c>
      <c r="H46" s="492" t="s">
        <v>171</v>
      </c>
      <c r="I46" s="491" t="s">
        <v>171</v>
      </c>
      <c r="J46" s="491" t="s">
        <v>171</v>
      </c>
      <c r="K46" s="491" t="s">
        <v>171</v>
      </c>
      <c r="L46" s="491" t="s">
        <v>171</v>
      </c>
      <c r="M46" s="493" t="s">
        <v>171</v>
      </c>
      <c r="N46" s="491" t="s">
        <v>171</v>
      </c>
      <c r="O46" s="491" t="s">
        <v>171</v>
      </c>
      <c r="P46" s="491" t="s">
        <v>171</v>
      </c>
      <c r="Q46" s="491" t="s">
        <v>171</v>
      </c>
      <c r="R46" s="492" t="s">
        <v>171</v>
      </c>
      <c r="S46" s="491" t="s">
        <v>171</v>
      </c>
      <c r="T46" s="491" t="s">
        <v>171</v>
      </c>
      <c r="U46" s="491" t="s">
        <v>171</v>
      </c>
      <c r="V46" s="491" t="s">
        <v>174</v>
      </c>
      <c r="W46" s="493" t="s">
        <v>174</v>
      </c>
      <c r="X46" s="491" t="s">
        <v>174</v>
      </c>
      <c r="Y46" s="491" t="s">
        <v>171</v>
      </c>
      <c r="Z46" s="491" t="s">
        <v>203</v>
      </c>
      <c r="AA46" s="491" t="s">
        <v>171</v>
      </c>
      <c r="AB46" s="492" t="s">
        <v>171</v>
      </c>
      <c r="AC46" s="491" t="s">
        <v>171</v>
      </c>
      <c r="AD46" s="491" t="s">
        <v>171</v>
      </c>
      <c r="AE46" s="491" t="s">
        <v>171</v>
      </c>
      <c r="AF46" s="491" t="s">
        <v>171</v>
      </c>
      <c r="AG46" s="493" t="s">
        <v>171</v>
      </c>
      <c r="AH46" s="491" t="s">
        <v>171</v>
      </c>
      <c r="AI46" s="491" t="s">
        <v>171</v>
      </c>
      <c r="AJ46" s="491" t="s">
        <v>171</v>
      </c>
      <c r="AK46" s="491" t="s">
        <v>171</v>
      </c>
      <c r="AL46" s="492" t="s">
        <v>174</v>
      </c>
      <c r="AM46" s="491" t="s">
        <v>204</v>
      </c>
      <c r="AN46" s="491" t="s">
        <v>202</v>
      </c>
      <c r="AO46" s="613" t="s">
        <v>204</v>
      </c>
      <c r="AP46" s="491" t="s">
        <v>204</v>
      </c>
      <c r="AQ46" s="493" t="s">
        <v>202</v>
      </c>
      <c r="AR46" s="491" t="s">
        <v>204</v>
      </c>
      <c r="AS46" s="491" t="s">
        <v>204</v>
      </c>
      <c r="AT46" s="491" t="s">
        <v>204</v>
      </c>
      <c r="AU46" s="491" t="s">
        <v>204</v>
      </c>
      <c r="AV46" s="492" t="s">
        <v>202</v>
      </c>
      <c r="AW46" s="491" t="s">
        <v>169</v>
      </c>
      <c r="AX46" s="491" t="s">
        <v>169</v>
      </c>
      <c r="AY46" s="491" t="s">
        <v>202</v>
      </c>
      <c r="AZ46" s="491" t="s">
        <v>202</v>
      </c>
      <c r="BA46" s="493" t="s">
        <v>202</v>
      </c>
      <c r="BB46" s="491" t="s">
        <v>202</v>
      </c>
      <c r="BC46" s="491" t="s">
        <v>171</v>
      </c>
      <c r="BD46" s="533"/>
      <c r="BE46" s="494">
        <f>+'ESTADO RED VIS'!J14</f>
        <v>33.585999999999999</v>
      </c>
      <c r="BF46" s="495">
        <f>+BE46/53.74</f>
        <v>0.62497208783029401</v>
      </c>
      <c r="BG46" s="496">
        <f>+'ESTADO RED VIS'!J15</f>
        <v>9.6829999999999998</v>
      </c>
      <c r="BH46" s="495">
        <f>+BG46/53.74</f>
        <v>0.18018235950874581</v>
      </c>
      <c r="BI46" s="496">
        <f>+'ESTADO RED VIS'!J16</f>
        <v>10.471</v>
      </c>
      <c r="BJ46" s="497">
        <f>+BI46/53.74</f>
        <v>0.19484555266096018</v>
      </c>
      <c r="BM46" s="595">
        <f>+BJ46+BH46+BF46</f>
        <v>1</v>
      </c>
      <c r="BN46" s="498"/>
      <c r="BO46" s="595"/>
    </row>
    <row r="47" spans="1:67" ht="10.5" customHeight="1">
      <c r="A47" s="1269" t="s">
        <v>205</v>
      </c>
      <c r="B47" s="576"/>
      <c r="C47" s="577"/>
      <c r="D47" s="577"/>
      <c r="E47" s="577"/>
      <c r="H47" s="578"/>
      <c r="M47" s="579"/>
      <c r="R47" s="578"/>
      <c r="W47" s="579"/>
      <c r="AB47" s="578"/>
      <c r="AG47" s="579"/>
      <c r="AL47" s="578"/>
      <c r="AQ47" s="579"/>
      <c r="AV47" s="578"/>
      <c r="BA47" s="579"/>
      <c r="BD47" s="588"/>
      <c r="BE47" s="596"/>
      <c r="BF47" s="499"/>
      <c r="BG47" s="597"/>
      <c r="BH47" s="500"/>
      <c r="BI47" s="598"/>
      <c r="BJ47" s="501"/>
      <c r="BM47" s="595"/>
      <c r="BN47" s="498"/>
      <c r="BO47" s="595"/>
    </row>
    <row r="48" spans="1:67" ht="15" customHeight="1">
      <c r="A48" s="1275"/>
      <c r="B48" s="1281" t="s">
        <v>206</v>
      </c>
      <c r="C48" s="1282"/>
      <c r="D48" s="1282"/>
      <c r="E48" s="1282"/>
      <c r="F48" s="1282"/>
      <c r="G48" s="1282"/>
      <c r="H48" s="1282"/>
      <c r="I48" s="1282"/>
      <c r="J48" s="1282"/>
      <c r="K48" s="1282"/>
      <c r="L48" s="1282"/>
      <c r="M48" s="1282"/>
      <c r="N48" s="1282"/>
      <c r="O48" s="1282"/>
      <c r="P48" s="1282"/>
      <c r="Q48" s="1282"/>
      <c r="R48" s="1282"/>
      <c r="S48" s="1282"/>
      <c r="T48" s="1282"/>
      <c r="U48" s="1282"/>
      <c r="V48" s="1282"/>
      <c r="W48" s="1282"/>
      <c r="X48" s="1282"/>
      <c r="Y48" s="1282"/>
      <c r="Z48" s="1282"/>
      <c r="AA48" s="1282"/>
      <c r="AB48" s="1282"/>
      <c r="AC48" s="1282"/>
      <c r="AD48" s="1282"/>
      <c r="AE48" s="1282"/>
      <c r="AF48" s="1282"/>
      <c r="AG48" s="1282"/>
      <c r="AH48" s="1282"/>
      <c r="AI48" s="1282"/>
      <c r="AJ48" s="1282"/>
      <c r="AK48" s="1282"/>
      <c r="AL48" s="1282"/>
      <c r="AM48" s="1282"/>
      <c r="AN48" s="1282"/>
      <c r="AO48" s="1282"/>
      <c r="AP48" s="1282"/>
      <c r="AQ48" s="1282"/>
      <c r="AR48" s="1282"/>
      <c r="AS48" s="1282"/>
      <c r="AT48" s="1282"/>
      <c r="AU48" s="1282"/>
      <c r="AV48" s="1282"/>
      <c r="AW48" s="1282"/>
      <c r="AX48" s="1282"/>
      <c r="AY48" s="1282"/>
      <c r="AZ48" s="1282"/>
      <c r="BA48" s="1282"/>
      <c r="BB48" s="1282"/>
      <c r="BC48" s="1283"/>
      <c r="BD48" s="533"/>
      <c r="BE48" s="502">
        <f>(COUNTIF($B$48:$BC$48,"B"))</f>
        <v>0</v>
      </c>
      <c r="BF48" s="495">
        <f>+BE48/54</f>
        <v>0</v>
      </c>
      <c r="BG48" s="503">
        <f>(COUNTIF($B$48:$BC$48,"R"))</f>
        <v>0</v>
      </c>
      <c r="BH48" s="495">
        <f>+BG48/54</f>
        <v>0</v>
      </c>
      <c r="BI48" s="503">
        <f>(COUNTIF($B$48:$BC$48,"M"))</f>
        <v>0</v>
      </c>
      <c r="BJ48" s="497">
        <f>+BI48/54</f>
        <v>0</v>
      </c>
      <c r="BM48" s="595">
        <f t="shared" ref="BM48:BM62" si="0">+BJ48+BH48+BF48</f>
        <v>0</v>
      </c>
      <c r="BN48" s="498"/>
      <c r="BO48" s="595"/>
    </row>
    <row r="49" spans="1:67" ht="10.5" customHeight="1">
      <c r="A49" s="1269" t="s">
        <v>207</v>
      </c>
      <c r="B49" s="576"/>
      <c r="C49" s="577"/>
      <c r="D49" s="577"/>
      <c r="E49" s="577"/>
      <c r="F49" s="528"/>
      <c r="G49" s="599"/>
      <c r="H49" s="600"/>
      <c r="I49" s="599"/>
      <c r="J49" s="599"/>
      <c r="K49" s="599"/>
      <c r="L49" s="599"/>
      <c r="M49" s="601"/>
      <c r="N49" s="599"/>
      <c r="O49" s="599"/>
      <c r="P49" s="599"/>
      <c r="Q49" s="599"/>
      <c r="R49" s="600"/>
      <c r="S49" s="599"/>
      <c r="T49" s="599"/>
      <c r="U49" s="599"/>
      <c r="V49" s="599"/>
      <c r="W49" s="601"/>
      <c r="X49" s="599"/>
      <c r="Y49" s="599"/>
      <c r="Z49" s="599"/>
      <c r="AA49" s="599"/>
      <c r="AB49" s="600"/>
      <c r="AC49" s="599"/>
      <c r="AD49" s="599"/>
      <c r="AE49" s="599"/>
      <c r="AF49" s="599"/>
      <c r="AG49" s="601"/>
      <c r="AH49" s="528"/>
      <c r="AI49" s="528"/>
      <c r="AJ49" s="528"/>
      <c r="AK49" s="528"/>
      <c r="AL49" s="602"/>
      <c r="AM49" s="528"/>
      <c r="AN49" s="528"/>
      <c r="AO49" s="528"/>
      <c r="AP49" s="528"/>
      <c r="AQ49" s="603"/>
      <c r="AR49" s="528"/>
      <c r="AS49" s="528"/>
      <c r="AT49" s="528"/>
      <c r="AU49" s="528"/>
      <c r="AV49" s="602"/>
      <c r="AW49" s="528"/>
      <c r="AX49" s="528"/>
      <c r="AY49" s="528"/>
      <c r="AZ49" s="528"/>
      <c r="BA49" s="603"/>
      <c r="BB49" s="528"/>
      <c r="BC49" s="528"/>
      <c r="BD49" s="588"/>
      <c r="BE49" s="604"/>
      <c r="BF49" s="605"/>
      <c r="BG49" s="606"/>
      <c r="BH49" s="607"/>
      <c r="BI49" s="608"/>
      <c r="BJ49" s="609"/>
      <c r="BM49" s="595"/>
      <c r="BN49" s="498"/>
      <c r="BO49" s="595"/>
    </row>
    <row r="50" spans="1:67" ht="15" customHeight="1">
      <c r="A50" s="1275"/>
      <c r="B50" s="504"/>
      <c r="C50" s="505"/>
      <c r="D50" s="505"/>
      <c r="E50" s="505"/>
      <c r="F50" s="505"/>
      <c r="G50" s="505"/>
      <c r="H50" s="506"/>
      <c r="I50" s="505"/>
      <c r="J50" s="505" t="s">
        <v>171</v>
      </c>
      <c r="K50" s="505"/>
      <c r="L50" s="505"/>
      <c r="M50" s="504"/>
      <c r="N50" s="505" t="s">
        <v>171</v>
      </c>
      <c r="O50" s="505"/>
      <c r="P50" s="505"/>
      <c r="Q50" s="505"/>
      <c r="R50" s="506"/>
      <c r="S50" s="505"/>
      <c r="T50" s="505"/>
      <c r="U50" s="505" t="s">
        <v>171</v>
      </c>
      <c r="V50" s="505"/>
      <c r="W50" s="504"/>
      <c r="X50" s="505"/>
      <c r="Y50" s="505" t="s">
        <v>171</v>
      </c>
      <c r="Z50" s="505"/>
      <c r="AA50" s="505"/>
      <c r="AB50" s="506"/>
      <c r="AC50" s="505"/>
      <c r="AD50" s="505"/>
      <c r="AE50" s="505"/>
      <c r="AF50" s="505"/>
      <c r="AG50" s="504"/>
      <c r="AH50" s="505"/>
      <c r="AI50" s="505" t="s">
        <v>171</v>
      </c>
      <c r="AJ50" s="505" t="s">
        <v>174</v>
      </c>
      <c r="AK50" s="505"/>
      <c r="AL50" s="506"/>
      <c r="AM50" s="505" t="s">
        <v>171</v>
      </c>
      <c r="AN50" s="505"/>
      <c r="AO50" s="505"/>
      <c r="AP50" s="505"/>
      <c r="AQ50" s="504"/>
      <c r="AR50" s="505"/>
      <c r="AS50" s="505"/>
      <c r="AT50" s="505" t="s">
        <v>171</v>
      </c>
      <c r="AU50" s="505"/>
      <c r="AV50" s="506"/>
      <c r="AW50" s="505"/>
      <c r="AX50" s="505"/>
      <c r="AY50" s="505"/>
      <c r="AZ50" s="505"/>
      <c r="BA50" s="504"/>
      <c r="BB50" s="505"/>
      <c r="BC50" s="507"/>
      <c r="BD50" s="533"/>
      <c r="BE50" s="508">
        <f>(COUNTIF($B$50:$BC$50,"B"))</f>
        <v>7</v>
      </c>
      <c r="BF50" s="495">
        <f>+BE50/8</f>
        <v>0.875</v>
      </c>
      <c r="BG50" s="503">
        <f>(COUNTIF($B$50:$BC$50,"R"))</f>
        <v>0</v>
      </c>
      <c r="BH50" s="495">
        <f>+BG50/8</f>
        <v>0</v>
      </c>
      <c r="BI50" s="503">
        <f>(COUNTIF($B$50:$BC$50,"M"))</f>
        <v>1</v>
      </c>
      <c r="BJ50" s="497">
        <f>+BI50/8</f>
        <v>0.125</v>
      </c>
      <c r="BM50" s="595">
        <f t="shared" si="0"/>
        <v>1</v>
      </c>
      <c r="BN50" s="509"/>
      <c r="BO50" s="595"/>
    </row>
    <row r="51" spans="1:67" ht="10.5" customHeight="1" thickBot="1">
      <c r="A51" s="1269" t="s">
        <v>208</v>
      </c>
      <c r="B51" s="576"/>
      <c r="C51" s="577"/>
      <c r="D51" s="577"/>
      <c r="E51" s="577"/>
      <c r="F51" s="585"/>
      <c r="G51" s="585"/>
      <c r="H51" s="586"/>
      <c r="I51" s="585"/>
      <c r="J51" s="585"/>
      <c r="K51" s="585"/>
      <c r="L51" s="585"/>
      <c r="M51" s="587"/>
      <c r="N51" s="585"/>
      <c r="O51" s="585"/>
      <c r="P51" s="585"/>
      <c r="Q51" s="585"/>
      <c r="R51" s="586"/>
      <c r="S51" s="585"/>
      <c r="T51" s="585"/>
      <c r="U51" s="585"/>
      <c r="V51" s="585"/>
      <c r="W51" s="587"/>
      <c r="X51" s="585"/>
      <c r="Y51" s="585"/>
      <c r="Z51" s="585"/>
      <c r="AA51" s="585"/>
      <c r="AB51" s="586"/>
      <c r="AC51" s="585"/>
      <c r="AD51" s="585"/>
      <c r="AE51" s="585"/>
      <c r="AF51" s="585"/>
      <c r="AG51" s="587"/>
      <c r="AH51" s="585"/>
      <c r="AI51" s="585"/>
      <c r="AJ51" s="585"/>
      <c r="AK51" s="585"/>
      <c r="AL51" s="586"/>
      <c r="AM51" s="585"/>
      <c r="AN51" s="585"/>
      <c r="AO51" s="585"/>
      <c r="AP51" s="585"/>
      <c r="AQ51" s="587"/>
      <c r="AR51" s="585"/>
      <c r="AS51" s="585"/>
      <c r="AT51" s="585"/>
      <c r="AU51" s="585"/>
      <c r="AV51" s="586"/>
      <c r="AW51" s="585"/>
      <c r="AX51" s="585"/>
      <c r="AY51" s="585"/>
      <c r="AZ51" s="585"/>
      <c r="BA51" s="587"/>
      <c r="BB51" s="585"/>
      <c r="BC51" s="585"/>
      <c r="BD51" s="588"/>
      <c r="BE51" s="604"/>
      <c r="BF51" s="605"/>
      <c r="BG51" s="606"/>
      <c r="BH51" s="607"/>
      <c r="BI51" s="608"/>
      <c r="BJ51" s="609"/>
      <c r="BM51" s="595"/>
      <c r="BN51" s="498"/>
      <c r="BO51" s="595"/>
    </row>
    <row r="52" spans="1:67" ht="15" customHeight="1" thickTop="1">
      <c r="A52" s="1275"/>
      <c r="B52" s="504" t="s">
        <v>203</v>
      </c>
      <c r="C52" s="505" t="s">
        <v>203</v>
      </c>
      <c r="D52" s="505" t="s">
        <v>203</v>
      </c>
      <c r="E52" s="505" t="s">
        <v>203</v>
      </c>
      <c r="F52" s="505" t="s">
        <v>202</v>
      </c>
      <c r="G52" s="505" t="s">
        <v>203</v>
      </c>
      <c r="H52" s="506" t="s">
        <v>203</v>
      </c>
      <c r="I52" s="505" t="s">
        <v>202</v>
      </c>
      <c r="J52" s="505" t="s">
        <v>202</v>
      </c>
      <c r="K52" s="505" t="s">
        <v>203</v>
      </c>
      <c r="L52" s="505" t="s">
        <v>203</v>
      </c>
      <c r="M52" s="504" t="s">
        <v>202</v>
      </c>
      <c r="N52" s="505" t="s">
        <v>203</v>
      </c>
      <c r="O52" s="505" t="s">
        <v>203</v>
      </c>
      <c r="P52" s="505" t="s">
        <v>203</v>
      </c>
      <c r="Q52" s="505" t="s">
        <v>203</v>
      </c>
      <c r="R52" s="506" t="s">
        <v>203</v>
      </c>
      <c r="S52" s="505" t="s">
        <v>203</v>
      </c>
      <c r="T52" s="505" t="s">
        <v>203</v>
      </c>
      <c r="U52" s="505" t="s">
        <v>202</v>
      </c>
      <c r="V52" s="505" t="s">
        <v>202</v>
      </c>
      <c r="W52" s="504" t="s">
        <v>202</v>
      </c>
      <c r="X52" s="505" t="s">
        <v>203</v>
      </c>
      <c r="Y52" s="505" t="s">
        <v>203</v>
      </c>
      <c r="Z52" s="505" t="s">
        <v>203</v>
      </c>
      <c r="AA52" s="505" t="s">
        <v>203</v>
      </c>
      <c r="AB52" s="506" t="s">
        <v>203</v>
      </c>
      <c r="AC52" s="505" t="s">
        <v>203</v>
      </c>
      <c r="AD52" s="505" t="s">
        <v>203</v>
      </c>
      <c r="AE52" s="505" t="s">
        <v>203</v>
      </c>
      <c r="AF52" s="505" t="s">
        <v>203</v>
      </c>
      <c r="AG52" s="504" t="s">
        <v>203</v>
      </c>
      <c r="AH52" s="505" t="s">
        <v>203</v>
      </c>
      <c r="AI52" s="505" t="s">
        <v>203</v>
      </c>
      <c r="AJ52" s="505" t="s">
        <v>203</v>
      </c>
      <c r="AK52" s="505" t="s">
        <v>203</v>
      </c>
      <c r="AL52" s="506" t="s">
        <v>202</v>
      </c>
      <c r="AM52" s="505" t="s">
        <v>202</v>
      </c>
      <c r="AN52" s="505" t="s">
        <v>202</v>
      </c>
      <c r="AO52" s="505" t="s">
        <v>171</v>
      </c>
      <c r="AP52" s="505" t="s">
        <v>202</v>
      </c>
      <c r="AQ52" s="504" t="s">
        <v>202</v>
      </c>
      <c r="AR52" s="505" t="s">
        <v>202</v>
      </c>
      <c r="AS52" s="505" t="s">
        <v>203</v>
      </c>
      <c r="AT52" s="505" t="s">
        <v>203</v>
      </c>
      <c r="AU52" s="505" t="s">
        <v>202</v>
      </c>
      <c r="AV52" s="506" t="s">
        <v>204</v>
      </c>
      <c r="AW52" s="505" t="s">
        <v>204</v>
      </c>
      <c r="AX52" s="505" t="s">
        <v>204</v>
      </c>
      <c r="AY52" s="505" t="s">
        <v>204</v>
      </c>
      <c r="AZ52" s="505" t="s">
        <v>204</v>
      </c>
      <c r="BA52" s="504" t="s">
        <v>204</v>
      </c>
      <c r="BB52" s="505" t="s">
        <v>204</v>
      </c>
      <c r="BC52" s="505" t="s">
        <v>203</v>
      </c>
      <c r="BD52" s="610"/>
      <c r="BE52" s="502">
        <f>(COUNTIF($B$52:$BC$52,"B"))</f>
        <v>33</v>
      </c>
      <c r="BF52" s="495">
        <f>+BE52/54</f>
        <v>0.61111111111111116</v>
      </c>
      <c r="BG52" s="503">
        <f>(COUNTIF($B$52:$BC$52,"R"))</f>
        <v>14</v>
      </c>
      <c r="BH52" s="495">
        <f>+BG52/54</f>
        <v>0.25925925925925924</v>
      </c>
      <c r="BI52" s="503">
        <f>(COUNTIF($B$52:$BC$52,"M"))</f>
        <v>7</v>
      </c>
      <c r="BJ52" s="497">
        <f>+BI52/54</f>
        <v>0.12962962962962962</v>
      </c>
      <c r="BM52" s="595">
        <f t="shared" si="0"/>
        <v>1</v>
      </c>
      <c r="BN52" s="498"/>
      <c r="BO52" s="595"/>
    </row>
    <row r="53" spans="1:67" ht="10.5" customHeight="1">
      <c r="A53" s="1269" t="s">
        <v>209</v>
      </c>
      <c r="B53" s="576"/>
      <c r="C53" s="577"/>
      <c r="D53" s="577"/>
      <c r="E53" s="577"/>
      <c r="F53" s="585"/>
      <c r="G53" s="585"/>
      <c r="H53" s="586"/>
      <c r="I53" s="585"/>
      <c r="J53" s="585"/>
      <c r="K53" s="585"/>
      <c r="L53" s="585"/>
      <c r="M53" s="587"/>
      <c r="N53" s="585"/>
      <c r="O53" s="585"/>
      <c r="P53" s="585"/>
      <c r="Q53" s="585"/>
      <c r="R53" s="586"/>
      <c r="S53" s="585"/>
      <c r="T53" s="585"/>
      <c r="U53" s="585"/>
      <c r="V53" s="585"/>
      <c r="W53" s="587"/>
      <c r="X53" s="585"/>
      <c r="Y53" s="585"/>
      <c r="Z53" s="585"/>
      <c r="AA53" s="585"/>
      <c r="AB53" s="586"/>
      <c r="AC53" s="585"/>
      <c r="AD53" s="585"/>
      <c r="AE53" s="585"/>
      <c r="AF53" s="585"/>
      <c r="AG53" s="587"/>
      <c r="AH53" s="585"/>
      <c r="AI53" s="585"/>
      <c r="AJ53" s="585"/>
      <c r="AK53" s="585"/>
      <c r="AL53" s="586"/>
      <c r="AM53" s="585"/>
      <c r="AN53" s="585"/>
      <c r="AO53" s="585"/>
      <c r="AP53" s="585"/>
      <c r="AQ53" s="587"/>
      <c r="AR53" s="585"/>
      <c r="AS53" s="585"/>
      <c r="AT53" s="585"/>
      <c r="AU53" s="585"/>
      <c r="AV53" s="586"/>
      <c r="AW53" s="585"/>
      <c r="AX53" s="585"/>
      <c r="AY53" s="585"/>
      <c r="AZ53" s="585"/>
      <c r="BA53" s="587"/>
      <c r="BB53" s="585"/>
      <c r="BC53" s="585"/>
      <c r="BD53" s="588"/>
      <c r="BE53" s="604"/>
      <c r="BF53" s="605"/>
      <c r="BG53" s="606"/>
      <c r="BH53" s="607"/>
      <c r="BI53" s="608"/>
      <c r="BJ53" s="609"/>
      <c r="BM53" s="595"/>
      <c r="BN53" s="498"/>
      <c r="BO53" s="595"/>
    </row>
    <row r="54" spans="1:67" ht="15" customHeight="1">
      <c r="A54" s="1275"/>
      <c r="B54" s="510" t="s">
        <v>169</v>
      </c>
      <c r="C54" s="511" t="s">
        <v>174</v>
      </c>
      <c r="D54" s="511" t="s">
        <v>171</v>
      </c>
      <c r="E54" s="511" t="s">
        <v>171</v>
      </c>
      <c r="F54" s="511" t="s">
        <v>169</v>
      </c>
      <c r="G54" s="511" t="s">
        <v>169</v>
      </c>
      <c r="H54" s="512" t="s">
        <v>169</v>
      </c>
      <c r="I54" s="511" t="s">
        <v>169</v>
      </c>
      <c r="J54" s="511" t="s">
        <v>169</v>
      </c>
      <c r="K54" s="511" t="s">
        <v>174</v>
      </c>
      <c r="L54" s="511" t="s">
        <v>169</v>
      </c>
      <c r="M54" s="510" t="s">
        <v>169</v>
      </c>
      <c r="N54" s="511" t="s">
        <v>169</v>
      </c>
      <c r="O54" s="511" t="s">
        <v>169</v>
      </c>
      <c r="P54" s="511" t="s">
        <v>169</v>
      </c>
      <c r="Q54" s="511" t="s">
        <v>169</v>
      </c>
      <c r="R54" s="512" t="s">
        <v>169</v>
      </c>
      <c r="S54" s="511" t="s">
        <v>169</v>
      </c>
      <c r="T54" s="511" t="s">
        <v>169</v>
      </c>
      <c r="U54" s="511" t="s">
        <v>169</v>
      </c>
      <c r="V54" s="511" t="s">
        <v>174</v>
      </c>
      <c r="W54" s="510" t="s">
        <v>169</v>
      </c>
      <c r="X54" s="511" t="s">
        <v>174</v>
      </c>
      <c r="Y54" s="511" t="s">
        <v>169</v>
      </c>
      <c r="Z54" s="511" t="s">
        <v>169</v>
      </c>
      <c r="AA54" s="511" t="s">
        <v>169</v>
      </c>
      <c r="AB54" s="512" t="s">
        <v>169</v>
      </c>
      <c r="AC54" s="511" t="s">
        <v>169</v>
      </c>
      <c r="AD54" s="511" t="s">
        <v>169</v>
      </c>
      <c r="AE54" s="511" t="s">
        <v>169</v>
      </c>
      <c r="AF54" s="511" t="s">
        <v>169</v>
      </c>
      <c r="AG54" s="510" t="s">
        <v>169</v>
      </c>
      <c r="AH54" s="511" t="s">
        <v>169</v>
      </c>
      <c r="AI54" s="511" t="s">
        <v>169</v>
      </c>
      <c r="AJ54" s="511" t="s">
        <v>169</v>
      </c>
      <c r="AK54" s="511" t="s">
        <v>169</v>
      </c>
      <c r="AL54" s="512" t="s">
        <v>169</v>
      </c>
      <c r="AM54" s="511" t="s">
        <v>169</v>
      </c>
      <c r="AN54" s="511" t="s">
        <v>169</v>
      </c>
      <c r="AO54" s="511" t="s">
        <v>169</v>
      </c>
      <c r="AP54" s="511" t="s">
        <v>169</v>
      </c>
      <c r="AQ54" s="510" t="s">
        <v>169</v>
      </c>
      <c r="AR54" s="511" t="s">
        <v>169</v>
      </c>
      <c r="AS54" s="511" t="s">
        <v>169</v>
      </c>
      <c r="AT54" s="511" t="s">
        <v>169</v>
      </c>
      <c r="AU54" s="511" t="s">
        <v>169</v>
      </c>
      <c r="AV54" s="512" t="s">
        <v>169</v>
      </c>
      <c r="AW54" s="511" t="s">
        <v>169</v>
      </c>
      <c r="AX54" s="511" t="s">
        <v>169</v>
      </c>
      <c r="AY54" s="511" t="s">
        <v>169</v>
      </c>
      <c r="AZ54" s="511" t="s">
        <v>169</v>
      </c>
      <c r="BA54" s="510" t="s">
        <v>169</v>
      </c>
      <c r="BB54" s="511" t="s">
        <v>169</v>
      </c>
      <c r="BC54" s="513" t="s">
        <v>169</v>
      </c>
      <c r="BD54" s="533"/>
      <c r="BE54" s="502">
        <f>(COUNTIF($B$54:$BC$54,"B"))</f>
        <v>2</v>
      </c>
      <c r="BF54" s="495">
        <f>+BE54/54</f>
        <v>3.7037037037037035E-2</v>
      </c>
      <c r="BG54" s="503">
        <f>(COUNTIF($B$54:$BC$54,"R"))</f>
        <v>48</v>
      </c>
      <c r="BH54" s="495">
        <f>+BG54/54</f>
        <v>0.88888888888888884</v>
      </c>
      <c r="BI54" s="503">
        <f>(COUNTIF($B$54:$BC$54,"M"))</f>
        <v>4</v>
      </c>
      <c r="BJ54" s="497">
        <f>+BI54/54</f>
        <v>7.407407407407407E-2</v>
      </c>
      <c r="BM54" s="595">
        <f t="shared" si="0"/>
        <v>1</v>
      </c>
      <c r="BN54" s="498"/>
      <c r="BO54" s="595"/>
    </row>
    <row r="55" spans="1:67" ht="10.5" customHeight="1">
      <c r="A55" s="1269" t="s">
        <v>210</v>
      </c>
      <c r="B55" s="576"/>
      <c r="C55" s="577"/>
      <c r="D55" s="577"/>
      <c r="E55" s="577"/>
      <c r="F55" s="585"/>
      <c r="G55" s="585"/>
      <c r="H55" s="586"/>
      <c r="I55" s="585"/>
      <c r="J55" s="585"/>
      <c r="K55" s="585"/>
      <c r="L55" s="585"/>
      <c r="M55" s="587"/>
      <c r="N55" s="585"/>
      <c r="O55" s="585"/>
      <c r="P55" s="585"/>
      <c r="Q55" s="585"/>
      <c r="R55" s="586"/>
      <c r="S55" s="585"/>
      <c r="T55" s="585"/>
      <c r="U55" s="585"/>
      <c r="V55" s="585"/>
      <c r="W55" s="587"/>
      <c r="X55" s="585"/>
      <c r="Y55" s="585"/>
      <c r="Z55" s="585"/>
      <c r="AA55" s="585"/>
      <c r="AB55" s="586"/>
      <c r="AC55" s="585"/>
      <c r="AD55" s="585"/>
      <c r="AE55" s="585"/>
      <c r="AF55" s="585"/>
      <c r="AG55" s="587"/>
      <c r="AH55" s="585"/>
      <c r="AI55" s="585"/>
      <c r="AJ55" s="585"/>
      <c r="AK55" s="585"/>
      <c r="AL55" s="586"/>
      <c r="AM55" s="585"/>
      <c r="AN55" s="585"/>
      <c r="AO55" s="585"/>
      <c r="AP55" s="585"/>
      <c r="AQ55" s="587"/>
      <c r="AR55" s="585"/>
      <c r="AS55" s="585"/>
      <c r="AT55" s="585"/>
      <c r="AU55" s="585"/>
      <c r="AV55" s="586"/>
      <c r="AW55" s="585"/>
      <c r="AX55" s="585"/>
      <c r="AY55" s="585"/>
      <c r="AZ55" s="585"/>
      <c r="BA55" s="587"/>
      <c r="BB55" s="585"/>
      <c r="BC55" s="585"/>
      <c r="BD55" s="588"/>
      <c r="BE55" s="604"/>
      <c r="BF55" s="605"/>
      <c r="BG55" s="606"/>
      <c r="BH55" s="607"/>
      <c r="BI55" s="608"/>
      <c r="BJ55" s="609"/>
      <c r="BM55" s="595"/>
      <c r="BN55" s="498"/>
      <c r="BO55" s="595"/>
    </row>
    <row r="56" spans="1:67" ht="15" customHeight="1">
      <c r="A56" s="1275"/>
      <c r="B56" s="510" t="s">
        <v>174</v>
      </c>
      <c r="C56" s="511" t="s">
        <v>174</v>
      </c>
      <c r="D56" s="511" t="s">
        <v>174</v>
      </c>
      <c r="E56" s="511" t="s">
        <v>174</v>
      </c>
      <c r="F56" s="511" t="s">
        <v>174</v>
      </c>
      <c r="G56" s="511" t="s">
        <v>174</v>
      </c>
      <c r="H56" s="512" t="s">
        <v>174</v>
      </c>
      <c r="I56" s="511" t="s">
        <v>174</v>
      </c>
      <c r="J56" s="511" t="s">
        <v>174</v>
      </c>
      <c r="K56" s="511" t="s">
        <v>174</v>
      </c>
      <c r="L56" s="511" t="s">
        <v>174</v>
      </c>
      <c r="M56" s="510" t="s">
        <v>174</v>
      </c>
      <c r="N56" s="511" t="s">
        <v>174</v>
      </c>
      <c r="O56" s="511" t="s">
        <v>174</v>
      </c>
      <c r="P56" s="511" t="s">
        <v>174</v>
      </c>
      <c r="Q56" s="511" t="s">
        <v>174</v>
      </c>
      <c r="R56" s="512" t="s">
        <v>174</v>
      </c>
      <c r="S56" s="511" t="s">
        <v>174</v>
      </c>
      <c r="T56" s="511" t="s">
        <v>174</v>
      </c>
      <c r="U56" s="511" t="s">
        <v>174</v>
      </c>
      <c r="V56" s="511" t="s">
        <v>174</v>
      </c>
      <c r="W56" s="510" t="s">
        <v>174</v>
      </c>
      <c r="X56" s="511" t="s">
        <v>174</v>
      </c>
      <c r="Y56" s="511" t="s">
        <v>174</v>
      </c>
      <c r="Z56" s="511" t="s">
        <v>174</v>
      </c>
      <c r="AA56" s="511" t="s">
        <v>174</v>
      </c>
      <c r="AB56" s="512" t="s">
        <v>174</v>
      </c>
      <c r="AC56" s="511" t="s">
        <v>174</v>
      </c>
      <c r="AD56" s="511" t="s">
        <v>174</v>
      </c>
      <c r="AE56" s="511" t="s">
        <v>174</v>
      </c>
      <c r="AF56" s="511" t="s">
        <v>174</v>
      </c>
      <c r="AG56" s="510" t="s">
        <v>174</v>
      </c>
      <c r="AH56" s="511" t="s">
        <v>174</v>
      </c>
      <c r="AI56" s="511" t="s">
        <v>174</v>
      </c>
      <c r="AJ56" s="511" t="s">
        <v>174</v>
      </c>
      <c r="AK56" s="511" t="s">
        <v>174</v>
      </c>
      <c r="AL56" s="512" t="s">
        <v>174</v>
      </c>
      <c r="AM56" s="511" t="s">
        <v>174</v>
      </c>
      <c r="AN56" s="511" t="s">
        <v>174</v>
      </c>
      <c r="AO56" s="511" t="s">
        <v>174</v>
      </c>
      <c r="AP56" s="511" t="s">
        <v>174</v>
      </c>
      <c r="AQ56" s="510" t="s">
        <v>174</v>
      </c>
      <c r="AR56" s="511" t="s">
        <v>174</v>
      </c>
      <c r="AS56" s="511" t="s">
        <v>174</v>
      </c>
      <c r="AT56" s="511" t="s">
        <v>174</v>
      </c>
      <c r="AU56" s="511" t="s">
        <v>174</v>
      </c>
      <c r="AV56" s="512" t="s">
        <v>174</v>
      </c>
      <c r="AW56" s="511" t="s">
        <v>174</v>
      </c>
      <c r="AX56" s="511" t="s">
        <v>174</v>
      </c>
      <c r="AY56" s="511" t="s">
        <v>174</v>
      </c>
      <c r="AZ56" s="511" t="s">
        <v>174</v>
      </c>
      <c r="BA56" s="510" t="s">
        <v>174</v>
      </c>
      <c r="BB56" s="511" t="s">
        <v>174</v>
      </c>
      <c r="BC56" s="513" t="s">
        <v>171</v>
      </c>
      <c r="BD56" s="533"/>
      <c r="BE56" s="502">
        <f>(COUNTIF($B$56:$BC$56,"B"))</f>
        <v>1</v>
      </c>
      <c r="BF56" s="495">
        <f>+BE56/54</f>
        <v>1.8518518518518517E-2</v>
      </c>
      <c r="BG56" s="503">
        <f>(COUNTIF($B$56:$BC$56,"R"))</f>
        <v>0</v>
      </c>
      <c r="BH56" s="495">
        <f>+BG56/54</f>
        <v>0</v>
      </c>
      <c r="BI56" s="503">
        <f>(COUNTIF($B$56:$BC$56,"M"))</f>
        <v>53</v>
      </c>
      <c r="BJ56" s="497">
        <f>+BI56/54</f>
        <v>0.98148148148148151</v>
      </c>
      <c r="BM56" s="595">
        <f t="shared" si="0"/>
        <v>1</v>
      </c>
      <c r="BN56" s="498"/>
      <c r="BO56" s="595"/>
    </row>
    <row r="57" spans="1:67" ht="10.5" customHeight="1">
      <c r="A57" s="1269" t="s">
        <v>211</v>
      </c>
      <c r="B57" s="576"/>
      <c r="C57" s="577"/>
      <c r="D57" s="577"/>
      <c r="E57" s="577"/>
      <c r="F57" s="585"/>
      <c r="G57" s="585"/>
      <c r="H57" s="586"/>
      <c r="I57" s="585"/>
      <c r="J57" s="585"/>
      <c r="K57" s="585"/>
      <c r="L57" s="585"/>
      <c r="M57" s="587"/>
      <c r="N57" s="585"/>
      <c r="O57" s="585"/>
      <c r="P57" s="585"/>
      <c r="Q57" s="585"/>
      <c r="R57" s="586"/>
      <c r="S57" s="585"/>
      <c r="T57" s="585"/>
      <c r="U57" s="585"/>
      <c r="V57" s="585"/>
      <c r="W57" s="587"/>
      <c r="X57" s="585"/>
      <c r="Y57" s="585"/>
      <c r="Z57" s="585"/>
      <c r="AA57" s="585"/>
      <c r="AB57" s="586"/>
      <c r="AC57" s="585"/>
      <c r="AD57" s="585"/>
      <c r="AE57" s="585"/>
      <c r="AF57" s="585"/>
      <c r="AG57" s="587"/>
      <c r="AH57" s="585"/>
      <c r="AI57" s="585"/>
      <c r="AJ57" s="585"/>
      <c r="AK57" s="585"/>
      <c r="AL57" s="586"/>
      <c r="AM57" s="585"/>
      <c r="AN57" s="585"/>
      <c r="AO57" s="585"/>
      <c r="AP57" s="585"/>
      <c r="AQ57" s="587"/>
      <c r="AR57" s="585"/>
      <c r="AS57" s="585"/>
      <c r="AT57" s="585"/>
      <c r="AU57" s="585"/>
      <c r="AV57" s="586"/>
      <c r="AW57" s="585"/>
      <c r="AX57" s="585"/>
      <c r="AY57" s="585"/>
      <c r="AZ57" s="585"/>
      <c r="BA57" s="587"/>
      <c r="BB57" s="585"/>
      <c r="BC57" s="585"/>
      <c r="BD57" s="588"/>
      <c r="BE57" s="604"/>
      <c r="BF57" s="605"/>
      <c r="BG57" s="606"/>
      <c r="BH57" s="607"/>
      <c r="BI57" s="608"/>
      <c r="BJ57" s="609"/>
      <c r="BM57" s="595"/>
      <c r="BN57" s="498"/>
      <c r="BO57" s="595"/>
    </row>
    <row r="58" spans="1:67" ht="15" customHeight="1">
      <c r="A58" s="1275"/>
      <c r="B58" s="510" t="s">
        <v>171</v>
      </c>
      <c r="C58" s="511" t="s">
        <v>171</v>
      </c>
      <c r="D58" s="511" t="s">
        <v>171</v>
      </c>
      <c r="E58" s="511" t="s">
        <v>171</v>
      </c>
      <c r="F58" s="511" t="s">
        <v>171</v>
      </c>
      <c r="G58" s="511" t="s">
        <v>171</v>
      </c>
      <c r="H58" s="512" t="s">
        <v>171</v>
      </c>
      <c r="I58" s="511" t="s">
        <v>171</v>
      </c>
      <c r="J58" s="511" t="s">
        <v>171</v>
      </c>
      <c r="K58" s="511" t="s">
        <v>171</v>
      </c>
      <c r="L58" s="511" t="s">
        <v>171</v>
      </c>
      <c r="M58" s="510" t="s">
        <v>171</v>
      </c>
      <c r="N58" s="511" t="s">
        <v>171</v>
      </c>
      <c r="O58" s="511" t="s">
        <v>171</v>
      </c>
      <c r="P58" s="511" t="s">
        <v>171</v>
      </c>
      <c r="Q58" s="511" t="s">
        <v>171</v>
      </c>
      <c r="R58" s="512" t="s">
        <v>171</v>
      </c>
      <c r="S58" s="511" t="s">
        <v>171</v>
      </c>
      <c r="T58" s="511" t="s">
        <v>171</v>
      </c>
      <c r="U58" s="511" t="s">
        <v>171</v>
      </c>
      <c r="V58" s="511" t="s">
        <v>171</v>
      </c>
      <c r="W58" s="510" t="s">
        <v>171</v>
      </c>
      <c r="X58" s="511" t="s">
        <v>171</v>
      </c>
      <c r="Y58" s="511" t="s">
        <v>171</v>
      </c>
      <c r="Z58" s="511" t="s">
        <v>171</v>
      </c>
      <c r="AA58" s="511" t="s">
        <v>171</v>
      </c>
      <c r="AB58" s="512" t="s">
        <v>171</v>
      </c>
      <c r="AC58" s="511" t="s">
        <v>171</v>
      </c>
      <c r="AD58" s="511" t="s">
        <v>171</v>
      </c>
      <c r="AE58" s="511" t="s">
        <v>171</v>
      </c>
      <c r="AF58" s="511" t="s">
        <v>171</v>
      </c>
      <c r="AG58" s="510" t="s">
        <v>171</v>
      </c>
      <c r="AH58" s="511" t="s">
        <v>171</v>
      </c>
      <c r="AI58" s="511" t="s">
        <v>171</v>
      </c>
      <c r="AJ58" s="511" t="s">
        <v>171</v>
      </c>
      <c r="AK58" s="511" t="s">
        <v>171</v>
      </c>
      <c r="AL58" s="512" t="s">
        <v>171</v>
      </c>
      <c r="AM58" s="511" t="s">
        <v>171</v>
      </c>
      <c r="AN58" s="511" t="s">
        <v>171</v>
      </c>
      <c r="AO58" s="511" t="s">
        <v>171</v>
      </c>
      <c r="AP58" s="511" t="s">
        <v>171</v>
      </c>
      <c r="AQ58" s="510" t="s">
        <v>171</v>
      </c>
      <c r="AR58" s="511" t="s">
        <v>171</v>
      </c>
      <c r="AS58" s="511" t="s">
        <v>171</v>
      </c>
      <c r="AT58" s="511" t="s">
        <v>171</v>
      </c>
      <c r="AU58" s="511" t="s">
        <v>171</v>
      </c>
      <c r="AV58" s="512" t="s">
        <v>171</v>
      </c>
      <c r="AW58" s="511" t="s">
        <v>171</v>
      </c>
      <c r="AX58" s="511" t="s">
        <v>171</v>
      </c>
      <c r="AY58" s="511" t="s">
        <v>171</v>
      </c>
      <c r="AZ58" s="511" t="s">
        <v>171</v>
      </c>
      <c r="BA58" s="510" t="s">
        <v>171</v>
      </c>
      <c r="BB58" s="511" t="s">
        <v>171</v>
      </c>
      <c r="BC58" s="513" t="s">
        <v>171</v>
      </c>
      <c r="BD58" s="533"/>
      <c r="BE58" s="502">
        <f>(COUNTIF($B$58:$BC$58,"B"))</f>
        <v>54</v>
      </c>
      <c r="BF58" s="495">
        <f>+BE58/54</f>
        <v>1</v>
      </c>
      <c r="BG58" s="503">
        <f>(COUNTIF($B$58:$BC$58,"R"))</f>
        <v>0</v>
      </c>
      <c r="BH58" s="495">
        <f>+BG58/54</f>
        <v>0</v>
      </c>
      <c r="BI58" s="503">
        <f>(COUNTIF($B$58:$BC$58,"M"))</f>
        <v>0</v>
      </c>
      <c r="BJ58" s="497">
        <f>+BI58/54</f>
        <v>0</v>
      </c>
      <c r="BM58" s="595">
        <f t="shared" si="0"/>
        <v>1</v>
      </c>
      <c r="BN58" s="498"/>
      <c r="BO58" s="595"/>
    </row>
    <row r="59" spans="1:67" ht="10.5" customHeight="1">
      <c r="A59" s="1269" t="s">
        <v>212</v>
      </c>
      <c r="B59" s="576"/>
      <c r="C59" s="577"/>
      <c r="D59" s="577"/>
      <c r="E59" s="577"/>
      <c r="F59" s="585"/>
      <c r="G59" s="585"/>
      <c r="H59" s="586"/>
      <c r="I59" s="585"/>
      <c r="J59" s="585"/>
      <c r="K59" s="585"/>
      <c r="L59" s="585"/>
      <c r="M59" s="587"/>
      <c r="N59" s="585"/>
      <c r="O59" s="585"/>
      <c r="P59" s="585"/>
      <c r="Q59" s="585"/>
      <c r="R59" s="586"/>
      <c r="S59" s="585"/>
      <c r="T59" s="585"/>
      <c r="U59" s="585"/>
      <c r="V59" s="585"/>
      <c r="W59" s="587"/>
      <c r="X59" s="585"/>
      <c r="Y59" s="585"/>
      <c r="Z59" s="585"/>
      <c r="AA59" s="585"/>
      <c r="AB59" s="586"/>
      <c r="AC59" s="585"/>
      <c r="AD59" s="585"/>
      <c r="AE59" s="585"/>
      <c r="AF59" s="585"/>
      <c r="AG59" s="587"/>
      <c r="AH59" s="585"/>
      <c r="AI59" s="585"/>
      <c r="AJ59" s="585"/>
      <c r="AK59" s="585"/>
      <c r="AL59" s="586"/>
      <c r="AM59" s="585"/>
      <c r="AN59" s="585"/>
      <c r="AO59" s="585"/>
      <c r="AP59" s="585"/>
      <c r="AQ59" s="587"/>
      <c r="AR59" s="585"/>
      <c r="AS59" s="585"/>
      <c r="AT59" s="585"/>
      <c r="AU59" s="585"/>
      <c r="AV59" s="586"/>
      <c r="AW59" s="585"/>
      <c r="AX59" s="585"/>
      <c r="AY59" s="585"/>
      <c r="AZ59" s="585"/>
      <c r="BA59" s="587"/>
      <c r="BB59" s="585"/>
      <c r="BC59" s="585"/>
      <c r="BE59" s="604"/>
      <c r="BF59" s="605"/>
      <c r="BG59" s="606"/>
      <c r="BH59" s="607"/>
      <c r="BI59" s="608"/>
      <c r="BJ59" s="609"/>
      <c r="BM59" s="595"/>
      <c r="BN59" s="498"/>
      <c r="BO59" s="595"/>
    </row>
    <row r="60" spans="1:67" ht="15" customHeight="1">
      <c r="A60" s="1275"/>
      <c r="B60" s="504" t="s">
        <v>203</v>
      </c>
      <c r="C60" s="505" t="s">
        <v>203</v>
      </c>
      <c r="D60" s="505" t="s">
        <v>169</v>
      </c>
      <c r="E60" s="505" t="s">
        <v>169</v>
      </c>
      <c r="F60" s="505" t="s">
        <v>169</v>
      </c>
      <c r="G60" s="505" t="s">
        <v>169</v>
      </c>
      <c r="H60" s="506" t="s">
        <v>169</v>
      </c>
      <c r="I60" s="505" t="s">
        <v>169</v>
      </c>
      <c r="J60" s="505" t="s">
        <v>169</v>
      </c>
      <c r="K60" s="505" t="s">
        <v>171</v>
      </c>
      <c r="L60" s="505" t="s">
        <v>169</v>
      </c>
      <c r="M60" s="504" t="s">
        <v>169</v>
      </c>
      <c r="N60" s="505" t="s">
        <v>169</v>
      </c>
      <c r="O60" s="505" t="s">
        <v>169</v>
      </c>
      <c r="P60" s="505" t="s">
        <v>169</v>
      </c>
      <c r="Q60" s="505" t="s">
        <v>169</v>
      </c>
      <c r="R60" s="506" t="s">
        <v>169</v>
      </c>
      <c r="S60" s="505" t="s">
        <v>171</v>
      </c>
      <c r="T60" s="505" t="s">
        <v>171</v>
      </c>
      <c r="U60" s="505" t="s">
        <v>169</v>
      </c>
      <c r="V60" s="505" t="s">
        <v>169</v>
      </c>
      <c r="W60" s="504" t="s">
        <v>169</v>
      </c>
      <c r="X60" s="505" t="s">
        <v>171</v>
      </c>
      <c r="Y60" s="505" t="s">
        <v>171</v>
      </c>
      <c r="Z60" s="505" t="s">
        <v>171</v>
      </c>
      <c r="AA60" s="505" t="s">
        <v>171</v>
      </c>
      <c r="AB60" s="506" t="s">
        <v>171</v>
      </c>
      <c r="AC60" s="505" t="s">
        <v>171</v>
      </c>
      <c r="AD60" s="505" t="s">
        <v>171</v>
      </c>
      <c r="AE60" s="505" t="s">
        <v>171</v>
      </c>
      <c r="AF60" s="505" t="s">
        <v>171</v>
      </c>
      <c r="AG60" s="504" t="s">
        <v>171</v>
      </c>
      <c r="AH60" s="505" t="s">
        <v>171</v>
      </c>
      <c r="AI60" s="505" t="s">
        <v>171</v>
      </c>
      <c r="AJ60" s="505" t="s">
        <v>171</v>
      </c>
      <c r="AK60" s="505" t="s">
        <v>171</v>
      </c>
      <c r="AL60" s="506" t="s">
        <v>169</v>
      </c>
      <c r="AM60" s="505" t="s">
        <v>169</v>
      </c>
      <c r="AN60" s="505" t="s">
        <v>169</v>
      </c>
      <c r="AO60" s="505" t="s">
        <v>169</v>
      </c>
      <c r="AP60" s="505" t="s">
        <v>169</v>
      </c>
      <c r="AQ60" s="504" t="s">
        <v>169</v>
      </c>
      <c r="AR60" s="505" t="s">
        <v>169</v>
      </c>
      <c r="AS60" s="505" t="s">
        <v>169</v>
      </c>
      <c r="AT60" s="505" t="s">
        <v>169</v>
      </c>
      <c r="AU60" s="505" t="s">
        <v>169</v>
      </c>
      <c r="AV60" s="506" t="s">
        <v>169</v>
      </c>
      <c r="AW60" s="505" t="s">
        <v>169</v>
      </c>
      <c r="AX60" s="505" t="s">
        <v>169</v>
      </c>
      <c r="AY60" s="505" t="s">
        <v>169</v>
      </c>
      <c r="AZ60" s="505" t="s">
        <v>171</v>
      </c>
      <c r="BA60" s="504" t="s">
        <v>169</v>
      </c>
      <c r="BB60" s="505" t="s">
        <v>171</v>
      </c>
      <c r="BC60" s="507" t="s">
        <v>171</v>
      </c>
      <c r="BE60" s="502">
        <f>(COUNTIF($B$60:$BC$60,"B"))</f>
        <v>22</v>
      </c>
      <c r="BF60" s="495">
        <f>+BE60/54</f>
        <v>0.40740740740740738</v>
      </c>
      <c r="BG60" s="503">
        <f>(COUNTIF($B$60:$BC$60,"R"))</f>
        <v>32</v>
      </c>
      <c r="BH60" s="495">
        <f>+BG60/54</f>
        <v>0.59259259259259256</v>
      </c>
      <c r="BI60" s="503">
        <f>(COUNTIF($B$60:$BC$60,"M"))</f>
        <v>0</v>
      </c>
      <c r="BJ60" s="497">
        <f>+BI60/54</f>
        <v>0</v>
      </c>
      <c r="BM60" s="595">
        <f t="shared" si="0"/>
        <v>1</v>
      </c>
      <c r="BN60" s="498"/>
      <c r="BO60" s="595"/>
    </row>
    <row r="61" spans="1:67" ht="10.5" customHeight="1">
      <c r="A61" s="1269" t="s">
        <v>213</v>
      </c>
      <c r="B61" s="576"/>
      <c r="C61" s="577"/>
      <c r="D61" s="577"/>
      <c r="E61" s="577"/>
      <c r="F61" s="585"/>
      <c r="G61" s="585"/>
      <c r="H61" s="586"/>
      <c r="I61" s="585"/>
      <c r="J61" s="585"/>
      <c r="K61" s="585"/>
      <c r="L61" s="585"/>
      <c r="M61" s="587"/>
      <c r="N61" s="585"/>
      <c r="O61" s="585"/>
      <c r="P61" s="585"/>
      <c r="Q61" s="585"/>
      <c r="R61" s="586"/>
      <c r="S61" s="585"/>
      <c r="T61" s="585"/>
      <c r="U61" s="585"/>
      <c r="V61" s="585"/>
      <c r="W61" s="587"/>
      <c r="X61" s="585"/>
      <c r="Y61" s="585"/>
      <c r="Z61" s="585"/>
      <c r="AA61" s="585"/>
      <c r="AB61" s="586"/>
      <c r="AC61" s="585"/>
      <c r="AD61" s="585"/>
      <c r="AE61" s="585"/>
      <c r="AF61" s="585"/>
      <c r="AG61" s="587"/>
      <c r="AH61" s="585"/>
      <c r="AI61" s="585"/>
      <c r="AJ61" s="585"/>
      <c r="AK61" s="585"/>
      <c r="AL61" s="586"/>
      <c r="AM61" s="585"/>
      <c r="AN61" s="585"/>
      <c r="AO61" s="585"/>
      <c r="AP61" s="585"/>
      <c r="AQ61" s="587"/>
      <c r="AR61" s="585"/>
      <c r="AS61" s="585"/>
      <c r="AT61" s="585"/>
      <c r="AU61" s="585"/>
      <c r="AV61" s="586"/>
      <c r="AW61" s="585"/>
      <c r="AX61" s="585"/>
      <c r="AY61" s="585"/>
      <c r="AZ61" s="585"/>
      <c r="BA61" s="587"/>
      <c r="BB61" s="585"/>
      <c r="BC61" s="585"/>
      <c r="BD61" s="588"/>
      <c r="BE61" s="604"/>
      <c r="BF61" s="605"/>
      <c r="BG61" s="606"/>
      <c r="BH61" s="607"/>
      <c r="BI61" s="608"/>
      <c r="BJ61" s="609"/>
      <c r="BM61" s="595"/>
      <c r="BN61" s="498"/>
      <c r="BO61" s="595"/>
    </row>
    <row r="62" spans="1:67" ht="15" customHeight="1" thickBot="1">
      <c r="A62" s="1270"/>
      <c r="B62" s="514" t="s">
        <v>171</v>
      </c>
      <c r="C62" s="515" t="s">
        <v>171</v>
      </c>
      <c r="D62" s="515" t="s">
        <v>171</v>
      </c>
      <c r="E62" s="515" t="s">
        <v>171</v>
      </c>
      <c r="F62" s="515" t="s">
        <v>171</v>
      </c>
      <c r="G62" s="515" t="s">
        <v>171</v>
      </c>
      <c r="H62" s="516" t="s">
        <v>171</v>
      </c>
      <c r="I62" s="515" t="s">
        <v>171</v>
      </c>
      <c r="J62" s="515" t="s">
        <v>171</v>
      </c>
      <c r="K62" s="515" t="s">
        <v>171</v>
      </c>
      <c r="L62" s="515" t="s">
        <v>171</v>
      </c>
      <c r="M62" s="514" t="s">
        <v>171</v>
      </c>
      <c r="N62" s="515" t="s">
        <v>171</v>
      </c>
      <c r="O62" s="515" t="s">
        <v>171</v>
      </c>
      <c r="P62" s="515" t="s">
        <v>171</v>
      </c>
      <c r="Q62" s="515" t="s">
        <v>171</v>
      </c>
      <c r="R62" s="516" t="s">
        <v>171</v>
      </c>
      <c r="S62" s="515" t="s">
        <v>171</v>
      </c>
      <c r="T62" s="515" t="s">
        <v>171</v>
      </c>
      <c r="U62" s="515" t="s">
        <v>171</v>
      </c>
      <c r="V62" s="515" t="s">
        <v>171</v>
      </c>
      <c r="W62" s="514" t="s">
        <v>171</v>
      </c>
      <c r="X62" s="515" t="s">
        <v>171</v>
      </c>
      <c r="Y62" s="515" t="s">
        <v>171</v>
      </c>
      <c r="Z62" s="515" t="s">
        <v>171</v>
      </c>
      <c r="AA62" s="515" t="s">
        <v>171</v>
      </c>
      <c r="AB62" s="516" t="s">
        <v>171</v>
      </c>
      <c r="AC62" s="515" t="s">
        <v>171</v>
      </c>
      <c r="AD62" s="515" t="s">
        <v>171</v>
      </c>
      <c r="AE62" s="515" t="s">
        <v>171</v>
      </c>
      <c r="AF62" s="515" t="s">
        <v>171</v>
      </c>
      <c r="AG62" s="514" t="s">
        <v>171</v>
      </c>
      <c r="AH62" s="515" t="s">
        <v>171</v>
      </c>
      <c r="AI62" s="515" t="s">
        <v>171</v>
      </c>
      <c r="AJ62" s="515" t="s">
        <v>171</v>
      </c>
      <c r="AK62" s="515" t="s">
        <v>171</v>
      </c>
      <c r="AL62" s="516" t="s">
        <v>171</v>
      </c>
      <c r="AM62" s="515" t="s">
        <v>171</v>
      </c>
      <c r="AN62" s="515" t="s">
        <v>171</v>
      </c>
      <c r="AO62" s="515" t="s">
        <v>171</v>
      </c>
      <c r="AP62" s="515" t="s">
        <v>171</v>
      </c>
      <c r="AQ62" s="514" t="s">
        <v>171</v>
      </c>
      <c r="AR62" s="515" t="s">
        <v>171</v>
      </c>
      <c r="AS62" s="515" t="s">
        <v>171</v>
      </c>
      <c r="AT62" s="515" t="s">
        <v>171</v>
      </c>
      <c r="AU62" s="515" t="s">
        <v>171</v>
      </c>
      <c r="AV62" s="516" t="s">
        <v>171</v>
      </c>
      <c r="AW62" s="515" t="s">
        <v>171</v>
      </c>
      <c r="AX62" s="515" t="s">
        <v>171</v>
      </c>
      <c r="AY62" s="515" t="s">
        <v>171</v>
      </c>
      <c r="AZ62" s="515" t="s">
        <v>171</v>
      </c>
      <c r="BA62" s="514" t="s">
        <v>171</v>
      </c>
      <c r="BB62" s="515" t="s">
        <v>171</v>
      </c>
      <c r="BC62" s="517" t="s">
        <v>171</v>
      </c>
      <c r="BD62" s="611"/>
      <c r="BE62" s="518">
        <f>(COUNTIF($B$62:$BC$62,"B"))</f>
        <v>54</v>
      </c>
      <c r="BF62" s="519">
        <f>+BE62/54</f>
        <v>1</v>
      </c>
      <c r="BG62" s="520">
        <f>(COUNTIF($B$62:$BC$62,"R"))</f>
        <v>0</v>
      </c>
      <c r="BH62" s="519">
        <f>+BG62/54</f>
        <v>0</v>
      </c>
      <c r="BI62" s="520">
        <f>(COUNTIF($B$62:$BC$62,"M"))</f>
        <v>0</v>
      </c>
      <c r="BJ62" s="521">
        <f>+BI62/54</f>
        <v>0</v>
      </c>
      <c r="BM62" s="595">
        <f t="shared" si="0"/>
        <v>1</v>
      </c>
      <c r="BN62" s="498"/>
      <c r="BO62" s="595"/>
    </row>
    <row r="64" spans="1:67">
      <c r="A64" s="536" t="s">
        <v>214</v>
      </c>
      <c r="B64" s="536"/>
      <c r="C64" s="536"/>
      <c r="D64" s="536"/>
      <c r="E64" s="536"/>
      <c r="BE64" s="1271" t="s">
        <v>125</v>
      </c>
      <c r="BF64" s="1271"/>
      <c r="BG64" s="1271"/>
      <c r="BH64" s="1271"/>
      <c r="BI64" s="1271"/>
    </row>
  </sheetData>
  <mergeCells count="34">
    <mergeCell ref="B40:BC40"/>
    <mergeCell ref="BE40:BJ40"/>
    <mergeCell ref="A1:BJ1"/>
    <mergeCell ref="A2:BJ2"/>
    <mergeCell ref="A3:BJ3"/>
    <mergeCell ref="A4:BJ4"/>
    <mergeCell ref="BG12:BJ12"/>
    <mergeCell ref="B48:BC48"/>
    <mergeCell ref="B41:BC41"/>
    <mergeCell ref="BE41:BJ41"/>
    <mergeCell ref="B42:E42"/>
    <mergeCell ref="M42:P42"/>
    <mergeCell ref="W42:Z42"/>
    <mergeCell ref="AG42:AJ42"/>
    <mergeCell ref="AQ42:AT42"/>
    <mergeCell ref="AX42:AZ42"/>
    <mergeCell ref="BA42:BC42"/>
    <mergeCell ref="BE42:BJ42"/>
    <mergeCell ref="A61:A62"/>
    <mergeCell ref="BE64:BI64"/>
    <mergeCell ref="BG7:BJ7"/>
    <mergeCell ref="B9:D9"/>
    <mergeCell ref="B10:D10"/>
    <mergeCell ref="A49:A50"/>
    <mergeCell ref="A51:A52"/>
    <mergeCell ref="A53:A54"/>
    <mergeCell ref="A55:A56"/>
    <mergeCell ref="A57:A58"/>
    <mergeCell ref="A59:A60"/>
    <mergeCell ref="BE43:BF43"/>
    <mergeCell ref="BG43:BH43"/>
    <mergeCell ref="BI43:BJ43"/>
    <mergeCell ref="A45:A46"/>
    <mergeCell ref="A47:A48"/>
  </mergeCells>
  <conditionalFormatting sqref="B46:BC46 B50:BC50 B54:BC54 B56:BC56 B60:BC60 B62:BC62 B58:BC58 BC45 C45">
    <cfRule type="cellIs" dxfId="198" priority="5" stopIfTrue="1" operator="equal">
      <formula>"M"</formula>
    </cfRule>
    <cfRule type="cellIs" dxfId="197" priority="6" stopIfTrue="1" operator="equal">
      <formula>"R"</formula>
    </cfRule>
    <cfRule type="cellIs" dxfId="196" priority="7" stopIfTrue="1" operator="equal">
      <formula>"B"</formula>
    </cfRule>
    <cfRule type="cellIs" dxfId="195" priority="8" stopIfTrue="1" operator="equal">
      <formula>"N"</formula>
    </cfRule>
  </conditionalFormatting>
  <conditionalFormatting sqref="B52:BC52">
    <cfRule type="cellIs" dxfId="194" priority="1" stopIfTrue="1" operator="equal">
      <formula>"M"</formula>
    </cfRule>
    <cfRule type="cellIs" dxfId="193" priority="2" stopIfTrue="1" operator="equal">
      <formula>"R"</formula>
    </cfRule>
    <cfRule type="cellIs" dxfId="192" priority="3" stopIfTrue="1" operator="equal">
      <formula>"B"</formula>
    </cfRule>
    <cfRule type="cellIs" dxfId="191" priority="4" stopIfTrue="1" operator="equal">
      <formula>"N"</formula>
    </cfRule>
  </conditionalFormatting>
  <hyperlinks>
    <hyperlink ref="BE64" location="'TABLA DE CONTENIDO'!A1" display="VOLVER A TABLA DE CONTENIDO" xr:uid="{00000000-0004-0000-0500-000000000000}"/>
    <hyperlink ref="BE64:BI64" location="'TABLA DE CONTENIDO'!A1" display="VOLVER A TABLA DE CONTENIDO" xr:uid="{00000000-0004-0000-0500-000001000000}"/>
  </hyperlinks>
  <pageMargins left="0.79" right="0.79" top="0.54" bottom="0.54" header="0.12" footer="0"/>
  <pageSetup scale="75"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50"/>
  <sheetViews>
    <sheetView topLeftCell="A14" zoomScaleNormal="100" workbookViewId="0">
      <selection activeCell="G53" sqref="G53"/>
    </sheetView>
  </sheetViews>
  <sheetFormatPr defaultColWidth="11.42578125" defaultRowHeight="12.75"/>
  <cols>
    <col min="1" max="1" width="25.7109375" customWidth="1"/>
    <col min="2" max="3" width="33.7109375" customWidth="1"/>
    <col min="4" max="4" width="9" customWidth="1"/>
    <col min="8" max="8" width="14.7109375" customWidth="1"/>
    <col min="10" max="10" width="19.140625" customWidth="1"/>
  </cols>
  <sheetData>
    <row r="1" spans="1:11" s="34" customFormat="1" ht="23.25">
      <c r="A1" s="1259" t="s">
        <v>1</v>
      </c>
      <c r="B1" s="1259"/>
      <c r="C1" s="1259"/>
    </row>
    <row r="2" spans="1:11" s="34" customFormat="1" ht="18">
      <c r="A2" s="1260" t="s">
        <v>84</v>
      </c>
      <c r="B2" s="1260"/>
      <c r="C2" s="1260"/>
    </row>
    <row r="3" spans="1:11" s="34" customFormat="1">
      <c r="A3" s="78"/>
      <c r="B3" s="33"/>
      <c r="C3" s="1"/>
    </row>
    <row r="4" spans="1:11" s="34" customFormat="1" ht="18">
      <c r="A4" s="1260" t="s">
        <v>215</v>
      </c>
      <c r="B4" s="1260"/>
      <c r="C4" s="1260"/>
    </row>
    <row r="5" spans="1:11" s="34" customFormat="1">
      <c r="A5" s="78"/>
      <c r="B5" s="33"/>
      <c r="C5" s="1"/>
    </row>
    <row r="6" spans="1:11" s="34" customFormat="1" ht="38.25" customHeight="1">
      <c r="A6" s="1303" t="s">
        <v>216</v>
      </c>
      <c r="B6" s="1303"/>
      <c r="C6" s="1303"/>
    </row>
    <row r="7" spans="1:11" s="34" customFormat="1" ht="18">
      <c r="A7" s="79"/>
      <c r="B7" s="80"/>
      <c r="C7" s="1"/>
    </row>
    <row r="8" spans="1:11" s="34" customFormat="1">
      <c r="A8" s="185" t="s">
        <v>129</v>
      </c>
      <c r="B8" s="331" t="s">
        <v>88</v>
      </c>
    </row>
    <row r="9" spans="1:11" s="34" customFormat="1">
      <c r="A9" s="185"/>
      <c r="C9"/>
    </row>
    <row r="10" spans="1:11" s="34" customFormat="1">
      <c r="A10" s="188" t="s">
        <v>159</v>
      </c>
      <c r="B10" s="331" t="s">
        <v>217</v>
      </c>
      <c r="C10"/>
    </row>
    <row r="11" spans="1:11" s="34" customFormat="1">
      <c r="A11" s="51"/>
      <c r="C11"/>
    </row>
    <row r="12" spans="1:11" ht="13.5" thickBot="1"/>
    <row r="13" spans="1:11" ht="12.75" customHeight="1">
      <c r="A13" s="1304" t="s">
        <v>104</v>
      </c>
      <c r="B13" s="1304" t="s">
        <v>218</v>
      </c>
      <c r="C13" s="1304" t="s">
        <v>219</v>
      </c>
    </row>
    <row r="14" spans="1:11" ht="12.75" customHeight="1">
      <c r="A14" s="1305"/>
      <c r="B14" s="1305"/>
      <c r="C14" s="1305"/>
    </row>
    <row r="15" spans="1:11" ht="13.5" customHeight="1" thickBot="1">
      <c r="A15" s="1306"/>
      <c r="B15" s="1306"/>
      <c r="C15" s="1306"/>
    </row>
    <row r="16" spans="1:11">
      <c r="A16" s="82"/>
      <c r="B16" s="82"/>
      <c r="C16" s="18"/>
      <c r="G16" s="62" t="s">
        <v>134</v>
      </c>
      <c r="H16" s="1554"/>
      <c r="J16" s="1554"/>
      <c r="K16" s="83"/>
    </row>
    <row r="17" spans="1:11">
      <c r="A17" s="84"/>
      <c r="B17" s="84"/>
      <c r="C17" s="19"/>
      <c r="E17" s="474" t="s">
        <v>170</v>
      </c>
      <c r="F17" s="475">
        <f>+'ESTADO RED VIS'!J14</f>
        <v>33.585999999999999</v>
      </c>
      <c r="G17" s="616">
        <f>+F17/$F$20</f>
        <v>0.62497208783029401</v>
      </c>
      <c r="H17" s="85"/>
      <c r="J17" s="85"/>
      <c r="K17" s="83"/>
    </row>
    <row r="18" spans="1:11">
      <c r="A18" s="468" t="s">
        <v>220</v>
      </c>
      <c r="B18" s="84"/>
      <c r="C18" s="19"/>
      <c r="E18" s="476" t="s">
        <v>172</v>
      </c>
      <c r="F18" s="475">
        <f>+'ESTADO RED VIS'!J15</f>
        <v>9.6829999999999998</v>
      </c>
      <c r="G18" s="616">
        <f>+F18/$F$20</f>
        <v>0.18018235950874584</v>
      </c>
      <c r="H18" s="85"/>
      <c r="J18" s="85"/>
      <c r="K18" s="83"/>
    </row>
    <row r="19" spans="1:11">
      <c r="A19" s="614">
        <v>5601</v>
      </c>
      <c r="B19" s="84"/>
      <c r="C19" s="19"/>
      <c r="E19" s="478" t="s">
        <v>173</v>
      </c>
      <c r="F19" s="475">
        <f>+'ESTADO RED VIS'!J16</f>
        <v>10.471</v>
      </c>
      <c r="G19" s="616">
        <f>+F19/$F$20</f>
        <v>0.19484555266096021</v>
      </c>
    </row>
    <row r="20" spans="1:11" ht="25.5">
      <c r="A20" s="615" t="s">
        <v>221</v>
      </c>
      <c r="B20" s="84"/>
      <c r="C20" s="19"/>
      <c r="E20" s="463" t="s">
        <v>175</v>
      </c>
      <c r="F20" s="475">
        <f>SUM(F17:F19)</f>
        <v>53.739999999999995</v>
      </c>
      <c r="G20" s="617">
        <f>SUM(G17:G19)</f>
        <v>1</v>
      </c>
    </row>
    <row r="21" spans="1:11">
      <c r="A21" s="84"/>
      <c r="B21" s="84"/>
      <c r="C21" s="19"/>
    </row>
    <row r="22" spans="1:11">
      <c r="A22" s="84"/>
      <c r="B22" s="84"/>
      <c r="C22" s="19"/>
    </row>
    <row r="23" spans="1:11">
      <c r="A23" s="84"/>
      <c r="B23" s="84"/>
      <c r="C23" s="19"/>
    </row>
    <row r="24" spans="1:11">
      <c r="A24" s="84"/>
      <c r="B24" s="84"/>
      <c r="C24" s="19"/>
    </row>
    <row r="25" spans="1:11" ht="13.5" thickBot="1">
      <c r="A25" s="87"/>
      <c r="B25" s="87"/>
      <c r="C25" s="21"/>
    </row>
    <row r="26" spans="1:11" ht="15.75" hidden="1">
      <c r="A26" s="82"/>
      <c r="B26" s="328"/>
      <c r="C26" s="88"/>
    </row>
    <row r="27" spans="1:11" ht="15" hidden="1">
      <c r="A27" s="84"/>
      <c r="B27" s="329"/>
      <c r="C27" s="81"/>
    </row>
    <row r="28" spans="1:11" hidden="1">
      <c r="A28" s="84"/>
      <c r="B28" s="84"/>
      <c r="C28" s="19"/>
    </row>
    <row r="29" spans="1:11" hidden="1">
      <c r="A29" s="84"/>
      <c r="B29" s="84"/>
      <c r="C29" s="19"/>
      <c r="H29" s="85"/>
      <c r="J29" s="85"/>
    </row>
    <row r="30" spans="1:11" hidden="1">
      <c r="A30" s="89"/>
      <c r="B30" s="84"/>
      <c r="C30" s="19"/>
      <c r="H30" s="85"/>
      <c r="J30" s="85"/>
    </row>
    <row r="31" spans="1:11" hidden="1">
      <c r="A31" s="84"/>
      <c r="B31" s="84"/>
      <c r="C31" s="19"/>
    </row>
    <row r="32" spans="1:11" hidden="1">
      <c r="A32" s="84"/>
      <c r="B32" s="84"/>
      <c r="C32" s="19"/>
    </row>
    <row r="33" spans="1:10" hidden="1">
      <c r="A33" s="84"/>
      <c r="B33" s="84"/>
      <c r="C33" s="19"/>
    </row>
    <row r="34" spans="1:10" hidden="1">
      <c r="A34" s="84"/>
      <c r="B34" s="84"/>
      <c r="C34" s="19"/>
    </row>
    <row r="35" spans="1:10" ht="13.5" hidden="1" thickBot="1">
      <c r="A35" s="87"/>
      <c r="B35" s="87"/>
      <c r="C35" s="21"/>
    </row>
    <row r="36" spans="1:10" hidden="1">
      <c r="A36" s="82"/>
      <c r="B36" s="82"/>
      <c r="C36" s="18"/>
    </row>
    <row r="37" spans="1:10" hidden="1">
      <c r="A37" s="84"/>
      <c r="B37" s="84"/>
      <c r="C37" s="19"/>
    </row>
    <row r="38" spans="1:10" hidden="1">
      <c r="A38" s="84"/>
      <c r="B38" s="84"/>
      <c r="C38" s="19"/>
      <c r="H38" s="85"/>
      <c r="J38" s="85"/>
    </row>
    <row r="39" spans="1:10" hidden="1">
      <c r="A39" s="84"/>
      <c r="B39" s="84"/>
      <c r="C39" s="19"/>
      <c r="H39" s="85"/>
      <c r="J39" s="85"/>
    </row>
    <row r="40" spans="1:10" hidden="1">
      <c r="A40" s="89"/>
      <c r="B40" s="84"/>
      <c r="C40" s="19"/>
      <c r="H40" s="85"/>
      <c r="J40" s="85"/>
    </row>
    <row r="41" spans="1:10" hidden="1">
      <c r="A41" s="84"/>
      <c r="B41" s="84"/>
      <c r="C41" s="19"/>
    </row>
    <row r="42" spans="1:10" hidden="1">
      <c r="A42" s="84"/>
      <c r="B42" s="84"/>
      <c r="C42" s="19"/>
    </row>
    <row r="43" spans="1:10" hidden="1">
      <c r="A43" s="84"/>
      <c r="B43" s="84"/>
      <c r="C43" s="19"/>
    </row>
    <row r="44" spans="1:10" hidden="1">
      <c r="A44" s="84"/>
      <c r="B44" s="84"/>
      <c r="C44" s="19"/>
    </row>
    <row r="45" spans="1:10" ht="13.5" hidden="1" thickBot="1">
      <c r="A45" s="87"/>
      <c r="B45" s="87"/>
      <c r="C45" s="21"/>
    </row>
    <row r="47" spans="1:10">
      <c r="A47" s="992" t="s">
        <v>177</v>
      </c>
      <c r="B47" s="62"/>
    </row>
    <row r="48" spans="1:10">
      <c r="A48" s="6" t="s">
        <v>170</v>
      </c>
      <c r="D48" s="330"/>
    </row>
    <row r="49" spans="1:3">
      <c r="A49" s="6" t="s">
        <v>172</v>
      </c>
    </row>
    <row r="50" spans="1:3">
      <c r="A50" s="6" t="s">
        <v>173</v>
      </c>
      <c r="C50" s="391" t="s">
        <v>125</v>
      </c>
    </row>
  </sheetData>
  <mergeCells count="7">
    <mergeCell ref="A1:C1"/>
    <mergeCell ref="A2:C2"/>
    <mergeCell ref="A4:C4"/>
    <mergeCell ref="A6:C6"/>
    <mergeCell ref="A13:A15"/>
    <mergeCell ref="B13:B15"/>
    <mergeCell ref="C13:C15"/>
  </mergeCells>
  <phoneticPr fontId="4" type="noConversion"/>
  <hyperlinks>
    <hyperlink ref="C50" location="'TABLA DE CONTENIDO'!A1" display="VOLVER A TABLA DE CONTENIDO" xr:uid="{00000000-0004-0000-0600-000000000000}"/>
  </hyperlinks>
  <printOptions horizontalCentered="1" verticalCentered="1"/>
  <pageMargins left="0.47244094488188981" right="0.51181102362204722" top="0.78740157480314965" bottom="0.6692913385826772" header="0.31496062992125984" footer="0.51181102362204722"/>
  <pageSetup orientation="portrait" horizontalDpi="120" verticalDpi="144"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88"/>
  <sheetViews>
    <sheetView topLeftCell="A3" workbookViewId="0">
      <selection activeCell="A79" sqref="A79"/>
    </sheetView>
  </sheetViews>
  <sheetFormatPr defaultColWidth="11.42578125" defaultRowHeight="12.75"/>
  <cols>
    <col min="1" max="1" width="12.42578125" customWidth="1"/>
    <col min="2" max="2" width="13.5703125" customWidth="1"/>
    <col min="3" max="3" width="13.42578125" customWidth="1"/>
    <col min="4" max="4" width="26.140625" customWidth="1"/>
    <col min="5" max="6" width="12.140625" customWidth="1"/>
    <col min="7" max="7" width="14.42578125" customWidth="1"/>
  </cols>
  <sheetData>
    <row r="1" spans="1:11" ht="23.25">
      <c r="A1" s="1266" t="s">
        <v>1</v>
      </c>
      <c r="B1" s="1266"/>
      <c r="C1" s="1266"/>
      <c r="D1" s="1266"/>
      <c r="E1" s="1266"/>
      <c r="F1" s="1266"/>
      <c r="G1" s="1266"/>
    </row>
    <row r="2" spans="1:11" ht="18">
      <c r="A2" s="1267" t="s">
        <v>84</v>
      </c>
      <c r="B2" s="1267"/>
      <c r="C2" s="1267"/>
      <c r="D2" s="1267"/>
      <c r="E2" s="1267"/>
      <c r="F2" s="1267"/>
      <c r="G2" s="1267"/>
    </row>
    <row r="3" spans="1:11">
      <c r="A3" s="177"/>
      <c r="B3" s="80"/>
      <c r="C3" s="80"/>
      <c r="D3" s="80"/>
      <c r="E3" s="80"/>
      <c r="F3" s="80"/>
      <c r="G3" s="80"/>
    </row>
    <row r="4" spans="1:11" ht="18">
      <c r="A4" s="1267" t="s">
        <v>222</v>
      </c>
      <c r="B4" s="1267"/>
      <c r="C4" s="1267"/>
      <c r="D4" s="1267"/>
      <c r="E4" s="1267"/>
      <c r="F4" s="1267"/>
      <c r="G4" s="1267"/>
    </row>
    <row r="5" spans="1:11">
      <c r="A5" s="178"/>
      <c r="B5" s="178"/>
      <c r="C5" s="178"/>
      <c r="D5" s="178"/>
      <c r="E5" s="178"/>
      <c r="F5" s="178"/>
      <c r="G5" s="178"/>
    </row>
    <row r="6" spans="1:11" ht="18">
      <c r="A6" s="1268" t="s">
        <v>223</v>
      </c>
      <c r="B6" s="1268"/>
      <c r="C6" s="1268"/>
      <c r="D6" s="1268"/>
      <c r="E6" s="1268"/>
      <c r="F6" s="1268"/>
      <c r="G6" s="1268"/>
    </row>
    <row r="7" spans="1:11" ht="18">
      <c r="A7" s="174"/>
      <c r="B7" s="174"/>
      <c r="C7" s="174"/>
      <c r="D7" s="174"/>
      <c r="E7" s="174"/>
      <c r="F7" s="174"/>
      <c r="G7" s="174"/>
    </row>
    <row r="8" spans="1:11">
      <c r="A8" s="185" t="s">
        <v>129</v>
      </c>
      <c r="C8" s="3" t="s">
        <v>88</v>
      </c>
      <c r="D8" s="3"/>
      <c r="E8" s="188" t="s">
        <v>224</v>
      </c>
      <c r="G8" s="3" t="s">
        <v>225</v>
      </c>
    </row>
    <row r="9" spans="1:11">
      <c r="A9" s="179"/>
      <c r="B9" s="178"/>
      <c r="C9" s="178"/>
      <c r="D9" s="178"/>
      <c r="E9" s="178"/>
      <c r="F9" s="178"/>
      <c r="G9" s="178"/>
    </row>
    <row r="10" spans="1:11">
      <c r="A10" s="186" t="s">
        <v>161</v>
      </c>
      <c r="B10" s="186" t="s">
        <v>162</v>
      </c>
      <c r="C10" s="186" t="s">
        <v>163</v>
      </c>
      <c r="D10" s="186" t="s">
        <v>104</v>
      </c>
      <c r="E10" s="186" t="s">
        <v>164</v>
      </c>
      <c r="F10" s="186" t="s">
        <v>165</v>
      </c>
      <c r="G10" s="182" t="s">
        <v>166</v>
      </c>
    </row>
    <row r="11" spans="1:11">
      <c r="A11" s="183"/>
      <c r="B11" s="183"/>
      <c r="C11" s="183"/>
      <c r="D11" s="183"/>
      <c r="E11" s="183"/>
      <c r="F11" s="183" t="s">
        <v>167</v>
      </c>
      <c r="G11" s="187"/>
      <c r="J11" s="62">
        <v>5601</v>
      </c>
    </row>
    <row r="12" spans="1:11">
      <c r="A12" s="22">
        <v>5601</v>
      </c>
      <c r="B12" s="22" t="s">
        <v>116</v>
      </c>
      <c r="C12" s="22" t="s">
        <v>226</v>
      </c>
      <c r="D12" s="22" t="s">
        <v>115</v>
      </c>
      <c r="E12" s="1217">
        <v>0.88500000000000001</v>
      </c>
      <c r="F12" s="22" t="s">
        <v>227</v>
      </c>
      <c r="G12" s="1114" t="s">
        <v>169</v>
      </c>
      <c r="J12" s="1114" t="s">
        <v>228</v>
      </c>
      <c r="K12" s="475">
        <f>+SUMIF(G$12:G$76,"MB",E$12:E$76)</f>
        <v>0</v>
      </c>
    </row>
    <row r="13" spans="1:11">
      <c r="A13" s="22">
        <f>+A12</f>
        <v>5601</v>
      </c>
      <c r="B13" s="22" t="str">
        <f>+C12</f>
        <v>49+0885</v>
      </c>
      <c r="C13" s="22" t="s">
        <v>229</v>
      </c>
      <c r="D13" s="22" t="s">
        <v>115</v>
      </c>
      <c r="E13" s="1217">
        <v>0.02</v>
      </c>
      <c r="F13" s="22" t="s">
        <v>230</v>
      </c>
      <c r="G13" s="1114" t="s">
        <v>169</v>
      </c>
      <c r="J13" s="1114" t="s">
        <v>171</v>
      </c>
      <c r="K13" s="475">
        <f>+SUMIF(G$12:G$76,"B",E$12:E$76)</f>
        <v>4.17</v>
      </c>
    </row>
    <row r="14" spans="1:11">
      <c r="A14" s="22">
        <f>+A13</f>
        <v>5601</v>
      </c>
      <c r="B14" s="22" t="str">
        <f>+C12</f>
        <v>49+0885</v>
      </c>
      <c r="C14" s="22" t="str">
        <f>+C13</f>
        <v>50+0040</v>
      </c>
      <c r="D14" s="22" t="s">
        <v>115</v>
      </c>
      <c r="E14" s="1217">
        <v>0.04</v>
      </c>
      <c r="F14" s="22" t="s">
        <v>230</v>
      </c>
      <c r="G14" s="1114" t="s">
        <v>174</v>
      </c>
      <c r="J14" s="1113" t="s">
        <v>169</v>
      </c>
      <c r="K14" s="475">
        <f>+SUMIF(G$12:G$76,"R",E$12:E$76)</f>
        <v>30.893999999999995</v>
      </c>
    </row>
    <row r="15" spans="1:11">
      <c r="A15" s="22">
        <f t="shared" ref="A15:A76" si="0">+A14</f>
        <v>5601</v>
      </c>
      <c r="B15" s="22" t="str">
        <f>+C14</f>
        <v>50+0040</v>
      </c>
      <c r="C15" s="22" t="s">
        <v>231</v>
      </c>
      <c r="D15" s="22" t="s">
        <v>115</v>
      </c>
      <c r="E15" s="1217">
        <v>0.2</v>
      </c>
      <c r="F15" s="22" t="s">
        <v>230</v>
      </c>
      <c r="G15" s="1114" t="s">
        <v>174</v>
      </c>
      <c r="J15" s="1113" t="s">
        <v>174</v>
      </c>
      <c r="K15" s="475">
        <f>+SUMIF(G$12:G$76,"M",E$12:E$76)</f>
        <v>19.853999999999999</v>
      </c>
    </row>
    <row r="16" spans="1:11">
      <c r="A16" s="22">
        <f t="shared" si="0"/>
        <v>5601</v>
      </c>
      <c r="B16" s="22" t="str">
        <f>+C14</f>
        <v>50+0040</v>
      </c>
      <c r="C16" s="22" t="s">
        <v>231</v>
      </c>
      <c r="D16" s="22" t="s">
        <v>115</v>
      </c>
      <c r="E16" s="1217">
        <v>0.2</v>
      </c>
      <c r="F16" s="22" t="s">
        <v>230</v>
      </c>
      <c r="G16" s="1114" t="s">
        <v>174</v>
      </c>
      <c r="J16" s="1114" t="s">
        <v>232</v>
      </c>
      <c r="K16" s="475">
        <f>+SUMIF(G$12:G$76,"MM",E$12:E$76)</f>
        <v>0</v>
      </c>
    </row>
    <row r="17" spans="1:11">
      <c r="A17" s="22">
        <f t="shared" si="0"/>
        <v>5601</v>
      </c>
      <c r="B17" s="22" t="str">
        <f>+C16</f>
        <v>50+0240</v>
      </c>
      <c r="C17" s="22" t="s">
        <v>233</v>
      </c>
      <c r="D17" s="22" t="s">
        <v>115</v>
      </c>
      <c r="E17" s="1217">
        <v>0.76</v>
      </c>
      <c r="F17" s="22" t="s">
        <v>230</v>
      </c>
      <c r="G17" s="1114" t="s">
        <v>169</v>
      </c>
      <c r="J17" s="463" t="s">
        <v>175</v>
      </c>
      <c r="K17" s="475">
        <f>SUM(K12:K16)</f>
        <v>54.917999999999992</v>
      </c>
    </row>
    <row r="18" spans="1:11">
      <c r="A18" s="22">
        <f t="shared" si="0"/>
        <v>5601</v>
      </c>
      <c r="B18" s="22" t="str">
        <f>+C17</f>
        <v>51+0000</v>
      </c>
      <c r="C18" s="22" t="s">
        <v>234</v>
      </c>
      <c r="D18" s="22" t="s">
        <v>115</v>
      </c>
      <c r="E18" s="1217">
        <v>1</v>
      </c>
      <c r="F18" s="22" t="s">
        <v>230</v>
      </c>
      <c r="G18" s="1114" t="s">
        <v>169</v>
      </c>
    </row>
    <row r="19" spans="1:11">
      <c r="A19" s="22">
        <f t="shared" si="0"/>
        <v>5601</v>
      </c>
      <c r="B19" s="22" t="str">
        <f t="shared" ref="B19:B76" si="1">+C18</f>
        <v>52+0000</v>
      </c>
      <c r="C19" s="22" t="s">
        <v>235</v>
      </c>
      <c r="D19" s="22" t="s">
        <v>115</v>
      </c>
      <c r="E19" s="1217">
        <v>0.996</v>
      </c>
      <c r="F19" s="22" t="s">
        <v>230</v>
      </c>
      <c r="G19" s="1114" t="s">
        <v>169</v>
      </c>
    </row>
    <row r="20" spans="1:11">
      <c r="A20" s="22">
        <f t="shared" si="0"/>
        <v>5601</v>
      </c>
      <c r="B20" s="22" t="str">
        <f t="shared" si="1"/>
        <v>53+0000</v>
      </c>
      <c r="C20" s="22" t="s">
        <v>236</v>
      </c>
      <c r="D20" s="22" t="s">
        <v>115</v>
      </c>
      <c r="E20" s="1217">
        <v>1.002</v>
      </c>
      <c r="F20" s="22" t="s">
        <v>230</v>
      </c>
      <c r="G20" s="1114" t="s">
        <v>169</v>
      </c>
    </row>
    <row r="21" spans="1:11">
      <c r="A21" s="22">
        <f t="shared" si="0"/>
        <v>5601</v>
      </c>
      <c r="B21" s="22" t="str">
        <f t="shared" si="1"/>
        <v>54+0000</v>
      </c>
      <c r="C21" s="22" t="s">
        <v>237</v>
      </c>
      <c r="D21" s="22" t="s">
        <v>115</v>
      </c>
      <c r="E21" s="1217">
        <v>1.002</v>
      </c>
      <c r="F21" s="22" t="s">
        <v>230</v>
      </c>
      <c r="G21" s="1114" t="s">
        <v>171</v>
      </c>
    </row>
    <row r="22" spans="1:11">
      <c r="A22" s="22">
        <f t="shared" si="0"/>
        <v>5601</v>
      </c>
      <c r="B22" s="22" t="str">
        <f t="shared" si="1"/>
        <v>55+0000</v>
      </c>
      <c r="C22" s="22" t="s">
        <v>238</v>
      </c>
      <c r="D22" s="22" t="s">
        <v>115</v>
      </c>
      <c r="E22" s="1217">
        <v>0.999</v>
      </c>
      <c r="F22" s="22" t="s">
        <v>230</v>
      </c>
      <c r="G22" s="1114" t="s">
        <v>171</v>
      </c>
    </row>
    <row r="23" spans="1:11">
      <c r="A23" s="22">
        <f t="shared" si="0"/>
        <v>5601</v>
      </c>
      <c r="B23" s="22" t="str">
        <f t="shared" si="1"/>
        <v>56+0000</v>
      </c>
      <c r="C23" s="22" t="s">
        <v>239</v>
      </c>
      <c r="D23" s="22" t="s">
        <v>115</v>
      </c>
      <c r="E23" s="1217">
        <v>1.002</v>
      </c>
      <c r="F23" s="22" t="s">
        <v>230</v>
      </c>
      <c r="G23" s="1114" t="s">
        <v>169</v>
      </c>
    </row>
    <row r="24" spans="1:11">
      <c r="A24" s="22">
        <f t="shared" si="0"/>
        <v>5601</v>
      </c>
      <c r="B24" s="22" t="str">
        <f t="shared" si="1"/>
        <v>57+0000</v>
      </c>
      <c r="C24" s="22" t="s">
        <v>240</v>
      </c>
      <c r="D24" s="22" t="s">
        <v>115</v>
      </c>
      <c r="E24" s="1217">
        <v>0.97599999999999998</v>
      </c>
      <c r="F24" s="22" t="s">
        <v>230</v>
      </c>
      <c r="G24" s="1114" t="s">
        <v>169</v>
      </c>
    </row>
    <row r="25" spans="1:11">
      <c r="A25" s="22">
        <f t="shared" si="0"/>
        <v>5601</v>
      </c>
      <c r="B25" s="22" t="str">
        <f t="shared" si="1"/>
        <v>58+0000</v>
      </c>
      <c r="C25" s="22" t="s">
        <v>241</v>
      </c>
      <c r="D25" s="22" t="s">
        <v>115</v>
      </c>
      <c r="E25" s="1217">
        <v>0.95599999999999996</v>
      </c>
      <c r="F25" s="22" t="s">
        <v>230</v>
      </c>
      <c r="G25" s="1114" t="s">
        <v>169</v>
      </c>
    </row>
    <row r="26" spans="1:11">
      <c r="A26" s="22">
        <f t="shared" si="0"/>
        <v>5601</v>
      </c>
      <c r="B26" s="22" t="str">
        <f t="shared" si="1"/>
        <v>59+0000</v>
      </c>
      <c r="C26" s="22" t="s">
        <v>242</v>
      </c>
      <c r="D26" s="22" t="s">
        <v>115</v>
      </c>
      <c r="E26" s="1217">
        <v>1.0429999999999999</v>
      </c>
      <c r="F26" s="22" t="s">
        <v>230</v>
      </c>
      <c r="G26" s="1114" t="s">
        <v>169</v>
      </c>
    </row>
    <row r="27" spans="1:11">
      <c r="A27" s="22">
        <f t="shared" si="0"/>
        <v>5601</v>
      </c>
      <c r="B27" s="22" t="str">
        <f t="shared" si="1"/>
        <v>60+0000</v>
      </c>
      <c r="C27" s="22" t="s">
        <v>243</v>
      </c>
      <c r="D27" s="22" t="s">
        <v>115</v>
      </c>
      <c r="E27" s="1217">
        <v>1.006</v>
      </c>
      <c r="F27" s="22" t="s">
        <v>230</v>
      </c>
      <c r="G27" s="1114" t="s">
        <v>169</v>
      </c>
    </row>
    <row r="28" spans="1:11">
      <c r="A28" s="22">
        <f t="shared" si="0"/>
        <v>5601</v>
      </c>
      <c r="B28" s="22" t="str">
        <f t="shared" si="1"/>
        <v>61+0000</v>
      </c>
      <c r="C28" s="22" t="s">
        <v>244</v>
      </c>
      <c r="D28" s="22" t="s">
        <v>115</v>
      </c>
      <c r="E28" s="1217">
        <v>1.012</v>
      </c>
      <c r="F28" s="22" t="s">
        <v>230</v>
      </c>
      <c r="G28" s="1114" t="s">
        <v>169</v>
      </c>
    </row>
    <row r="29" spans="1:11">
      <c r="A29" s="22">
        <f t="shared" si="0"/>
        <v>5601</v>
      </c>
      <c r="B29" s="22" t="str">
        <f t="shared" si="1"/>
        <v>62+0000</v>
      </c>
      <c r="C29" s="22" t="s">
        <v>245</v>
      </c>
      <c r="D29" s="22" t="s">
        <v>115</v>
      </c>
      <c r="E29" s="1217">
        <v>1.0069999999999999</v>
      </c>
      <c r="F29" s="22" t="s">
        <v>230</v>
      </c>
      <c r="G29" s="1114" t="s">
        <v>169</v>
      </c>
    </row>
    <row r="30" spans="1:11">
      <c r="A30" s="22">
        <f t="shared" si="0"/>
        <v>5601</v>
      </c>
      <c r="B30" s="22" t="str">
        <f t="shared" si="1"/>
        <v>63+0000</v>
      </c>
      <c r="C30" s="22" t="s">
        <v>246</v>
      </c>
      <c r="D30" s="22" t="s">
        <v>115</v>
      </c>
      <c r="E30" s="1217">
        <v>1.0049999999999999</v>
      </c>
      <c r="F30" s="22" t="s">
        <v>230</v>
      </c>
      <c r="G30" s="1114" t="s">
        <v>169</v>
      </c>
    </row>
    <row r="31" spans="1:11">
      <c r="A31" s="22">
        <f t="shared" si="0"/>
        <v>5601</v>
      </c>
      <c r="B31" s="22" t="str">
        <f t="shared" si="1"/>
        <v>64+0000</v>
      </c>
      <c r="C31" s="22" t="s">
        <v>247</v>
      </c>
      <c r="D31" s="22" t="s">
        <v>115</v>
      </c>
      <c r="E31" s="1217">
        <v>0.995</v>
      </c>
      <c r="F31" s="22" t="s">
        <v>230</v>
      </c>
      <c r="G31" s="1114" t="s">
        <v>169</v>
      </c>
    </row>
    <row r="32" spans="1:11">
      <c r="A32" s="22">
        <f t="shared" si="0"/>
        <v>5601</v>
      </c>
      <c r="B32" s="22" t="str">
        <f t="shared" si="1"/>
        <v>65+0000</v>
      </c>
      <c r="C32" s="22" t="s">
        <v>248</v>
      </c>
      <c r="D32" s="22" t="s">
        <v>115</v>
      </c>
      <c r="E32" s="1217">
        <v>0.99199999999999999</v>
      </c>
      <c r="F32" s="22" t="s">
        <v>230</v>
      </c>
      <c r="G32" s="1114" t="s">
        <v>169</v>
      </c>
    </row>
    <row r="33" spans="1:9">
      <c r="A33" s="22">
        <f t="shared" si="0"/>
        <v>5601</v>
      </c>
      <c r="B33" s="22" t="str">
        <f t="shared" si="1"/>
        <v>66+0000</v>
      </c>
      <c r="C33" s="22" t="s">
        <v>249</v>
      </c>
      <c r="D33" s="22" t="s">
        <v>115</v>
      </c>
      <c r="E33" s="1217">
        <v>1</v>
      </c>
      <c r="F33" s="22" t="s">
        <v>230</v>
      </c>
      <c r="G33" s="1114" t="s">
        <v>169</v>
      </c>
    </row>
    <row r="34" spans="1:9">
      <c r="A34" s="22">
        <f t="shared" si="0"/>
        <v>5601</v>
      </c>
      <c r="B34" s="22" t="str">
        <f t="shared" si="1"/>
        <v>67+0000</v>
      </c>
      <c r="C34" s="22" t="s">
        <v>250</v>
      </c>
      <c r="D34" s="22" t="s">
        <v>115</v>
      </c>
      <c r="E34" s="1217">
        <v>1.004</v>
      </c>
      <c r="F34" s="22" t="s">
        <v>230</v>
      </c>
      <c r="G34" s="1114" t="s">
        <v>169</v>
      </c>
    </row>
    <row r="35" spans="1:9">
      <c r="A35" s="22">
        <f t="shared" si="0"/>
        <v>5601</v>
      </c>
      <c r="B35" s="22" t="str">
        <f t="shared" si="1"/>
        <v>68+0000</v>
      </c>
      <c r="C35" s="22" t="s">
        <v>251</v>
      </c>
      <c r="D35" s="22" t="s">
        <v>115</v>
      </c>
      <c r="E35" s="1217">
        <v>0.60099999999999998</v>
      </c>
      <c r="F35" s="22" t="s">
        <v>230</v>
      </c>
      <c r="G35" s="1114" t="s">
        <v>169</v>
      </c>
    </row>
    <row r="36" spans="1:9">
      <c r="A36" s="22">
        <f t="shared" si="0"/>
        <v>5601</v>
      </c>
      <c r="B36" s="22" t="str">
        <f t="shared" si="1"/>
        <v>68+0601</v>
      </c>
      <c r="C36" s="22" t="s">
        <v>252</v>
      </c>
      <c r="D36" s="22" t="s">
        <v>115</v>
      </c>
      <c r="E36" s="1217">
        <v>0.39300000000000002</v>
      </c>
      <c r="F36" s="22" t="s">
        <v>227</v>
      </c>
      <c r="G36" s="1114" t="s">
        <v>174</v>
      </c>
    </row>
    <row r="37" spans="1:9">
      <c r="A37" s="22">
        <f t="shared" si="0"/>
        <v>5601</v>
      </c>
      <c r="B37" s="22" t="str">
        <f t="shared" si="1"/>
        <v>69+0000</v>
      </c>
      <c r="C37" s="22" t="s">
        <v>253</v>
      </c>
      <c r="D37" s="22" t="s">
        <v>115</v>
      </c>
      <c r="E37" s="1217">
        <v>1</v>
      </c>
      <c r="F37" s="22" t="s">
        <v>227</v>
      </c>
      <c r="G37" s="1114" t="s">
        <v>174</v>
      </c>
      <c r="H37" s="392"/>
      <c r="I37" s="392"/>
    </row>
    <row r="38" spans="1:9">
      <c r="A38" s="22">
        <f t="shared" si="0"/>
        <v>5601</v>
      </c>
      <c r="B38" s="22" t="str">
        <f t="shared" si="1"/>
        <v>70+0000</v>
      </c>
      <c r="C38" s="22" t="s">
        <v>254</v>
      </c>
      <c r="D38" s="22" t="s">
        <v>115</v>
      </c>
      <c r="E38" s="1217">
        <v>0.99</v>
      </c>
      <c r="F38" s="22" t="s">
        <v>227</v>
      </c>
      <c r="G38" s="1114" t="s">
        <v>174</v>
      </c>
    </row>
    <row r="39" spans="1:9">
      <c r="A39" s="22">
        <f t="shared" si="0"/>
        <v>5601</v>
      </c>
      <c r="B39" s="22" t="str">
        <f t="shared" si="1"/>
        <v>71+0000</v>
      </c>
      <c r="C39" s="22" t="s">
        <v>255</v>
      </c>
      <c r="D39" s="22" t="s">
        <v>115</v>
      </c>
      <c r="E39" s="1217">
        <v>0.318</v>
      </c>
      <c r="F39" s="22" t="s">
        <v>227</v>
      </c>
      <c r="G39" s="1114" t="s">
        <v>174</v>
      </c>
    </row>
    <row r="40" spans="1:9">
      <c r="A40" s="22">
        <f t="shared" si="0"/>
        <v>5601</v>
      </c>
      <c r="B40" s="22" t="str">
        <f t="shared" si="1"/>
        <v>71+0318</v>
      </c>
      <c r="C40" s="22" t="s">
        <v>256</v>
      </c>
      <c r="D40" s="22" t="s">
        <v>115</v>
      </c>
      <c r="E40" s="1217">
        <v>0.68500000000000005</v>
      </c>
      <c r="F40" s="22" t="s">
        <v>230</v>
      </c>
      <c r="G40" s="1114" t="s">
        <v>169</v>
      </c>
    </row>
    <row r="41" spans="1:9">
      <c r="A41" s="22">
        <f t="shared" si="0"/>
        <v>5601</v>
      </c>
      <c r="B41" s="22" t="str">
        <f t="shared" si="1"/>
        <v>72+0000</v>
      </c>
      <c r="C41" s="22" t="s">
        <v>257</v>
      </c>
      <c r="D41" s="22" t="s">
        <v>115</v>
      </c>
      <c r="E41" s="1217">
        <v>0.68799999999999994</v>
      </c>
      <c r="F41" s="22" t="s">
        <v>230</v>
      </c>
      <c r="G41" s="1114" t="s">
        <v>169</v>
      </c>
    </row>
    <row r="42" spans="1:9">
      <c r="A42" s="22">
        <f t="shared" si="0"/>
        <v>5601</v>
      </c>
      <c r="B42" s="22" t="str">
        <f t="shared" si="1"/>
        <v>72+0688</v>
      </c>
      <c r="C42" s="22" t="s">
        <v>258</v>
      </c>
      <c r="D42" s="22" t="s">
        <v>115</v>
      </c>
      <c r="E42" s="1217">
        <v>0.28799999999999998</v>
      </c>
      <c r="F42" s="22" t="s">
        <v>227</v>
      </c>
      <c r="G42" s="1114" t="s">
        <v>169</v>
      </c>
    </row>
    <row r="43" spans="1:9">
      <c r="A43" s="22">
        <f t="shared" si="0"/>
        <v>5601</v>
      </c>
      <c r="B43" s="22" t="str">
        <f t="shared" si="1"/>
        <v>73+0000</v>
      </c>
      <c r="C43" s="22" t="s">
        <v>259</v>
      </c>
      <c r="D43" s="22" t="s">
        <v>115</v>
      </c>
      <c r="E43" s="1217">
        <v>1.0209999999999999</v>
      </c>
      <c r="F43" s="22" t="s">
        <v>227</v>
      </c>
      <c r="G43" s="1114" t="s">
        <v>169</v>
      </c>
    </row>
    <row r="44" spans="1:9">
      <c r="A44" s="22">
        <f t="shared" si="0"/>
        <v>5601</v>
      </c>
      <c r="B44" s="22" t="str">
        <f t="shared" si="1"/>
        <v>74+0000</v>
      </c>
      <c r="C44" s="22" t="s">
        <v>260</v>
      </c>
      <c r="D44" s="22" t="s">
        <v>115</v>
      </c>
      <c r="E44" s="1217">
        <v>1.0029999999999999</v>
      </c>
      <c r="F44" s="22" t="s">
        <v>227</v>
      </c>
      <c r="G44" s="1114" t="s">
        <v>169</v>
      </c>
    </row>
    <row r="45" spans="1:9">
      <c r="A45" s="22">
        <f t="shared" si="0"/>
        <v>5601</v>
      </c>
      <c r="B45" s="22" t="str">
        <f t="shared" si="1"/>
        <v>75+0000</v>
      </c>
      <c r="C45" s="22" t="s">
        <v>261</v>
      </c>
      <c r="D45" s="22" t="s">
        <v>115</v>
      </c>
      <c r="E45" s="1217">
        <v>0.998</v>
      </c>
      <c r="F45" s="22" t="s">
        <v>227</v>
      </c>
      <c r="G45" s="1114" t="s">
        <v>169</v>
      </c>
    </row>
    <row r="46" spans="1:9">
      <c r="A46" s="22">
        <f t="shared" si="0"/>
        <v>5601</v>
      </c>
      <c r="B46" s="22" t="str">
        <f t="shared" si="1"/>
        <v>76+0000</v>
      </c>
      <c r="C46" s="22" t="s">
        <v>262</v>
      </c>
      <c r="D46" s="22" t="s">
        <v>115</v>
      </c>
      <c r="E46" s="1217">
        <v>0.97299999999999998</v>
      </c>
      <c r="F46" s="22" t="s">
        <v>227</v>
      </c>
      <c r="G46" s="1114" t="s">
        <v>169</v>
      </c>
    </row>
    <row r="47" spans="1:9">
      <c r="A47" s="22">
        <f t="shared" si="0"/>
        <v>5601</v>
      </c>
      <c r="B47" s="22" t="str">
        <f t="shared" si="1"/>
        <v>77+0000</v>
      </c>
      <c r="C47" s="22" t="s">
        <v>263</v>
      </c>
      <c r="D47" s="22" t="s">
        <v>115</v>
      </c>
      <c r="E47" s="1217">
        <v>1.0409999999999999</v>
      </c>
      <c r="F47" s="22" t="s">
        <v>227</v>
      </c>
      <c r="G47" s="1114" t="s">
        <v>169</v>
      </c>
    </row>
    <row r="48" spans="1:9">
      <c r="A48" s="22">
        <f t="shared" si="0"/>
        <v>5601</v>
      </c>
      <c r="B48" s="22" t="str">
        <f t="shared" si="1"/>
        <v>78+0000</v>
      </c>
      <c r="C48" s="22" t="s">
        <v>264</v>
      </c>
      <c r="D48" s="22" t="s">
        <v>115</v>
      </c>
      <c r="E48" s="1217">
        <v>0.98199999999999998</v>
      </c>
      <c r="F48" s="22" t="s">
        <v>227</v>
      </c>
      <c r="G48" s="1114" t="s">
        <v>169</v>
      </c>
    </row>
    <row r="49" spans="1:7">
      <c r="A49" s="22">
        <f t="shared" si="0"/>
        <v>5601</v>
      </c>
      <c r="B49" s="22" t="str">
        <f t="shared" si="1"/>
        <v>79+0000</v>
      </c>
      <c r="C49" s="22" t="s">
        <v>265</v>
      </c>
      <c r="D49" s="22" t="s">
        <v>115</v>
      </c>
      <c r="E49" s="1217">
        <v>0.94699999999999995</v>
      </c>
      <c r="F49" s="22" t="s">
        <v>227</v>
      </c>
      <c r="G49" s="1114" t="s">
        <v>169</v>
      </c>
    </row>
    <row r="50" spans="1:7">
      <c r="A50" s="22">
        <f t="shared" si="0"/>
        <v>5601</v>
      </c>
      <c r="B50" s="22" t="str">
        <f t="shared" si="1"/>
        <v>80+0000</v>
      </c>
      <c r="C50" s="22" t="s">
        <v>266</v>
      </c>
      <c r="D50" s="22" t="s">
        <v>115</v>
      </c>
      <c r="E50" s="1217">
        <v>0.96799999999999997</v>
      </c>
      <c r="F50" s="22" t="s">
        <v>227</v>
      </c>
      <c r="G50" s="1114" t="s">
        <v>169</v>
      </c>
    </row>
    <row r="51" spans="1:7">
      <c r="A51" s="22">
        <f t="shared" si="0"/>
        <v>5601</v>
      </c>
      <c r="B51" s="22" t="str">
        <f t="shared" si="1"/>
        <v>81+0000</v>
      </c>
      <c r="C51" s="22" t="s">
        <v>267</v>
      </c>
      <c r="D51" s="22" t="s">
        <v>115</v>
      </c>
      <c r="E51" s="1217">
        <v>0.996</v>
      </c>
      <c r="F51" s="22" t="s">
        <v>227</v>
      </c>
      <c r="G51" s="1114" t="s">
        <v>169</v>
      </c>
    </row>
    <row r="52" spans="1:7">
      <c r="A52" s="22">
        <f t="shared" si="0"/>
        <v>5601</v>
      </c>
      <c r="B52" s="22" t="str">
        <f t="shared" si="1"/>
        <v>82+0000</v>
      </c>
      <c r="C52" s="22" t="s">
        <v>268</v>
      </c>
      <c r="D52" s="22" t="s">
        <v>115</v>
      </c>
      <c r="E52" s="1217">
        <v>0.96299999999999997</v>
      </c>
      <c r="F52" s="22" t="s">
        <v>227</v>
      </c>
      <c r="G52" s="1114" t="s">
        <v>169</v>
      </c>
    </row>
    <row r="53" spans="1:7">
      <c r="A53" s="22">
        <f t="shared" si="0"/>
        <v>5601</v>
      </c>
      <c r="B53" s="22" t="str">
        <f t="shared" si="1"/>
        <v>83+0000</v>
      </c>
      <c r="C53" s="22" t="s">
        <v>269</v>
      </c>
      <c r="D53" s="22" t="s">
        <v>115</v>
      </c>
      <c r="E53" s="1217">
        <v>0.99199999999999999</v>
      </c>
      <c r="F53" s="22" t="s">
        <v>227</v>
      </c>
      <c r="G53" s="1114" t="s">
        <v>169</v>
      </c>
    </row>
    <row r="54" spans="1:7">
      <c r="A54" s="22">
        <f t="shared" si="0"/>
        <v>5601</v>
      </c>
      <c r="B54" s="22" t="str">
        <f t="shared" si="1"/>
        <v>84+0000</v>
      </c>
      <c r="C54" s="22" t="s">
        <v>270</v>
      </c>
      <c r="D54" s="22" t="s">
        <v>115</v>
      </c>
      <c r="E54" s="1217">
        <v>1.0029999999999999</v>
      </c>
      <c r="F54" s="22" t="s">
        <v>227</v>
      </c>
      <c r="G54" s="1114" t="s">
        <v>169</v>
      </c>
    </row>
    <row r="55" spans="1:7">
      <c r="A55" s="22">
        <f t="shared" si="0"/>
        <v>5601</v>
      </c>
      <c r="B55" s="22" t="str">
        <f t="shared" si="1"/>
        <v>85+0000</v>
      </c>
      <c r="C55" s="22" t="s">
        <v>271</v>
      </c>
      <c r="D55" s="22" t="s">
        <v>115</v>
      </c>
      <c r="E55" s="1217">
        <v>0.98299999999999998</v>
      </c>
      <c r="F55" s="22" t="s">
        <v>227</v>
      </c>
      <c r="G55" s="1114" t="s">
        <v>174</v>
      </c>
    </row>
    <row r="56" spans="1:7">
      <c r="A56" s="22">
        <f t="shared" si="0"/>
        <v>5601</v>
      </c>
      <c r="B56" s="22" t="str">
        <f t="shared" si="1"/>
        <v>86+0000</v>
      </c>
      <c r="C56" s="22" t="s">
        <v>272</v>
      </c>
      <c r="D56" s="22" t="s">
        <v>115</v>
      </c>
      <c r="E56" s="1217">
        <v>0.99399999999999999</v>
      </c>
      <c r="F56" s="22" t="s">
        <v>227</v>
      </c>
      <c r="G56" s="1114" t="s">
        <v>174</v>
      </c>
    </row>
    <row r="57" spans="1:7">
      <c r="A57" s="22">
        <f t="shared" si="0"/>
        <v>5601</v>
      </c>
      <c r="B57" s="22" t="str">
        <f t="shared" si="1"/>
        <v>87+0000</v>
      </c>
      <c r="C57" s="22" t="s">
        <v>273</v>
      </c>
      <c r="D57" s="22" t="s">
        <v>115</v>
      </c>
      <c r="E57" s="1217">
        <v>0.98</v>
      </c>
      <c r="F57" s="22" t="s">
        <v>227</v>
      </c>
      <c r="G57" s="1114" t="s">
        <v>174</v>
      </c>
    </row>
    <row r="58" spans="1:7">
      <c r="A58" s="22">
        <f t="shared" si="0"/>
        <v>5601</v>
      </c>
      <c r="B58" s="22" t="str">
        <f t="shared" si="1"/>
        <v>88+0000</v>
      </c>
      <c r="C58" s="22" t="s">
        <v>274</v>
      </c>
      <c r="D58" s="22" t="s">
        <v>115</v>
      </c>
      <c r="E58" s="1217">
        <v>0.98899999999999999</v>
      </c>
      <c r="F58" s="22" t="s">
        <v>227</v>
      </c>
      <c r="G58" s="1114" t="s">
        <v>174</v>
      </c>
    </row>
    <row r="59" spans="1:7">
      <c r="A59" s="22">
        <f t="shared" si="0"/>
        <v>5601</v>
      </c>
      <c r="B59" s="22" t="str">
        <f t="shared" si="1"/>
        <v>89+0000</v>
      </c>
      <c r="C59" s="22" t="s">
        <v>275</v>
      </c>
      <c r="D59" s="22" t="s">
        <v>115</v>
      </c>
      <c r="E59" s="1217">
        <v>0.99299999999999999</v>
      </c>
      <c r="F59" s="22" t="s">
        <v>227</v>
      </c>
      <c r="G59" s="1114" t="s">
        <v>174</v>
      </c>
    </row>
    <row r="60" spans="1:7">
      <c r="A60" s="22">
        <f t="shared" si="0"/>
        <v>5601</v>
      </c>
      <c r="B60" s="22" t="str">
        <f t="shared" si="1"/>
        <v>90+0000</v>
      </c>
      <c r="C60" s="22" t="s">
        <v>276</v>
      </c>
      <c r="D60" s="22" t="s">
        <v>115</v>
      </c>
      <c r="E60" s="1217">
        <v>0.99399999999999999</v>
      </c>
      <c r="F60" s="22" t="s">
        <v>227</v>
      </c>
      <c r="G60" s="1114" t="s">
        <v>174</v>
      </c>
    </row>
    <row r="61" spans="1:7">
      <c r="A61" s="22">
        <f t="shared" si="0"/>
        <v>5601</v>
      </c>
      <c r="B61" s="22" t="str">
        <f t="shared" si="1"/>
        <v>91+0000</v>
      </c>
      <c r="C61" s="22" t="s">
        <v>277</v>
      </c>
      <c r="D61" s="22" t="s">
        <v>115</v>
      </c>
      <c r="E61" s="1217">
        <v>1.002</v>
      </c>
      <c r="F61" s="22" t="s">
        <v>227</v>
      </c>
      <c r="G61" s="1114" t="s">
        <v>174</v>
      </c>
    </row>
    <row r="62" spans="1:7">
      <c r="A62" s="22">
        <f t="shared" si="0"/>
        <v>5601</v>
      </c>
      <c r="B62" s="22" t="str">
        <f t="shared" si="1"/>
        <v>92+0000</v>
      </c>
      <c r="C62" s="22" t="s">
        <v>278</v>
      </c>
      <c r="D62" s="22" t="s">
        <v>115</v>
      </c>
      <c r="E62" s="1217">
        <v>0.99</v>
      </c>
      <c r="F62" s="22" t="s">
        <v>227</v>
      </c>
      <c r="G62" s="1114" t="s">
        <v>174</v>
      </c>
    </row>
    <row r="63" spans="1:7">
      <c r="A63" s="22">
        <f t="shared" si="0"/>
        <v>5601</v>
      </c>
      <c r="B63" s="22" t="str">
        <f t="shared" si="1"/>
        <v>93+0000</v>
      </c>
      <c r="C63" s="22" t="s">
        <v>279</v>
      </c>
      <c r="D63" s="22" t="s">
        <v>115</v>
      </c>
      <c r="E63" s="1217">
        <v>0.99199999999999999</v>
      </c>
      <c r="F63" s="22" t="s">
        <v>227</v>
      </c>
      <c r="G63" s="1114" t="s">
        <v>174</v>
      </c>
    </row>
    <row r="64" spans="1:7">
      <c r="A64" s="22">
        <f t="shared" si="0"/>
        <v>5601</v>
      </c>
      <c r="B64" s="22" t="str">
        <f t="shared" si="1"/>
        <v>94+0000</v>
      </c>
      <c r="C64" s="22" t="s">
        <v>280</v>
      </c>
      <c r="D64" s="22" t="s">
        <v>115</v>
      </c>
      <c r="E64" s="1217">
        <v>0.99</v>
      </c>
      <c r="F64" s="22" t="s">
        <v>227</v>
      </c>
      <c r="G64" s="1114" t="s">
        <v>174</v>
      </c>
    </row>
    <row r="65" spans="1:7">
      <c r="A65" s="22">
        <f t="shared" si="0"/>
        <v>5601</v>
      </c>
      <c r="B65" s="22" t="str">
        <f t="shared" si="1"/>
        <v>95+0000</v>
      </c>
      <c r="C65" s="22" t="s">
        <v>281</v>
      </c>
      <c r="D65" s="22" t="s">
        <v>115</v>
      </c>
      <c r="E65" s="1217">
        <v>0.95799999999999996</v>
      </c>
      <c r="F65" s="22" t="s">
        <v>227</v>
      </c>
      <c r="G65" s="1114" t="s">
        <v>174</v>
      </c>
    </row>
    <row r="66" spans="1:7">
      <c r="A66" s="22">
        <f t="shared" si="0"/>
        <v>5601</v>
      </c>
      <c r="B66" s="22" t="str">
        <f t="shared" si="1"/>
        <v>96+0000</v>
      </c>
      <c r="C66" s="22" t="s">
        <v>282</v>
      </c>
      <c r="D66" s="22" t="s">
        <v>115</v>
      </c>
      <c r="E66" s="1217">
        <v>0.96899999999999997</v>
      </c>
      <c r="F66" s="22" t="s">
        <v>227</v>
      </c>
      <c r="G66" s="1114" t="s">
        <v>174</v>
      </c>
    </row>
    <row r="67" spans="1:7">
      <c r="A67" s="22">
        <f t="shared" si="0"/>
        <v>5601</v>
      </c>
      <c r="B67" s="22" t="str">
        <f t="shared" si="1"/>
        <v>97+0000</v>
      </c>
      <c r="C67" s="22" t="s">
        <v>283</v>
      </c>
      <c r="D67" s="22" t="s">
        <v>115</v>
      </c>
      <c r="E67" s="1217">
        <v>1</v>
      </c>
      <c r="F67" s="22" t="s">
        <v>227</v>
      </c>
      <c r="G67" s="1114" t="s">
        <v>174</v>
      </c>
    </row>
    <row r="68" spans="1:7">
      <c r="A68" s="22">
        <f t="shared" si="0"/>
        <v>5601</v>
      </c>
      <c r="B68" s="22" t="str">
        <f t="shared" si="1"/>
        <v>98+0000</v>
      </c>
      <c r="C68" s="22" t="s">
        <v>284</v>
      </c>
      <c r="D68" s="22" t="s">
        <v>115</v>
      </c>
      <c r="E68" s="1217">
        <v>0.99</v>
      </c>
      <c r="F68" s="22" t="s">
        <v>227</v>
      </c>
      <c r="G68" s="1114" t="s">
        <v>174</v>
      </c>
    </row>
    <row r="69" spans="1:7">
      <c r="A69" s="22">
        <f t="shared" si="0"/>
        <v>5601</v>
      </c>
      <c r="B69" s="22" t="str">
        <f t="shared" si="1"/>
        <v>99+0000</v>
      </c>
      <c r="C69" s="22" t="s">
        <v>285</v>
      </c>
      <c r="D69" s="22" t="s">
        <v>115</v>
      </c>
      <c r="E69" s="1217">
        <v>0.98899999999999999</v>
      </c>
      <c r="F69" s="22" t="s">
        <v>227</v>
      </c>
      <c r="G69" s="1114" t="s">
        <v>174</v>
      </c>
    </row>
    <row r="70" spans="1:7">
      <c r="A70" s="22">
        <f t="shared" si="0"/>
        <v>5601</v>
      </c>
      <c r="B70" s="22" t="str">
        <f t="shared" si="1"/>
        <v>100+0000</v>
      </c>
      <c r="C70" s="22" t="s">
        <v>286</v>
      </c>
      <c r="D70" s="22" t="s">
        <v>115</v>
      </c>
      <c r="E70" s="1217">
        <v>0.99</v>
      </c>
      <c r="F70" s="22" t="s">
        <v>227</v>
      </c>
      <c r="G70" s="1114" t="s">
        <v>174</v>
      </c>
    </row>
    <row r="71" spans="1:7">
      <c r="A71" s="22">
        <f t="shared" si="0"/>
        <v>5601</v>
      </c>
      <c r="B71" s="22" t="str">
        <f t="shared" si="1"/>
        <v>101+0000</v>
      </c>
      <c r="C71" s="22" t="s">
        <v>287</v>
      </c>
      <c r="D71" s="22" t="s">
        <v>115</v>
      </c>
      <c r="E71" s="1217">
        <v>0.91</v>
      </c>
      <c r="F71" s="22" t="s">
        <v>227</v>
      </c>
      <c r="G71" s="1114" t="s">
        <v>174</v>
      </c>
    </row>
    <row r="72" spans="1:7">
      <c r="A72" s="22">
        <f t="shared" si="0"/>
        <v>5601</v>
      </c>
      <c r="B72" s="22" t="str">
        <f t="shared" si="1"/>
        <v>101+0910</v>
      </c>
      <c r="C72" s="22" t="s">
        <v>288</v>
      </c>
      <c r="D72" s="22" t="s">
        <v>115</v>
      </c>
      <c r="E72" s="1217">
        <v>8.4000000000000005E-2</v>
      </c>
      <c r="F72" s="22" t="s">
        <v>227</v>
      </c>
      <c r="G72" s="1114" t="s">
        <v>171</v>
      </c>
    </row>
    <row r="73" spans="1:7">
      <c r="A73" s="22">
        <f t="shared" si="0"/>
        <v>5601</v>
      </c>
      <c r="B73" s="22" t="str">
        <f t="shared" si="1"/>
        <v>102+0000</v>
      </c>
      <c r="C73" s="22" t="s">
        <v>288</v>
      </c>
      <c r="D73" s="22" t="s">
        <v>115</v>
      </c>
      <c r="E73" s="1217">
        <v>8.4000000000000005E-2</v>
      </c>
      <c r="F73" s="22" t="s">
        <v>227</v>
      </c>
      <c r="G73" s="1114" t="s">
        <v>169</v>
      </c>
    </row>
    <row r="74" spans="1:7">
      <c r="A74" s="22">
        <f t="shared" si="0"/>
        <v>5601</v>
      </c>
      <c r="B74" s="22" t="str">
        <f t="shared" si="1"/>
        <v>102+0000</v>
      </c>
      <c r="C74" s="22" t="s">
        <v>289</v>
      </c>
      <c r="D74" s="22" t="s">
        <v>115</v>
      </c>
      <c r="E74" s="1217">
        <v>0.95</v>
      </c>
      <c r="F74" s="22" t="s">
        <v>227</v>
      </c>
      <c r="G74" s="1114" t="s">
        <v>171</v>
      </c>
    </row>
    <row r="75" spans="1:7">
      <c r="A75" s="22">
        <f t="shared" si="0"/>
        <v>5601</v>
      </c>
      <c r="B75" s="22" t="str">
        <f t="shared" si="1"/>
        <v>102+0950</v>
      </c>
      <c r="C75" s="22" t="s">
        <v>289</v>
      </c>
      <c r="D75" s="22" t="s">
        <v>115</v>
      </c>
      <c r="E75" s="1217">
        <v>0.95</v>
      </c>
      <c r="F75" s="22" t="s">
        <v>227</v>
      </c>
      <c r="G75" s="1114" t="s">
        <v>171</v>
      </c>
    </row>
    <row r="76" spans="1:7">
      <c r="A76" s="22">
        <f t="shared" si="0"/>
        <v>5601</v>
      </c>
      <c r="B76" s="22" t="str">
        <f t="shared" si="1"/>
        <v>102+0950</v>
      </c>
      <c r="C76" s="22" t="s">
        <v>117</v>
      </c>
      <c r="D76" s="22" t="s">
        <v>115</v>
      </c>
      <c r="E76" s="1217">
        <v>0.185</v>
      </c>
      <c r="F76" s="22" t="s">
        <v>227</v>
      </c>
      <c r="G76" s="1114" t="s">
        <v>171</v>
      </c>
    </row>
    <row r="77" spans="1:7">
      <c r="E77" s="481">
        <f>SUM(E12:E76)</f>
        <v>54.918000000000006</v>
      </c>
    </row>
    <row r="78" spans="1:7">
      <c r="E78" s="154"/>
    </row>
    <row r="79" spans="1:7">
      <c r="E79" s="154"/>
    </row>
    <row r="80" spans="1:7">
      <c r="E80" s="154"/>
    </row>
    <row r="81" spans="5:7">
      <c r="E81" s="154"/>
    </row>
    <row r="82" spans="5:7">
      <c r="E82" s="1110" t="s">
        <v>177</v>
      </c>
      <c r="F82" s="1111"/>
    </row>
    <row r="83" spans="5:7">
      <c r="E83" s="363" t="s">
        <v>228</v>
      </c>
      <c r="F83" s="364" t="s">
        <v>290</v>
      </c>
    </row>
    <row r="84" spans="5:7">
      <c r="E84" s="324" t="s">
        <v>171</v>
      </c>
      <c r="F84" s="321" t="s">
        <v>170</v>
      </c>
    </row>
    <row r="85" spans="5:7">
      <c r="E85" s="323" t="s">
        <v>169</v>
      </c>
      <c r="F85" s="321" t="s">
        <v>172</v>
      </c>
    </row>
    <row r="86" spans="5:7">
      <c r="E86" s="365" t="s">
        <v>174</v>
      </c>
      <c r="F86" s="321" t="s">
        <v>173</v>
      </c>
    </row>
    <row r="87" spans="5:7">
      <c r="E87" s="322" t="s">
        <v>232</v>
      </c>
      <c r="F87" s="321" t="s">
        <v>291</v>
      </c>
      <c r="G87" s="1112" t="s">
        <v>125</v>
      </c>
    </row>
    <row r="88" spans="5:7">
      <c r="E88" s="154"/>
    </row>
  </sheetData>
  <mergeCells count="4">
    <mergeCell ref="A1:G1"/>
    <mergeCell ref="A2:G2"/>
    <mergeCell ref="A4:G4"/>
    <mergeCell ref="A6:G6"/>
  </mergeCells>
  <phoneticPr fontId="4" type="noConversion"/>
  <conditionalFormatting sqref="G12">
    <cfRule type="cellIs" dxfId="190" priority="122" stopIfTrue="1" operator="equal">
      <formula>"MM"</formula>
    </cfRule>
  </conditionalFormatting>
  <conditionalFormatting sqref="G12">
    <cfRule type="cellIs" dxfId="189" priority="121" stopIfTrue="1" operator="equal">
      <formula>"MB"</formula>
    </cfRule>
  </conditionalFormatting>
  <conditionalFormatting sqref="G12">
    <cfRule type="cellIs" dxfId="188" priority="120" stopIfTrue="1" operator="equal">
      <formula>"M"</formula>
    </cfRule>
  </conditionalFormatting>
  <conditionalFormatting sqref="G12">
    <cfRule type="cellIs" dxfId="187" priority="117" stopIfTrue="1" operator="equal">
      <formula>"N"</formula>
    </cfRule>
    <cfRule type="cellIs" dxfId="186" priority="118" stopIfTrue="1" operator="equal">
      <formula>"B"</formula>
    </cfRule>
    <cfRule type="cellIs" dxfId="185" priority="119" stopIfTrue="1" operator="equal">
      <formula>"R"</formula>
    </cfRule>
  </conditionalFormatting>
  <conditionalFormatting sqref="G15:G76">
    <cfRule type="cellIs" dxfId="184" priority="1" stopIfTrue="1" operator="equal">
      <formula>"N"</formula>
    </cfRule>
    <cfRule type="cellIs" dxfId="183" priority="2" stopIfTrue="1" operator="equal">
      <formula>"B"</formula>
    </cfRule>
    <cfRule type="cellIs" dxfId="182" priority="3" stopIfTrue="1" operator="equal">
      <formula>"R"</formula>
    </cfRule>
  </conditionalFormatting>
  <conditionalFormatting sqref="J13">
    <cfRule type="cellIs" dxfId="181" priority="112" stopIfTrue="1" operator="equal">
      <formula>"MM"</formula>
    </cfRule>
    <cfRule type="cellIs" dxfId="180" priority="113" stopIfTrue="1" operator="equal">
      <formula>"N"</formula>
    </cfRule>
    <cfRule type="cellIs" dxfId="179" priority="114" stopIfTrue="1" operator="equal">
      <formula>"B"</formula>
    </cfRule>
    <cfRule type="cellIs" dxfId="178" priority="115" stopIfTrue="1" operator="equal">
      <formula>"R"</formula>
    </cfRule>
    <cfRule type="cellIs" dxfId="177" priority="116" stopIfTrue="1" operator="equal">
      <formula>"M"</formula>
    </cfRule>
  </conditionalFormatting>
  <conditionalFormatting sqref="J13">
    <cfRule type="cellIs" dxfId="176" priority="108" stopIfTrue="1" operator="equal">
      <formula>"M"</formula>
    </cfRule>
    <cfRule type="cellIs" dxfId="175" priority="109" stopIfTrue="1" operator="equal">
      <formula>"R"</formula>
    </cfRule>
    <cfRule type="cellIs" dxfId="174" priority="110" stopIfTrue="1" operator="equal">
      <formula>"B"</formula>
    </cfRule>
    <cfRule type="cellIs" dxfId="173" priority="111" stopIfTrue="1" operator="equal">
      <formula>"N"</formula>
    </cfRule>
  </conditionalFormatting>
  <conditionalFormatting sqref="J13">
    <cfRule type="cellIs" dxfId="172" priority="101" stopIfTrue="1" operator="equal">
      <formula>"""MB"""</formula>
    </cfRule>
    <cfRule type="cellIs" dxfId="171" priority="102" stopIfTrue="1" operator="equal">
      <formula>"MM"</formula>
    </cfRule>
    <cfRule type="cellIs" dxfId="170" priority="103" stopIfTrue="1" operator="equal">
      <formula>"N"</formula>
    </cfRule>
    <cfRule type="cellIs" dxfId="169" priority="104" stopIfTrue="1" operator="equal">
      <formula>"B"</formula>
    </cfRule>
    <cfRule type="cellIs" dxfId="168" priority="105" stopIfTrue="1" operator="equal">
      <formula>"R"</formula>
    </cfRule>
    <cfRule type="cellIs" dxfId="167" priority="106" stopIfTrue="1" operator="equal">
      <formula>"M"</formula>
    </cfRule>
    <cfRule type="cellIs" dxfId="166" priority="107" stopIfTrue="1" operator="equal">
      <formula>"""MB"""</formula>
    </cfRule>
  </conditionalFormatting>
  <conditionalFormatting sqref="J13">
    <cfRule type="cellIs" dxfId="165" priority="100" stopIfTrue="1" operator="equal">
      <formula>"MB"</formula>
    </cfRule>
  </conditionalFormatting>
  <conditionalFormatting sqref="J13">
    <cfRule type="cellIs" dxfId="164" priority="98" stopIfTrue="1" operator="equal">
      <formula>"B"</formula>
    </cfRule>
    <cfRule type="cellIs" dxfId="163" priority="99" stopIfTrue="1" operator="equal">
      <formula>"M"</formula>
    </cfRule>
  </conditionalFormatting>
  <conditionalFormatting sqref="J13">
    <cfRule type="cellIs" dxfId="162" priority="97" stopIfTrue="1" operator="equal">
      <formula>"MM"</formula>
    </cfRule>
  </conditionalFormatting>
  <conditionalFormatting sqref="J13">
    <cfRule type="cellIs" dxfId="161" priority="94" stopIfTrue="1" operator="equal">
      <formula>"N"</formula>
    </cfRule>
    <cfRule type="cellIs" dxfId="160" priority="95" stopIfTrue="1" operator="equal">
      <formula>"B"</formula>
    </cfRule>
    <cfRule type="cellIs" dxfId="159" priority="96" stopIfTrue="1" operator="equal">
      <formula>"R"</formula>
    </cfRule>
  </conditionalFormatting>
  <conditionalFormatting sqref="J14">
    <cfRule type="cellIs" dxfId="158" priority="89" stopIfTrue="1" operator="equal">
      <formula>"MM"</formula>
    </cfRule>
    <cfRule type="cellIs" dxfId="157" priority="90" stopIfTrue="1" operator="equal">
      <formula>"N"</formula>
    </cfRule>
    <cfRule type="cellIs" dxfId="156" priority="91" stopIfTrue="1" operator="equal">
      <formula>"B"</formula>
    </cfRule>
    <cfRule type="cellIs" dxfId="155" priority="92" stopIfTrue="1" operator="equal">
      <formula>"R"</formula>
    </cfRule>
    <cfRule type="cellIs" dxfId="154" priority="93" stopIfTrue="1" operator="equal">
      <formula>"M"</formula>
    </cfRule>
  </conditionalFormatting>
  <conditionalFormatting sqref="J14">
    <cfRule type="cellIs" dxfId="153" priority="85" stopIfTrue="1" operator="equal">
      <formula>"M"</formula>
    </cfRule>
    <cfRule type="cellIs" dxfId="152" priority="86" stopIfTrue="1" operator="equal">
      <formula>"R"</formula>
    </cfRule>
    <cfRule type="cellIs" dxfId="151" priority="87" stopIfTrue="1" operator="equal">
      <formula>"B"</formula>
    </cfRule>
    <cfRule type="cellIs" dxfId="150" priority="88" stopIfTrue="1" operator="equal">
      <formula>"N"</formula>
    </cfRule>
  </conditionalFormatting>
  <conditionalFormatting sqref="J14">
    <cfRule type="cellIs" dxfId="149" priority="78" stopIfTrue="1" operator="equal">
      <formula>"""MB"""</formula>
    </cfRule>
    <cfRule type="cellIs" dxfId="148" priority="79" stopIfTrue="1" operator="equal">
      <formula>"MM"</formula>
    </cfRule>
    <cfRule type="cellIs" dxfId="147" priority="80" stopIfTrue="1" operator="equal">
      <formula>"N"</formula>
    </cfRule>
    <cfRule type="cellIs" dxfId="146" priority="81" stopIfTrue="1" operator="equal">
      <formula>"B"</formula>
    </cfRule>
    <cfRule type="cellIs" dxfId="145" priority="82" stopIfTrue="1" operator="equal">
      <formula>"R"</formula>
    </cfRule>
    <cfRule type="cellIs" dxfId="144" priority="83" stopIfTrue="1" operator="equal">
      <formula>"M"</formula>
    </cfRule>
    <cfRule type="cellIs" dxfId="143" priority="84" stopIfTrue="1" operator="equal">
      <formula>"""MB"""</formula>
    </cfRule>
  </conditionalFormatting>
  <conditionalFormatting sqref="J14">
    <cfRule type="cellIs" dxfId="142" priority="77" stopIfTrue="1" operator="equal">
      <formula>"MB"</formula>
    </cfRule>
  </conditionalFormatting>
  <conditionalFormatting sqref="J14">
    <cfRule type="cellIs" dxfId="141" priority="75" stopIfTrue="1" operator="equal">
      <formula>"B"</formula>
    </cfRule>
    <cfRule type="cellIs" dxfId="140" priority="76" stopIfTrue="1" operator="equal">
      <formula>"M"</formula>
    </cfRule>
  </conditionalFormatting>
  <conditionalFormatting sqref="J14">
    <cfRule type="cellIs" dxfId="139" priority="74" stopIfTrue="1" operator="equal">
      <formula>"MM"</formula>
    </cfRule>
  </conditionalFormatting>
  <conditionalFormatting sqref="J14">
    <cfRule type="cellIs" dxfId="138" priority="71" stopIfTrue="1" operator="equal">
      <formula>"N"</formula>
    </cfRule>
    <cfRule type="cellIs" dxfId="137" priority="72" stopIfTrue="1" operator="equal">
      <formula>"B"</formula>
    </cfRule>
    <cfRule type="cellIs" dxfId="136" priority="73" stopIfTrue="1" operator="equal">
      <formula>"R"</formula>
    </cfRule>
  </conditionalFormatting>
  <conditionalFormatting sqref="J15">
    <cfRule type="cellIs" dxfId="135" priority="66" stopIfTrue="1" operator="equal">
      <formula>"MM"</formula>
    </cfRule>
    <cfRule type="cellIs" dxfId="134" priority="67" stopIfTrue="1" operator="equal">
      <formula>"N"</formula>
    </cfRule>
    <cfRule type="cellIs" dxfId="133" priority="68" stopIfTrue="1" operator="equal">
      <formula>"B"</formula>
    </cfRule>
    <cfRule type="cellIs" dxfId="132" priority="69" stopIfTrue="1" operator="equal">
      <formula>"R"</formula>
    </cfRule>
    <cfRule type="cellIs" dxfId="131" priority="70" stopIfTrue="1" operator="equal">
      <formula>"M"</formula>
    </cfRule>
  </conditionalFormatting>
  <conditionalFormatting sqref="J15">
    <cfRule type="cellIs" dxfId="130" priority="62" stopIfTrue="1" operator="equal">
      <formula>"M"</formula>
    </cfRule>
    <cfRule type="cellIs" dxfId="129" priority="63" stopIfTrue="1" operator="equal">
      <formula>"R"</formula>
    </cfRule>
    <cfRule type="cellIs" dxfId="128" priority="64" stopIfTrue="1" operator="equal">
      <formula>"B"</formula>
    </cfRule>
    <cfRule type="cellIs" dxfId="127" priority="65" stopIfTrue="1" operator="equal">
      <formula>"N"</formula>
    </cfRule>
  </conditionalFormatting>
  <conditionalFormatting sqref="J15">
    <cfRule type="cellIs" dxfId="126" priority="55" stopIfTrue="1" operator="equal">
      <formula>"""MB"""</formula>
    </cfRule>
    <cfRule type="cellIs" dxfId="125" priority="56" stopIfTrue="1" operator="equal">
      <formula>"MM"</formula>
    </cfRule>
    <cfRule type="cellIs" dxfId="124" priority="57" stopIfTrue="1" operator="equal">
      <formula>"N"</formula>
    </cfRule>
    <cfRule type="cellIs" dxfId="123" priority="58" stopIfTrue="1" operator="equal">
      <formula>"B"</formula>
    </cfRule>
    <cfRule type="cellIs" dxfId="122" priority="59" stopIfTrue="1" operator="equal">
      <formula>"R"</formula>
    </cfRule>
    <cfRule type="cellIs" dxfId="121" priority="60" stopIfTrue="1" operator="equal">
      <formula>"M"</formula>
    </cfRule>
    <cfRule type="cellIs" dxfId="120" priority="61" stopIfTrue="1" operator="equal">
      <formula>"""MB"""</formula>
    </cfRule>
  </conditionalFormatting>
  <conditionalFormatting sqref="J15">
    <cfRule type="cellIs" dxfId="119" priority="54" stopIfTrue="1" operator="equal">
      <formula>"MB"</formula>
    </cfRule>
  </conditionalFormatting>
  <conditionalFormatting sqref="J15">
    <cfRule type="cellIs" dxfId="118" priority="52" stopIfTrue="1" operator="equal">
      <formula>"B"</formula>
    </cfRule>
    <cfRule type="cellIs" dxfId="117" priority="53" stopIfTrue="1" operator="equal">
      <formula>"M"</formula>
    </cfRule>
  </conditionalFormatting>
  <conditionalFormatting sqref="J15">
    <cfRule type="cellIs" dxfId="116" priority="51" stopIfTrue="1" operator="equal">
      <formula>"MM"</formula>
    </cfRule>
  </conditionalFormatting>
  <conditionalFormatting sqref="J15">
    <cfRule type="cellIs" dxfId="115" priority="48" stopIfTrue="1" operator="equal">
      <formula>"N"</formula>
    </cfRule>
    <cfRule type="cellIs" dxfId="114" priority="49" stopIfTrue="1" operator="equal">
      <formula>"B"</formula>
    </cfRule>
    <cfRule type="cellIs" dxfId="113" priority="50" stopIfTrue="1" operator="equal">
      <formula>"R"</formula>
    </cfRule>
  </conditionalFormatting>
  <conditionalFormatting sqref="J16">
    <cfRule type="cellIs" dxfId="112" priority="47" stopIfTrue="1" operator="equal">
      <formula>"MM"</formula>
    </cfRule>
  </conditionalFormatting>
  <conditionalFormatting sqref="J16">
    <cfRule type="cellIs" dxfId="111" priority="46" stopIfTrue="1" operator="equal">
      <formula>"MB"</formula>
    </cfRule>
  </conditionalFormatting>
  <conditionalFormatting sqref="J16">
    <cfRule type="cellIs" dxfId="110" priority="45" stopIfTrue="1" operator="equal">
      <formula>"M"</formula>
    </cfRule>
  </conditionalFormatting>
  <conditionalFormatting sqref="J16">
    <cfRule type="cellIs" dxfId="109" priority="42" stopIfTrue="1" operator="equal">
      <formula>"N"</formula>
    </cfRule>
    <cfRule type="cellIs" dxfId="108" priority="43" stopIfTrue="1" operator="equal">
      <formula>"B"</formula>
    </cfRule>
    <cfRule type="cellIs" dxfId="107" priority="44" stopIfTrue="1" operator="equal">
      <formula>"R"</formula>
    </cfRule>
  </conditionalFormatting>
  <conditionalFormatting sqref="J12">
    <cfRule type="cellIs" dxfId="106" priority="37" stopIfTrue="1" operator="equal">
      <formula>"MM"</formula>
    </cfRule>
    <cfRule type="cellIs" dxfId="105" priority="38" stopIfTrue="1" operator="equal">
      <formula>"N"</formula>
    </cfRule>
    <cfRule type="cellIs" dxfId="104" priority="39" stopIfTrue="1" operator="equal">
      <formula>"B"</formula>
    </cfRule>
    <cfRule type="cellIs" dxfId="103" priority="40" stopIfTrue="1" operator="equal">
      <formula>"R"</formula>
    </cfRule>
    <cfRule type="cellIs" dxfId="102" priority="41" stopIfTrue="1" operator="equal">
      <formula>"M"</formula>
    </cfRule>
  </conditionalFormatting>
  <conditionalFormatting sqref="J12">
    <cfRule type="cellIs" dxfId="101" priority="33" stopIfTrue="1" operator="equal">
      <formula>"M"</formula>
    </cfRule>
    <cfRule type="cellIs" dxfId="100" priority="34" stopIfTrue="1" operator="equal">
      <formula>"R"</formula>
    </cfRule>
    <cfRule type="cellIs" dxfId="99" priority="35" stopIfTrue="1" operator="equal">
      <formula>"B"</formula>
    </cfRule>
    <cfRule type="cellIs" dxfId="98" priority="36" stopIfTrue="1" operator="equal">
      <formula>"N"</formula>
    </cfRule>
  </conditionalFormatting>
  <conditionalFormatting sqref="J12">
    <cfRule type="cellIs" dxfId="97" priority="26" stopIfTrue="1" operator="equal">
      <formula>"""MB"""</formula>
    </cfRule>
    <cfRule type="cellIs" dxfId="96" priority="27" stopIfTrue="1" operator="equal">
      <formula>"MM"</formula>
    </cfRule>
    <cfRule type="cellIs" dxfId="95" priority="28" stopIfTrue="1" operator="equal">
      <formula>"N"</formula>
    </cfRule>
    <cfRule type="cellIs" dxfId="94" priority="29" stopIfTrue="1" operator="equal">
      <formula>"B"</formula>
    </cfRule>
    <cfRule type="cellIs" dxfId="93" priority="30" stopIfTrue="1" operator="equal">
      <formula>"R"</formula>
    </cfRule>
    <cfRule type="cellIs" dxfId="92" priority="31" stopIfTrue="1" operator="equal">
      <formula>"M"</formula>
    </cfRule>
    <cfRule type="cellIs" dxfId="91" priority="32" stopIfTrue="1" operator="equal">
      <formula>"""MB"""</formula>
    </cfRule>
  </conditionalFormatting>
  <conditionalFormatting sqref="J12">
    <cfRule type="cellIs" dxfId="90" priority="25" stopIfTrue="1" operator="equal">
      <formula>"MB"</formula>
    </cfRule>
  </conditionalFormatting>
  <conditionalFormatting sqref="J12">
    <cfRule type="cellIs" dxfId="89" priority="23" stopIfTrue="1" operator="equal">
      <formula>"B"</formula>
    </cfRule>
    <cfRule type="cellIs" dxfId="88" priority="24" stopIfTrue="1" operator="equal">
      <formula>"M"</formula>
    </cfRule>
  </conditionalFormatting>
  <conditionalFormatting sqref="J12">
    <cfRule type="cellIs" dxfId="87" priority="22" stopIfTrue="1" operator="equal">
      <formula>"MM"</formula>
    </cfRule>
  </conditionalFormatting>
  <conditionalFormatting sqref="J12">
    <cfRule type="cellIs" dxfId="86" priority="19" stopIfTrue="1" operator="equal">
      <formula>"N"</formula>
    </cfRule>
    <cfRule type="cellIs" dxfId="85" priority="20" stopIfTrue="1" operator="equal">
      <formula>"B"</formula>
    </cfRule>
    <cfRule type="cellIs" dxfId="84" priority="21" stopIfTrue="1" operator="equal">
      <formula>"R"</formula>
    </cfRule>
  </conditionalFormatting>
  <conditionalFormatting sqref="G13">
    <cfRule type="cellIs" dxfId="83" priority="18" stopIfTrue="1" operator="equal">
      <formula>"MM"</formula>
    </cfRule>
  </conditionalFormatting>
  <conditionalFormatting sqref="G13">
    <cfRule type="cellIs" dxfId="82" priority="17" stopIfTrue="1" operator="equal">
      <formula>"MB"</formula>
    </cfRule>
  </conditionalFormatting>
  <conditionalFormatting sqref="G13">
    <cfRule type="cellIs" dxfId="81" priority="16" stopIfTrue="1" operator="equal">
      <formula>"M"</formula>
    </cfRule>
  </conditionalFormatting>
  <conditionalFormatting sqref="G13">
    <cfRule type="cellIs" dxfId="80" priority="13" stopIfTrue="1" operator="equal">
      <formula>"N"</formula>
    </cfRule>
    <cfRule type="cellIs" dxfId="79" priority="14" stopIfTrue="1" operator="equal">
      <formula>"B"</formula>
    </cfRule>
    <cfRule type="cellIs" dxfId="78" priority="15" stopIfTrue="1" operator="equal">
      <formula>"R"</formula>
    </cfRule>
  </conditionalFormatting>
  <conditionalFormatting sqref="G14">
    <cfRule type="cellIs" dxfId="77" priority="12" stopIfTrue="1" operator="equal">
      <formula>"MM"</formula>
    </cfRule>
  </conditionalFormatting>
  <conditionalFormatting sqref="G14">
    <cfRule type="cellIs" dxfId="76" priority="11" stopIfTrue="1" operator="equal">
      <formula>"MB"</formula>
    </cfRule>
  </conditionalFormatting>
  <conditionalFormatting sqref="G14">
    <cfRule type="cellIs" dxfId="75" priority="10" stopIfTrue="1" operator="equal">
      <formula>"M"</formula>
    </cfRule>
  </conditionalFormatting>
  <conditionalFormatting sqref="G14">
    <cfRule type="cellIs" dxfId="74" priority="7" stopIfTrue="1" operator="equal">
      <formula>"N"</formula>
    </cfRule>
    <cfRule type="cellIs" dxfId="73" priority="8" stopIfTrue="1" operator="equal">
      <formula>"B"</formula>
    </cfRule>
    <cfRule type="cellIs" dxfId="72" priority="9" stopIfTrue="1" operator="equal">
      <formula>"R"</formula>
    </cfRule>
  </conditionalFormatting>
  <conditionalFormatting sqref="G15:G76">
    <cfRule type="cellIs" dxfId="71" priority="6" stopIfTrue="1" operator="equal">
      <formula>"MM"</formula>
    </cfRule>
  </conditionalFormatting>
  <conditionalFormatting sqref="G15:G76">
    <cfRule type="cellIs" dxfId="70" priority="5" stopIfTrue="1" operator="equal">
      <formula>"MB"</formula>
    </cfRule>
  </conditionalFormatting>
  <conditionalFormatting sqref="G15:G76">
    <cfRule type="cellIs" dxfId="69" priority="4" stopIfTrue="1" operator="equal">
      <formula>"M"</formula>
    </cfRule>
  </conditionalFormatting>
  <dataValidations count="1">
    <dataValidation type="list" allowBlank="1" showInputMessage="1" showErrorMessage="1" sqref="F12:F76" xr:uid="{00000000-0002-0000-0700-000000000000}">
      <formula1>$I$27:$I$38</formula1>
    </dataValidation>
  </dataValidations>
  <hyperlinks>
    <hyperlink ref="G87" location="'TABLA DE CONTENIDO'!A1" display="VOLVER A TABLA DE CONTENIDO" xr:uid="{00000000-0004-0000-0700-000000000000}"/>
  </hyperlinks>
  <printOptions horizontalCentered="1" verticalCentered="1"/>
  <pageMargins left="0.59055118110236227" right="0.39370078740157483" top="0.59055118110236227" bottom="0.98425196850393704" header="0" footer="0"/>
  <pageSetup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N68"/>
  <sheetViews>
    <sheetView view="pageBreakPreview" topLeftCell="A44" zoomScaleNormal="160" zoomScaleSheetLayoutView="100" zoomScalePageLayoutView="125" workbookViewId="0">
      <selection activeCell="A79" sqref="A79"/>
    </sheetView>
  </sheetViews>
  <sheetFormatPr defaultColWidth="11.42578125" defaultRowHeight="12.75"/>
  <cols>
    <col min="1" max="1" width="18.42578125" customWidth="1"/>
    <col min="2" max="55" width="0.85546875" customWidth="1"/>
    <col min="56" max="56" width="4.85546875" customWidth="1"/>
    <col min="57" max="57" width="7.42578125" customWidth="1"/>
    <col min="58" max="58" width="4.85546875" customWidth="1"/>
    <col min="59" max="59" width="7.42578125" customWidth="1"/>
    <col min="60" max="60" width="4.85546875" customWidth="1"/>
    <col min="61" max="61" width="7.42578125" customWidth="1"/>
    <col min="62" max="62" width="4.85546875" customWidth="1"/>
    <col min="63" max="63" width="7.42578125" customWidth="1"/>
    <col min="64" max="64" width="4.85546875" customWidth="1"/>
    <col min="65" max="65" width="7.42578125" customWidth="1"/>
    <col min="66" max="66" width="9" hidden="1" customWidth="1"/>
  </cols>
  <sheetData>
    <row r="1" spans="1:65" ht="23.25">
      <c r="A1" s="1261" t="s">
        <v>178</v>
      </c>
      <c r="B1" s="1261"/>
      <c r="C1" s="1261"/>
      <c r="D1" s="1261"/>
      <c r="E1" s="1261"/>
      <c r="F1" s="1261"/>
      <c r="G1" s="1261"/>
      <c r="H1" s="1261"/>
      <c r="I1" s="1261"/>
      <c r="J1" s="1261"/>
      <c r="K1" s="1261"/>
      <c r="L1" s="1261"/>
      <c r="M1" s="1261"/>
      <c r="N1" s="1261"/>
      <c r="O1" s="1261"/>
      <c r="P1" s="1261"/>
      <c r="Q1" s="1261"/>
      <c r="R1" s="1261"/>
      <c r="S1" s="1261"/>
      <c r="T1" s="1261"/>
      <c r="U1" s="1261"/>
      <c r="V1" s="1261"/>
      <c r="W1" s="1261"/>
      <c r="X1" s="1261"/>
      <c r="Y1" s="1261"/>
      <c r="Z1" s="1261"/>
      <c r="AA1" s="1261"/>
      <c r="AB1" s="1261"/>
      <c r="AC1" s="1261"/>
      <c r="AD1" s="1261"/>
      <c r="AE1" s="1261"/>
      <c r="AF1" s="1261"/>
      <c r="AG1" s="1261"/>
      <c r="AH1" s="1261"/>
      <c r="AI1" s="1261"/>
      <c r="AJ1" s="1261"/>
      <c r="AK1" s="1261"/>
      <c r="AL1" s="1261"/>
      <c r="AM1" s="1261"/>
      <c r="AN1" s="1261"/>
      <c r="AO1" s="1261"/>
      <c r="AP1" s="1261"/>
      <c r="AQ1" s="1261"/>
      <c r="AR1" s="1261"/>
      <c r="AS1" s="1261"/>
      <c r="AT1" s="1261"/>
      <c r="AU1" s="1261"/>
      <c r="AV1" s="1261"/>
      <c r="AW1" s="1261"/>
      <c r="AX1" s="1261"/>
      <c r="AY1" s="1261"/>
      <c r="AZ1" s="1261"/>
      <c r="BA1" s="1261"/>
      <c r="BB1" s="1261"/>
      <c r="BC1" s="1261"/>
      <c r="BD1" s="1261"/>
      <c r="BE1" s="1261"/>
      <c r="BF1" s="1261"/>
      <c r="BG1" s="1261"/>
      <c r="BH1" s="1261"/>
      <c r="BI1" s="1261"/>
      <c r="BJ1" s="1261"/>
      <c r="BK1" s="1261"/>
      <c r="BL1" s="1261"/>
      <c r="BM1" s="1261"/>
    </row>
    <row r="2" spans="1:65" ht="18">
      <c r="A2" s="1256" t="s">
        <v>179</v>
      </c>
      <c r="B2" s="1256"/>
      <c r="C2" s="1256"/>
      <c r="D2" s="1256"/>
      <c r="E2" s="1256"/>
      <c r="F2" s="1256"/>
      <c r="G2" s="1256"/>
      <c r="H2" s="1256"/>
      <c r="I2" s="1256"/>
      <c r="J2" s="1256"/>
      <c r="K2" s="1256"/>
      <c r="L2" s="1256"/>
      <c r="M2" s="1256"/>
      <c r="N2" s="1256"/>
      <c r="O2" s="1256"/>
      <c r="P2" s="1256"/>
      <c r="Q2" s="1256"/>
      <c r="R2" s="1256"/>
      <c r="S2" s="1256"/>
      <c r="T2" s="1256"/>
      <c r="U2" s="1256"/>
      <c r="V2" s="1256"/>
      <c r="W2" s="1256"/>
      <c r="X2" s="1256"/>
      <c r="Y2" s="1256"/>
      <c r="Z2" s="1256"/>
      <c r="AA2" s="1256"/>
      <c r="AB2" s="1256"/>
      <c r="AC2" s="1256"/>
      <c r="AD2" s="1256"/>
      <c r="AE2" s="1256"/>
      <c r="AF2" s="1256"/>
      <c r="AG2" s="1256"/>
      <c r="AH2" s="1256"/>
      <c r="AI2" s="1256"/>
      <c r="AJ2" s="1256"/>
      <c r="AK2" s="1256"/>
      <c r="AL2" s="1256"/>
      <c r="AM2" s="1256"/>
      <c r="AN2" s="1256"/>
      <c r="AO2" s="1256"/>
      <c r="AP2" s="1256"/>
      <c r="AQ2" s="1256"/>
      <c r="AR2" s="1256"/>
      <c r="AS2" s="1256"/>
      <c r="AT2" s="1256"/>
      <c r="AU2" s="1256"/>
      <c r="AV2" s="1256"/>
      <c r="AW2" s="1256"/>
      <c r="AX2" s="1256"/>
      <c r="AY2" s="1256"/>
      <c r="AZ2" s="1256"/>
      <c r="BA2" s="1256"/>
      <c r="BB2" s="1256"/>
      <c r="BC2" s="1256"/>
      <c r="BD2" s="1256"/>
      <c r="BE2" s="1256"/>
      <c r="BF2" s="1256"/>
      <c r="BG2" s="1256"/>
      <c r="BH2" s="1256"/>
      <c r="BI2" s="1256"/>
      <c r="BJ2" s="1256"/>
      <c r="BK2" s="1256"/>
      <c r="BL2" s="1256"/>
      <c r="BM2" s="1256"/>
    </row>
    <row r="3" spans="1:65" ht="15" customHeight="1">
      <c r="A3" s="1256" t="s">
        <v>292</v>
      </c>
      <c r="B3" s="1256"/>
      <c r="C3" s="1256"/>
      <c r="D3" s="1256"/>
      <c r="E3" s="1256"/>
      <c r="F3" s="1256"/>
      <c r="G3" s="1256"/>
      <c r="H3" s="1256"/>
      <c r="I3" s="1256"/>
      <c r="J3" s="1256"/>
      <c r="K3" s="1256"/>
      <c r="L3" s="1256"/>
      <c r="M3" s="1256"/>
      <c r="N3" s="1256"/>
      <c r="O3" s="1256"/>
      <c r="P3" s="1256"/>
      <c r="Q3" s="1256"/>
      <c r="R3" s="1256"/>
      <c r="S3" s="1256"/>
      <c r="T3" s="1256"/>
      <c r="U3" s="1256"/>
      <c r="V3" s="1256"/>
      <c r="W3" s="1256"/>
      <c r="X3" s="1256"/>
      <c r="Y3" s="1256"/>
      <c r="Z3" s="1256"/>
      <c r="AA3" s="1256"/>
      <c r="AB3" s="1256"/>
      <c r="AC3" s="1256"/>
      <c r="AD3" s="1256"/>
      <c r="AE3" s="1256"/>
      <c r="AF3" s="1256"/>
      <c r="AG3" s="1256"/>
      <c r="AH3" s="1256"/>
      <c r="AI3" s="1256"/>
      <c r="AJ3" s="1256"/>
      <c r="AK3" s="1256"/>
      <c r="AL3" s="1256"/>
      <c r="AM3" s="1256"/>
      <c r="AN3" s="1256"/>
      <c r="AO3" s="1256"/>
      <c r="AP3" s="1256"/>
      <c r="AQ3" s="1256"/>
      <c r="AR3" s="1256"/>
      <c r="AS3" s="1256"/>
      <c r="AT3" s="1256"/>
      <c r="AU3" s="1256"/>
      <c r="AV3" s="1256"/>
      <c r="AW3" s="1256"/>
      <c r="AX3" s="1256"/>
      <c r="AY3" s="1256"/>
      <c r="AZ3" s="1256"/>
      <c r="BA3" s="1256"/>
      <c r="BB3" s="1256"/>
      <c r="BC3" s="1256"/>
      <c r="BD3" s="1256"/>
      <c r="BE3" s="1256"/>
      <c r="BF3" s="1256"/>
      <c r="BG3" s="1256"/>
      <c r="BH3" s="1256"/>
      <c r="BI3" s="1256"/>
      <c r="BJ3" s="1256"/>
      <c r="BK3" s="1256"/>
      <c r="BL3" s="1256"/>
      <c r="BM3" s="1256"/>
    </row>
    <row r="4" spans="1:65" ht="18">
      <c r="A4" s="1256" t="s">
        <v>293</v>
      </c>
      <c r="B4" s="1256"/>
      <c r="C4" s="1256"/>
      <c r="D4" s="1256"/>
      <c r="E4" s="1256"/>
      <c r="F4" s="1256"/>
      <c r="G4" s="1256"/>
      <c r="H4" s="1256"/>
      <c r="I4" s="1256"/>
      <c r="J4" s="1256"/>
      <c r="K4" s="1256"/>
      <c r="L4" s="1256"/>
      <c r="M4" s="1256"/>
      <c r="N4" s="1256"/>
      <c r="O4" s="1256"/>
      <c r="P4" s="1256"/>
      <c r="Q4" s="1256"/>
      <c r="R4" s="1256"/>
      <c r="S4" s="1256"/>
      <c r="T4" s="1256"/>
      <c r="U4" s="1256"/>
      <c r="V4" s="1256"/>
      <c r="W4" s="1256"/>
      <c r="X4" s="1256"/>
      <c r="Y4" s="1256"/>
      <c r="Z4" s="1256"/>
      <c r="AA4" s="1256"/>
      <c r="AB4" s="1256"/>
      <c r="AC4" s="1256"/>
      <c r="AD4" s="1256"/>
      <c r="AE4" s="1256"/>
      <c r="AF4" s="1256"/>
      <c r="AG4" s="1256"/>
      <c r="AH4" s="1256"/>
      <c r="AI4" s="1256"/>
      <c r="AJ4" s="1256"/>
      <c r="AK4" s="1256"/>
      <c r="AL4" s="1256"/>
      <c r="AM4" s="1256"/>
      <c r="AN4" s="1256"/>
      <c r="AO4" s="1256"/>
      <c r="AP4" s="1256"/>
      <c r="AQ4" s="1256"/>
      <c r="AR4" s="1256"/>
      <c r="AS4" s="1256"/>
      <c r="AT4" s="1256"/>
      <c r="AU4" s="1256"/>
      <c r="AV4" s="1256"/>
      <c r="AW4" s="1256"/>
      <c r="AX4" s="1256"/>
      <c r="AY4" s="1256"/>
      <c r="AZ4" s="1256"/>
      <c r="BA4" s="1256"/>
      <c r="BB4" s="1256"/>
      <c r="BC4" s="1256"/>
      <c r="BD4" s="1256"/>
      <c r="BE4" s="1256"/>
      <c r="BF4" s="1256"/>
      <c r="BG4" s="1256"/>
      <c r="BH4" s="1256"/>
      <c r="BI4" s="1256"/>
      <c r="BJ4" s="1256"/>
      <c r="BK4" s="1256"/>
      <c r="BL4" s="1256"/>
      <c r="BM4" s="1256"/>
    </row>
    <row r="5" spans="1:65" ht="9" customHeight="1">
      <c r="A5" s="63"/>
      <c r="B5" s="1256"/>
      <c r="C5" s="1256"/>
      <c r="D5" s="1256"/>
      <c r="E5" s="1256"/>
      <c r="F5" s="1256"/>
      <c r="G5" s="1256"/>
      <c r="H5" s="1256"/>
      <c r="I5" s="1256"/>
      <c r="J5" s="1256"/>
      <c r="K5" s="1256"/>
      <c r="L5" s="1256"/>
      <c r="M5" s="1256"/>
      <c r="N5" s="1256"/>
      <c r="O5" s="1256"/>
      <c r="P5" s="1256"/>
      <c r="Q5" s="1256"/>
      <c r="R5" s="1256"/>
      <c r="S5" s="1256"/>
      <c r="T5" s="1256"/>
      <c r="U5" s="1256"/>
      <c r="V5" s="1256"/>
      <c r="W5" s="1256"/>
      <c r="X5" s="1256"/>
      <c r="Y5" s="1256"/>
      <c r="Z5" s="1256"/>
      <c r="AA5" s="1256"/>
      <c r="AB5" s="1256"/>
      <c r="AC5" s="1256"/>
      <c r="AD5" s="1256"/>
      <c r="AE5" s="1256"/>
      <c r="AF5" s="1256"/>
      <c r="AG5" s="1256"/>
      <c r="AH5" s="1256"/>
      <c r="AI5" s="1256"/>
      <c r="AJ5" s="1256"/>
      <c r="AK5" s="1256"/>
      <c r="AL5" s="1256"/>
      <c r="AM5" s="1256"/>
      <c r="AN5" s="1256"/>
      <c r="AO5" s="1256"/>
      <c r="AP5" s="1256"/>
      <c r="AQ5" s="1256"/>
      <c r="AR5" s="1256"/>
      <c r="AS5" s="1256"/>
      <c r="AT5" s="1256"/>
      <c r="AU5" s="1256"/>
      <c r="AV5" s="1256"/>
      <c r="AW5" s="1256"/>
      <c r="AX5" s="1256"/>
      <c r="AY5" s="1256"/>
      <c r="AZ5" s="1256"/>
      <c r="BA5" s="1256"/>
      <c r="BB5" s="1256"/>
      <c r="BC5" s="1256"/>
      <c r="BD5" s="1256"/>
      <c r="BE5" s="1115"/>
      <c r="BF5" s="1115"/>
      <c r="BG5" s="1115"/>
      <c r="BH5" s="1115"/>
      <c r="BI5" s="1115"/>
      <c r="BJ5" s="1115"/>
      <c r="BK5" s="1115"/>
      <c r="BL5" s="1115"/>
      <c r="BM5" s="1115"/>
    </row>
    <row r="6" spans="1:65">
      <c r="A6" s="526" t="s">
        <v>294</v>
      </c>
      <c r="B6" s="1307" t="s">
        <v>295</v>
      </c>
      <c r="C6" s="1307"/>
      <c r="D6" s="1307"/>
      <c r="E6" s="1307"/>
      <c r="F6" s="1307"/>
      <c r="G6" s="1307"/>
      <c r="H6" s="1307"/>
      <c r="I6" s="1307"/>
      <c r="J6" s="1307"/>
      <c r="K6" s="1307"/>
      <c r="L6" s="1307"/>
      <c r="M6" s="1307"/>
      <c r="N6" s="1307"/>
      <c r="O6" s="1307"/>
      <c r="P6" s="1307"/>
      <c r="Q6" s="1307"/>
      <c r="R6" s="1307"/>
      <c r="S6" s="1307"/>
      <c r="T6" s="1307"/>
      <c r="U6" s="1307"/>
      <c r="V6" s="1307"/>
      <c r="W6" s="1307"/>
      <c r="X6" s="1307"/>
      <c r="Y6" s="1307"/>
      <c r="Z6" s="1307"/>
      <c r="AA6" s="1307"/>
      <c r="AB6" s="1307"/>
      <c r="AC6" s="1307"/>
      <c r="AD6" s="1307"/>
      <c r="AE6" s="1307"/>
      <c r="AF6" s="1307"/>
      <c r="AG6" s="1307"/>
      <c r="AH6" s="1307"/>
      <c r="AI6" s="1307"/>
      <c r="AJ6" s="1307"/>
      <c r="AK6" s="1307"/>
      <c r="AL6" s="1307"/>
      <c r="AM6" s="1307"/>
      <c r="AN6" s="1307"/>
      <c r="AO6" s="1307"/>
      <c r="AP6" s="1307"/>
      <c r="AQ6" s="1307"/>
      <c r="AR6" s="1307"/>
      <c r="AS6" s="1307"/>
      <c r="AT6" s="1307"/>
      <c r="AU6" s="1307"/>
      <c r="AV6" s="1307"/>
      <c r="AW6" s="1307"/>
      <c r="AX6" s="1307"/>
      <c r="AY6" s="1307"/>
      <c r="AZ6" s="1307"/>
      <c r="BA6" s="1307"/>
      <c r="BB6" s="1308"/>
      <c r="BC6" s="1308"/>
      <c r="BD6" s="1116" t="s">
        <v>296</v>
      </c>
      <c r="BE6" s="1116"/>
      <c r="BF6" s="1116"/>
      <c r="BH6" s="1309">
        <v>5601</v>
      </c>
      <c r="BI6" s="1309"/>
      <c r="BJ6" s="529"/>
      <c r="BK6" s="1115"/>
      <c r="BL6" s="65"/>
    </row>
    <row r="7" spans="1:65">
      <c r="A7" s="1310"/>
      <c r="B7" s="1310"/>
      <c r="C7" s="1310"/>
      <c r="D7" s="1310"/>
      <c r="E7" s="1310"/>
      <c r="F7" s="1310"/>
      <c r="G7" s="1310"/>
      <c r="H7" s="1310"/>
      <c r="I7" s="1310"/>
      <c r="J7" s="1310"/>
      <c r="K7" s="1310"/>
      <c r="L7" s="1310"/>
      <c r="M7" s="1310"/>
      <c r="N7" s="1310"/>
      <c r="O7" s="1310"/>
      <c r="P7" s="1310"/>
      <c r="Q7" s="1310"/>
      <c r="R7" s="1310"/>
      <c r="S7" s="1310"/>
      <c r="T7" s="1310"/>
      <c r="U7" s="1310"/>
      <c r="V7" s="1310"/>
      <c r="W7" s="1310"/>
      <c r="X7" s="1310"/>
      <c r="Y7" s="1310"/>
      <c r="Z7" s="1310"/>
      <c r="AA7" s="1310"/>
      <c r="AB7" s="1310"/>
      <c r="AC7" s="1310"/>
      <c r="AD7" s="1310"/>
      <c r="AE7" s="1310"/>
      <c r="AF7" s="1310"/>
      <c r="AG7" s="1310"/>
      <c r="AH7" s="1310"/>
      <c r="AI7" s="1310"/>
      <c r="AJ7" s="1310"/>
      <c r="AK7" s="1310"/>
      <c r="AL7" s="1310"/>
      <c r="AM7" s="1310"/>
      <c r="AN7" s="1310"/>
      <c r="AO7" s="1310"/>
      <c r="AP7" s="1310"/>
      <c r="AQ7" s="1310"/>
      <c r="AR7" s="1310"/>
      <c r="AS7" s="1310"/>
      <c r="AT7" s="1310"/>
      <c r="AU7" s="1310"/>
      <c r="AV7" s="1310"/>
      <c r="AW7" s="1310"/>
      <c r="AX7" s="1310"/>
      <c r="AY7" s="1310"/>
      <c r="AZ7" s="1310"/>
      <c r="BA7" s="1310"/>
      <c r="BB7" s="1310"/>
      <c r="BC7" s="1310"/>
      <c r="BD7" s="1310"/>
      <c r="BE7" s="1310"/>
      <c r="BF7" s="1310"/>
      <c r="BG7" s="1310"/>
      <c r="BH7" s="1310"/>
      <c r="BI7" s="1310"/>
      <c r="BJ7" s="1310"/>
      <c r="BK7" s="1310"/>
      <c r="BL7" s="1310"/>
      <c r="BM7" s="1310"/>
    </row>
    <row r="8" spans="1:65">
      <c r="A8" s="1117" t="s">
        <v>185</v>
      </c>
      <c r="B8" s="1118" t="s">
        <v>297</v>
      </c>
      <c r="C8" s="1119"/>
      <c r="D8" s="1119"/>
      <c r="E8" s="1119"/>
      <c r="F8" s="1120"/>
      <c r="G8" s="1120"/>
      <c r="H8" s="1120"/>
      <c r="I8" s="1120"/>
      <c r="J8" s="1120"/>
      <c r="K8" s="1120"/>
      <c r="L8" s="1120"/>
      <c r="M8" s="1120"/>
      <c r="N8" s="1120"/>
      <c r="O8" s="1120"/>
      <c r="P8" s="1120"/>
      <c r="Q8" s="1120"/>
      <c r="R8" s="1120"/>
      <c r="S8" s="1120"/>
      <c r="T8" s="1120"/>
      <c r="U8" s="527"/>
      <c r="V8" s="1311"/>
      <c r="W8" s="1311"/>
      <c r="X8" s="1311"/>
      <c r="Y8" s="1311"/>
      <c r="Z8" s="1311"/>
      <c r="AA8" s="1311"/>
      <c r="AB8" s="1311"/>
      <c r="AC8" s="1311"/>
      <c r="AD8" s="1311"/>
      <c r="AE8" s="1311"/>
      <c r="AF8" s="1311"/>
      <c r="AG8" s="1311"/>
      <c r="AH8" s="1311"/>
      <c r="AI8" s="1311"/>
      <c r="AJ8" s="1311"/>
      <c r="AK8" s="1311"/>
      <c r="AL8" s="1311"/>
      <c r="AM8" s="1311"/>
      <c r="AN8" s="1311"/>
      <c r="AO8" s="1311"/>
      <c r="AP8" s="1311"/>
      <c r="AQ8" s="1311"/>
      <c r="AR8" s="1311"/>
      <c r="AS8" s="1311"/>
      <c r="AT8" s="1311"/>
      <c r="AU8" s="1311"/>
      <c r="AV8" s="1311"/>
      <c r="AW8" s="1311"/>
      <c r="AX8" s="1311"/>
      <c r="AY8" s="1311"/>
      <c r="AZ8" s="1311"/>
      <c r="BA8" s="1311"/>
      <c r="BB8" s="1311"/>
      <c r="BC8" s="1311"/>
      <c r="BD8" s="1121" t="s">
        <v>298</v>
      </c>
      <c r="BE8" s="1122"/>
      <c r="BF8" s="1122"/>
      <c r="BG8" s="1122"/>
      <c r="BH8" s="1122"/>
      <c r="BI8" s="1122"/>
      <c r="BJ8" s="529"/>
      <c r="BK8" s="62"/>
      <c r="BL8" s="67"/>
    </row>
    <row r="9" spans="1:65" ht="14.25" customHeight="1">
      <c r="A9" s="1312"/>
      <c r="B9" s="1312"/>
      <c r="C9" s="1312"/>
      <c r="D9" s="1312"/>
      <c r="E9" s="1312"/>
      <c r="F9" s="1312"/>
      <c r="G9" s="1312"/>
      <c r="H9" s="1312"/>
      <c r="I9" s="1312"/>
      <c r="J9" s="1312"/>
      <c r="K9" s="1312"/>
      <c r="L9" s="1312"/>
      <c r="M9" s="1312"/>
      <c r="N9" s="1312"/>
      <c r="O9" s="1312"/>
      <c r="P9" s="1312"/>
      <c r="Q9" s="1312"/>
      <c r="R9" s="1312"/>
      <c r="S9" s="1312"/>
      <c r="T9" s="1312"/>
      <c r="U9" s="1312"/>
      <c r="V9" s="1312"/>
      <c r="W9" s="1312"/>
      <c r="X9" s="1312"/>
      <c r="Y9" s="1312"/>
      <c r="Z9" s="1312"/>
      <c r="AA9" s="1312"/>
      <c r="AB9" s="1312"/>
      <c r="AC9" s="1312"/>
      <c r="AD9" s="1312"/>
      <c r="AE9" s="1312"/>
      <c r="AF9" s="1312"/>
      <c r="AG9" s="1312"/>
      <c r="AH9" s="1312"/>
      <c r="AI9" s="1312"/>
      <c r="AJ9" s="1312"/>
      <c r="AK9" s="1312"/>
      <c r="AL9" s="1312"/>
      <c r="AM9" s="1312"/>
      <c r="AN9" s="1312"/>
      <c r="AO9" s="1312"/>
      <c r="AP9" s="1312"/>
      <c r="AQ9" s="1312"/>
      <c r="AR9" s="1312"/>
      <c r="AS9" s="1312"/>
      <c r="AT9" s="1312"/>
      <c r="AU9" s="1312"/>
      <c r="AV9" s="1312"/>
      <c r="AW9" s="1312"/>
      <c r="AX9" s="1312"/>
      <c r="AY9" s="1312"/>
      <c r="AZ9" s="1312"/>
      <c r="BA9" s="1312"/>
      <c r="BB9" s="1312"/>
      <c r="BC9" s="1312"/>
      <c r="BD9" s="1312"/>
      <c r="BE9" s="1312"/>
      <c r="BF9" s="1312"/>
      <c r="BG9" s="1312"/>
      <c r="BH9" s="1312"/>
      <c r="BI9" s="1312"/>
      <c r="BJ9" s="1312"/>
      <c r="BK9" s="1312"/>
      <c r="BL9" s="1312"/>
      <c r="BM9" s="1312"/>
    </row>
    <row r="10" spans="1:65" ht="17.100000000000001" customHeight="1">
      <c r="A10" s="207" t="s">
        <v>129</v>
      </c>
      <c r="B10" s="92"/>
      <c r="C10" s="92"/>
      <c r="D10" s="92"/>
      <c r="E10" s="92"/>
      <c r="F10" s="1123"/>
      <c r="G10" s="366" t="s">
        <v>299</v>
      </c>
      <c r="H10" s="366"/>
      <c r="I10" s="366"/>
      <c r="J10" s="366"/>
      <c r="K10" s="366"/>
      <c r="L10" s="366"/>
      <c r="M10" s="366"/>
      <c r="N10" s="366"/>
      <c r="O10" s="366"/>
      <c r="P10" s="366"/>
      <c r="Q10" s="366"/>
      <c r="R10" s="366"/>
      <c r="S10" s="366"/>
      <c r="T10" s="366"/>
      <c r="U10" s="366"/>
      <c r="V10" s="366"/>
      <c r="W10" s="366"/>
      <c r="X10" s="366"/>
      <c r="Y10" s="366"/>
      <c r="Z10" s="366"/>
      <c r="AA10" s="366"/>
      <c r="AB10" s="366"/>
      <c r="AC10" s="366"/>
      <c r="AD10" s="366"/>
      <c r="AE10" s="1124"/>
      <c r="AF10" s="1124"/>
      <c r="AG10" s="1124"/>
      <c r="AH10" s="366"/>
      <c r="AI10" s="67"/>
      <c r="AJ10" s="1313"/>
      <c r="AK10" s="1313"/>
      <c r="AL10" s="1313"/>
      <c r="AM10" s="1313"/>
      <c r="AN10" s="1313"/>
      <c r="AO10" s="1313"/>
      <c r="AP10" s="1313"/>
      <c r="AQ10" s="1313"/>
      <c r="AR10" s="1313"/>
      <c r="AS10" s="1313"/>
      <c r="AT10" s="1313"/>
      <c r="AU10" s="1313"/>
      <c r="AV10" s="1313"/>
      <c r="AW10" s="1313"/>
      <c r="AX10" s="1313"/>
      <c r="AY10" s="1313"/>
      <c r="AZ10" s="1313"/>
      <c r="BA10" s="1313"/>
      <c r="BB10" s="1313"/>
      <c r="BC10" s="1313"/>
      <c r="BD10" s="66" t="s">
        <v>300</v>
      </c>
      <c r="BE10" s="65"/>
      <c r="BI10" s="1120" t="s">
        <v>301</v>
      </c>
      <c r="BJ10" s="325"/>
      <c r="BK10" s="325"/>
      <c r="BL10" s="1125"/>
      <c r="BM10" s="1125"/>
    </row>
    <row r="11" spans="1:65" ht="15" customHeight="1" thickBot="1">
      <c r="A11" s="68"/>
      <c r="B11" s="207"/>
      <c r="C11" s="207"/>
      <c r="D11" s="207"/>
      <c r="E11" s="207"/>
      <c r="F11" s="1126"/>
      <c r="G11" s="1126"/>
      <c r="H11" s="1126"/>
      <c r="I11" s="1126"/>
      <c r="J11" s="1126"/>
      <c r="K11" s="1126"/>
      <c r="L11" s="1126"/>
      <c r="M11" s="1126"/>
      <c r="N11" s="1126"/>
      <c r="O11" s="1126"/>
      <c r="P11" s="1126"/>
      <c r="Q11" s="1126"/>
      <c r="R11" s="1126"/>
      <c r="S11" s="1126"/>
      <c r="T11" s="1126"/>
      <c r="U11" s="1126"/>
      <c r="V11" s="1126"/>
      <c r="W11" s="1126"/>
      <c r="X11" s="1126"/>
      <c r="Y11" s="1126"/>
      <c r="Z11" s="1126"/>
      <c r="AA11" s="1126"/>
      <c r="AB11" s="1126"/>
      <c r="AC11" s="1126"/>
      <c r="AD11" s="1126"/>
      <c r="AE11" s="1126"/>
      <c r="AF11" s="1126"/>
      <c r="AG11" s="1126"/>
      <c r="BD11" s="69"/>
      <c r="BE11" s="69"/>
      <c r="BF11" s="69"/>
      <c r="BG11" s="69"/>
      <c r="BH11" s="69"/>
      <c r="BI11" s="69"/>
      <c r="BJ11" s="69"/>
      <c r="BK11" s="69"/>
      <c r="BL11" s="69"/>
      <c r="BM11" s="69"/>
    </row>
    <row r="12" spans="1:65" ht="15" customHeight="1">
      <c r="A12" s="1127"/>
      <c r="B12" s="1128"/>
      <c r="C12" s="1128"/>
      <c r="D12" s="1128"/>
      <c r="E12" s="1128"/>
      <c r="F12" s="1129"/>
      <c r="G12" s="1129"/>
      <c r="H12" s="1129"/>
      <c r="I12" s="1129"/>
      <c r="J12" s="1129"/>
      <c r="K12" s="1129"/>
      <c r="L12" s="1129"/>
      <c r="M12" s="1129"/>
      <c r="N12" s="1129"/>
      <c r="O12" s="1129"/>
      <c r="P12" s="1129"/>
      <c r="Q12" s="1129"/>
      <c r="R12" s="1129"/>
      <c r="S12" s="1129"/>
      <c r="T12" s="1129"/>
      <c r="U12" s="1129"/>
      <c r="V12" s="1129"/>
      <c r="W12" s="1129"/>
      <c r="X12" s="1129"/>
      <c r="Y12" s="1129"/>
      <c r="Z12" s="1129"/>
      <c r="AA12" s="1129"/>
      <c r="AB12" s="1129"/>
      <c r="AC12" s="1129"/>
      <c r="AD12" s="1129"/>
      <c r="AE12" s="1129"/>
      <c r="AF12" s="1129"/>
      <c r="AG12" s="1129"/>
      <c r="AH12" s="1130"/>
      <c r="AI12" s="1130"/>
      <c r="AJ12" s="1130"/>
      <c r="AK12" s="1130"/>
      <c r="AL12" s="1130"/>
      <c r="AM12" s="1130"/>
      <c r="AN12" s="1130"/>
      <c r="AO12" s="1130"/>
      <c r="AP12" s="1130"/>
      <c r="AQ12" s="1130"/>
      <c r="AR12" s="1130"/>
      <c r="AS12" s="1130"/>
      <c r="AT12" s="1130"/>
      <c r="AU12" s="1130"/>
      <c r="AV12" s="1130"/>
      <c r="AW12" s="1130"/>
      <c r="AX12" s="1130"/>
      <c r="AY12" s="1130"/>
      <c r="AZ12" s="1130"/>
      <c r="BA12" s="1130"/>
      <c r="BB12" s="1130"/>
      <c r="BC12" s="1130"/>
      <c r="BD12" s="1131"/>
      <c r="BE12" s="1131"/>
      <c r="BF12" s="1131"/>
      <c r="BG12" s="1131"/>
      <c r="BH12" s="1131"/>
      <c r="BI12" s="1131"/>
      <c r="BJ12" s="1131"/>
      <c r="BK12" s="1131"/>
      <c r="BL12" s="70"/>
      <c r="BM12" s="71"/>
    </row>
    <row r="13" spans="1:65" ht="15" customHeight="1">
      <c r="A13" s="9"/>
      <c r="B13" s="65"/>
      <c r="C13" s="65"/>
      <c r="D13" s="65"/>
      <c r="E13" s="65"/>
      <c r="F13" s="1126"/>
      <c r="G13" s="1126"/>
      <c r="H13" s="1126"/>
      <c r="I13" s="1126"/>
      <c r="J13" s="1126"/>
      <c r="K13" s="1126"/>
      <c r="L13" s="1126"/>
      <c r="M13" s="1126"/>
      <c r="N13" s="1126"/>
      <c r="O13" s="1126"/>
      <c r="P13" s="1126"/>
      <c r="Q13" s="1126"/>
      <c r="R13" s="1126"/>
      <c r="S13" s="1126"/>
      <c r="T13" s="1126"/>
      <c r="U13" s="1126"/>
      <c r="V13" s="1126"/>
      <c r="W13" s="1126"/>
      <c r="X13" s="1126"/>
      <c r="Y13" s="1126"/>
      <c r="Z13" s="1126"/>
      <c r="AA13" s="1126"/>
      <c r="AB13" s="1126"/>
      <c r="AC13" s="1126"/>
      <c r="AD13" s="1126"/>
      <c r="AE13" s="1126"/>
      <c r="AF13" s="1126"/>
      <c r="AG13" s="1126"/>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1"/>
      <c r="BM13" s="72"/>
    </row>
    <row r="14" spans="1:65" ht="15" customHeight="1">
      <c r="A14" s="9"/>
      <c r="F14" s="1126"/>
      <c r="G14" s="1126"/>
      <c r="H14" s="1126"/>
      <c r="I14" s="1126"/>
      <c r="J14" s="1126"/>
      <c r="K14" s="1126"/>
      <c r="L14" s="1126"/>
      <c r="M14" s="1126"/>
      <c r="N14" s="1126"/>
      <c r="O14" s="1126"/>
      <c r="P14" s="1126"/>
      <c r="Q14" s="1126"/>
      <c r="R14" s="1126"/>
      <c r="S14" s="1126"/>
      <c r="T14" s="1126"/>
      <c r="U14" s="1126"/>
      <c r="V14" s="1126"/>
      <c r="W14" s="1126"/>
      <c r="X14" s="1126"/>
      <c r="Y14" s="1126"/>
      <c r="Z14" s="1126"/>
      <c r="AA14" s="1126"/>
      <c r="AB14" s="1126"/>
      <c r="AC14" s="1126"/>
      <c r="AD14" s="1126"/>
      <c r="AE14" s="1126"/>
      <c r="AF14" s="1126"/>
      <c r="AG14" s="1126"/>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1"/>
      <c r="BM14" s="72"/>
    </row>
    <row r="15" spans="1:65" ht="15" customHeight="1">
      <c r="A15" s="9"/>
      <c r="B15" s="65"/>
      <c r="C15" s="65"/>
      <c r="D15" s="65"/>
      <c r="E15" s="65"/>
      <c r="F15" s="1126"/>
      <c r="G15" s="1126"/>
      <c r="H15" s="1126"/>
      <c r="I15" s="1126"/>
      <c r="J15" s="1126"/>
      <c r="K15" s="1126"/>
      <c r="L15" s="1126"/>
      <c r="M15" s="1126"/>
      <c r="N15" s="1126"/>
      <c r="O15" s="1126"/>
      <c r="P15" s="1126"/>
      <c r="Q15" s="1126"/>
      <c r="R15" s="1126"/>
      <c r="S15" s="1126"/>
      <c r="T15" s="1126"/>
      <c r="U15" s="1126"/>
      <c r="V15" s="1126"/>
      <c r="W15" s="1126"/>
      <c r="X15" s="1126"/>
      <c r="Y15" s="1126"/>
      <c r="Z15" s="1126"/>
      <c r="AA15" s="1126"/>
      <c r="AB15" s="1126"/>
      <c r="AC15" s="1126"/>
      <c r="AD15" s="1126"/>
      <c r="AE15" s="1126"/>
      <c r="AF15" s="1126"/>
      <c r="AG15" s="1126"/>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1"/>
      <c r="BM15" s="72"/>
    </row>
    <row r="16" spans="1:65" ht="15" customHeight="1">
      <c r="A16" s="9"/>
      <c r="B16" s="65"/>
      <c r="C16" s="65"/>
      <c r="D16" s="65"/>
      <c r="E16" s="65"/>
      <c r="F16" s="1126"/>
      <c r="G16" s="1126"/>
      <c r="H16" s="1126"/>
      <c r="I16" s="1126"/>
      <c r="J16" s="1126"/>
      <c r="K16" s="1126"/>
      <c r="L16" s="1126"/>
      <c r="M16" s="1126"/>
      <c r="N16" s="1126"/>
      <c r="O16" s="1126"/>
      <c r="P16" s="1126"/>
      <c r="Q16" s="1126"/>
      <c r="R16" s="1126"/>
      <c r="S16" s="1126"/>
      <c r="T16" s="1126"/>
      <c r="U16" s="1126"/>
      <c r="V16" s="1126"/>
      <c r="W16" s="1126"/>
      <c r="X16" s="1126"/>
      <c r="Y16" s="1126"/>
      <c r="Z16" s="1126"/>
      <c r="AA16" s="1126"/>
      <c r="AB16" s="1126"/>
      <c r="AC16" s="1126"/>
      <c r="AD16" s="1126"/>
      <c r="AE16" s="1126"/>
      <c r="AF16" s="1126"/>
      <c r="AG16" s="1126"/>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1"/>
      <c r="BM16" s="72"/>
    </row>
    <row r="17" spans="1:65" ht="15" customHeight="1">
      <c r="A17" s="1132"/>
      <c r="B17" s="65"/>
      <c r="C17" s="65"/>
      <c r="D17" s="65"/>
      <c r="E17" s="65"/>
      <c r="F17" s="1126"/>
      <c r="G17" s="1126"/>
      <c r="H17" s="1126"/>
      <c r="I17" s="1126"/>
      <c r="J17" s="1126"/>
      <c r="K17" s="1126"/>
      <c r="L17" s="1126"/>
      <c r="M17" s="1126"/>
      <c r="N17" s="1126"/>
      <c r="O17" s="1126"/>
      <c r="P17" s="1126"/>
      <c r="Q17" s="1126"/>
      <c r="R17" s="1126"/>
      <c r="S17" s="1126"/>
      <c r="T17" s="1126"/>
      <c r="U17" s="1126"/>
      <c r="V17" s="1126"/>
      <c r="W17" s="1126"/>
      <c r="X17" s="1126"/>
      <c r="Y17" s="1126"/>
      <c r="Z17" s="1126"/>
      <c r="AA17" s="1126"/>
      <c r="AB17" s="1126"/>
      <c r="AC17" s="1126"/>
      <c r="AD17" s="1126"/>
      <c r="AE17" s="1126"/>
      <c r="AF17" s="1126"/>
      <c r="AG17" s="1126"/>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1"/>
      <c r="BM17" s="72"/>
    </row>
    <row r="18" spans="1:65" ht="15" customHeight="1">
      <c r="A18" s="1132"/>
      <c r="B18" s="65"/>
      <c r="C18" s="65"/>
      <c r="D18" s="65"/>
      <c r="E18" s="65"/>
      <c r="F18" s="1126"/>
      <c r="G18" s="1126"/>
      <c r="H18" s="1126"/>
      <c r="I18" s="1126"/>
      <c r="J18" s="1126"/>
      <c r="K18" s="1126"/>
      <c r="L18" s="1126"/>
      <c r="M18" s="1126"/>
      <c r="N18" s="1126"/>
      <c r="O18" s="1126"/>
      <c r="P18" s="1126"/>
      <c r="Q18" s="1126"/>
      <c r="R18" s="1126"/>
      <c r="S18" s="1126"/>
      <c r="T18" s="1126"/>
      <c r="U18" s="1126"/>
      <c r="V18" s="1126"/>
      <c r="W18" s="1126"/>
      <c r="X18" s="1126"/>
      <c r="Y18" s="1126"/>
      <c r="Z18" s="1126"/>
      <c r="AA18" s="1126"/>
      <c r="AB18" s="1126"/>
      <c r="AC18" s="1126"/>
      <c r="AD18" s="1126"/>
      <c r="AE18" s="1126"/>
      <c r="AF18" s="1126"/>
      <c r="AG18" s="1126"/>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1"/>
      <c r="BM18" s="72"/>
    </row>
    <row r="19" spans="1:65" ht="15" customHeight="1">
      <c r="A19" s="1132"/>
      <c r="B19" s="65"/>
      <c r="C19" s="65"/>
      <c r="D19" s="65"/>
      <c r="E19" s="65"/>
      <c r="F19" s="1126"/>
      <c r="G19" s="1126"/>
      <c r="H19" s="1126"/>
      <c r="I19" s="1126"/>
      <c r="J19" s="1126"/>
      <c r="K19" s="1126"/>
      <c r="L19" s="1126"/>
      <c r="M19" s="1126"/>
      <c r="N19" s="1126"/>
      <c r="O19" s="1126"/>
      <c r="P19" s="1126"/>
      <c r="Q19" s="1126"/>
      <c r="R19" s="1126"/>
      <c r="S19" s="1126"/>
      <c r="T19" s="1126"/>
      <c r="U19" s="1126"/>
      <c r="V19" s="1126"/>
      <c r="W19" s="1126"/>
      <c r="X19" s="1126"/>
      <c r="Y19" s="1126"/>
      <c r="Z19" s="1126"/>
      <c r="AA19" s="1126"/>
      <c r="AB19" s="1126"/>
      <c r="AC19" s="1126"/>
      <c r="AD19" s="1126"/>
      <c r="AE19" s="1126"/>
      <c r="AF19" s="1126"/>
      <c r="AG19" s="1126"/>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1"/>
      <c r="BM19" s="72"/>
    </row>
    <row r="20" spans="1:65" ht="15" customHeight="1">
      <c r="A20" s="1132"/>
      <c r="B20" s="65"/>
      <c r="C20" s="65"/>
      <c r="D20" s="65"/>
      <c r="E20" s="65"/>
      <c r="F20" s="1126"/>
      <c r="G20" s="1126"/>
      <c r="H20" s="1126"/>
      <c r="I20" s="1126"/>
      <c r="J20" s="1126"/>
      <c r="K20" s="1126"/>
      <c r="L20" s="1126"/>
      <c r="M20" s="1126"/>
      <c r="N20" s="1126"/>
      <c r="O20" s="1126"/>
      <c r="P20" s="1126"/>
      <c r="Q20" s="1126"/>
      <c r="R20" s="1126"/>
      <c r="S20" s="1126"/>
      <c r="T20" s="1126"/>
      <c r="U20" s="1126"/>
      <c r="V20" s="1126"/>
      <c r="W20" s="1126"/>
      <c r="X20" s="1126"/>
      <c r="Y20" s="1126"/>
      <c r="Z20" s="1126"/>
      <c r="AA20" s="1126"/>
      <c r="AB20" s="1126"/>
      <c r="AC20" s="1126"/>
      <c r="AD20" s="1126"/>
      <c r="AE20" s="1126"/>
      <c r="AF20" s="1126"/>
      <c r="AG20" s="1126"/>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1"/>
      <c r="BM20" s="72"/>
    </row>
    <row r="21" spans="1:65" ht="15" customHeight="1">
      <c r="A21" s="1132"/>
      <c r="B21" s="65"/>
      <c r="C21" s="65"/>
      <c r="D21" s="65"/>
      <c r="E21" s="65"/>
      <c r="F21" s="1126"/>
      <c r="G21" s="1126"/>
      <c r="H21" s="1126"/>
      <c r="I21" s="1126"/>
      <c r="J21" s="1126"/>
      <c r="K21" s="1126"/>
      <c r="L21" s="1126"/>
      <c r="M21" s="1126"/>
      <c r="N21" s="1126"/>
      <c r="O21" s="1126"/>
      <c r="P21" s="1126"/>
      <c r="Q21" s="1126"/>
      <c r="R21" s="1126"/>
      <c r="S21" s="1126"/>
      <c r="T21" s="1126"/>
      <c r="U21" s="1126"/>
      <c r="V21" s="1126"/>
      <c r="W21" s="1126"/>
      <c r="X21" s="1126"/>
      <c r="Y21" s="1126"/>
      <c r="Z21" s="1126"/>
      <c r="AA21" s="1126"/>
      <c r="AB21" s="1126"/>
      <c r="AC21" s="1126"/>
      <c r="AD21" s="1126"/>
      <c r="AE21" s="1126"/>
      <c r="AF21" s="1126"/>
      <c r="AG21" s="1126"/>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1"/>
      <c r="BM21" s="72"/>
    </row>
    <row r="22" spans="1:65" ht="15" customHeight="1">
      <c r="A22" s="1132"/>
      <c r="B22" s="65"/>
      <c r="C22" s="65"/>
      <c r="D22" s="65"/>
      <c r="E22" s="65"/>
      <c r="F22" s="1126"/>
      <c r="G22" s="1126"/>
      <c r="H22" s="1126"/>
      <c r="I22" s="1126"/>
      <c r="J22" s="1126"/>
      <c r="K22" s="1126"/>
      <c r="L22" s="1126"/>
      <c r="M22" s="1126"/>
      <c r="N22" s="1126"/>
      <c r="O22" s="1126"/>
      <c r="P22" s="1126"/>
      <c r="Q22" s="1126"/>
      <c r="R22" s="1126"/>
      <c r="S22" s="1126"/>
      <c r="T22" s="1126"/>
      <c r="U22" s="1126"/>
      <c r="V22" s="1126"/>
      <c r="W22" s="1126"/>
      <c r="X22" s="1126"/>
      <c r="Y22" s="1126"/>
      <c r="Z22" s="1126"/>
      <c r="AA22" s="1126"/>
      <c r="AB22" s="1126"/>
      <c r="AC22" s="1126"/>
      <c r="AD22" s="1126"/>
      <c r="AE22" s="1126"/>
      <c r="AF22" s="1126"/>
      <c r="AG22" s="1126"/>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1"/>
      <c r="BM22" s="72"/>
    </row>
    <row r="23" spans="1:65" ht="15" customHeight="1">
      <c r="A23" s="1132"/>
      <c r="B23" s="65"/>
      <c r="C23" s="65"/>
      <c r="D23" s="65"/>
      <c r="E23" s="65"/>
      <c r="F23" s="1126"/>
      <c r="G23" s="1126"/>
      <c r="H23" s="1126"/>
      <c r="I23" s="1126"/>
      <c r="J23" s="1126"/>
      <c r="K23" s="1126"/>
      <c r="L23" s="1126"/>
      <c r="M23" s="1126"/>
      <c r="N23" s="1126"/>
      <c r="O23" s="1126"/>
      <c r="P23" s="1126"/>
      <c r="Q23" s="1126"/>
      <c r="R23" s="1126"/>
      <c r="S23" s="1126"/>
      <c r="T23" s="1126"/>
      <c r="U23" s="1126"/>
      <c r="V23" s="1126"/>
      <c r="W23" s="1126"/>
      <c r="X23" s="1126"/>
      <c r="Y23" s="1126"/>
      <c r="Z23" s="1126"/>
      <c r="AA23" s="1126"/>
      <c r="AB23" s="1126"/>
      <c r="AC23" s="1126"/>
      <c r="AD23" s="1126"/>
      <c r="AE23" s="1126"/>
      <c r="AF23" s="1126"/>
      <c r="AG23" s="1126"/>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1"/>
      <c r="BM23" s="72"/>
    </row>
    <row r="24" spans="1:65" ht="15" customHeight="1">
      <c r="A24" s="1132"/>
      <c r="B24" s="65"/>
      <c r="C24" s="65"/>
      <c r="D24" s="65"/>
      <c r="E24" s="65"/>
      <c r="F24" s="1126"/>
      <c r="G24" s="1126"/>
      <c r="H24" s="1126"/>
      <c r="I24" s="1126"/>
      <c r="J24" s="1126"/>
      <c r="K24" s="1126"/>
      <c r="L24" s="1126"/>
      <c r="M24" s="1126"/>
      <c r="N24" s="1126"/>
      <c r="O24" s="1126"/>
      <c r="P24" s="1126"/>
      <c r="Q24" s="1126"/>
      <c r="R24" s="1126"/>
      <c r="S24" s="1126"/>
      <c r="T24" s="1126"/>
      <c r="U24" s="1126"/>
      <c r="V24" s="1126"/>
      <c r="W24" s="1126"/>
      <c r="X24" s="1126"/>
      <c r="Y24" s="1126"/>
      <c r="Z24" s="1126"/>
      <c r="AA24" s="1126"/>
      <c r="AB24" s="1126"/>
      <c r="AC24" s="1126"/>
      <c r="AD24" s="1126"/>
      <c r="AE24" s="1126"/>
      <c r="AF24" s="1126"/>
      <c r="AG24" s="1126"/>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1"/>
      <c r="BM24" s="72"/>
    </row>
    <row r="25" spans="1:65" ht="15" customHeight="1">
      <c r="A25" s="1132"/>
      <c r="B25" s="65"/>
      <c r="C25" s="65"/>
      <c r="D25" s="65"/>
      <c r="E25" s="65"/>
      <c r="F25" s="1126"/>
      <c r="G25" s="1126"/>
      <c r="H25" s="1126"/>
      <c r="I25" s="1126"/>
      <c r="J25" s="1126"/>
      <c r="K25" s="1126"/>
      <c r="L25" s="1126"/>
      <c r="M25" s="1126"/>
      <c r="N25" s="1126"/>
      <c r="O25" s="1126"/>
      <c r="P25" s="1126"/>
      <c r="Q25" s="1126"/>
      <c r="R25" s="1126"/>
      <c r="S25" s="1126"/>
      <c r="T25" s="1126"/>
      <c r="U25" s="1126"/>
      <c r="V25" s="1126"/>
      <c r="W25" s="1126"/>
      <c r="X25" s="1126"/>
      <c r="Y25" s="1126"/>
      <c r="Z25" s="1126"/>
      <c r="AA25" s="1126"/>
      <c r="AB25" s="1126"/>
      <c r="AC25" s="1126"/>
      <c r="AD25" s="1126"/>
      <c r="AE25" s="1126"/>
      <c r="AF25" s="1126"/>
      <c r="AG25" s="1126"/>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1"/>
      <c r="BM25" s="72"/>
    </row>
    <row r="26" spans="1:65" ht="15" customHeight="1">
      <c r="A26" s="1132"/>
      <c r="B26" s="65"/>
      <c r="C26" s="65"/>
      <c r="D26" s="65"/>
      <c r="E26" s="65"/>
      <c r="F26" s="1126"/>
      <c r="G26" s="1126"/>
      <c r="H26" s="1126"/>
      <c r="I26" s="1126"/>
      <c r="J26" s="1126"/>
      <c r="K26" s="1126"/>
      <c r="L26" s="1126"/>
      <c r="M26" s="1126"/>
      <c r="N26" s="1126"/>
      <c r="O26" s="1126"/>
      <c r="P26" s="1126"/>
      <c r="Q26" s="1126"/>
      <c r="R26" s="1126"/>
      <c r="S26" s="1126"/>
      <c r="T26" s="1126"/>
      <c r="U26" s="1126"/>
      <c r="V26" s="1126"/>
      <c r="W26" s="1126"/>
      <c r="X26" s="1126"/>
      <c r="Y26" s="1126"/>
      <c r="Z26" s="1126"/>
      <c r="AA26" s="1126"/>
      <c r="AB26" s="1126"/>
      <c r="AC26" s="1126"/>
      <c r="AD26" s="1126"/>
      <c r="AE26" s="1126"/>
      <c r="AF26" s="1126"/>
      <c r="AG26" s="1126"/>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1"/>
      <c r="BM26" s="72"/>
    </row>
    <row r="27" spans="1:65" ht="15" customHeight="1">
      <c r="A27" s="1132"/>
      <c r="B27" s="65"/>
      <c r="C27" s="65"/>
      <c r="D27" s="65"/>
      <c r="E27" s="65"/>
      <c r="F27" s="1126"/>
      <c r="G27" s="1126"/>
      <c r="H27" s="1126"/>
      <c r="I27" s="1126"/>
      <c r="J27" s="1126"/>
      <c r="K27" s="1126"/>
      <c r="L27" s="1126"/>
      <c r="M27" s="1126"/>
      <c r="N27" s="1126"/>
      <c r="O27" s="1126"/>
      <c r="P27" s="1126"/>
      <c r="Q27" s="1126"/>
      <c r="R27" s="1126"/>
      <c r="S27" s="1126"/>
      <c r="T27" s="1126"/>
      <c r="U27" s="1126"/>
      <c r="V27" s="1126"/>
      <c r="W27" s="1126"/>
      <c r="X27" s="1126"/>
      <c r="Y27" s="1126"/>
      <c r="Z27" s="1126"/>
      <c r="AA27" s="1126"/>
      <c r="AB27" s="1126"/>
      <c r="AC27" s="1126"/>
      <c r="AD27" s="1126"/>
      <c r="AE27" s="1126"/>
      <c r="AF27" s="1126"/>
      <c r="AG27" s="1126"/>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1"/>
      <c r="BM27" s="72"/>
    </row>
    <row r="28" spans="1:65" ht="15" customHeight="1">
      <c r="A28" s="1132"/>
      <c r="B28" s="65"/>
      <c r="C28" s="65"/>
      <c r="D28" s="65"/>
      <c r="E28" s="65"/>
      <c r="F28" s="1126"/>
      <c r="G28" s="1126"/>
      <c r="H28" s="1126"/>
      <c r="I28" s="1126"/>
      <c r="J28" s="1126"/>
      <c r="K28" s="1126"/>
      <c r="L28" s="1126"/>
      <c r="M28" s="1126"/>
      <c r="N28" s="1126"/>
      <c r="O28" s="1126"/>
      <c r="P28" s="1126"/>
      <c r="Q28" s="1126"/>
      <c r="R28" s="1126"/>
      <c r="S28" s="1126"/>
      <c r="T28" s="1126"/>
      <c r="U28" s="1126"/>
      <c r="V28" s="1126"/>
      <c r="W28" s="1126"/>
      <c r="X28" s="1126"/>
      <c r="Y28" s="1126"/>
      <c r="Z28" s="1126"/>
      <c r="AA28" s="1126"/>
      <c r="AB28" s="1126"/>
      <c r="AC28" s="1126"/>
      <c r="AD28" s="1126"/>
      <c r="AE28" s="1126"/>
      <c r="AF28" s="1126"/>
      <c r="AG28" s="1126"/>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1"/>
      <c r="BM28" s="72"/>
    </row>
    <row r="29" spans="1:65" ht="15" customHeight="1">
      <c r="A29" s="1132"/>
      <c r="B29" s="65"/>
      <c r="C29" s="65"/>
      <c r="D29" s="65"/>
      <c r="E29" s="65"/>
      <c r="F29" s="1126"/>
      <c r="G29" s="1126"/>
      <c r="H29" s="1126"/>
      <c r="I29" s="1126"/>
      <c r="J29" s="1126"/>
      <c r="K29" s="1126"/>
      <c r="L29" s="1126"/>
      <c r="M29" s="1126"/>
      <c r="N29" s="1126"/>
      <c r="O29" s="1126"/>
      <c r="P29" s="1126"/>
      <c r="Q29" s="1126"/>
      <c r="R29" s="1126"/>
      <c r="S29" s="1126"/>
      <c r="T29" s="1126"/>
      <c r="U29" s="1126"/>
      <c r="V29" s="1126"/>
      <c r="W29" s="1126"/>
      <c r="X29" s="1126"/>
      <c r="Y29" s="1126"/>
      <c r="Z29" s="1126"/>
      <c r="AA29" s="1126"/>
      <c r="AB29" s="1126"/>
      <c r="AC29" s="1126"/>
      <c r="AD29" s="1126"/>
      <c r="AE29" s="1126"/>
      <c r="AF29" s="1126"/>
      <c r="AG29" s="1126"/>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1"/>
      <c r="BM29" s="72"/>
    </row>
    <row r="30" spans="1:65" ht="15" customHeight="1">
      <c r="A30" s="1132"/>
      <c r="B30" s="65"/>
      <c r="C30" s="65"/>
      <c r="D30" s="65"/>
      <c r="E30" s="65"/>
      <c r="F30" s="1126"/>
      <c r="G30" s="1126"/>
      <c r="H30" s="1126"/>
      <c r="I30" s="1126"/>
      <c r="J30" s="1126"/>
      <c r="K30" s="1126"/>
      <c r="L30" s="1126"/>
      <c r="M30" s="1126"/>
      <c r="N30" s="1126"/>
      <c r="O30" s="1126"/>
      <c r="P30" s="1126"/>
      <c r="Q30" s="1126"/>
      <c r="R30" s="1126"/>
      <c r="S30" s="1126"/>
      <c r="T30" s="1126"/>
      <c r="U30" s="1126"/>
      <c r="V30" s="1126"/>
      <c r="W30" s="1126"/>
      <c r="X30" s="1126"/>
      <c r="Y30" s="1126"/>
      <c r="Z30" s="1126"/>
      <c r="AA30" s="1126"/>
      <c r="AB30" s="1126"/>
      <c r="AC30" s="1126"/>
      <c r="AD30" s="1126"/>
      <c r="AE30" s="1126"/>
      <c r="AF30" s="1126"/>
      <c r="AG30" s="1126"/>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1"/>
      <c r="BM30" s="72"/>
    </row>
    <row r="31" spans="1:65" ht="15" customHeight="1">
      <c r="A31" s="1132"/>
      <c r="B31" s="65"/>
      <c r="C31" s="65"/>
      <c r="D31" s="65"/>
      <c r="E31" s="65"/>
      <c r="F31" s="1126"/>
      <c r="G31" s="1126"/>
      <c r="H31" s="1126"/>
      <c r="I31" s="1126"/>
      <c r="J31" s="1126"/>
      <c r="K31" s="1126"/>
      <c r="L31" s="1126"/>
      <c r="M31" s="1126"/>
      <c r="N31" s="1126"/>
      <c r="O31" s="1126"/>
      <c r="P31" s="1126"/>
      <c r="Q31" s="1126"/>
      <c r="R31" s="1126"/>
      <c r="S31" s="1126"/>
      <c r="T31" s="1126"/>
      <c r="U31" s="1126"/>
      <c r="V31" s="1126"/>
      <c r="W31" s="1126"/>
      <c r="X31" s="1126"/>
      <c r="Y31" s="1126"/>
      <c r="Z31" s="1126"/>
      <c r="AA31" s="1126"/>
      <c r="AB31" s="1126"/>
      <c r="AC31" s="1126"/>
      <c r="AD31" s="1126"/>
      <c r="AE31" s="1126"/>
      <c r="AF31" s="1126"/>
      <c r="AG31" s="1126"/>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1"/>
      <c r="BM31" s="72"/>
    </row>
    <row r="32" spans="1:65" ht="15" customHeight="1">
      <c r="A32" s="1132"/>
      <c r="B32" s="65"/>
      <c r="C32" s="65"/>
      <c r="D32" s="65"/>
      <c r="E32" s="65"/>
      <c r="F32" s="1126"/>
      <c r="G32" s="1126"/>
      <c r="H32" s="1126"/>
      <c r="I32" s="1126"/>
      <c r="J32" s="1126"/>
      <c r="K32" s="1126"/>
      <c r="L32" s="1126"/>
      <c r="M32" s="1126"/>
      <c r="N32" s="1126"/>
      <c r="O32" s="1126"/>
      <c r="P32" s="1126"/>
      <c r="Q32" s="1126"/>
      <c r="R32" s="1126"/>
      <c r="S32" s="1126"/>
      <c r="T32" s="1126"/>
      <c r="U32" s="1126"/>
      <c r="V32" s="1126"/>
      <c r="W32" s="1126"/>
      <c r="X32" s="1126"/>
      <c r="Y32" s="1126"/>
      <c r="Z32" s="1126"/>
      <c r="AA32" s="1126"/>
      <c r="AB32" s="1126"/>
      <c r="AC32" s="1126"/>
      <c r="AD32" s="1126"/>
      <c r="AE32" s="1126"/>
      <c r="AF32" s="1126"/>
      <c r="AG32" s="1126"/>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1"/>
      <c r="BM32" s="72"/>
    </row>
    <row r="33" spans="1:66" ht="15" customHeight="1">
      <c r="A33" s="1132"/>
      <c r="B33" s="65"/>
      <c r="C33" s="65"/>
      <c r="D33" s="65"/>
      <c r="E33" s="65"/>
      <c r="F33" s="1126"/>
      <c r="G33" s="1126"/>
      <c r="H33" s="1126"/>
      <c r="I33" s="1126"/>
      <c r="J33" s="1126"/>
      <c r="K33" s="1126"/>
      <c r="L33" s="1126"/>
      <c r="M33" s="1126"/>
      <c r="N33" s="1126"/>
      <c r="O33" s="1126"/>
      <c r="P33" s="1126"/>
      <c r="Q33" s="1126"/>
      <c r="R33" s="1126"/>
      <c r="S33" s="1126"/>
      <c r="T33" s="1126"/>
      <c r="U33" s="1126"/>
      <c r="V33" s="1126"/>
      <c r="W33" s="1126"/>
      <c r="X33" s="1126"/>
      <c r="Y33" s="1126"/>
      <c r="Z33" s="1126"/>
      <c r="AA33" s="1126"/>
      <c r="AB33" s="1126"/>
      <c r="AC33" s="1126"/>
      <c r="AD33" s="1126"/>
      <c r="AE33" s="1126"/>
      <c r="AF33" s="1126"/>
      <c r="AG33" s="1126"/>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1"/>
      <c r="BM33" s="72"/>
    </row>
    <row r="34" spans="1:66" ht="15" customHeight="1">
      <c r="A34" s="1132"/>
      <c r="B34" s="65"/>
      <c r="C34" s="65"/>
      <c r="D34" s="65"/>
      <c r="E34" s="65"/>
      <c r="F34" s="1126"/>
      <c r="G34" s="1126"/>
      <c r="H34" s="1126"/>
      <c r="I34" s="1126"/>
      <c r="J34" s="1126"/>
      <c r="K34" s="1126"/>
      <c r="L34" s="1126"/>
      <c r="M34" s="1126"/>
      <c r="N34" s="1126"/>
      <c r="O34" s="1126"/>
      <c r="P34" s="1126"/>
      <c r="Q34" s="1126"/>
      <c r="R34" s="1126"/>
      <c r="S34" s="1126"/>
      <c r="T34" s="1126"/>
      <c r="U34" s="1126"/>
      <c r="V34" s="1126"/>
      <c r="W34" s="1126"/>
      <c r="X34" s="1126"/>
      <c r="Y34" s="1126"/>
      <c r="Z34" s="1126"/>
      <c r="AA34" s="1126"/>
      <c r="AB34" s="1126"/>
      <c r="AC34" s="1126"/>
      <c r="AD34" s="1126"/>
      <c r="AE34" s="1126"/>
      <c r="AF34" s="1126"/>
      <c r="AG34" s="1126"/>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1"/>
      <c r="BM34" s="72"/>
    </row>
    <row r="35" spans="1:66" ht="15" customHeight="1">
      <c r="A35" s="1132"/>
      <c r="B35" s="65"/>
      <c r="C35" s="65"/>
      <c r="D35" s="65"/>
      <c r="E35" s="65"/>
      <c r="F35" s="1126"/>
      <c r="G35" s="1126"/>
      <c r="H35" s="1126"/>
      <c r="I35" s="1126"/>
      <c r="J35" s="1126"/>
      <c r="K35" s="1126"/>
      <c r="L35" s="1126"/>
      <c r="M35" s="1126"/>
      <c r="N35" s="1126"/>
      <c r="O35" s="1126"/>
      <c r="P35" s="1126"/>
      <c r="Q35" s="1126"/>
      <c r="R35" s="1126"/>
      <c r="S35" s="1126"/>
      <c r="T35" s="1126"/>
      <c r="U35" s="1126"/>
      <c r="V35" s="1126"/>
      <c r="W35" s="1126"/>
      <c r="X35" s="1126"/>
      <c r="Y35" s="1126"/>
      <c r="Z35" s="1126"/>
      <c r="AA35" s="1126"/>
      <c r="AB35" s="1126"/>
      <c r="AC35" s="1126"/>
      <c r="AD35" s="1126"/>
      <c r="AE35" s="1126"/>
      <c r="AF35" s="1126"/>
      <c r="AG35" s="1126"/>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1"/>
      <c r="BM35" s="72"/>
    </row>
    <row r="36" spans="1:66" ht="15" customHeight="1">
      <c r="A36" s="1132"/>
      <c r="B36" s="65"/>
      <c r="C36" s="65"/>
      <c r="D36" s="65"/>
      <c r="E36" s="65"/>
      <c r="F36" s="1126"/>
      <c r="G36" s="1126"/>
      <c r="H36" s="1126"/>
      <c r="I36" s="1126"/>
      <c r="J36" s="1126"/>
      <c r="K36" s="1126"/>
      <c r="L36" s="1126"/>
      <c r="M36" s="1126"/>
      <c r="N36" s="1126"/>
      <c r="O36" s="1126"/>
      <c r="P36" s="1126"/>
      <c r="Q36" s="1126"/>
      <c r="R36" s="1126"/>
      <c r="S36" s="1126"/>
      <c r="T36" s="1126"/>
      <c r="U36" s="1126"/>
      <c r="V36" s="1126"/>
      <c r="W36" s="1126"/>
      <c r="X36" s="1126"/>
      <c r="Y36" s="1126"/>
      <c r="Z36" s="1126"/>
      <c r="AA36" s="1126"/>
      <c r="AB36" s="1126"/>
      <c r="AC36" s="1126"/>
      <c r="AD36" s="1126"/>
      <c r="AE36" s="1126"/>
      <c r="AF36" s="1126"/>
      <c r="AG36" s="1126"/>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1"/>
      <c r="BM36" s="72"/>
    </row>
    <row r="37" spans="1:66" ht="15" customHeight="1" thickBot="1">
      <c r="A37" s="1133"/>
      <c r="B37" s="1134"/>
      <c r="C37" s="1134"/>
      <c r="D37" s="1134"/>
      <c r="E37" s="1134"/>
      <c r="F37" s="1135"/>
      <c r="G37" s="1135"/>
      <c r="H37" s="1135"/>
      <c r="I37" s="1135"/>
      <c r="J37" s="1135"/>
      <c r="K37" s="1135"/>
      <c r="L37" s="1135"/>
      <c r="M37" s="1135"/>
      <c r="N37" s="1135"/>
      <c r="O37" s="1135"/>
      <c r="P37" s="1135"/>
      <c r="Q37" s="1135"/>
      <c r="R37" s="1135"/>
      <c r="S37" s="1135"/>
      <c r="T37" s="1135"/>
      <c r="U37" s="1135"/>
      <c r="V37" s="1135"/>
      <c r="W37" s="1135"/>
      <c r="X37" s="1135"/>
      <c r="Y37" s="1135"/>
      <c r="Z37" s="1135"/>
      <c r="AA37" s="1135"/>
      <c r="AB37" s="1135"/>
      <c r="AC37" s="1135"/>
      <c r="AD37" s="1135"/>
      <c r="AE37" s="1135"/>
      <c r="AF37" s="1135"/>
      <c r="AG37" s="1135"/>
      <c r="AH37" s="1134"/>
      <c r="AI37" s="1134"/>
      <c r="AJ37" s="1134"/>
      <c r="AK37" s="1134"/>
      <c r="AL37" s="1134"/>
      <c r="AM37" s="1134"/>
      <c r="AN37" s="1134"/>
      <c r="AO37" s="1134"/>
      <c r="AP37" s="1134"/>
      <c r="AQ37" s="1134"/>
      <c r="AR37" s="1134"/>
      <c r="AS37" s="1134"/>
      <c r="AT37" s="1134"/>
      <c r="AU37" s="1134"/>
      <c r="AV37" s="1134"/>
      <c r="AW37" s="1134"/>
      <c r="AX37" s="1134"/>
      <c r="AY37" s="1134"/>
      <c r="AZ37" s="1134"/>
      <c r="BA37" s="1134"/>
      <c r="BB37" s="1134"/>
      <c r="BC37" s="1134"/>
      <c r="BD37" s="1134"/>
      <c r="BE37" s="1134"/>
      <c r="BF37" s="1134"/>
      <c r="BG37" s="1134"/>
      <c r="BH37" s="1134"/>
      <c r="BI37" s="1134"/>
      <c r="BJ37" s="1134"/>
      <c r="BK37" s="1134"/>
      <c r="BL37" s="73"/>
      <c r="BM37" s="74"/>
    </row>
    <row r="38" spans="1:66" ht="13.5" thickBot="1">
      <c r="A38" s="65"/>
      <c r="B38" s="1134"/>
      <c r="C38" s="1134"/>
      <c r="D38" s="1134"/>
      <c r="E38" s="1134"/>
      <c r="F38" s="1135"/>
      <c r="G38" s="1135"/>
      <c r="H38" s="1135"/>
      <c r="I38" s="1135"/>
      <c r="J38" s="1135"/>
      <c r="K38" s="1135"/>
      <c r="L38" s="1135"/>
      <c r="M38" s="1135"/>
      <c r="N38" s="1135"/>
      <c r="O38" s="1135"/>
      <c r="P38" s="1135"/>
      <c r="Q38" s="1135"/>
      <c r="R38" s="1135"/>
      <c r="S38" s="1135"/>
      <c r="T38" s="1135"/>
      <c r="U38" s="1135"/>
      <c r="V38" s="1135"/>
      <c r="W38" s="1135"/>
      <c r="X38" s="1135"/>
      <c r="Y38" s="1135"/>
      <c r="Z38" s="1135"/>
      <c r="AA38" s="1135"/>
      <c r="AB38" s="1135"/>
      <c r="AC38" s="1135"/>
      <c r="AD38" s="1135"/>
      <c r="AE38" s="1135"/>
      <c r="AF38" s="1135"/>
      <c r="AG38" s="1135"/>
      <c r="AH38" s="1134"/>
      <c r="AI38" s="1134"/>
      <c r="AJ38" s="1134"/>
      <c r="AK38" s="1134"/>
      <c r="AL38" s="1134"/>
      <c r="AM38" s="1134"/>
      <c r="AN38" s="1134"/>
      <c r="AO38" s="1134"/>
      <c r="AP38" s="1134"/>
      <c r="AQ38" s="1134"/>
      <c r="AR38" s="1134"/>
      <c r="AS38" s="1134"/>
      <c r="AT38" s="1134"/>
      <c r="AU38" s="1134"/>
      <c r="AV38" s="1134"/>
      <c r="AW38" s="1134"/>
      <c r="AX38" s="1134"/>
      <c r="AY38" s="1134"/>
      <c r="AZ38" s="1134"/>
      <c r="BA38" s="1134"/>
      <c r="BB38" s="1134"/>
      <c r="BC38" s="1134"/>
      <c r="BD38" s="65"/>
      <c r="BE38" s="65"/>
      <c r="BF38" s="65"/>
      <c r="BG38" s="65"/>
      <c r="BH38" s="65"/>
      <c r="BI38" s="65"/>
      <c r="BJ38" s="65"/>
      <c r="BK38" s="65"/>
      <c r="BL38" s="1"/>
      <c r="BM38" s="1136"/>
    </row>
    <row r="39" spans="1:66" ht="15.75" thickBot="1">
      <c r="A39" s="75" t="s">
        <v>194</v>
      </c>
      <c r="B39" s="65"/>
      <c r="C39" s="65"/>
      <c r="D39" s="65"/>
      <c r="E39" s="65"/>
      <c r="F39" s="1126"/>
      <c r="G39" s="1126"/>
      <c r="H39" s="1126"/>
      <c r="I39" s="1126"/>
      <c r="J39" s="1126"/>
      <c r="K39" s="1126"/>
      <c r="L39" s="1126"/>
      <c r="M39" s="1126"/>
      <c r="N39" s="1126"/>
      <c r="O39" s="1126"/>
      <c r="P39" s="1126"/>
      <c r="Q39" s="1126"/>
      <c r="R39" s="1126"/>
      <c r="S39" s="1126"/>
      <c r="T39" s="1126"/>
      <c r="U39" s="1126"/>
      <c r="V39" s="1126"/>
      <c r="W39" s="1126"/>
      <c r="X39" s="1126"/>
      <c r="Y39" s="1126"/>
      <c r="Z39" s="1126"/>
      <c r="AA39" s="1126"/>
      <c r="AB39" s="1126"/>
      <c r="AC39" s="1126"/>
      <c r="AD39" s="1126"/>
      <c r="AE39" s="1126"/>
      <c r="AF39" s="1126"/>
      <c r="AG39" s="1126"/>
      <c r="AH39" s="65"/>
      <c r="AI39" s="65"/>
      <c r="AJ39" s="65"/>
      <c r="AK39" s="65"/>
      <c r="AL39" s="65"/>
      <c r="AM39" s="65"/>
      <c r="AN39" s="65"/>
      <c r="AO39" s="65"/>
      <c r="AP39" s="65"/>
      <c r="AQ39" s="65"/>
      <c r="AR39" s="65"/>
      <c r="AS39" s="65"/>
      <c r="AT39" s="65"/>
      <c r="AU39" s="65"/>
      <c r="AV39" s="65"/>
      <c r="AW39" s="65"/>
      <c r="AX39" s="65"/>
      <c r="AY39" s="65"/>
      <c r="AZ39" s="65"/>
      <c r="BA39" s="65"/>
      <c r="BB39" s="65"/>
      <c r="BC39" s="65"/>
      <c r="BD39" s="1137"/>
      <c r="BE39" s="1130"/>
      <c r="BF39" s="1314" t="s">
        <v>195</v>
      </c>
      <c r="BG39" s="1314"/>
      <c r="BH39" s="1314"/>
      <c r="BI39" s="1314"/>
      <c r="BJ39" s="1314"/>
      <c r="BK39" s="1314"/>
      <c r="BL39" s="1314"/>
      <c r="BM39" s="1315"/>
    </row>
    <row r="40" spans="1:66" ht="15">
      <c r="A40" s="76"/>
      <c r="B40" s="1316" t="s">
        <v>185</v>
      </c>
      <c r="C40" s="1317"/>
      <c r="D40" s="1317"/>
      <c r="E40" s="1317"/>
      <c r="F40" s="1317"/>
      <c r="G40" s="1317"/>
      <c r="H40" s="1317"/>
      <c r="I40" s="1317"/>
      <c r="J40" s="1317"/>
      <c r="K40" s="1317"/>
      <c r="L40" s="1317"/>
      <c r="M40" s="1317"/>
      <c r="N40" s="1317"/>
      <c r="O40" s="1317"/>
      <c r="P40" s="1317"/>
      <c r="Q40" s="1317"/>
      <c r="R40" s="1317"/>
      <c r="S40" s="1317"/>
      <c r="T40" s="1317"/>
      <c r="U40" s="1317"/>
      <c r="V40" s="1317"/>
      <c r="W40" s="1317"/>
      <c r="X40" s="1317"/>
      <c r="Y40" s="1317"/>
      <c r="Z40" s="1317"/>
      <c r="AA40" s="1317"/>
      <c r="AB40" s="1317"/>
      <c r="AC40" s="1317"/>
      <c r="AD40" s="1317"/>
      <c r="AE40" s="1317"/>
      <c r="AF40" s="1317"/>
      <c r="AG40" s="1317"/>
      <c r="AH40" s="1317"/>
      <c r="AI40" s="1317"/>
      <c r="AJ40" s="1317"/>
      <c r="AK40" s="1317"/>
      <c r="AL40" s="1317"/>
      <c r="AM40" s="1317"/>
      <c r="AN40" s="1317"/>
      <c r="AO40" s="1317"/>
      <c r="AP40" s="1317"/>
      <c r="AQ40" s="1317"/>
      <c r="AR40" s="1317"/>
      <c r="AS40" s="1317"/>
      <c r="AT40" s="1317"/>
      <c r="AU40" s="1317"/>
      <c r="AV40" s="1317"/>
      <c r="AW40" s="1317"/>
      <c r="AX40" s="1317"/>
      <c r="AY40" s="1317"/>
      <c r="AZ40" s="1317"/>
      <c r="BA40" s="1317"/>
      <c r="BB40" s="1317"/>
      <c r="BC40" s="1317"/>
      <c r="BD40" s="1138"/>
      <c r="BE40" s="1139"/>
      <c r="BF40" s="1257" t="s">
        <v>196</v>
      </c>
      <c r="BG40" s="1257"/>
      <c r="BH40" s="1257"/>
      <c r="BI40" s="1257"/>
      <c r="BJ40" s="1257"/>
      <c r="BK40" s="1257"/>
      <c r="BL40" s="1257"/>
      <c r="BM40" s="1318"/>
    </row>
    <row r="41" spans="1:66" ht="15.75" thickBot="1">
      <c r="A41" s="93" t="s">
        <v>197</v>
      </c>
      <c r="B41" s="1319">
        <v>5601</v>
      </c>
      <c r="C41" s="1320"/>
      <c r="D41" s="1320"/>
      <c r="E41" s="1320"/>
      <c r="F41" s="1320"/>
      <c r="G41" s="1320"/>
      <c r="H41" s="1320"/>
      <c r="I41" s="1320"/>
      <c r="J41" s="1320"/>
      <c r="K41" s="1320"/>
      <c r="L41" s="1320"/>
      <c r="M41" s="1320"/>
      <c r="N41" s="1320"/>
      <c r="O41" s="1320"/>
      <c r="P41" s="1320"/>
      <c r="Q41" s="1320"/>
      <c r="R41" s="1320"/>
      <c r="S41" s="1320"/>
      <c r="T41" s="1320"/>
      <c r="U41" s="1320"/>
      <c r="V41" s="1320"/>
      <c r="W41" s="1320"/>
      <c r="X41" s="1320"/>
      <c r="Y41" s="1320"/>
      <c r="Z41" s="1320"/>
      <c r="AA41" s="1320"/>
      <c r="AB41" s="1320"/>
      <c r="AC41" s="1320"/>
      <c r="AD41" s="1320"/>
      <c r="AE41" s="1320"/>
      <c r="AF41" s="1320"/>
      <c r="AG41" s="1320"/>
      <c r="AH41" s="1320"/>
      <c r="AI41" s="1320"/>
      <c r="AJ41" s="1320"/>
      <c r="AK41" s="1320"/>
      <c r="AL41" s="1320"/>
      <c r="AM41" s="1320"/>
      <c r="AN41" s="1320"/>
      <c r="AO41" s="1320"/>
      <c r="AP41" s="1320"/>
      <c r="AQ41" s="1320"/>
      <c r="AR41" s="1320"/>
      <c r="AS41" s="1320"/>
      <c r="AT41" s="1320"/>
      <c r="AU41" s="1320"/>
      <c r="AV41" s="1320"/>
      <c r="AW41" s="1320"/>
      <c r="AX41" s="1320"/>
      <c r="AY41" s="1320"/>
      <c r="AZ41" s="1320"/>
      <c r="BA41" s="1320"/>
      <c r="BB41" s="1320"/>
      <c r="BC41" s="1320"/>
      <c r="BD41" s="1140"/>
      <c r="BE41" s="1141"/>
      <c r="BF41" s="1321" t="s">
        <v>198</v>
      </c>
      <c r="BG41" s="1321"/>
      <c r="BH41" s="1321"/>
      <c r="BI41" s="1321"/>
      <c r="BJ41" s="1321"/>
      <c r="BK41" s="1321"/>
      <c r="BL41" s="1321"/>
      <c r="BM41" s="1322"/>
    </row>
    <row r="42" spans="1:66" ht="13.5" thickBot="1">
      <c r="A42" s="326" t="s">
        <v>199</v>
      </c>
      <c r="B42" s="1323">
        <v>49</v>
      </c>
      <c r="C42" s="1324"/>
      <c r="D42" s="1324"/>
      <c r="E42" s="1324"/>
      <c r="F42" s="1143"/>
      <c r="G42" s="1143"/>
      <c r="H42" s="1144"/>
      <c r="I42" s="1143"/>
      <c r="J42" s="1143"/>
      <c r="K42" s="1143"/>
      <c r="L42" s="1145"/>
      <c r="M42" s="1323">
        <v>60</v>
      </c>
      <c r="N42" s="1324"/>
      <c r="O42" s="1324"/>
      <c r="P42" s="1324"/>
      <c r="Q42" s="1143"/>
      <c r="R42" s="1143"/>
      <c r="S42" s="1143"/>
      <c r="T42" s="1143"/>
      <c r="U42" s="1143"/>
      <c r="V42" s="1143"/>
      <c r="W42" s="1323">
        <v>70</v>
      </c>
      <c r="X42" s="1324"/>
      <c r="Y42" s="1324"/>
      <c r="Z42" s="1324"/>
      <c r="AA42" s="1143"/>
      <c r="AB42" s="1143"/>
      <c r="AC42" s="1143"/>
      <c r="AD42" s="1143"/>
      <c r="AE42" s="1143"/>
      <c r="AF42" s="1143"/>
      <c r="AG42" s="1323">
        <v>80</v>
      </c>
      <c r="AH42" s="1324"/>
      <c r="AI42" s="1324"/>
      <c r="AJ42" s="1324"/>
      <c r="AK42" s="1142"/>
      <c r="AL42" s="1142"/>
      <c r="AM42" s="1142"/>
      <c r="AN42" s="1142"/>
      <c r="AO42" s="1142"/>
      <c r="AP42" s="1142"/>
      <c r="AQ42" s="1323">
        <v>90</v>
      </c>
      <c r="AR42" s="1324"/>
      <c r="AS42" s="1324"/>
      <c r="AT42" s="1324"/>
      <c r="AU42" s="1142"/>
      <c r="AV42" s="1142"/>
      <c r="AW42" s="1142"/>
      <c r="AX42" s="1323">
        <v>100</v>
      </c>
      <c r="AY42" s="1324"/>
      <c r="AZ42" s="1324"/>
      <c r="BA42" s="1323">
        <v>103</v>
      </c>
      <c r="BB42" s="1324"/>
      <c r="BC42" s="1324"/>
      <c r="BD42" s="1325" t="s">
        <v>228</v>
      </c>
      <c r="BE42" s="1326"/>
      <c r="BF42" s="1325" t="s">
        <v>171</v>
      </c>
      <c r="BG42" s="1326"/>
      <c r="BH42" s="1327" t="s">
        <v>169</v>
      </c>
      <c r="BI42" s="1326"/>
      <c r="BJ42" s="1327" t="s">
        <v>174</v>
      </c>
      <c r="BK42" s="1328"/>
      <c r="BL42" s="1327" t="s">
        <v>232</v>
      </c>
      <c r="BM42" s="1328"/>
    </row>
    <row r="43" spans="1:66">
      <c r="A43" s="327"/>
      <c r="B43" s="1146"/>
      <c r="C43" s="1147"/>
      <c r="D43" s="1147"/>
      <c r="E43" s="1147"/>
      <c r="F43" s="569">
        <v>49</v>
      </c>
      <c r="G43" s="569"/>
      <c r="H43" s="570"/>
      <c r="I43" s="569"/>
      <c r="J43" s="569"/>
      <c r="K43" s="569"/>
      <c r="L43" s="569"/>
      <c r="M43" s="571"/>
      <c r="N43" s="572"/>
      <c r="O43" s="572"/>
      <c r="P43" s="572"/>
      <c r="Q43" s="572"/>
      <c r="R43" s="573"/>
      <c r="S43" s="572"/>
      <c r="T43" s="572"/>
      <c r="U43" s="572"/>
      <c r="V43" s="572"/>
      <c r="W43" s="571"/>
      <c r="X43" s="572"/>
      <c r="Y43" s="572"/>
      <c r="Z43" s="572"/>
      <c r="AA43" s="572"/>
      <c r="AB43" s="573"/>
      <c r="AC43" s="572"/>
      <c r="AD43" s="572"/>
      <c r="AE43" s="572"/>
      <c r="AF43" s="572"/>
      <c r="AG43" s="571"/>
      <c r="AH43" s="572">
        <v>55</v>
      </c>
      <c r="AI43" s="572">
        <v>60</v>
      </c>
      <c r="AJ43" s="572">
        <v>65</v>
      </c>
      <c r="AK43" s="572"/>
      <c r="AL43" s="573"/>
      <c r="AM43" s="572"/>
      <c r="AN43" s="572"/>
      <c r="AO43" s="572"/>
      <c r="AP43" s="572"/>
      <c r="AQ43" s="571"/>
      <c r="AR43" s="572"/>
      <c r="AS43" s="572"/>
      <c r="AT43" s="572"/>
      <c r="AU43" s="572"/>
      <c r="AV43" s="573"/>
      <c r="AW43" s="572"/>
      <c r="AX43" s="572">
        <v>70</v>
      </c>
      <c r="AY43" s="572">
        <v>75</v>
      </c>
      <c r="AZ43" s="572">
        <v>80</v>
      </c>
      <c r="BA43" s="571"/>
      <c r="BB43" s="572"/>
      <c r="BC43" s="572"/>
      <c r="BD43" s="1148" t="s">
        <v>200</v>
      </c>
      <c r="BE43" s="1149" t="s">
        <v>134</v>
      </c>
      <c r="BF43" s="1148" t="s">
        <v>200</v>
      </c>
      <c r="BG43" s="1149" t="s">
        <v>134</v>
      </c>
      <c r="BH43" s="1150" t="s">
        <v>200</v>
      </c>
      <c r="BI43" s="1149" t="s">
        <v>134</v>
      </c>
      <c r="BJ43" s="1150" t="s">
        <v>200</v>
      </c>
      <c r="BK43" s="1149" t="s">
        <v>134</v>
      </c>
      <c r="BL43" s="1150" t="s">
        <v>200</v>
      </c>
      <c r="BM43" s="1151" t="s">
        <v>134</v>
      </c>
    </row>
    <row r="44" spans="1:66" ht="9.9499999999999993" customHeight="1">
      <c r="A44" s="1329" t="s">
        <v>201</v>
      </c>
      <c r="B44" s="1152"/>
      <c r="C44" s="599" t="s">
        <v>169</v>
      </c>
      <c r="D44" s="1153"/>
      <c r="E44" s="1153"/>
      <c r="H44" s="1154"/>
      <c r="M44" s="10"/>
      <c r="R44" s="1154"/>
      <c r="W44" s="10"/>
      <c r="AB44" s="1154"/>
      <c r="AG44" s="10"/>
      <c r="AL44" s="1154"/>
      <c r="AQ44" s="10"/>
      <c r="AV44" s="1154"/>
      <c r="BA44" s="10"/>
      <c r="BC44" s="1155" t="s">
        <v>171</v>
      </c>
      <c r="BD44" s="1156"/>
      <c r="BE44" s="1157"/>
      <c r="BF44" s="1158"/>
      <c r="BG44" s="1158"/>
      <c r="BH44" s="1159"/>
      <c r="BI44" s="1159"/>
      <c r="BJ44" s="1160"/>
      <c r="BK44" s="1160"/>
      <c r="BL44" s="1161"/>
      <c r="BM44" s="1162"/>
    </row>
    <row r="45" spans="1:66" ht="15" customHeight="1">
      <c r="A45" s="1330"/>
      <c r="B45" s="1163" t="s">
        <v>169</v>
      </c>
      <c r="C45" s="1164" t="s">
        <v>169</v>
      </c>
      <c r="D45" s="1164" t="s">
        <v>174</v>
      </c>
      <c r="E45" s="1164" t="s">
        <v>169</v>
      </c>
      <c r="F45" s="1164" t="s">
        <v>169</v>
      </c>
      <c r="G45" s="1164" t="s">
        <v>171</v>
      </c>
      <c r="H45" s="1165" t="s">
        <v>171</v>
      </c>
      <c r="I45" s="1164" t="s">
        <v>169</v>
      </c>
      <c r="J45" s="1164" t="s">
        <v>169</v>
      </c>
      <c r="K45" s="1164" t="s">
        <v>169</v>
      </c>
      <c r="L45" s="1164" t="s">
        <v>169</v>
      </c>
      <c r="M45" s="1166" t="s">
        <v>169</v>
      </c>
      <c r="N45" s="1164" t="s">
        <v>169</v>
      </c>
      <c r="O45" s="1164" t="s">
        <v>169</v>
      </c>
      <c r="P45" s="1164" t="s">
        <v>169</v>
      </c>
      <c r="Q45" s="1164" t="s">
        <v>169</v>
      </c>
      <c r="R45" s="1165" t="s">
        <v>169</v>
      </c>
      <c r="S45" s="1164" t="s">
        <v>169</v>
      </c>
      <c r="T45" s="1164" t="s">
        <v>169</v>
      </c>
      <c r="U45" s="1164" t="s">
        <v>174</v>
      </c>
      <c r="V45" s="1164" t="s">
        <v>174</v>
      </c>
      <c r="W45" s="1166" t="s">
        <v>174</v>
      </c>
      <c r="X45" s="1164" t="s">
        <v>174</v>
      </c>
      <c r="Y45" s="1164" t="s">
        <v>169</v>
      </c>
      <c r="Z45" s="1164" t="s">
        <v>169</v>
      </c>
      <c r="AA45" s="1164" t="s">
        <v>169</v>
      </c>
      <c r="AB45" s="1165" t="s">
        <v>169</v>
      </c>
      <c r="AC45" s="1164" t="s">
        <v>169</v>
      </c>
      <c r="AD45" s="1164" t="s">
        <v>169</v>
      </c>
      <c r="AE45" s="1164" t="s">
        <v>169</v>
      </c>
      <c r="AF45" s="1164" t="s">
        <v>169</v>
      </c>
      <c r="AG45" s="1166" t="s">
        <v>169</v>
      </c>
      <c r="AH45" s="1164" t="s">
        <v>169</v>
      </c>
      <c r="AI45" s="1164" t="s">
        <v>169</v>
      </c>
      <c r="AJ45" s="1164" t="s">
        <v>169</v>
      </c>
      <c r="AK45" s="1164" t="s">
        <v>169</v>
      </c>
      <c r="AL45" s="1165" t="s">
        <v>174</v>
      </c>
      <c r="AM45" s="1164" t="s">
        <v>174</v>
      </c>
      <c r="AN45" s="1164" t="s">
        <v>174</v>
      </c>
      <c r="AO45" s="1164" t="s">
        <v>174</v>
      </c>
      <c r="AP45" s="1164" t="s">
        <v>174</v>
      </c>
      <c r="AQ45" s="1166" t="s">
        <v>174</v>
      </c>
      <c r="AR45" s="1164" t="s">
        <v>174</v>
      </c>
      <c r="AS45" s="1164" t="s">
        <v>174</v>
      </c>
      <c r="AT45" s="1164" t="s">
        <v>174</v>
      </c>
      <c r="AU45" s="1164" t="s">
        <v>174</v>
      </c>
      <c r="AV45" s="1165" t="s">
        <v>174</v>
      </c>
      <c r="AW45" s="1164" t="s">
        <v>174</v>
      </c>
      <c r="AX45" s="1164" t="s">
        <v>174</v>
      </c>
      <c r="AY45" s="1164" t="s">
        <v>174</v>
      </c>
      <c r="AZ45" s="1164" t="s">
        <v>174</v>
      </c>
      <c r="BA45" s="1166" t="s">
        <v>174</v>
      </c>
      <c r="BB45" s="1164" t="s">
        <v>174</v>
      </c>
      <c r="BC45" s="1167" t="s">
        <v>171</v>
      </c>
      <c r="BD45" s="508">
        <f>+'ESTADO RED TEC'!K12</f>
        <v>0</v>
      </c>
      <c r="BE45" s="1168">
        <f>+BD45/+'ESTADO RED TEC'!K17</f>
        <v>0</v>
      </c>
      <c r="BF45" s="503">
        <f>+'ESTADO RED TEC'!K13</f>
        <v>4.17</v>
      </c>
      <c r="BG45" s="1168">
        <f>+BF45/'ESTADO RED TEC'!K17</f>
        <v>7.5931388615754408E-2</v>
      </c>
      <c r="BH45" s="503">
        <f>+'ESTADO RED TEC'!K14</f>
        <v>30.893999999999995</v>
      </c>
      <c r="BI45" s="1168">
        <f>+BH45/'ESTADO RED TEC'!K17</f>
        <v>0.56254779853599912</v>
      </c>
      <c r="BJ45" s="503">
        <f>+'ESTADO RED TEC'!K15</f>
        <v>19.853999999999999</v>
      </c>
      <c r="BK45" s="1168">
        <f>+BJ45/'ESTADO RED TEC'!K17</f>
        <v>0.3615208128482465</v>
      </c>
      <c r="BL45" s="503">
        <f>+'ESTADO RED TEC'!K16</f>
        <v>0</v>
      </c>
      <c r="BM45" s="1169">
        <f>+BL45/'ESTADO RED TEC'!K17</f>
        <v>0</v>
      </c>
      <c r="BN45" s="1170">
        <f>+BE45+BG45+BI45+BK45+BM45</f>
        <v>1</v>
      </c>
    </row>
    <row r="46" spans="1:66" ht="9.9499999999999993" customHeight="1">
      <c r="A46" s="1331" t="s">
        <v>205</v>
      </c>
      <c r="B46" s="1171"/>
      <c r="C46" s="1172"/>
      <c r="D46" s="1172"/>
      <c r="E46" s="1172"/>
      <c r="F46" s="1173"/>
      <c r="G46" s="1173"/>
      <c r="H46" s="1174"/>
      <c r="I46" s="1173"/>
      <c r="J46" s="1173"/>
      <c r="K46" s="1173"/>
      <c r="L46" s="1173"/>
      <c r="M46" s="1175"/>
      <c r="N46" s="1173"/>
      <c r="O46" s="1173"/>
      <c r="P46" s="1173"/>
      <c r="Q46" s="1173"/>
      <c r="R46" s="1174"/>
      <c r="S46" s="1173"/>
      <c r="T46" s="1173"/>
      <c r="U46" s="1173"/>
      <c r="V46" s="1173"/>
      <c r="W46" s="1175"/>
      <c r="X46" s="1173"/>
      <c r="Y46" s="1173"/>
      <c r="Z46" s="1173"/>
      <c r="AA46" s="1173"/>
      <c r="AB46" s="1174"/>
      <c r="AC46" s="1173"/>
      <c r="AD46" s="1173"/>
      <c r="AE46" s="1173"/>
      <c r="AF46" s="1173"/>
      <c r="AG46" s="1175"/>
      <c r="AH46" s="1173"/>
      <c r="AI46" s="1173"/>
      <c r="AJ46" s="1173"/>
      <c r="AK46" s="1173"/>
      <c r="AL46" s="1174"/>
      <c r="AM46" s="1173"/>
      <c r="AN46" s="1173"/>
      <c r="AO46" s="1173"/>
      <c r="AP46" s="1173"/>
      <c r="AQ46" s="1175"/>
      <c r="AR46" s="1173"/>
      <c r="AS46" s="1173"/>
      <c r="AT46" s="1173"/>
      <c r="AU46" s="1173"/>
      <c r="AV46" s="1174"/>
      <c r="AW46" s="1173"/>
      <c r="AX46" s="1173"/>
      <c r="AY46" s="1173"/>
      <c r="AZ46" s="1173"/>
      <c r="BA46" s="1175"/>
      <c r="BB46" s="1173"/>
      <c r="BC46" s="1173"/>
      <c r="BD46" s="1176"/>
      <c r="BE46" s="1177"/>
      <c r="BF46" s="1178"/>
      <c r="BG46" s="1178"/>
      <c r="BH46" s="1179"/>
      <c r="BI46" s="1179"/>
      <c r="BJ46" s="1180"/>
      <c r="BK46" s="1181"/>
      <c r="BL46" s="1182"/>
      <c r="BM46" s="1183"/>
      <c r="BN46" s="1170"/>
    </row>
    <row r="47" spans="1:66" ht="15" customHeight="1">
      <c r="A47" s="1330"/>
      <c r="B47" s="1332" t="s">
        <v>206</v>
      </c>
      <c r="C47" s="1333"/>
      <c r="D47" s="1333"/>
      <c r="E47" s="1333"/>
      <c r="F47" s="1333"/>
      <c r="G47" s="1333"/>
      <c r="H47" s="1333"/>
      <c r="I47" s="1333"/>
      <c r="J47" s="1333"/>
      <c r="K47" s="1333"/>
      <c r="L47" s="1333"/>
      <c r="M47" s="1333"/>
      <c r="N47" s="1333"/>
      <c r="O47" s="1333"/>
      <c r="P47" s="1333"/>
      <c r="Q47" s="1333"/>
      <c r="R47" s="1333"/>
      <c r="S47" s="1333"/>
      <c r="T47" s="1333"/>
      <c r="U47" s="1333"/>
      <c r="V47" s="1333"/>
      <c r="W47" s="1333"/>
      <c r="X47" s="1333"/>
      <c r="Y47" s="1333"/>
      <c r="Z47" s="1333"/>
      <c r="AA47" s="1333"/>
      <c r="AB47" s="1333"/>
      <c r="AC47" s="1333"/>
      <c r="AD47" s="1333"/>
      <c r="AE47" s="1333"/>
      <c r="AF47" s="1333"/>
      <c r="AG47" s="1333"/>
      <c r="AH47" s="1333"/>
      <c r="AI47" s="1333"/>
      <c r="AJ47" s="1333"/>
      <c r="AK47" s="1333"/>
      <c r="AL47" s="1333"/>
      <c r="AM47" s="1333"/>
      <c r="AN47" s="1333"/>
      <c r="AO47" s="1333"/>
      <c r="AP47" s="1333"/>
      <c r="AQ47" s="1333"/>
      <c r="AR47" s="1333"/>
      <c r="AS47" s="1333"/>
      <c r="AT47" s="1333"/>
      <c r="AU47" s="1333"/>
      <c r="AV47" s="1333"/>
      <c r="AW47" s="1333"/>
      <c r="AX47" s="1333"/>
      <c r="AY47" s="1333"/>
      <c r="AZ47" s="1333"/>
      <c r="BA47" s="1333"/>
      <c r="BB47" s="1333"/>
      <c r="BC47" s="1334"/>
      <c r="BD47" s="508">
        <f>(COUNTIF($B$47:$BC$47,"MB"))</f>
        <v>0</v>
      </c>
      <c r="BE47" s="1168">
        <f>+BD47/8</f>
        <v>0</v>
      </c>
      <c r="BF47" s="503">
        <f>(COUNTIF($B$47:$BC$47,"B"))</f>
        <v>0</v>
      </c>
      <c r="BG47" s="1168">
        <f>+BF47/54</f>
        <v>0</v>
      </c>
      <c r="BH47" s="503">
        <f>(COUNTIF($B$47:$BC$47,"R"))</f>
        <v>0</v>
      </c>
      <c r="BI47" s="1168">
        <f>+BH47/54</f>
        <v>0</v>
      </c>
      <c r="BJ47" s="503">
        <f>(COUNTIF($B$47:$BC$47,"M"))</f>
        <v>0</v>
      </c>
      <c r="BK47" s="1168">
        <f>+BJ47/54</f>
        <v>0</v>
      </c>
      <c r="BL47" s="503">
        <f>(COUNTIF($B$47:$BC$47,"MM"))</f>
        <v>0</v>
      </c>
      <c r="BM47" s="1169">
        <f>+BL47/54</f>
        <v>0</v>
      </c>
      <c r="BN47" s="1170">
        <f t="shared" ref="BN47:BN61" si="0">+BE47+BG47+BI47+BK47+BM47</f>
        <v>0</v>
      </c>
    </row>
    <row r="48" spans="1:66" ht="9.9499999999999993" customHeight="1">
      <c r="A48" s="1331" t="s">
        <v>207</v>
      </c>
      <c r="B48" s="1171"/>
      <c r="C48" s="1172"/>
      <c r="D48" s="1172"/>
      <c r="E48" s="1172"/>
      <c r="H48" s="1154"/>
      <c r="M48" s="10"/>
      <c r="R48" s="1154"/>
      <c r="W48" s="10"/>
      <c r="AB48" s="1154"/>
      <c r="AG48" s="10"/>
      <c r="AL48" s="1154"/>
      <c r="AQ48" s="10"/>
      <c r="AV48" s="1154"/>
      <c r="BA48" s="10"/>
      <c r="BD48" s="1184"/>
      <c r="BE48" s="1177"/>
      <c r="BF48" s="1178"/>
      <c r="BG48" s="1178"/>
      <c r="BH48" s="1185"/>
      <c r="BI48" s="1185"/>
      <c r="BJ48" s="1180"/>
      <c r="BK48" s="1181"/>
      <c r="BL48" s="1182"/>
      <c r="BM48" s="1183"/>
      <c r="BN48" s="1170"/>
    </row>
    <row r="49" spans="1:66" ht="15" customHeight="1">
      <c r="A49" s="1330"/>
      <c r="B49" s="1186"/>
      <c r="C49" s="1187"/>
      <c r="D49" s="1187"/>
      <c r="E49" s="1187"/>
      <c r="F49" s="1187"/>
      <c r="G49" s="1187"/>
      <c r="H49" s="1188"/>
      <c r="I49" s="1187"/>
      <c r="J49" s="1187" t="s">
        <v>171</v>
      </c>
      <c r="K49" s="1187"/>
      <c r="L49" s="1187"/>
      <c r="M49" s="1189"/>
      <c r="N49" s="1187" t="s">
        <v>171</v>
      </c>
      <c r="O49" s="1187"/>
      <c r="P49" s="1187"/>
      <c r="Q49" s="1187"/>
      <c r="R49" s="1188"/>
      <c r="S49" s="1187"/>
      <c r="T49" s="1187"/>
      <c r="U49" s="1187" t="s">
        <v>171</v>
      </c>
      <c r="V49" s="1187"/>
      <c r="W49" s="1189"/>
      <c r="X49" s="1187"/>
      <c r="Y49" s="1187" t="s">
        <v>171</v>
      </c>
      <c r="Z49" s="1187"/>
      <c r="AA49" s="1187"/>
      <c r="AB49" s="1188"/>
      <c r="AC49" s="1187"/>
      <c r="AD49" s="1187"/>
      <c r="AE49" s="1187"/>
      <c r="AF49" s="1187"/>
      <c r="AG49" s="1189"/>
      <c r="AH49" s="1187"/>
      <c r="AI49" s="1187" t="s">
        <v>171</v>
      </c>
      <c r="AJ49" s="1187" t="s">
        <v>174</v>
      </c>
      <c r="AK49" s="1187"/>
      <c r="AL49" s="1188"/>
      <c r="AM49" s="1187" t="s">
        <v>171</v>
      </c>
      <c r="AN49" s="1187"/>
      <c r="AO49" s="1187"/>
      <c r="AP49" s="1187"/>
      <c r="AQ49" s="1189"/>
      <c r="AR49" s="1187"/>
      <c r="AS49" s="1187"/>
      <c r="AT49" s="1187" t="s">
        <v>171</v>
      </c>
      <c r="AU49" s="1187"/>
      <c r="AV49" s="1188"/>
      <c r="AW49" s="1187"/>
      <c r="AX49" s="1187"/>
      <c r="AY49" s="1187"/>
      <c r="AZ49" s="1187"/>
      <c r="BA49" s="1189"/>
      <c r="BB49" s="1187"/>
      <c r="BC49" s="1190"/>
      <c r="BD49" s="508">
        <f>(COUNTIF($B$49:$BC$49,"MB"))</f>
        <v>0</v>
      </c>
      <c r="BE49" s="1168">
        <f>+BD49/8</f>
        <v>0</v>
      </c>
      <c r="BF49" s="503">
        <f>(COUNTIF($B$49:$BC$49,"B"))</f>
        <v>7</v>
      </c>
      <c r="BG49" s="1168">
        <f>+BF49/8</f>
        <v>0.875</v>
      </c>
      <c r="BH49" s="503">
        <f>(COUNTIF($B$49:$BC$49,"R"))</f>
        <v>0</v>
      </c>
      <c r="BI49" s="1168">
        <f>+BH49/8</f>
        <v>0</v>
      </c>
      <c r="BJ49" s="503">
        <f>(COUNTIF($B$49:$BC$49,"M"))</f>
        <v>1</v>
      </c>
      <c r="BK49" s="1168">
        <f>+BJ49/8</f>
        <v>0.125</v>
      </c>
      <c r="BL49" s="503">
        <f>(COUNTIF($B$49:$BC$49,"MM"))</f>
        <v>0</v>
      </c>
      <c r="BM49" s="1169">
        <f>+BL49/54</f>
        <v>0</v>
      </c>
      <c r="BN49" s="1170">
        <f t="shared" si="0"/>
        <v>1</v>
      </c>
    </row>
    <row r="50" spans="1:66" ht="9.9499999999999993" customHeight="1">
      <c r="A50" s="1331" t="s">
        <v>208</v>
      </c>
      <c r="B50" s="1171"/>
      <c r="C50" s="1172"/>
      <c r="D50" s="1172"/>
      <c r="E50" s="1172"/>
      <c r="F50" s="528"/>
      <c r="G50" s="599"/>
      <c r="H50" s="600"/>
      <c r="I50" s="599"/>
      <c r="J50" s="599"/>
      <c r="K50" s="599"/>
      <c r="L50" s="599"/>
      <c r="M50" s="601"/>
      <c r="N50" s="599"/>
      <c r="O50" s="599"/>
      <c r="P50" s="599"/>
      <c r="Q50" s="599"/>
      <c r="R50" s="600"/>
      <c r="S50" s="599"/>
      <c r="T50" s="599"/>
      <c r="U50" s="599"/>
      <c r="V50" s="599"/>
      <c r="W50" s="601"/>
      <c r="X50" s="599"/>
      <c r="Y50" s="599"/>
      <c r="Z50" s="599"/>
      <c r="AA50" s="599"/>
      <c r="AB50" s="600"/>
      <c r="AC50" s="599"/>
      <c r="AD50" s="599"/>
      <c r="AE50" s="599"/>
      <c r="AF50" s="599"/>
      <c r="AG50" s="601"/>
      <c r="AH50" s="528"/>
      <c r="AI50" s="528"/>
      <c r="AJ50" s="528"/>
      <c r="AK50" s="528"/>
      <c r="AL50" s="602"/>
      <c r="AM50" s="528"/>
      <c r="AN50" s="528"/>
      <c r="AO50" s="528"/>
      <c r="AP50" s="528"/>
      <c r="AQ50" s="603"/>
      <c r="AR50" s="528"/>
      <c r="AS50" s="528"/>
      <c r="AT50" s="528"/>
      <c r="AU50" s="528"/>
      <c r="AV50" s="602"/>
      <c r="AW50" s="528"/>
      <c r="AX50" s="528"/>
      <c r="AY50" s="528"/>
      <c r="AZ50" s="528"/>
      <c r="BA50" s="603"/>
      <c r="BB50" s="528"/>
      <c r="BC50" s="528"/>
      <c r="BD50" s="1176"/>
      <c r="BE50" s="1177"/>
      <c r="BF50" s="1178"/>
      <c r="BG50" s="1178"/>
      <c r="BH50" s="1185"/>
      <c r="BI50" s="1185"/>
      <c r="BJ50" s="1180"/>
      <c r="BK50" s="1181"/>
      <c r="BL50" s="1182"/>
      <c r="BM50" s="1183"/>
      <c r="BN50" s="1170"/>
    </row>
    <row r="51" spans="1:66" ht="15" customHeight="1">
      <c r="A51" s="1330"/>
      <c r="B51" s="1186" t="s">
        <v>203</v>
      </c>
      <c r="C51" s="1191" t="s">
        <v>203</v>
      </c>
      <c r="D51" s="1191" t="s">
        <v>203</v>
      </c>
      <c r="E51" s="1191" t="s">
        <v>203</v>
      </c>
      <c r="F51" s="1191" t="s">
        <v>202</v>
      </c>
      <c r="G51" s="1191" t="s">
        <v>203</v>
      </c>
      <c r="H51" s="1192" t="s">
        <v>203</v>
      </c>
      <c r="I51" s="1191" t="s">
        <v>202</v>
      </c>
      <c r="J51" s="1191" t="s">
        <v>202</v>
      </c>
      <c r="K51" s="1191" t="s">
        <v>203</v>
      </c>
      <c r="L51" s="1191" t="s">
        <v>203</v>
      </c>
      <c r="M51" s="1186" t="s">
        <v>202</v>
      </c>
      <c r="N51" s="1191" t="s">
        <v>203</v>
      </c>
      <c r="O51" s="1191" t="s">
        <v>203</v>
      </c>
      <c r="P51" s="1191" t="s">
        <v>203</v>
      </c>
      <c r="Q51" s="1191" t="s">
        <v>203</v>
      </c>
      <c r="R51" s="1192" t="s">
        <v>203</v>
      </c>
      <c r="S51" s="1191" t="s">
        <v>203</v>
      </c>
      <c r="T51" s="1191" t="s">
        <v>203</v>
      </c>
      <c r="U51" s="1191" t="s">
        <v>202</v>
      </c>
      <c r="V51" s="1191" t="s">
        <v>202</v>
      </c>
      <c r="W51" s="1186" t="s">
        <v>202</v>
      </c>
      <c r="X51" s="1191" t="s">
        <v>203</v>
      </c>
      <c r="Y51" s="1191" t="s">
        <v>203</v>
      </c>
      <c r="Z51" s="1191" t="s">
        <v>203</v>
      </c>
      <c r="AA51" s="1191" t="s">
        <v>203</v>
      </c>
      <c r="AB51" s="1192" t="s">
        <v>203</v>
      </c>
      <c r="AC51" s="1191" t="s">
        <v>203</v>
      </c>
      <c r="AD51" s="1191" t="s">
        <v>203</v>
      </c>
      <c r="AE51" s="1191" t="s">
        <v>203</v>
      </c>
      <c r="AF51" s="1191" t="s">
        <v>203</v>
      </c>
      <c r="AG51" s="1186" t="s">
        <v>203</v>
      </c>
      <c r="AH51" s="1191" t="s">
        <v>203</v>
      </c>
      <c r="AI51" s="1191" t="s">
        <v>203</v>
      </c>
      <c r="AJ51" s="1191" t="s">
        <v>203</v>
      </c>
      <c r="AK51" s="1191" t="s">
        <v>203</v>
      </c>
      <c r="AL51" s="1192" t="s">
        <v>202</v>
      </c>
      <c r="AM51" s="1191" t="s">
        <v>202</v>
      </c>
      <c r="AN51" s="1191" t="s">
        <v>202</v>
      </c>
      <c r="AO51" s="1191" t="s">
        <v>204</v>
      </c>
      <c r="AP51" s="1191" t="s">
        <v>202</v>
      </c>
      <c r="AQ51" s="1186" t="s">
        <v>202</v>
      </c>
      <c r="AR51" s="1191" t="s">
        <v>202</v>
      </c>
      <c r="AS51" s="1191" t="s">
        <v>203</v>
      </c>
      <c r="AT51" s="1191" t="s">
        <v>203</v>
      </c>
      <c r="AU51" s="1191" t="s">
        <v>202</v>
      </c>
      <c r="AV51" s="1192" t="s">
        <v>204</v>
      </c>
      <c r="AW51" s="1191" t="s">
        <v>204</v>
      </c>
      <c r="AX51" s="1191" t="s">
        <v>204</v>
      </c>
      <c r="AY51" s="1191" t="s">
        <v>204</v>
      </c>
      <c r="AZ51" s="1191" t="s">
        <v>204</v>
      </c>
      <c r="BA51" s="1186" t="s">
        <v>204</v>
      </c>
      <c r="BB51" s="1191" t="s">
        <v>204</v>
      </c>
      <c r="BC51" s="1190" t="s">
        <v>203</v>
      </c>
      <c r="BD51" s="508">
        <f>(COUNTIF($B$51:$BC$51,"MB"))</f>
        <v>0</v>
      </c>
      <c r="BE51" s="1168">
        <f>+BD51/54</f>
        <v>0</v>
      </c>
      <c r="BF51" s="503">
        <f>(COUNTIF($B$51:$BC$51,"B"))</f>
        <v>32</v>
      </c>
      <c r="BG51" s="1168">
        <f>+BF51/54</f>
        <v>0.59259259259259256</v>
      </c>
      <c r="BH51" s="503">
        <f>(COUNTIF($B$51:$BC$51,"R"))</f>
        <v>14</v>
      </c>
      <c r="BI51" s="1168">
        <f>+BH51/54</f>
        <v>0.25925925925925924</v>
      </c>
      <c r="BJ51" s="503">
        <f>(COUNTIF($B$51:$BC$51,"M"))</f>
        <v>8</v>
      </c>
      <c r="BK51" s="1168">
        <f>+BJ51/54</f>
        <v>0.14814814814814814</v>
      </c>
      <c r="BL51" s="503">
        <f>(COUNTIF($B$51:$BC$51,"MM"))</f>
        <v>0</v>
      </c>
      <c r="BM51" s="1169">
        <f>+BL51/54</f>
        <v>0</v>
      </c>
      <c r="BN51" s="1170">
        <f t="shared" si="0"/>
        <v>1</v>
      </c>
    </row>
    <row r="52" spans="1:66" ht="9.9499999999999993" customHeight="1">
      <c r="A52" s="1331" t="s">
        <v>209</v>
      </c>
      <c r="B52" s="1171"/>
      <c r="C52" s="1172"/>
      <c r="D52" s="1172"/>
      <c r="E52" s="1172"/>
      <c r="F52" s="1173"/>
      <c r="G52" s="1173"/>
      <c r="H52" s="1174"/>
      <c r="I52" s="1173"/>
      <c r="J52" s="1173"/>
      <c r="K52" s="1173"/>
      <c r="L52" s="1173"/>
      <c r="M52" s="1175"/>
      <c r="N52" s="1173"/>
      <c r="O52" s="1173"/>
      <c r="P52" s="1173"/>
      <c r="Q52" s="1173"/>
      <c r="R52" s="1174"/>
      <c r="S52" s="1173"/>
      <c r="T52" s="1173"/>
      <c r="U52" s="1173"/>
      <c r="V52" s="1173"/>
      <c r="W52" s="1175"/>
      <c r="X52" s="1173"/>
      <c r="Y52" s="1173"/>
      <c r="Z52" s="1173"/>
      <c r="AA52" s="1173"/>
      <c r="AB52" s="1174"/>
      <c r="AC52" s="1173"/>
      <c r="AD52" s="1173"/>
      <c r="AE52" s="1173"/>
      <c r="AF52" s="1173"/>
      <c r="AG52" s="1175"/>
      <c r="AH52" s="1173"/>
      <c r="AI52" s="1173"/>
      <c r="AJ52" s="1173"/>
      <c r="AK52" s="1173"/>
      <c r="AL52" s="1174"/>
      <c r="AM52" s="1173"/>
      <c r="AN52" s="1173"/>
      <c r="AO52" s="1173"/>
      <c r="AP52" s="1173"/>
      <c r="AQ52" s="1175"/>
      <c r="AR52" s="1173"/>
      <c r="AS52" s="1173"/>
      <c r="AT52" s="1173"/>
      <c r="AU52" s="1173"/>
      <c r="AV52" s="1174"/>
      <c r="AW52" s="1173"/>
      <c r="AX52" s="1173"/>
      <c r="AY52" s="1173"/>
      <c r="AZ52" s="1173"/>
      <c r="BA52" s="1175"/>
      <c r="BB52" s="1173"/>
      <c r="BC52" s="1173"/>
      <c r="BD52" s="1176"/>
      <c r="BE52" s="1177"/>
      <c r="BF52" s="1178"/>
      <c r="BG52" s="1178"/>
      <c r="BH52" s="1185"/>
      <c r="BI52" s="1185"/>
      <c r="BJ52" s="1180"/>
      <c r="BK52" s="1181"/>
      <c r="BL52" s="1182"/>
      <c r="BM52" s="1183"/>
      <c r="BN52" s="1170"/>
    </row>
    <row r="53" spans="1:66" ht="15" customHeight="1">
      <c r="A53" s="1330"/>
      <c r="B53" s="1186" t="s">
        <v>169</v>
      </c>
      <c r="C53" s="1191" t="s">
        <v>174</v>
      </c>
      <c r="D53" s="1191" t="s">
        <v>171</v>
      </c>
      <c r="E53" s="1191" t="s">
        <v>171</v>
      </c>
      <c r="F53" s="1191" t="s">
        <v>169</v>
      </c>
      <c r="G53" s="1191" t="s">
        <v>169</v>
      </c>
      <c r="H53" s="1192" t="s">
        <v>169</v>
      </c>
      <c r="I53" s="1191" t="s">
        <v>169</v>
      </c>
      <c r="J53" s="1191" t="s">
        <v>169</v>
      </c>
      <c r="K53" s="1191" t="s">
        <v>174</v>
      </c>
      <c r="L53" s="1191" t="s">
        <v>169</v>
      </c>
      <c r="M53" s="1186" t="s">
        <v>169</v>
      </c>
      <c r="N53" s="1191" t="s">
        <v>169</v>
      </c>
      <c r="O53" s="1191" t="s">
        <v>169</v>
      </c>
      <c r="P53" s="1191" t="s">
        <v>169</v>
      </c>
      <c r="Q53" s="1191" t="s">
        <v>169</v>
      </c>
      <c r="R53" s="1192" t="s">
        <v>169</v>
      </c>
      <c r="S53" s="1191" t="s">
        <v>169</v>
      </c>
      <c r="T53" s="1191" t="s">
        <v>169</v>
      </c>
      <c r="U53" s="1191" t="s">
        <v>169</v>
      </c>
      <c r="V53" s="1191" t="s">
        <v>174</v>
      </c>
      <c r="W53" s="1186" t="s">
        <v>169</v>
      </c>
      <c r="X53" s="1191" t="s">
        <v>174</v>
      </c>
      <c r="Y53" s="1191" t="s">
        <v>169</v>
      </c>
      <c r="Z53" s="1191" t="s">
        <v>169</v>
      </c>
      <c r="AA53" s="1191" t="s">
        <v>169</v>
      </c>
      <c r="AB53" s="1192" t="s">
        <v>169</v>
      </c>
      <c r="AC53" s="1191" t="s">
        <v>169</v>
      </c>
      <c r="AD53" s="1191" t="s">
        <v>169</v>
      </c>
      <c r="AE53" s="1191" t="s">
        <v>169</v>
      </c>
      <c r="AF53" s="1191" t="s">
        <v>169</v>
      </c>
      <c r="AG53" s="1186" t="s">
        <v>169</v>
      </c>
      <c r="AH53" s="1191" t="s">
        <v>169</v>
      </c>
      <c r="AI53" s="1191" t="s">
        <v>169</v>
      </c>
      <c r="AJ53" s="1191" t="s">
        <v>169</v>
      </c>
      <c r="AK53" s="1191" t="s">
        <v>169</v>
      </c>
      <c r="AL53" s="1192" t="s">
        <v>169</v>
      </c>
      <c r="AM53" s="1191" t="s">
        <v>169</v>
      </c>
      <c r="AN53" s="1191" t="s">
        <v>169</v>
      </c>
      <c r="AO53" s="1191" t="s">
        <v>169</v>
      </c>
      <c r="AP53" s="1191" t="s">
        <v>169</v>
      </c>
      <c r="AQ53" s="1186" t="s">
        <v>169</v>
      </c>
      <c r="AR53" s="1191" t="s">
        <v>169</v>
      </c>
      <c r="AS53" s="1191" t="s">
        <v>169</v>
      </c>
      <c r="AT53" s="1191" t="s">
        <v>169</v>
      </c>
      <c r="AU53" s="1191" t="s">
        <v>169</v>
      </c>
      <c r="AV53" s="1192" t="s">
        <v>169</v>
      </c>
      <c r="AW53" s="1191" t="s">
        <v>169</v>
      </c>
      <c r="AX53" s="1191" t="s">
        <v>169</v>
      </c>
      <c r="AY53" s="1191" t="s">
        <v>169</v>
      </c>
      <c r="AZ53" s="1191" t="s">
        <v>169</v>
      </c>
      <c r="BA53" s="1186" t="s">
        <v>169</v>
      </c>
      <c r="BB53" s="1191" t="s">
        <v>169</v>
      </c>
      <c r="BC53" s="1190" t="s">
        <v>169</v>
      </c>
      <c r="BD53" s="508">
        <f>(COUNTIF($B$53:$BC$53,"MB"))</f>
        <v>0</v>
      </c>
      <c r="BE53" s="1168">
        <f>+BD53/54</f>
        <v>0</v>
      </c>
      <c r="BF53" s="503">
        <f>(COUNTIF($B$53:$BC$53,"B"))</f>
        <v>2</v>
      </c>
      <c r="BG53" s="1168">
        <f>+BF53/54</f>
        <v>3.7037037037037035E-2</v>
      </c>
      <c r="BH53" s="503">
        <f>(COUNTIF($B$53:$BC$53,"R"))</f>
        <v>48</v>
      </c>
      <c r="BI53" s="1168">
        <f>+BH53/54</f>
        <v>0.88888888888888884</v>
      </c>
      <c r="BJ53" s="503">
        <f>(COUNTIF($B$53:$BC$53,"M"))</f>
        <v>4</v>
      </c>
      <c r="BK53" s="1168">
        <f>+BJ53/54</f>
        <v>7.407407407407407E-2</v>
      </c>
      <c r="BL53" s="503">
        <f>(COUNTIF($B$53:$BC$53,"MM"))</f>
        <v>0</v>
      </c>
      <c r="BM53" s="1169">
        <f>+BL53/54</f>
        <v>0</v>
      </c>
      <c r="BN53" s="1170">
        <f t="shared" si="0"/>
        <v>0.99999999999999989</v>
      </c>
    </row>
    <row r="54" spans="1:66" ht="9.9499999999999993" customHeight="1">
      <c r="A54" s="1331" t="s">
        <v>210</v>
      </c>
      <c r="B54" s="1171"/>
      <c r="C54" s="1172"/>
      <c r="D54" s="1172"/>
      <c r="E54" s="1172"/>
      <c r="F54" s="1173"/>
      <c r="G54" s="1173"/>
      <c r="H54" s="1174"/>
      <c r="I54" s="1173"/>
      <c r="J54" s="1173"/>
      <c r="K54" s="1173"/>
      <c r="L54" s="1173"/>
      <c r="M54" s="1175"/>
      <c r="N54" s="1173"/>
      <c r="O54" s="1173"/>
      <c r="P54" s="1173"/>
      <c r="Q54" s="1173"/>
      <c r="R54" s="1174"/>
      <c r="S54" s="1173"/>
      <c r="T54" s="1173"/>
      <c r="U54" s="1173"/>
      <c r="V54" s="1173"/>
      <c r="W54" s="1175"/>
      <c r="X54" s="1173"/>
      <c r="Y54" s="1173"/>
      <c r="Z54" s="1173"/>
      <c r="AA54" s="1173"/>
      <c r="AB54" s="1174"/>
      <c r="AC54" s="1173"/>
      <c r="AD54" s="1173"/>
      <c r="AE54" s="1173"/>
      <c r="AF54" s="1173"/>
      <c r="AG54" s="1175"/>
      <c r="AH54" s="1173"/>
      <c r="AI54" s="1173"/>
      <c r="AJ54" s="1173"/>
      <c r="AK54" s="1173"/>
      <c r="AL54" s="1174"/>
      <c r="AM54" s="1173"/>
      <c r="AN54" s="1173"/>
      <c r="AO54" s="1173"/>
      <c r="AP54" s="1173"/>
      <c r="AQ54" s="1175"/>
      <c r="AR54" s="1173"/>
      <c r="AS54" s="1173"/>
      <c r="AT54" s="1173"/>
      <c r="AU54" s="1173"/>
      <c r="AV54" s="1174"/>
      <c r="AW54" s="1173"/>
      <c r="AX54" s="1173"/>
      <c r="AY54" s="1173"/>
      <c r="AZ54" s="1173"/>
      <c r="BA54" s="1175"/>
      <c r="BB54" s="1173"/>
      <c r="BC54" s="1173"/>
      <c r="BD54" s="1176"/>
      <c r="BE54" s="1177"/>
      <c r="BF54" s="1178"/>
      <c r="BG54" s="1178"/>
      <c r="BH54" s="1185"/>
      <c r="BI54" s="1185"/>
      <c r="BJ54" s="1180"/>
      <c r="BK54" s="1181"/>
      <c r="BL54" s="1182"/>
      <c r="BM54" s="1183"/>
      <c r="BN54" s="1170"/>
    </row>
    <row r="55" spans="1:66" ht="15" customHeight="1">
      <c r="A55" s="1330"/>
      <c r="B55" s="1186" t="s">
        <v>204</v>
      </c>
      <c r="C55" s="1191" t="s">
        <v>204</v>
      </c>
      <c r="D55" s="1191" t="s">
        <v>204</v>
      </c>
      <c r="E55" s="1191" t="s">
        <v>204</v>
      </c>
      <c r="F55" s="1191" t="s">
        <v>204</v>
      </c>
      <c r="G55" s="1191" t="s">
        <v>204</v>
      </c>
      <c r="H55" s="1192" t="s">
        <v>204</v>
      </c>
      <c r="I55" s="1191" t="s">
        <v>204</v>
      </c>
      <c r="J55" s="1191" t="s">
        <v>204</v>
      </c>
      <c r="K55" s="1191" t="s">
        <v>204</v>
      </c>
      <c r="L55" s="1191" t="s">
        <v>204</v>
      </c>
      <c r="M55" s="1186" t="s">
        <v>204</v>
      </c>
      <c r="N55" s="1191" t="s">
        <v>204</v>
      </c>
      <c r="O55" s="1191" t="s">
        <v>204</v>
      </c>
      <c r="P55" s="1191" t="s">
        <v>204</v>
      </c>
      <c r="Q55" s="1191" t="s">
        <v>204</v>
      </c>
      <c r="R55" s="1192" t="s">
        <v>204</v>
      </c>
      <c r="S55" s="1191" t="s">
        <v>204</v>
      </c>
      <c r="T55" s="1191" t="s">
        <v>204</v>
      </c>
      <c r="U55" s="1191" t="s">
        <v>174</v>
      </c>
      <c r="V55" s="1191" t="s">
        <v>204</v>
      </c>
      <c r="W55" s="1186" t="s">
        <v>204</v>
      </c>
      <c r="X55" s="1191" t="s">
        <v>204</v>
      </c>
      <c r="Y55" s="1191" t="s">
        <v>204</v>
      </c>
      <c r="Z55" s="1191" t="s">
        <v>204</v>
      </c>
      <c r="AA55" s="1191" t="s">
        <v>204</v>
      </c>
      <c r="AB55" s="1192" t="s">
        <v>204</v>
      </c>
      <c r="AC55" s="1191" t="s">
        <v>204</v>
      </c>
      <c r="AD55" s="1191" t="s">
        <v>204</v>
      </c>
      <c r="AE55" s="1191" t="s">
        <v>204</v>
      </c>
      <c r="AF55" s="1191" t="s">
        <v>204</v>
      </c>
      <c r="AG55" s="1186" t="s">
        <v>204</v>
      </c>
      <c r="AH55" s="1191" t="s">
        <v>204</v>
      </c>
      <c r="AI55" s="1191" t="s">
        <v>204</v>
      </c>
      <c r="AJ55" s="1191" t="s">
        <v>204</v>
      </c>
      <c r="AK55" s="1191" t="s">
        <v>204</v>
      </c>
      <c r="AL55" s="1192" t="s">
        <v>204</v>
      </c>
      <c r="AM55" s="1191" t="s">
        <v>204</v>
      </c>
      <c r="AN55" s="1191" t="s">
        <v>204</v>
      </c>
      <c r="AO55" s="1191" t="s">
        <v>204</v>
      </c>
      <c r="AP55" s="1191" t="s">
        <v>204</v>
      </c>
      <c r="AQ55" s="1186" t="s">
        <v>204</v>
      </c>
      <c r="AR55" s="1191" t="s">
        <v>204</v>
      </c>
      <c r="AS55" s="1191" t="s">
        <v>204</v>
      </c>
      <c r="AT55" s="1191" t="s">
        <v>204</v>
      </c>
      <c r="AU55" s="1191" t="s">
        <v>204</v>
      </c>
      <c r="AV55" s="1192" t="s">
        <v>204</v>
      </c>
      <c r="AW55" s="1191" t="s">
        <v>204</v>
      </c>
      <c r="AX55" s="1191" t="s">
        <v>204</v>
      </c>
      <c r="AY55" s="1191" t="s">
        <v>204</v>
      </c>
      <c r="AZ55" s="1191" t="s">
        <v>204</v>
      </c>
      <c r="BA55" s="1186" t="s">
        <v>204</v>
      </c>
      <c r="BB55" s="1191" t="s">
        <v>204</v>
      </c>
      <c r="BC55" s="1190" t="s">
        <v>171</v>
      </c>
      <c r="BD55" s="508">
        <f>(COUNTIF($B$55:$BC$55,"MB"))</f>
        <v>0</v>
      </c>
      <c r="BE55" s="1168">
        <f>+BD55/54</f>
        <v>0</v>
      </c>
      <c r="BF55" s="503">
        <f>(COUNTIF($B$55:$BC$55,"B"))</f>
        <v>1</v>
      </c>
      <c r="BG55" s="1168">
        <f>+BF55/54</f>
        <v>1.8518518518518517E-2</v>
      </c>
      <c r="BH55" s="503">
        <f>(COUNTIF($B$55:$BC$55,"R"))</f>
        <v>0</v>
      </c>
      <c r="BI55" s="1168">
        <f>+BH55/54</f>
        <v>0</v>
      </c>
      <c r="BJ55" s="503">
        <f>(COUNTIF($B$55:$BC$55,"M"))</f>
        <v>53</v>
      </c>
      <c r="BK55" s="1168">
        <f>+BJ55/54</f>
        <v>0.98148148148148151</v>
      </c>
      <c r="BL55" s="503">
        <f>(COUNTIF($B$55:$BC$55,"MM"))</f>
        <v>0</v>
      </c>
      <c r="BM55" s="1169">
        <f>+BL55/54</f>
        <v>0</v>
      </c>
      <c r="BN55" s="1170">
        <f t="shared" si="0"/>
        <v>1</v>
      </c>
    </row>
    <row r="56" spans="1:66" ht="9.9499999999999993" customHeight="1">
      <c r="A56" s="1331" t="s">
        <v>211</v>
      </c>
      <c r="B56" s="1193"/>
      <c r="C56" s="1194"/>
      <c r="D56" s="1194"/>
      <c r="E56" s="1194"/>
      <c r="F56" s="1195"/>
      <c r="G56" s="1195"/>
      <c r="H56" s="1196"/>
      <c r="I56" s="1195"/>
      <c r="J56" s="1195"/>
      <c r="K56" s="1195"/>
      <c r="L56" s="1195"/>
      <c r="M56" s="1197"/>
      <c r="N56" s="1195"/>
      <c r="O56" s="1195"/>
      <c r="P56" s="1195"/>
      <c r="Q56" s="1195"/>
      <c r="R56" s="1196"/>
      <c r="S56" s="1195"/>
      <c r="T56" s="1195"/>
      <c r="U56" s="1195"/>
      <c r="V56" s="1195"/>
      <c r="W56" s="1197"/>
      <c r="X56" s="1195"/>
      <c r="Y56" s="1195"/>
      <c r="Z56" s="1195"/>
      <c r="AA56" s="1195"/>
      <c r="AB56" s="1196"/>
      <c r="AC56" s="1195"/>
      <c r="AD56" s="1195"/>
      <c r="AE56" s="1195"/>
      <c r="AF56" s="1195"/>
      <c r="AG56" s="1197"/>
      <c r="AH56" s="1195"/>
      <c r="AI56" s="1195"/>
      <c r="AJ56" s="1195"/>
      <c r="AK56" s="1195"/>
      <c r="AL56" s="1196"/>
      <c r="AM56" s="1195"/>
      <c r="AN56" s="1195"/>
      <c r="AO56" s="1195"/>
      <c r="AP56" s="1195"/>
      <c r="AQ56" s="1197"/>
      <c r="AR56" s="1195"/>
      <c r="AS56" s="1195"/>
      <c r="AT56" s="1195"/>
      <c r="AU56" s="1195"/>
      <c r="AV56" s="1196"/>
      <c r="AW56" s="1195"/>
      <c r="AX56" s="1195"/>
      <c r="AY56" s="1195"/>
      <c r="AZ56" s="1195"/>
      <c r="BA56" s="1197"/>
      <c r="BB56" s="1195"/>
      <c r="BC56" s="1198"/>
      <c r="BD56" s="1176"/>
      <c r="BE56" s="1177"/>
      <c r="BF56" s="1178"/>
      <c r="BG56" s="1178"/>
      <c r="BH56" s="1185"/>
      <c r="BI56" s="1185"/>
      <c r="BJ56" s="1180"/>
      <c r="BK56" s="1181"/>
      <c r="BL56" s="1182"/>
      <c r="BM56" s="1183"/>
      <c r="BN56" s="1170"/>
    </row>
    <row r="57" spans="1:66" ht="15" customHeight="1">
      <c r="A57" s="1330"/>
      <c r="B57" s="1186" t="s">
        <v>171</v>
      </c>
      <c r="C57" s="1191" t="s">
        <v>171</v>
      </c>
      <c r="D57" s="1191" t="s">
        <v>171</v>
      </c>
      <c r="E57" s="1191" t="s">
        <v>171</v>
      </c>
      <c r="F57" s="1191" t="s">
        <v>171</v>
      </c>
      <c r="G57" s="1191" t="s">
        <v>171</v>
      </c>
      <c r="H57" s="1192" t="s">
        <v>171</v>
      </c>
      <c r="I57" s="1191" t="s">
        <v>171</v>
      </c>
      <c r="J57" s="1191" t="s">
        <v>171</v>
      </c>
      <c r="K57" s="1191" t="s">
        <v>171</v>
      </c>
      <c r="L57" s="1191" t="s">
        <v>171</v>
      </c>
      <c r="M57" s="1186" t="s">
        <v>171</v>
      </c>
      <c r="N57" s="1191" t="s">
        <v>171</v>
      </c>
      <c r="O57" s="1191" t="s">
        <v>171</v>
      </c>
      <c r="P57" s="1191" t="s">
        <v>171</v>
      </c>
      <c r="Q57" s="1191" t="s">
        <v>171</v>
      </c>
      <c r="R57" s="1192" t="s">
        <v>171</v>
      </c>
      <c r="S57" s="1191" t="s">
        <v>171</v>
      </c>
      <c r="T57" s="1191" t="s">
        <v>171</v>
      </c>
      <c r="U57" s="1191" t="s">
        <v>171</v>
      </c>
      <c r="V57" s="1191" t="s">
        <v>171</v>
      </c>
      <c r="W57" s="1186" t="s">
        <v>171</v>
      </c>
      <c r="X57" s="1191" t="s">
        <v>171</v>
      </c>
      <c r="Y57" s="1191" t="s">
        <v>171</v>
      </c>
      <c r="Z57" s="1191" t="s">
        <v>171</v>
      </c>
      <c r="AA57" s="1191" t="s">
        <v>171</v>
      </c>
      <c r="AB57" s="1192" t="s">
        <v>171</v>
      </c>
      <c r="AC57" s="1191" t="s">
        <v>171</v>
      </c>
      <c r="AD57" s="1191" t="s">
        <v>171</v>
      </c>
      <c r="AE57" s="1191" t="s">
        <v>171</v>
      </c>
      <c r="AF57" s="1191" t="s">
        <v>171</v>
      </c>
      <c r="AG57" s="1186" t="s">
        <v>171</v>
      </c>
      <c r="AH57" s="1191" t="s">
        <v>171</v>
      </c>
      <c r="AI57" s="1191" t="s">
        <v>171</v>
      </c>
      <c r="AJ57" s="1191" t="s">
        <v>171</v>
      </c>
      <c r="AK57" s="1191" t="s">
        <v>171</v>
      </c>
      <c r="AL57" s="1192" t="s">
        <v>171</v>
      </c>
      <c r="AM57" s="1191" t="s">
        <v>171</v>
      </c>
      <c r="AN57" s="1191" t="s">
        <v>171</v>
      </c>
      <c r="AO57" s="1191" t="s">
        <v>171</v>
      </c>
      <c r="AP57" s="1191" t="s">
        <v>171</v>
      </c>
      <c r="AQ57" s="1186" t="s">
        <v>171</v>
      </c>
      <c r="AR57" s="1191" t="s">
        <v>171</v>
      </c>
      <c r="AS57" s="1191" t="s">
        <v>171</v>
      </c>
      <c r="AT57" s="1191" t="s">
        <v>171</v>
      </c>
      <c r="AU57" s="1191" t="s">
        <v>171</v>
      </c>
      <c r="AV57" s="1192" t="s">
        <v>171</v>
      </c>
      <c r="AW57" s="1191" t="s">
        <v>171</v>
      </c>
      <c r="AX57" s="1191" t="s">
        <v>171</v>
      </c>
      <c r="AY57" s="1191" t="s">
        <v>171</v>
      </c>
      <c r="AZ57" s="1191" t="s">
        <v>171</v>
      </c>
      <c r="BA57" s="1186" t="s">
        <v>171</v>
      </c>
      <c r="BB57" s="1191" t="s">
        <v>171</v>
      </c>
      <c r="BC57" s="1190" t="s">
        <v>171</v>
      </c>
      <c r="BD57" s="508">
        <f>(COUNTIF($B$57:$BC$57,"MB"))</f>
        <v>0</v>
      </c>
      <c r="BE57" s="1168">
        <f>+BD57/54</f>
        <v>0</v>
      </c>
      <c r="BF57" s="503">
        <f>(COUNTIF($B$57:$BC$57,"B"))</f>
        <v>54</v>
      </c>
      <c r="BG57" s="1168">
        <f>+BF57/54</f>
        <v>1</v>
      </c>
      <c r="BH57" s="503">
        <f>(COUNTIF($B$57:$BC$57,"R"))</f>
        <v>0</v>
      </c>
      <c r="BI57" s="1168">
        <f>+BH57/54</f>
        <v>0</v>
      </c>
      <c r="BJ57" s="503">
        <f>(COUNTIF($B$57:$BC$57,"M"))</f>
        <v>0</v>
      </c>
      <c r="BK57" s="1168">
        <f>+BJ57/54</f>
        <v>0</v>
      </c>
      <c r="BL57" s="503">
        <f>(COUNTIF($B$57:$BC$57,"MM"))</f>
        <v>0</v>
      </c>
      <c r="BM57" s="1169">
        <f>+BL57/54</f>
        <v>0</v>
      </c>
      <c r="BN57" s="1170">
        <f t="shared" si="0"/>
        <v>1</v>
      </c>
    </row>
    <row r="58" spans="1:66" ht="9.9499999999999993" customHeight="1">
      <c r="A58" s="1331" t="s">
        <v>212</v>
      </c>
      <c r="B58" s="1171"/>
      <c r="C58" s="1172"/>
      <c r="D58" s="1172"/>
      <c r="E58" s="1172"/>
      <c r="F58" s="1173"/>
      <c r="G58" s="1173"/>
      <c r="H58" s="1174"/>
      <c r="I58" s="1173"/>
      <c r="J58" s="1173"/>
      <c r="K58" s="1173"/>
      <c r="L58" s="1173"/>
      <c r="M58" s="1175"/>
      <c r="N58" s="1173"/>
      <c r="O58" s="1173"/>
      <c r="P58" s="1173"/>
      <c r="Q58" s="1173"/>
      <c r="R58" s="1174"/>
      <c r="S58" s="1173"/>
      <c r="T58" s="1173"/>
      <c r="U58" s="1173"/>
      <c r="V58" s="1173"/>
      <c r="W58" s="1175"/>
      <c r="X58" s="1173"/>
      <c r="Y58" s="1173"/>
      <c r="Z58" s="1173"/>
      <c r="AA58" s="1173"/>
      <c r="AB58" s="1174"/>
      <c r="AC58" s="1173"/>
      <c r="AD58" s="1173"/>
      <c r="AE58" s="1173"/>
      <c r="AF58" s="1173"/>
      <c r="AG58" s="1175"/>
      <c r="AH58" s="1173"/>
      <c r="AI58" s="1173"/>
      <c r="AJ58" s="1173"/>
      <c r="AK58" s="1173"/>
      <c r="AL58" s="1174"/>
      <c r="AM58" s="1173"/>
      <c r="AN58" s="1173"/>
      <c r="AO58" s="1173"/>
      <c r="AP58" s="1173"/>
      <c r="AQ58" s="1175"/>
      <c r="AR58" s="1173"/>
      <c r="AS58" s="1173"/>
      <c r="AT58" s="1173"/>
      <c r="AU58" s="1173"/>
      <c r="AV58" s="1174"/>
      <c r="AW58" s="1173"/>
      <c r="AX58" s="1173"/>
      <c r="AY58" s="1173"/>
      <c r="AZ58" s="1173"/>
      <c r="BA58" s="1175"/>
      <c r="BB58" s="1173"/>
      <c r="BC58" s="1173"/>
      <c r="BD58" s="1176"/>
      <c r="BE58" s="1177"/>
      <c r="BF58" s="1178"/>
      <c r="BG58" s="1178"/>
      <c r="BH58" s="1185"/>
      <c r="BI58" s="1185"/>
      <c r="BJ58" s="1180"/>
      <c r="BK58" s="1181"/>
      <c r="BL58" s="1182"/>
      <c r="BM58" s="1183"/>
      <c r="BN58" s="1170"/>
    </row>
    <row r="59" spans="1:66" ht="15" customHeight="1">
      <c r="A59" s="1330"/>
      <c r="B59" s="1186" t="s">
        <v>203</v>
      </c>
      <c r="C59" s="1191" t="s">
        <v>203</v>
      </c>
      <c r="D59" s="1191" t="s">
        <v>169</v>
      </c>
      <c r="E59" s="1191" t="s">
        <v>169</v>
      </c>
      <c r="F59" s="1191" t="s">
        <v>169</v>
      </c>
      <c r="G59" s="1191" t="s">
        <v>169</v>
      </c>
      <c r="H59" s="1192" t="s">
        <v>169</v>
      </c>
      <c r="I59" s="1191" t="s">
        <v>169</v>
      </c>
      <c r="J59" s="1191" t="s">
        <v>169</v>
      </c>
      <c r="K59" s="1191" t="s">
        <v>171</v>
      </c>
      <c r="L59" s="1191" t="s">
        <v>169</v>
      </c>
      <c r="M59" s="1186" t="s">
        <v>169</v>
      </c>
      <c r="N59" s="1191" t="s">
        <v>169</v>
      </c>
      <c r="O59" s="1191" t="s">
        <v>169</v>
      </c>
      <c r="P59" s="1191" t="s">
        <v>169</v>
      </c>
      <c r="Q59" s="1191" t="s">
        <v>169</v>
      </c>
      <c r="R59" s="1192" t="s">
        <v>169</v>
      </c>
      <c r="S59" s="1191" t="s">
        <v>171</v>
      </c>
      <c r="T59" s="1191" t="s">
        <v>171</v>
      </c>
      <c r="U59" s="1191" t="s">
        <v>169</v>
      </c>
      <c r="V59" s="1191" t="s">
        <v>169</v>
      </c>
      <c r="W59" s="1186" t="s">
        <v>169</v>
      </c>
      <c r="X59" s="1191" t="s">
        <v>171</v>
      </c>
      <c r="Y59" s="1191" t="s">
        <v>171</v>
      </c>
      <c r="Z59" s="1191" t="s">
        <v>171</v>
      </c>
      <c r="AA59" s="1191" t="s">
        <v>171</v>
      </c>
      <c r="AB59" s="1192" t="s">
        <v>171</v>
      </c>
      <c r="AC59" s="1191" t="s">
        <v>171</v>
      </c>
      <c r="AD59" s="1191" t="s">
        <v>171</v>
      </c>
      <c r="AE59" s="1191" t="s">
        <v>171</v>
      </c>
      <c r="AF59" s="1191" t="s">
        <v>171</v>
      </c>
      <c r="AG59" s="1186" t="s">
        <v>171</v>
      </c>
      <c r="AH59" s="1191" t="s">
        <v>171</v>
      </c>
      <c r="AI59" s="1191" t="s">
        <v>171</v>
      </c>
      <c r="AJ59" s="1191" t="s">
        <v>171</v>
      </c>
      <c r="AK59" s="1191" t="s">
        <v>171</v>
      </c>
      <c r="AL59" s="1192" t="s">
        <v>169</v>
      </c>
      <c r="AM59" s="1191" t="s">
        <v>169</v>
      </c>
      <c r="AN59" s="1191" t="s">
        <v>169</v>
      </c>
      <c r="AO59" s="1191" t="s">
        <v>169</v>
      </c>
      <c r="AP59" s="1191" t="s">
        <v>169</v>
      </c>
      <c r="AQ59" s="1186" t="s">
        <v>169</v>
      </c>
      <c r="AR59" s="1191" t="s">
        <v>169</v>
      </c>
      <c r="AS59" s="1191" t="s">
        <v>169</v>
      </c>
      <c r="AT59" s="1191" t="s">
        <v>169</v>
      </c>
      <c r="AU59" s="1191" t="s">
        <v>169</v>
      </c>
      <c r="AV59" s="1192" t="s">
        <v>169</v>
      </c>
      <c r="AW59" s="1191" t="s">
        <v>169</v>
      </c>
      <c r="AX59" s="1191" t="s">
        <v>169</v>
      </c>
      <c r="AY59" s="1191" t="s">
        <v>169</v>
      </c>
      <c r="AZ59" s="1191" t="s">
        <v>171</v>
      </c>
      <c r="BA59" s="1186" t="s">
        <v>169</v>
      </c>
      <c r="BB59" s="1191" t="s">
        <v>171</v>
      </c>
      <c r="BC59" s="1190" t="s">
        <v>171</v>
      </c>
      <c r="BD59" s="508">
        <f>(COUNTIF($B$59:$BC$59,"MB"))</f>
        <v>0</v>
      </c>
      <c r="BE59" s="1168">
        <f>+BD59/54</f>
        <v>0</v>
      </c>
      <c r="BF59" s="503">
        <f>(COUNTIF($B$59:$BC$59,"B"))</f>
        <v>22</v>
      </c>
      <c r="BG59" s="1168">
        <f>+BF59/54</f>
        <v>0.40740740740740738</v>
      </c>
      <c r="BH59" s="503">
        <f>(COUNTIF($B$59:$BC$59,"R"))</f>
        <v>32</v>
      </c>
      <c r="BI59" s="1168">
        <f>+BH59/54</f>
        <v>0.59259259259259256</v>
      </c>
      <c r="BJ59" s="503">
        <f>(COUNTIF($B$59:$BC$59,"M"))</f>
        <v>0</v>
      </c>
      <c r="BK59" s="1168">
        <f>+BJ59/54</f>
        <v>0</v>
      </c>
      <c r="BL59" s="503">
        <f>(COUNTIF($B$59:$BC$59,"MM"))</f>
        <v>0</v>
      </c>
      <c r="BM59" s="1169">
        <f>+BL59/54</f>
        <v>0</v>
      </c>
      <c r="BN59" s="1170">
        <f t="shared" si="0"/>
        <v>1</v>
      </c>
    </row>
    <row r="60" spans="1:66" ht="9.9499999999999993" customHeight="1">
      <c r="A60" s="1331" t="s">
        <v>213</v>
      </c>
      <c r="B60" s="1171"/>
      <c r="C60" s="1172"/>
      <c r="D60" s="1172"/>
      <c r="E60" s="1172"/>
      <c r="F60" s="1173"/>
      <c r="G60" s="1173"/>
      <c r="H60" s="1174"/>
      <c r="I60" s="1173"/>
      <c r="J60" s="1173"/>
      <c r="K60" s="1173"/>
      <c r="L60" s="1173"/>
      <c r="M60" s="1175"/>
      <c r="N60" s="1173"/>
      <c r="O60" s="1173"/>
      <c r="P60" s="1173"/>
      <c r="Q60" s="1173"/>
      <c r="R60" s="1174"/>
      <c r="S60" s="1173"/>
      <c r="T60" s="1173"/>
      <c r="U60" s="1173"/>
      <c r="V60" s="1173"/>
      <c r="W60" s="1175"/>
      <c r="X60" s="1173"/>
      <c r="Y60" s="1173"/>
      <c r="Z60" s="1173"/>
      <c r="AA60" s="1173"/>
      <c r="AB60" s="1174"/>
      <c r="AC60" s="1173"/>
      <c r="AD60" s="1173"/>
      <c r="AE60" s="1173"/>
      <c r="AF60" s="1173"/>
      <c r="AG60" s="1175"/>
      <c r="AH60" s="1173"/>
      <c r="AI60" s="1173"/>
      <c r="AJ60" s="1173"/>
      <c r="AK60" s="1173"/>
      <c r="AL60" s="1174"/>
      <c r="AM60" s="1173"/>
      <c r="AN60" s="1173"/>
      <c r="AO60" s="1173"/>
      <c r="AP60" s="1173"/>
      <c r="AQ60" s="1175"/>
      <c r="AR60" s="1173"/>
      <c r="AS60" s="1173"/>
      <c r="AT60" s="1173"/>
      <c r="AU60" s="1173"/>
      <c r="AV60" s="1174"/>
      <c r="AW60" s="1173"/>
      <c r="AX60" s="1173"/>
      <c r="AY60" s="1173"/>
      <c r="AZ60" s="1173"/>
      <c r="BA60" s="1175"/>
      <c r="BB60" s="1173"/>
      <c r="BC60" s="1173"/>
      <c r="BD60" s="1199"/>
      <c r="BE60" s="1200"/>
      <c r="BF60" s="1178"/>
      <c r="BG60" s="1178"/>
      <c r="BH60" s="1201"/>
      <c r="BI60" s="1201"/>
      <c r="BJ60" s="1202"/>
      <c r="BK60" s="1203"/>
      <c r="BL60" s="1204"/>
      <c r="BM60" s="1183"/>
      <c r="BN60" s="1170"/>
    </row>
    <row r="61" spans="1:66" ht="15" customHeight="1" thickBot="1">
      <c r="A61" s="1335"/>
      <c r="B61" s="1218"/>
      <c r="C61" s="1219"/>
      <c r="D61" s="1219"/>
      <c r="E61" s="1219"/>
      <c r="F61" s="1219"/>
      <c r="G61" s="1219"/>
      <c r="H61" s="1220"/>
      <c r="I61" s="1219"/>
      <c r="J61" s="1219"/>
      <c r="K61" s="1219"/>
      <c r="L61" s="1219"/>
      <c r="M61" s="1218"/>
      <c r="N61" s="1219"/>
      <c r="O61" s="1219"/>
      <c r="P61" s="1219"/>
      <c r="Q61" s="1219"/>
      <c r="R61" s="1220"/>
      <c r="S61" s="1219"/>
      <c r="T61" s="1219"/>
      <c r="U61" s="1219"/>
      <c r="V61" s="1219"/>
      <c r="W61" s="1218"/>
      <c r="X61" s="1219"/>
      <c r="Y61" s="1219"/>
      <c r="Z61" s="1219"/>
      <c r="AA61" s="1219"/>
      <c r="AB61" s="1220"/>
      <c r="AC61" s="1219"/>
      <c r="AD61" s="1219"/>
      <c r="AE61" s="1219"/>
      <c r="AF61" s="1219"/>
      <c r="AG61" s="1218"/>
      <c r="AH61" s="1219"/>
      <c r="AI61" s="1219"/>
      <c r="AJ61" s="1219"/>
      <c r="AK61" s="1219"/>
      <c r="AL61" s="1220"/>
      <c r="AM61" s="1219"/>
      <c r="AN61" s="1219"/>
      <c r="AO61" s="1219"/>
      <c r="AP61" s="1219"/>
      <c r="AQ61" s="1218"/>
      <c r="AR61" s="1219"/>
      <c r="AS61" s="1219"/>
      <c r="AT61" s="1219"/>
      <c r="AU61" s="1219"/>
      <c r="AV61" s="1220"/>
      <c r="AW61" s="1219"/>
      <c r="AX61" s="1219"/>
      <c r="AY61" s="1219"/>
      <c r="AZ61" s="1219"/>
      <c r="BA61" s="1218"/>
      <c r="BB61" s="1219"/>
      <c r="BC61" s="1219"/>
      <c r="BD61" s="1205">
        <f>(COUNTIF($B$61:$BC$61,"MB"))</f>
        <v>0</v>
      </c>
      <c r="BE61" s="1206">
        <f>+BD61/54</f>
        <v>0</v>
      </c>
      <c r="BF61" s="1207">
        <f>(COUNTIF($B$61:$BC$61,"B"))</f>
        <v>0</v>
      </c>
      <c r="BG61" s="1206">
        <f>+BF61/54</f>
        <v>0</v>
      </c>
      <c r="BH61" s="1207">
        <f>(COUNTIF($B$61:$BC$61,"R"))</f>
        <v>0</v>
      </c>
      <c r="BI61" s="1208">
        <f>+BH61/54</f>
        <v>0</v>
      </c>
      <c r="BJ61" s="1207">
        <f>(COUNTIF($B$61:$BC$61,"M"))</f>
        <v>0</v>
      </c>
      <c r="BK61" s="1208">
        <f>+BJ61/54</f>
        <v>0</v>
      </c>
      <c r="BL61" s="1207">
        <f>(COUNTIF($B$61:$BC$61,"MM"))</f>
        <v>0</v>
      </c>
      <c r="BM61" s="1209">
        <f>+BL61/54</f>
        <v>0</v>
      </c>
      <c r="BN61" s="1170">
        <f t="shared" si="0"/>
        <v>0</v>
      </c>
    </row>
    <row r="62" spans="1:66">
      <c r="A62" s="1336"/>
      <c r="B62" s="1336"/>
      <c r="C62" s="1336"/>
      <c r="D62" s="1336"/>
      <c r="E62" s="1336"/>
      <c r="F62" s="1336"/>
      <c r="G62" s="1336"/>
      <c r="H62" s="1336"/>
      <c r="I62" s="1336"/>
      <c r="J62" s="1336"/>
      <c r="K62" s="1336"/>
      <c r="L62" s="1336"/>
      <c r="M62" s="1336"/>
      <c r="N62" s="1336"/>
      <c r="O62" s="1336"/>
      <c r="P62" s="1336"/>
      <c r="Q62" s="1336"/>
      <c r="R62" s="1336"/>
      <c r="S62" s="1336"/>
      <c r="T62" s="1336"/>
      <c r="U62" s="1336"/>
      <c r="V62" s="1336"/>
      <c r="W62" s="1336"/>
      <c r="X62" s="1336"/>
      <c r="Y62" s="1336"/>
      <c r="Z62" s="1336"/>
      <c r="AA62" s="1336"/>
      <c r="AB62" s="1336"/>
      <c r="AC62" s="1336"/>
      <c r="AD62" s="1336"/>
      <c r="AE62" s="1336"/>
      <c r="AF62" s="1336"/>
      <c r="AG62" s="1336"/>
      <c r="AH62" s="1336"/>
      <c r="AI62" s="1336"/>
      <c r="AJ62" s="1336"/>
      <c r="AK62" s="1336"/>
      <c r="AL62" s="1336"/>
      <c r="AM62" s="1336"/>
      <c r="AN62" s="1336"/>
      <c r="AO62" s="1336"/>
      <c r="AP62" s="1336"/>
      <c r="AQ62" s="1336"/>
      <c r="AR62" s="1336"/>
      <c r="AS62" s="1336"/>
      <c r="AT62" s="1336"/>
      <c r="AU62" s="1336"/>
      <c r="AV62" s="1336"/>
      <c r="AW62" s="1336"/>
      <c r="AX62" s="1336"/>
      <c r="AY62" s="1336"/>
      <c r="AZ62" s="1336"/>
      <c r="BA62" s="1336"/>
      <c r="BB62" s="1336"/>
      <c r="BC62" s="1336"/>
      <c r="BD62" s="1336"/>
    </row>
    <row r="63" spans="1:66" s="528" customFormat="1">
      <c r="A63" s="528" t="s">
        <v>214</v>
      </c>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row>
    <row r="64" spans="1:66" s="528" customFormat="1">
      <c r="A64" s="1210" t="s">
        <v>302</v>
      </c>
      <c r="B64" s="66"/>
      <c r="C64" s="66"/>
      <c r="D64" s="66"/>
      <c r="E64" s="66"/>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row>
    <row r="65" spans="1:64">
      <c r="A65" s="188" t="s">
        <v>303</v>
      </c>
    </row>
    <row r="67" spans="1:64">
      <c r="A67" s="66"/>
      <c r="BE67" s="1271" t="s">
        <v>125</v>
      </c>
      <c r="BF67" s="1271"/>
      <c r="BG67" s="1271"/>
      <c r="BH67" s="1271"/>
      <c r="BI67" s="1271"/>
      <c r="BJ67" s="1271"/>
      <c r="BK67" s="1271"/>
      <c r="BL67" s="1271"/>
    </row>
    <row r="68" spans="1:64">
      <c r="BE68" s="1337"/>
      <c r="BF68" s="1337"/>
      <c r="BG68" s="1337"/>
      <c r="BH68" s="1337"/>
      <c r="BI68" s="1337"/>
      <c r="BJ68" s="1337"/>
      <c r="BK68" s="1337"/>
      <c r="BL68" s="1337"/>
    </row>
  </sheetData>
  <mergeCells count="42">
    <mergeCell ref="BE67:BL67"/>
    <mergeCell ref="BE68:BL68"/>
    <mergeCell ref="A48:A49"/>
    <mergeCell ref="A50:A51"/>
    <mergeCell ref="A52:A53"/>
    <mergeCell ref="A54:A55"/>
    <mergeCell ref="A56:A57"/>
    <mergeCell ref="A58:A59"/>
    <mergeCell ref="A44:A45"/>
    <mergeCell ref="A46:A47"/>
    <mergeCell ref="B47:BC47"/>
    <mergeCell ref="A60:A61"/>
    <mergeCell ref="A62:BD62"/>
    <mergeCell ref="B41:BC41"/>
    <mergeCell ref="BF41:BM41"/>
    <mergeCell ref="B42:E42"/>
    <mergeCell ref="M42:P42"/>
    <mergeCell ref="W42:Z42"/>
    <mergeCell ref="AG42:AJ42"/>
    <mergeCell ref="AQ42:AT42"/>
    <mergeCell ref="AX42:AZ42"/>
    <mergeCell ref="BA42:BC42"/>
    <mergeCell ref="BD42:BE42"/>
    <mergeCell ref="BF42:BG42"/>
    <mergeCell ref="BH42:BI42"/>
    <mergeCell ref="BJ42:BK42"/>
    <mergeCell ref="BL42:BM42"/>
    <mergeCell ref="A9:BM9"/>
    <mergeCell ref="AJ10:BC10"/>
    <mergeCell ref="BF39:BM39"/>
    <mergeCell ref="B40:BC40"/>
    <mergeCell ref="BF40:BM40"/>
    <mergeCell ref="B6:BA6"/>
    <mergeCell ref="BB6:BC6"/>
    <mergeCell ref="BH6:BI6"/>
    <mergeCell ref="A7:BM7"/>
    <mergeCell ref="V8:BC8"/>
    <mergeCell ref="A1:BM1"/>
    <mergeCell ref="A2:BM2"/>
    <mergeCell ref="A3:BM3"/>
    <mergeCell ref="A4:BM4"/>
    <mergeCell ref="B5:BD5"/>
  </mergeCells>
  <conditionalFormatting sqref="B61:BC61 B57:BC57 B45:BC45 B47 B59:BC59 B55:BC55 B53:BC53 B51:BC51 B49:BC49">
    <cfRule type="cellIs" dxfId="68" priority="65" stopIfTrue="1" operator="equal">
      <formula>"MM"</formula>
    </cfRule>
    <cfRule type="cellIs" dxfId="67" priority="66" stopIfTrue="1" operator="equal">
      <formula>"N"</formula>
    </cfRule>
    <cfRule type="cellIs" dxfId="66" priority="67" stopIfTrue="1" operator="equal">
      <formula>"B"</formula>
    </cfRule>
    <cfRule type="cellIs" dxfId="65" priority="68" stopIfTrue="1" operator="equal">
      <formula>"R"</formula>
    </cfRule>
    <cfRule type="cellIs" dxfId="64" priority="69" stopIfTrue="1" operator="equal">
      <formula>"M"</formula>
    </cfRule>
  </conditionalFormatting>
  <conditionalFormatting sqref="B61:BC61 B57:BC57 B45:BC45 B47 B59:BC59 B55:BC55 B53:BC53 B51:BC51 B49:BC49">
    <cfRule type="cellIs" dxfId="63" priority="64" stopIfTrue="1" operator="equal">
      <formula>"MB"</formula>
    </cfRule>
  </conditionalFormatting>
  <conditionalFormatting sqref="B61:BC61 B57:BC57 B45:BC45 B47 B59:BC59 B55:BC55 B53:BC53 B51:BC51 B49:BC49">
    <cfRule type="cellIs" dxfId="62" priority="57" stopIfTrue="1" operator="equal">
      <formula>"""MB"""</formula>
    </cfRule>
    <cfRule type="cellIs" dxfId="61" priority="58" stopIfTrue="1" operator="equal">
      <formula>"MM"</formula>
    </cfRule>
    <cfRule type="cellIs" dxfId="60" priority="59" stopIfTrue="1" operator="equal">
      <formula>"N"</formula>
    </cfRule>
    <cfRule type="cellIs" dxfId="59" priority="60" stopIfTrue="1" operator="equal">
      <formula>"B"</formula>
    </cfRule>
    <cfRule type="cellIs" dxfId="58" priority="61" stopIfTrue="1" operator="equal">
      <formula>"R"</formula>
    </cfRule>
    <cfRule type="cellIs" dxfId="57" priority="62" stopIfTrue="1" operator="equal">
      <formula>"M"</formula>
    </cfRule>
    <cfRule type="cellIs" dxfId="56" priority="63" stopIfTrue="1" operator="equal">
      <formula>"""MB"""</formula>
    </cfRule>
  </conditionalFormatting>
  <conditionalFormatting sqref="B61:BC61 B57:BC57 B45:BC45 B47 B59:BC59 B55:BC55 B53:BC53 B51:BC51 B49:BC49">
    <cfRule type="cellIs" dxfId="55" priority="53" stopIfTrue="1" operator="equal">
      <formula>"M"</formula>
    </cfRule>
    <cfRule type="cellIs" dxfId="54" priority="54" stopIfTrue="1" operator="equal">
      <formula>"R"</formula>
    </cfRule>
    <cfRule type="cellIs" dxfId="53" priority="55" stopIfTrue="1" operator="equal">
      <formula>"B"</formula>
    </cfRule>
    <cfRule type="cellIs" dxfId="52" priority="56" stopIfTrue="1" operator="equal">
      <formula>"N"</formula>
    </cfRule>
  </conditionalFormatting>
  <conditionalFormatting sqref="B61:BC61 B57:BC57 B45:BC45 B47 B59:BC59 B55:BC55 B53:BC53 B51:BC51 B49:BC49">
    <cfRule type="cellIs" dxfId="51" priority="51" stopIfTrue="1" operator="equal">
      <formula>"B"</formula>
    </cfRule>
    <cfRule type="cellIs" dxfId="50" priority="52" stopIfTrue="1" operator="equal">
      <formula>"M"</formula>
    </cfRule>
  </conditionalFormatting>
  <conditionalFormatting sqref="B61:BC61 B57:BC57 B45:BC45 B47 B59:BC59 B55:BC55 B53:BC53 B51:BC51 B49:BC49">
    <cfRule type="cellIs" dxfId="49" priority="50" stopIfTrue="1" operator="equal">
      <formula>"MM"</formula>
    </cfRule>
  </conditionalFormatting>
  <conditionalFormatting sqref="B61:BC61 B57:BC57 B45:BC45 B47 B59:BC59 B55:BC55 B53:BC53 B51:BC51 B49:BC49">
    <cfRule type="cellIs" dxfId="48" priority="47" stopIfTrue="1" operator="equal">
      <formula>"N"</formula>
    </cfRule>
    <cfRule type="cellIs" dxfId="47" priority="48" stopIfTrue="1" operator="equal">
      <formula>"B"</formula>
    </cfRule>
    <cfRule type="cellIs" dxfId="46" priority="49" stopIfTrue="1" operator="equal">
      <formula>"R"</formula>
    </cfRule>
  </conditionalFormatting>
  <conditionalFormatting sqref="BC44">
    <cfRule type="cellIs" dxfId="45" priority="42" stopIfTrue="1" operator="equal">
      <formula>"MM"</formula>
    </cfRule>
    <cfRule type="cellIs" dxfId="44" priority="43" stopIfTrue="1" operator="equal">
      <formula>"N"</formula>
    </cfRule>
    <cfRule type="cellIs" dxfId="43" priority="44" stopIfTrue="1" operator="equal">
      <formula>"B"</formula>
    </cfRule>
    <cfRule type="cellIs" dxfId="42" priority="45" stopIfTrue="1" operator="equal">
      <formula>"R"</formula>
    </cfRule>
    <cfRule type="cellIs" dxfId="41" priority="46" stopIfTrue="1" operator="equal">
      <formula>"M"</formula>
    </cfRule>
  </conditionalFormatting>
  <conditionalFormatting sqref="BC44">
    <cfRule type="cellIs" dxfId="40" priority="41" stopIfTrue="1" operator="equal">
      <formula>"MB"</formula>
    </cfRule>
  </conditionalFormatting>
  <conditionalFormatting sqref="BC44">
    <cfRule type="cellIs" dxfId="39" priority="34" stopIfTrue="1" operator="equal">
      <formula>"""MB"""</formula>
    </cfRule>
    <cfRule type="cellIs" dxfId="38" priority="35" stopIfTrue="1" operator="equal">
      <formula>"MM"</formula>
    </cfRule>
    <cfRule type="cellIs" dxfId="37" priority="36" stopIfTrue="1" operator="equal">
      <formula>"N"</formula>
    </cfRule>
    <cfRule type="cellIs" dxfId="36" priority="37" stopIfTrue="1" operator="equal">
      <formula>"B"</formula>
    </cfRule>
    <cfRule type="cellIs" dxfId="35" priority="38" stopIfTrue="1" operator="equal">
      <formula>"R"</formula>
    </cfRule>
    <cfRule type="cellIs" dxfId="34" priority="39" stopIfTrue="1" operator="equal">
      <formula>"M"</formula>
    </cfRule>
    <cfRule type="cellIs" dxfId="33" priority="40" stopIfTrue="1" operator="equal">
      <formula>"""MB"""</formula>
    </cfRule>
  </conditionalFormatting>
  <conditionalFormatting sqref="BC44">
    <cfRule type="cellIs" dxfId="32" priority="30" stopIfTrue="1" operator="equal">
      <formula>"M"</formula>
    </cfRule>
    <cfRule type="cellIs" dxfId="31" priority="31" stopIfTrue="1" operator="equal">
      <formula>"R"</formula>
    </cfRule>
    <cfRule type="cellIs" dxfId="30" priority="32" stopIfTrue="1" operator="equal">
      <formula>"B"</formula>
    </cfRule>
    <cfRule type="cellIs" dxfId="29" priority="33" stopIfTrue="1" operator="equal">
      <formula>"N"</formula>
    </cfRule>
  </conditionalFormatting>
  <conditionalFormatting sqref="BC44">
    <cfRule type="cellIs" dxfId="28" priority="28" stopIfTrue="1" operator="equal">
      <formula>"B"</formula>
    </cfRule>
    <cfRule type="cellIs" dxfId="27" priority="29" stopIfTrue="1" operator="equal">
      <formula>"M"</formula>
    </cfRule>
  </conditionalFormatting>
  <conditionalFormatting sqref="BC44">
    <cfRule type="cellIs" dxfId="26" priority="27" stopIfTrue="1" operator="equal">
      <formula>"MM"</formula>
    </cfRule>
  </conditionalFormatting>
  <conditionalFormatting sqref="BC44">
    <cfRule type="cellIs" dxfId="25" priority="24" stopIfTrue="1" operator="equal">
      <formula>"N"</formula>
    </cfRule>
    <cfRule type="cellIs" dxfId="24" priority="25" stopIfTrue="1" operator="equal">
      <formula>"B"</formula>
    </cfRule>
    <cfRule type="cellIs" dxfId="23" priority="26" stopIfTrue="1" operator="equal">
      <formula>"R"</formula>
    </cfRule>
  </conditionalFormatting>
  <conditionalFormatting sqref="C44">
    <cfRule type="cellIs" dxfId="22" priority="19" stopIfTrue="1" operator="equal">
      <formula>"MM"</formula>
    </cfRule>
    <cfRule type="cellIs" dxfId="21" priority="20" stopIfTrue="1" operator="equal">
      <formula>"N"</formula>
    </cfRule>
    <cfRule type="cellIs" dxfId="20" priority="21" stopIfTrue="1" operator="equal">
      <formula>"B"</formula>
    </cfRule>
    <cfRule type="cellIs" dxfId="19" priority="22" stopIfTrue="1" operator="equal">
      <formula>"R"</formula>
    </cfRule>
    <cfRule type="cellIs" dxfId="18" priority="23" stopIfTrue="1" operator="equal">
      <formula>"M"</formula>
    </cfRule>
  </conditionalFormatting>
  <conditionalFormatting sqref="C44">
    <cfRule type="cellIs" dxfId="17" priority="18" stopIfTrue="1" operator="equal">
      <formula>"MB"</formula>
    </cfRule>
  </conditionalFormatting>
  <conditionalFormatting sqref="C44">
    <cfRule type="cellIs" dxfId="16" priority="11" stopIfTrue="1" operator="equal">
      <formula>"""MB"""</formula>
    </cfRule>
    <cfRule type="cellIs" dxfId="15" priority="12" stopIfTrue="1" operator="equal">
      <formula>"MM"</formula>
    </cfRule>
    <cfRule type="cellIs" dxfId="14" priority="13" stopIfTrue="1" operator="equal">
      <formula>"N"</formula>
    </cfRule>
    <cfRule type="cellIs" dxfId="13" priority="14" stopIfTrue="1" operator="equal">
      <formula>"B"</formula>
    </cfRule>
    <cfRule type="cellIs" dxfId="12" priority="15" stopIfTrue="1" operator="equal">
      <formula>"R"</formula>
    </cfRule>
    <cfRule type="cellIs" dxfId="11" priority="16" stopIfTrue="1" operator="equal">
      <formula>"M"</formula>
    </cfRule>
    <cfRule type="cellIs" dxfId="10" priority="17" stopIfTrue="1" operator="equal">
      <formula>"""MB"""</formula>
    </cfRule>
  </conditionalFormatting>
  <conditionalFormatting sqref="C44">
    <cfRule type="cellIs" dxfId="9" priority="7" stopIfTrue="1" operator="equal">
      <formula>"M"</formula>
    </cfRule>
    <cfRule type="cellIs" dxfId="8" priority="8" stopIfTrue="1" operator="equal">
      <formula>"R"</formula>
    </cfRule>
    <cfRule type="cellIs" dxfId="7" priority="9" stopIfTrue="1" operator="equal">
      <formula>"B"</formula>
    </cfRule>
    <cfRule type="cellIs" dxfId="6" priority="10" stopIfTrue="1" operator="equal">
      <formula>"N"</formula>
    </cfRule>
  </conditionalFormatting>
  <conditionalFormatting sqref="C44">
    <cfRule type="cellIs" dxfId="5" priority="5" stopIfTrue="1" operator="equal">
      <formula>"B"</formula>
    </cfRule>
    <cfRule type="cellIs" dxfId="4" priority="6" stopIfTrue="1" operator="equal">
      <formula>"M"</formula>
    </cfRule>
  </conditionalFormatting>
  <conditionalFormatting sqref="C44">
    <cfRule type="cellIs" dxfId="3" priority="4" stopIfTrue="1" operator="equal">
      <formula>"MM"</formula>
    </cfRule>
  </conditionalFormatting>
  <conditionalFormatting sqref="C44">
    <cfRule type="cellIs" dxfId="2" priority="1" stopIfTrue="1" operator="equal">
      <formula>"N"</formula>
    </cfRule>
    <cfRule type="cellIs" dxfId="1" priority="2" stopIfTrue="1" operator="equal">
      <formula>"B"</formula>
    </cfRule>
    <cfRule type="cellIs" dxfId="0" priority="3" stopIfTrue="1" operator="equal">
      <formula>"R"</formula>
    </cfRule>
  </conditionalFormatting>
  <hyperlinks>
    <hyperlink ref="BE67" location="'TABLA DE CONTENIDO'!A1" display="VOLVER A TABLA DE CONTENIDO" xr:uid="{00000000-0004-0000-0800-000000000000}"/>
  </hyperlinks>
  <printOptions horizontalCentered="1"/>
  <pageMargins left="0.79000000000000015" right="0.79000000000000015" top="0.79000000000000015" bottom="0.79000000000000015" header="0" footer="0"/>
  <pageSetup scale="70"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31"/>
  <sheetViews>
    <sheetView workbookViewId="0">
      <selection activeCell="A79" sqref="A79"/>
    </sheetView>
  </sheetViews>
  <sheetFormatPr defaultColWidth="11.42578125" defaultRowHeight="12.75"/>
  <cols>
    <col min="1" max="1" width="25.7109375" customWidth="1"/>
    <col min="2" max="3" width="33.7109375" customWidth="1"/>
  </cols>
  <sheetData>
    <row r="1" spans="1:8" ht="23.25">
      <c r="A1" s="1259" t="s">
        <v>1</v>
      </c>
      <c r="B1" s="1259"/>
      <c r="C1" s="1259"/>
    </row>
    <row r="2" spans="1:8" ht="18">
      <c r="A2" s="1260" t="s">
        <v>84</v>
      </c>
      <c r="B2" s="1260"/>
      <c r="C2" s="1260"/>
    </row>
    <row r="3" spans="1:8">
      <c r="A3" s="78"/>
      <c r="B3" s="33"/>
      <c r="C3" s="1"/>
    </row>
    <row r="4" spans="1:8" ht="18">
      <c r="A4" s="1260" t="s">
        <v>304</v>
      </c>
      <c r="B4" s="1260"/>
      <c r="C4" s="1260"/>
    </row>
    <row r="5" spans="1:8" ht="11.25" customHeight="1">
      <c r="A5" s="298"/>
      <c r="B5" s="298"/>
      <c r="C5" s="298"/>
    </row>
    <row r="6" spans="1:8" ht="18">
      <c r="A6" s="1267" t="s">
        <v>305</v>
      </c>
      <c r="B6" s="1267"/>
      <c r="C6" s="1267"/>
    </row>
    <row r="7" spans="1:8" ht="12.75" customHeight="1">
      <c r="A7" s="79"/>
      <c r="B7" s="80"/>
      <c r="C7" s="1"/>
    </row>
    <row r="8" spans="1:8">
      <c r="A8" s="185" t="s">
        <v>129</v>
      </c>
      <c r="B8" s="331" t="s">
        <v>192</v>
      </c>
      <c r="C8" s="34"/>
    </row>
    <row r="9" spans="1:8">
      <c r="A9" s="185"/>
      <c r="B9" s="34"/>
    </row>
    <row r="10" spans="1:8">
      <c r="A10" s="188" t="s">
        <v>224</v>
      </c>
      <c r="B10" s="331" t="s">
        <v>306</v>
      </c>
    </row>
    <row r="11" spans="1:8" ht="13.5" thickBot="1">
      <c r="A11" s="51"/>
      <c r="B11" s="34"/>
    </row>
    <row r="12" spans="1:8">
      <c r="A12" s="167"/>
      <c r="B12" s="129"/>
      <c r="C12" s="167"/>
    </row>
    <row r="13" spans="1:8" ht="15">
      <c r="A13" s="448" t="s">
        <v>104</v>
      </c>
      <c r="B13" s="130" t="s">
        <v>307</v>
      </c>
      <c r="C13" s="168" t="s">
        <v>308</v>
      </c>
      <c r="G13" t="s">
        <v>309</v>
      </c>
    </row>
    <row r="14" spans="1:8" ht="13.5" thickBot="1">
      <c r="A14" s="332"/>
      <c r="B14" s="166"/>
      <c r="C14" s="332"/>
    </row>
    <row r="15" spans="1:8">
      <c r="A15" s="82"/>
      <c r="B15" s="82"/>
      <c r="C15" s="18"/>
      <c r="G15" s="1212">
        <f>+'ESTADO RED TEC'!K12</f>
        <v>0</v>
      </c>
      <c r="H15" s="1211">
        <f>+G15/G20</f>
        <v>0</v>
      </c>
    </row>
    <row r="16" spans="1:8">
      <c r="A16" s="84"/>
      <c r="B16" s="84"/>
      <c r="C16" s="19"/>
      <c r="G16" s="1212">
        <f>+'ESTADO RED TEC'!K13</f>
        <v>4.17</v>
      </c>
      <c r="H16" s="1213">
        <f>+G16/G20</f>
        <v>7.5931388615754408E-2</v>
      </c>
    </row>
    <row r="17" spans="1:8">
      <c r="A17" s="614" t="s">
        <v>310</v>
      </c>
      <c r="B17" s="84"/>
      <c r="C17" s="19"/>
      <c r="G17" s="1212">
        <f>+'ESTADO RED TEC'!K14</f>
        <v>30.893999999999995</v>
      </c>
      <c r="H17" s="1214">
        <f>+G17/G20</f>
        <v>0.56254779853599912</v>
      </c>
    </row>
    <row r="18" spans="1:8">
      <c r="A18" s="614" t="s">
        <v>311</v>
      </c>
      <c r="B18" s="84"/>
      <c r="C18" s="19"/>
      <c r="G18" s="1212">
        <f>+'ESTADO RED TEC'!K15</f>
        <v>19.853999999999999</v>
      </c>
      <c r="H18" s="1215">
        <f>+G18/G20</f>
        <v>0.3615208128482465</v>
      </c>
    </row>
    <row r="19" spans="1:8">
      <c r="A19" s="86"/>
      <c r="B19" s="84"/>
      <c r="C19" s="19"/>
      <c r="G19" s="1212">
        <f>+'ESTADO RED TEC'!K16</f>
        <v>0</v>
      </c>
      <c r="H19" s="1216">
        <f>+G19/G20</f>
        <v>0</v>
      </c>
    </row>
    <row r="20" spans="1:8">
      <c r="A20" s="84"/>
      <c r="B20" s="84"/>
      <c r="C20" s="19"/>
      <c r="G20">
        <f>SUM(G15:G19)</f>
        <v>54.917999999999992</v>
      </c>
      <c r="H20" s="617">
        <f>SUM(H15:H19)</f>
        <v>1</v>
      </c>
    </row>
    <row r="21" spans="1:8">
      <c r="A21" s="84"/>
      <c r="B21" s="84"/>
      <c r="C21" s="19"/>
    </row>
    <row r="22" spans="1:8">
      <c r="A22" s="84"/>
      <c r="B22" s="84"/>
      <c r="C22" s="19"/>
    </row>
    <row r="23" spans="1:8">
      <c r="A23" s="84"/>
      <c r="B23" s="84"/>
      <c r="C23" s="19"/>
    </row>
    <row r="24" spans="1:8" ht="13.5" thickBot="1">
      <c r="A24" s="87"/>
      <c r="B24" s="87"/>
      <c r="C24" s="21"/>
    </row>
    <row r="26" spans="1:8">
      <c r="A26" s="992" t="s">
        <v>177</v>
      </c>
      <c r="B26" s="62"/>
    </row>
    <row r="27" spans="1:8">
      <c r="A27" s="367" t="s">
        <v>290</v>
      </c>
      <c r="B27" s="62"/>
    </row>
    <row r="28" spans="1:8">
      <c r="A28" s="6" t="s">
        <v>170</v>
      </c>
    </row>
    <row r="29" spans="1:8">
      <c r="A29" s="6" t="s">
        <v>172</v>
      </c>
    </row>
    <row r="30" spans="1:8">
      <c r="A30" s="6" t="s">
        <v>173</v>
      </c>
    </row>
    <row r="31" spans="1:8">
      <c r="A31" s="77" t="s">
        <v>291</v>
      </c>
      <c r="C31" s="391" t="s">
        <v>125</v>
      </c>
    </row>
  </sheetData>
  <mergeCells count="4">
    <mergeCell ref="A1:C1"/>
    <mergeCell ref="A2:C2"/>
    <mergeCell ref="A4:C4"/>
    <mergeCell ref="A6:C6"/>
  </mergeCells>
  <phoneticPr fontId="4" type="noConversion"/>
  <hyperlinks>
    <hyperlink ref="C31" location="'TABLA DE CONTENIDO'!A1" display="VOLVER A TABLA DE CONTENIDO" xr:uid="{00000000-0004-0000-0900-000000000000}"/>
  </hyperlinks>
  <printOptions horizontalCentered="1" verticalCentered="1"/>
  <pageMargins left="0.47244094488188981" right="0.51181102362204722" top="0.78740157480314965" bottom="0.6692913385826772" header="0" footer="0"/>
  <pageSetup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13"/>
  <sheetViews>
    <sheetView topLeftCell="A48" zoomScaleNormal="100" zoomScaleSheetLayoutView="100" zoomScalePageLayoutView="125" workbookViewId="0">
      <selection activeCell="D20" sqref="D20"/>
    </sheetView>
  </sheetViews>
  <sheetFormatPr defaultColWidth="11.42578125" defaultRowHeight="12.75"/>
  <cols>
    <col min="1" max="1" width="11.42578125" style="522" customWidth="1"/>
    <col min="2" max="2" width="12.42578125" style="522" customWidth="1"/>
    <col min="3" max="3" width="12.5703125" style="522" bestFit="1" customWidth="1"/>
    <col min="4" max="4" width="17.7109375" style="522" customWidth="1"/>
    <col min="5" max="5" width="11.42578125" style="522"/>
    <col min="6" max="6" width="11.42578125" style="522" customWidth="1"/>
    <col min="7" max="7" width="12" style="522" customWidth="1"/>
    <col min="8" max="8" width="11.42578125" style="522" customWidth="1"/>
    <col min="9" max="16384" width="11.42578125" style="522"/>
  </cols>
  <sheetData>
    <row r="1" spans="1:8" ht="20.100000000000001" customHeight="1">
      <c r="A1" s="1300" t="s">
        <v>312</v>
      </c>
      <c r="B1" s="1300"/>
      <c r="C1" s="1300"/>
      <c r="D1" s="1300"/>
      <c r="E1" s="1300"/>
      <c r="F1" s="1300"/>
      <c r="G1" s="1300"/>
      <c r="H1" s="1300"/>
    </row>
    <row r="2" spans="1:8" ht="18">
      <c r="A2" s="1301" t="s">
        <v>179</v>
      </c>
      <c r="B2" s="1301"/>
      <c r="C2" s="1301"/>
      <c r="D2" s="1301"/>
      <c r="E2" s="1301"/>
      <c r="F2" s="1301"/>
      <c r="G2" s="1301"/>
      <c r="H2" s="1301"/>
    </row>
    <row r="3" spans="1:8" ht="12.75" customHeight="1"/>
    <row r="4" spans="1:8" ht="12.75" customHeight="1"/>
    <row r="5" spans="1:8" ht="12.75" customHeight="1"/>
    <row r="6" spans="1:8" ht="17.100000000000001" customHeight="1">
      <c r="A6" s="1301" t="s">
        <v>313</v>
      </c>
      <c r="B6" s="1301"/>
      <c r="C6" s="1301"/>
      <c r="D6" s="1301"/>
      <c r="E6" s="1301"/>
      <c r="F6" s="1301"/>
      <c r="G6" s="1301"/>
      <c r="H6" s="1301"/>
    </row>
    <row r="7" spans="1:8" ht="17.100000000000001" customHeight="1">
      <c r="A7" s="1346" t="s">
        <v>314</v>
      </c>
      <c r="B7" s="1346"/>
      <c r="C7" s="1346"/>
      <c r="D7" s="1346"/>
      <c r="E7" s="1346"/>
      <c r="F7" s="1346"/>
      <c r="G7" s="1346"/>
      <c r="H7" s="1346"/>
    </row>
    <row r="8" spans="1:8" ht="12.75" customHeight="1" thickBot="1">
      <c r="A8" s="523"/>
      <c r="B8" s="523"/>
      <c r="C8" s="523"/>
      <c r="D8" s="523"/>
      <c r="E8" s="523"/>
      <c r="F8" s="523"/>
      <c r="G8" s="523"/>
      <c r="H8" s="523"/>
    </row>
    <row r="9" spans="1:8" ht="15" customHeight="1">
      <c r="A9" s="930"/>
      <c r="B9" s="931"/>
      <c r="C9" s="931"/>
      <c r="D9" s="931"/>
      <c r="E9" s="931"/>
      <c r="F9" s="931"/>
      <c r="G9" s="931"/>
      <c r="H9" s="932"/>
    </row>
    <row r="10" spans="1:8" ht="15" customHeight="1">
      <c r="A10" s="546"/>
      <c r="H10" s="933"/>
    </row>
    <row r="11" spans="1:8" ht="15" customHeight="1">
      <c r="A11" s="546"/>
      <c r="H11" s="933"/>
    </row>
    <row r="12" spans="1:8" ht="15" customHeight="1">
      <c r="A12" s="546"/>
      <c r="H12" s="933"/>
    </row>
    <row r="13" spans="1:8" ht="15" customHeight="1">
      <c r="A13" s="546"/>
      <c r="H13" s="933"/>
    </row>
    <row r="14" spans="1:8" ht="15" customHeight="1">
      <c r="A14" s="1347" t="s">
        <v>315</v>
      </c>
      <c r="B14" s="1348"/>
      <c r="C14" s="1348"/>
      <c r="D14" s="1348"/>
      <c r="E14" s="1348"/>
      <c r="F14" s="1348"/>
      <c r="G14" s="1348"/>
      <c r="H14" s="1349"/>
    </row>
    <row r="15" spans="1:8" ht="15" customHeight="1">
      <c r="A15" s="1347" t="s">
        <v>316</v>
      </c>
      <c r="B15" s="1348"/>
      <c r="C15" s="1348"/>
      <c r="D15" s="1348"/>
      <c r="E15" s="1348"/>
      <c r="F15" s="1348"/>
      <c r="G15" s="1348"/>
      <c r="H15" s="1349"/>
    </row>
    <row r="16" spans="1:8" ht="15" customHeight="1">
      <c r="A16" s="546"/>
      <c r="H16" s="933"/>
    </row>
    <row r="17" spans="1:8" ht="15" customHeight="1">
      <c r="A17" s="546"/>
      <c r="H17" s="933"/>
    </row>
    <row r="18" spans="1:8" ht="15" customHeight="1">
      <c r="A18" s="546"/>
      <c r="H18" s="933"/>
    </row>
    <row r="19" spans="1:8" ht="15" customHeight="1">
      <c r="A19" s="546"/>
      <c r="H19" s="933"/>
    </row>
    <row r="20" spans="1:8" ht="15" customHeight="1">
      <c r="A20" s="546"/>
      <c r="H20" s="933"/>
    </row>
    <row r="21" spans="1:8" ht="15" customHeight="1">
      <c r="A21" s="546"/>
      <c r="H21" s="933"/>
    </row>
    <row r="22" spans="1:8" ht="15" customHeight="1">
      <c r="A22" s="546"/>
      <c r="H22" s="933"/>
    </row>
    <row r="23" spans="1:8" ht="15" customHeight="1">
      <c r="A23" s="546"/>
      <c r="H23" s="933"/>
    </row>
    <row r="24" spans="1:8" ht="15" customHeight="1">
      <c r="A24" s="546"/>
      <c r="H24" s="933"/>
    </row>
    <row r="25" spans="1:8" ht="15" customHeight="1">
      <c r="A25" s="546"/>
      <c r="H25" s="933"/>
    </row>
    <row r="26" spans="1:8" ht="15" customHeight="1">
      <c r="A26" s="546"/>
      <c r="H26" s="933"/>
    </row>
    <row r="27" spans="1:8" ht="15" customHeight="1">
      <c r="A27" s="546"/>
      <c r="H27" s="933"/>
    </row>
    <row r="28" spans="1:8" ht="15" customHeight="1">
      <c r="A28" s="546"/>
      <c r="H28" s="933"/>
    </row>
    <row r="29" spans="1:8" ht="15" customHeight="1">
      <c r="A29" s="546"/>
      <c r="H29" s="933"/>
    </row>
    <row r="30" spans="1:8" ht="15" customHeight="1">
      <c r="A30" s="546"/>
      <c r="H30" s="933"/>
    </row>
    <row r="31" spans="1:8" ht="15" customHeight="1">
      <c r="A31" s="546"/>
      <c r="H31" s="933"/>
    </row>
    <row r="32" spans="1:8" ht="15" customHeight="1">
      <c r="A32" s="934"/>
      <c r="H32" s="933"/>
    </row>
    <row r="33" spans="1:8" ht="15" customHeight="1">
      <c r="A33" s="935"/>
      <c r="H33" s="933"/>
    </row>
    <row r="34" spans="1:8" ht="15" customHeight="1">
      <c r="A34" s="546"/>
      <c r="H34" s="933"/>
    </row>
    <row r="35" spans="1:8" ht="15" customHeight="1" thickBot="1">
      <c r="A35" s="936"/>
      <c r="B35" s="611"/>
      <c r="C35" s="611"/>
      <c r="D35" s="611"/>
      <c r="E35" s="611"/>
      <c r="F35" s="611"/>
      <c r="G35" s="611"/>
      <c r="H35" s="937"/>
    </row>
    <row r="36" spans="1:8" ht="15.95" customHeight="1">
      <c r="F36" s="938" t="s">
        <v>177</v>
      </c>
      <c r="G36" s="939"/>
    </row>
    <row r="37" spans="1:8" ht="16.5" customHeight="1">
      <c r="F37" s="940" t="s">
        <v>228</v>
      </c>
      <c r="G37" s="941" t="s">
        <v>290</v>
      </c>
    </row>
    <row r="38" spans="1:8">
      <c r="F38" s="942" t="s">
        <v>171</v>
      </c>
      <c r="G38" s="943" t="s">
        <v>170</v>
      </c>
    </row>
    <row r="39" spans="1:8">
      <c r="F39" s="944" t="s">
        <v>169</v>
      </c>
      <c r="G39" s="943" t="s">
        <v>172</v>
      </c>
    </row>
    <row r="40" spans="1:8">
      <c r="F40" s="945" t="s">
        <v>174</v>
      </c>
      <c r="G40" s="943" t="s">
        <v>173</v>
      </c>
    </row>
    <row r="41" spans="1:8" ht="11.25" customHeight="1">
      <c r="F41" s="946" t="s">
        <v>232</v>
      </c>
      <c r="G41" s="943" t="s">
        <v>291</v>
      </c>
    </row>
    <row r="42" spans="1:8" s="950" customFormat="1" ht="12.75" customHeight="1">
      <c r="A42" s="947" t="s">
        <v>317</v>
      </c>
      <c r="B42" s="948" t="s">
        <v>318</v>
      </c>
      <c r="C42" s="949"/>
      <c r="D42" s="949"/>
      <c r="E42" s="949"/>
      <c r="F42" s="522"/>
      <c r="G42" s="522"/>
      <c r="H42" s="522"/>
    </row>
    <row r="43" spans="1:8" s="950" customFormat="1" ht="12.75" customHeight="1">
      <c r="A43" s="947"/>
      <c r="B43" s="948" t="s">
        <v>319</v>
      </c>
      <c r="C43" s="949"/>
      <c r="D43" s="949"/>
      <c r="E43" s="949"/>
      <c r="F43" s="522"/>
      <c r="G43" s="522"/>
      <c r="H43" s="522"/>
    </row>
    <row r="44" spans="1:8" s="950" customFormat="1" ht="12.75" customHeight="1">
      <c r="A44" s="947"/>
      <c r="B44" s="948"/>
      <c r="C44" s="949"/>
      <c r="D44" s="949"/>
      <c r="E44" s="949"/>
      <c r="F44" s="522"/>
      <c r="G44" s="522"/>
      <c r="H44" s="522"/>
    </row>
    <row r="45" spans="1:8" s="951" customFormat="1" ht="12.75" customHeight="1" thickBot="1">
      <c r="A45" s="1350" t="s">
        <v>320</v>
      </c>
      <c r="B45" s="1350"/>
      <c r="C45" s="1350"/>
      <c r="D45" s="1350"/>
      <c r="E45" s="1350"/>
      <c r="F45" s="1350"/>
      <c r="G45" s="1350"/>
    </row>
    <row r="46" spans="1:8" s="951" customFormat="1" ht="18" customHeight="1">
      <c r="A46" s="952" t="s">
        <v>321</v>
      </c>
      <c r="B46" s="953" t="s">
        <v>322</v>
      </c>
      <c r="C46" s="954" t="s">
        <v>185</v>
      </c>
      <c r="D46" s="953" t="s">
        <v>323</v>
      </c>
      <c r="E46" s="1351" t="s">
        <v>324</v>
      </c>
      <c r="F46" s="1351"/>
      <c r="G46" s="1352"/>
      <c r="H46" s="950"/>
    </row>
    <row r="47" spans="1:8" ht="36.75" customHeight="1">
      <c r="A47" s="955">
        <v>1</v>
      </c>
      <c r="B47" s="956">
        <v>5601</v>
      </c>
      <c r="C47" s="957" t="s">
        <v>325</v>
      </c>
      <c r="D47" s="957" t="s">
        <v>326</v>
      </c>
      <c r="E47" s="1338" t="s">
        <v>327</v>
      </c>
      <c r="F47" s="1338" t="s">
        <v>328</v>
      </c>
      <c r="G47" s="1339"/>
      <c r="H47" s="951"/>
    </row>
    <row r="48" spans="1:8" ht="36.75" customHeight="1">
      <c r="A48" s="955">
        <v>2</v>
      </c>
      <c r="B48" s="956">
        <v>5601</v>
      </c>
      <c r="C48" s="957" t="s">
        <v>329</v>
      </c>
      <c r="D48" s="957" t="s">
        <v>330</v>
      </c>
      <c r="E48" s="1340" t="s">
        <v>331</v>
      </c>
      <c r="F48" s="1341"/>
      <c r="G48" s="1342"/>
      <c r="H48" s="951"/>
    </row>
    <row r="49" spans="1:8" s="951" customFormat="1" ht="20.25" customHeight="1">
      <c r="A49" s="955">
        <v>3</v>
      </c>
      <c r="B49" s="956">
        <v>5601</v>
      </c>
      <c r="C49" s="958" t="s">
        <v>332</v>
      </c>
      <c r="D49" s="957" t="s">
        <v>333</v>
      </c>
      <c r="E49" s="1338" t="s">
        <v>334</v>
      </c>
      <c r="F49" s="1338" t="s">
        <v>335</v>
      </c>
      <c r="G49" s="1339"/>
      <c r="H49" s="522"/>
    </row>
    <row r="50" spans="1:8" s="951" customFormat="1" ht="27" customHeight="1">
      <c r="A50" s="955">
        <v>4</v>
      </c>
      <c r="B50" s="956">
        <v>5601</v>
      </c>
      <c r="C50" s="958" t="s">
        <v>336</v>
      </c>
      <c r="D50" s="957" t="s">
        <v>337</v>
      </c>
      <c r="E50" s="1338" t="s">
        <v>338</v>
      </c>
      <c r="F50" s="1338" t="s">
        <v>339</v>
      </c>
      <c r="G50" s="1339"/>
    </row>
    <row r="51" spans="1:8" s="951" customFormat="1" ht="28.5" customHeight="1">
      <c r="A51" s="955">
        <v>5</v>
      </c>
      <c r="B51" s="956">
        <v>5601</v>
      </c>
      <c r="C51" s="957" t="s">
        <v>336</v>
      </c>
      <c r="D51" s="957" t="s">
        <v>340</v>
      </c>
      <c r="E51" s="1338" t="s">
        <v>341</v>
      </c>
      <c r="F51" s="1338"/>
      <c r="G51" s="1339"/>
    </row>
    <row r="52" spans="1:8" s="951" customFormat="1" ht="36" customHeight="1">
      <c r="A52" s="955">
        <v>6</v>
      </c>
      <c r="B52" s="956">
        <v>5601</v>
      </c>
      <c r="C52" s="957" t="s">
        <v>342</v>
      </c>
      <c r="D52" s="957" t="s">
        <v>343</v>
      </c>
      <c r="E52" s="1338" t="s">
        <v>344</v>
      </c>
      <c r="F52" s="1338"/>
      <c r="G52" s="1339"/>
    </row>
    <row r="53" spans="1:8" s="951" customFormat="1" ht="26.1" customHeight="1">
      <c r="A53" s="955">
        <v>7</v>
      </c>
      <c r="B53" s="956">
        <v>5601</v>
      </c>
      <c r="C53" s="958" t="s">
        <v>345</v>
      </c>
      <c r="D53" s="957" t="s">
        <v>346</v>
      </c>
      <c r="E53" s="1338" t="s">
        <v>347</v>
      </c>
      <c r="F53" s="1338" t="s">
        <v>348</v>
      </c>
      <c r="G53" s="1339"/>
    </row>
    <row r="54" spans="1:8" s="951" customFormat="1" ht="27" customHeight="1">
      <c r="A54" s="955">
        <v>8</v>
      </c>
      <c r="B54" s="956">
        <v>5601</v>
      </c>
      <c r="C54" s="958" t="s">
        <v>349</v>
      </c>
      <c r="D54" s="957" t="s">
        <v>350</v>
      </c>
      <c r="E54" s="1338" t="s">
        <v>351</v>
      </c>
      <c r="F54" s="1338"/>
      <c r="G54" s="1339"/>
    </row>
    <row r="55" spans="1:8" s="951" customFormat="1" ht="38.25" customHeight="1">
      <c r="A55" s="955">
        <v>9</v>
      </c>
      <c r="B55" s="956">
        <v>5601</v>
      </c>
      <c r="C55" s="958" t="s">
        <v>352</v>
      </c>
      <c r="D55" s="957" t="s">
        <v>353</v>
      </c>
      <c r="E55" s="1338" t="s">
        <v>354</v>
      </c>
      <c r="F55" s="1338" t="s">
        <v>328</v>
      </c>
      <c r="G55" s="1339"/>
    </row>
    <row r="56" spans="1:8" s="951" customFormat="1" ht="38.25" customHeight="1">
      <c r="A56" s="955">
        <v>10</v>
      </c>
      <c r="B56" s="956">
        <v>5601</v>
      </c>
      <c r="C56" s="958" t="s">
        <v>352</v>
      </c>
      <c r="D56" s="957" t="s">
        <v>355</v>
      </c>
      <c r="E56" s="1340" t="s">
        <v>356</v>
      </c>
      <c r="F56" s="1341"/>
      <c r="G56" s="1342"/>
    </row>
    <row r="57" spans="1:8" s="951" customFormat="1" ht="38.25" customHeight="1">
      <c r="A57" s="955">
        <v>11</v>
      </c>
      <c r="B57" s="956">
        <v>5601</v>
      </c>
      <c r="C57" s="958" t="s">
        <v>352</v>
      </c>
      <c r="D57" s="957" t="s">
        <v>357</v>
      </c>
      <c r="E57" s="1340" t="s">
        <v>358</v>
      </c>
      <c r="F57" s="1341"/>
      <c r="G57" s="1342"/>
    </row>
    <row r="58" spans="1:8" s="951" customFormat="1" ht="52.5" customHeight="1">
      <c r="A58" s="955">
        <v>12</v>
      </c>
      <c r="B58" s="956">
        <v>5601</v>
      </c>
      <c r="C58" s="958" t="s">
        <v>352</v>
      </c>
      <c r="D58" s="957" t="s">
        <v>359</v>
      </c>
      <c r="E58" s="1338" t="s">
        <v>360</v>
      </c>
      <c r="F58" s="1338" t="s">
        <v>361</v>
      </c>
      <c r="G58" s="1339"/>
    </row>
    <row r="59" spans="1:8" s="951" customFormat="1" ht="39" customHeight="1">
      <c r="A59" s="955">
        <v>13</v>
      </c>
      <c r="B59" s="956">
        <v>5601</v>
      </c>
      <c r="C59" s="958" t="s">
        <v>352</v>
      </c>
      <c r="D59" s="957" t="s">
        <v>362</v>
      </c>
      <c r="E59" s="1340" t="s">
        <v>363</v>
      </c>
      <c r="F59" s="1341" t="s">
        <v>364</v>
      </c>
      <c r="G59" s="1342"/>
    </row>
    <row r="60" spans="1:8" s="951" customFormat="1" ht="50.25" customHeight="1">
      <c r="A60" s="955">
        <v>14</v>
      </c>
      <c r="B60" s="956">
        <v>5601</v>
      </c>
      <c r="C60" s="958" t="s">
        <v>352</v>
      </c>
      <c r="D60" s="957" t="s">
        <v>365</v>
      </c>
      <c r="E60" s="1338" t="s">
        <v>366</v>
      </c>
      <c r="F60" s="1338" t="s">
        <v>361</v>
      </c>
      <c r="G60" s="1339"/>
    </row>
    <row r="61" spans="1:8" s="951" customFormat="1" ht="28.5" customHeight="1" thickBot="1">
      <c r="A61" s="955">
        <v>15</v>
      </c>
      <c r="B61" s="959">
        <v>5601</v>
      </c>
      <c r="C61" s="960" t="s">
        <v>367</v>
      </c>
      <c r="D61" s="961" t="s">
        <v>368</v>
      </c>
      <c r="E61" s="1343" t="s">
        <v>347</v>
      </c>
      <c r="F61" s="1344" t="s">
        <v>348</v>
      </c>
      <c r="G61" s="1345"/>
      <c r="H61" s="548"/>
    </row>
    <row r="62" spans="1:8" s="951" customFormat="1" ht="12.75" customHeight="1">
      <c r="A62" s="962"/>
      <c r="B62" s="962"/>
      <c r="C62" s="963"/>
      <c r="D62" s="964"/>
      <c r="E62" s="965"/>
      <c r="F62" s="965"/>
      <c r="G62" s="965"/>
      <c r="H62" s="548"/>
    </row>
    <row r="63" spans="1:8" s="951" customFormat="1">
      <c r="B63" s="966"/>
      <c r="C63" s="962"/>
      <c r="D63" s="962"/>
      <c r="E63" s="1262" t="s">
        <v>369</v>
      </c>
      <c r="F63" s="1262"/>
      <c r="G63" s="1262"/>
      <c r="H63" s="1262"/>
    </row>
    <row r="64" spans="1:8" s="951" customFormat="1">
      <c r="B64" s="966"/>
      <c r="C64" s="962"/>
      <c r="D64" s="962"/>
      <c r="E64" s="967"/>
      <c r="F64" s="967"/>
      <c r="G64" s="967"/>
    </row>
    <row r="65" spans="2:7" s="951" customFormat="1">
      <c r="B65" s="966"/>
      <c r="C65" s="962"/>
      <c r="D65" s="962"/>
      <c r="E65" s="967"/>
      <c r="F65" s="967"/>
      <c r="G65" s="967"/>
    </row>
    <row r="66" spans="2:7" s="951" customFormat="1">
      <c r="B66" s="966"/>
      <c r="C66" s="962"/>
      <c r="D66" s="962"/>
      <c r="E66" s="967"/>
      <c r="F66" s="967"/>
      <c r="G66" s="967"/>
    </row>
    <row r="67" spans="2:7" s="951" customFormat="1">
      <c r="B67" s="966"/>
      <c r="C67" s="962"/>
      <c r="D67" s="962"/>
      <c r="E67" s="967"/>
      <c r="F67" s="967"/>
      <c r="G67" s="967"/>
    </row>
    <row r="68" spans="2:7" s="951" customFormat="1">
      <c r="B68" s="966"/>
      <c r="C68" s="962"/>
      <c r="D68" s="962"/>
      <c r="E68" s="967"/>
      <c r="F68" s="967"/>
      <c r="G68" s="967"/>
    </row>
    <row r="69" spans="2:7" s="951" customFormat="1">
      <c r="B69" s="966"/>
      <c r="C69" s="962"/>
      <c r="D69" s="962"/>
      <c r="E69" s="967"/>
      <c r="F69" s="967"/>
      <c r="G69" s="967"/>
    </row>
    <row r="70" spans="2:7" s="951" customFormat="1">
      <c r="B70" s="966"/>
      <c r="C70" s="962"/>
      <c r="D70" s="962"/>
      <c r="E70" s="967"/>
      <c r="F70" s="967"/>
      <c r="G70" s="967"/>
    </row>
    <row r="71" spans="2:7" s="951" customFormat="1">
      <c r="B71" s="966"/>
      <c r="C71" s="962"/>
      <c r="D71" s="962"/>
      <c r="E71" s="967"/>
      <c r="F71" s="967"/>
      <c r="G71" s="967"/>
    </row>
    <row r="72" spans="2:7" s="951" customFormat="1">
      <c r="B72" s="966"/>
      <c r="C72" s="962"/>
      <c r="D72" s="962"/>
      <c r="E72" s="967"/>
      <c r="F72" s="967"/>
      <c r="G72" s="967"/>
    </row>
    <row r="73" spans="2:7" s="951" customFormat="1">
      <c r="B73" s="966"/>
      <c r="C73" s="962"/>
      <c r="D73" s="962"/>
      <c r="E73" s="967"/>
      <c r="F73" s="967"/>
      <c r="G73" s="967"/>
    </row>
    <row r="74" spans="2:7" s="951" customFormat="1">
      <c r="B74" s="966"/>
      <c r="C74" s="962"/>
      <c r="D74" s="962"/>
      <c r="E74" s="967"/>
      <c r="F74" s="967"/>
      <c r="G74" s="967"/>
    </row>
    <row r="75" spans="2:7" s="951" customFormat="1">
      <c r="B75" s="966"/>
      <c r="C75" s="962"/>
      <c r="D75" s="962"/>
      <c r="E75" s="967"/>
      <c r="F75" s="967"/>
      <c r="G75" s="967"/>
    </row>
    <row r="76" spans="2:7" s="951" customFormat="1">
      <c r="B76" s="966"/>
      <c r="C76" s="962"/>
      <c r="D76" s="962"/>
      <c r="E76" s="967"/>
      <c r="F76" s="967"/>
      <c r="G76" s="967"/>
    </row>
    <row r="77" spans="2:7" s="951" customFormat="1">
      <c r="B77" s="966"/>
      <c r="C77" s="962"/>
      <c r="D77" s="962"/>
      <c r="E77" s="967"/>
      <c r="F77" s="967"/>
      <c r="G77" s="967"/>
    </row>
    <row r="78" spans="2:7" s="951" customFormat="1">
      <c r="B78" s="966"/>
      <c r="C78" s="962"/>
      <c r="D78" s="962"/>
      <c r="E78" s="967"/>
      <c r="F78" s="967"/>
      <c r="G78" s="967"/>
    </row>
    <row r="79" spans="2:7" s="951" customFormat="1">
      <c r="B79" s="966"/>
      <c r="C79" s="962"/>
      <c r="D79" s="962"/>
      <c r="E79" s="967"/>
      <c r="F79" s="967"/>
      <c r="G79" s="967"/>
    </row>
    <row r="80" spans="2:7" s="951" customFormat="1">
      <c r="B80" s="966"/>
      <c r="C80" s="962"/>
      <c r="D80" s="962"/>
      <c r="E80" s="967"/>
      <c r="F80" s="967"/>
      <c r="G80" s="967"/>
    </row>
    <row r="81" spans="2:7" s="951" customFormat="1">
      <c r="B81" s="966"/>
      <c r="C81" s="962"/>
      <c r="D81" s="962"/>
      <c r="E81" s="967"/>
      <c r="F81" s="967"/>
      <c r="G81" s="967"/>
    </row>
    <row r="82" spans="2:7" s="951" customFormat="1">
      <c r="B82" s="966"/>
      <c r="C82" s="962"/>
      <c r="D82" s="962"/>
      <c r="E82" s="967"/>
      <c r="F82" s="967"/>
      <c r="G82" s="967"/>
    </row>
    <row r="83" spans="2:7" s="951" customFormat="1">
      <c r="B83" s="966"/>
      <c r="C83" s="962"/>
      <c r="D83" s="962"/>
      <c r="E83" s="967"/>
      <c r="F83" s="967"/>
      <c r="G83" s="967"/>
    </row>
    <row r="84" spans="2:7" s="951" customFormat="1">
      <c r="B84" s="966"/>
      <c r="C84" s="962"/>
      <c r="D84" s="962"/>
      <c r="E84" s="967"/>
      <c r="F84" s="967"/>
      <c r="G84" s="967"/>
    </row>
    <row r="85" spans="2:7" s="951" customFormat="1">
      <c r="B85" s="966"/>
      <c r="C85" s="962"/>
      <c r="D85" s="962"/>
      <c r="E85" s="967"/>
      <c r="F85" s="967"/>
      <c r="G85" s="967"/>
    </row>
    <row r="86" spans="2:7" s="951" customFormat="1">
      <c r="B86" s="966"/>
      <c r="C86" s="962"/>
      <c r="D86" s="962"/>
      <c r="E86" s="967"/>
      <c r="F86" s="967"/>
      <c r="G86" s="967"/>
    </row>
    <row r="87" spans="2:7" s="951" customFormat="1">
      <c r="B87" s="966"/>
      <c r="C87" s="962"/>
      <c r="D87" s="962"/>
      <c r="E87" s="967"/>
      <c r="F87" s="967"/>
      <c r="G87" s="967"/>
    </row>
    <row r="88" spans="2:7" s="951" customFormat="1">
      <c r="B88" s="966"/>
      <c r="C88" s="962"/>
      <c r="D88" s="962"/>
      <c r="E88" s="967"/>
      <c r="F88" s="967"/>
      <c r="G88" s="967"/>
    </row>
    <row r="89" spans="2:7" s="951" customFormat="1">
      <c r="B89" s="966"/>
      <c r="C89" s="962"/>
      <c r="D89" s="962"/>
      <c r="E89" s="967"/>
      <c r="F89" s="967"/>
      <c r="G89" s="967"/>
    </row>
    <row r="90" spans="2:7" s="951" customFormat="1">
      <c r="B90" s="966"/>
      <c r="C90" s="962"/>
      <c r="D90" s="962"/>
      <c r="E90" s="967"/>
      <c r="F90" s="967"/>
      <c r="G90" s="967"/>
    </row>
    <row r="91" spans="2:7" s="951" customFormat="1">
      <c r="B91" s="966"/>
      <c r="C91" s="962"/>
      <c r="D91" s="962"/>
      <c r="E91" s="967"/>
      <c r="F91" s="967"/>
      <c r="G91" s="967"/>
    </row>
    <row r="92" spans="2:7" s="951" customFormat="1">
      <c r="B92" s="966"/>
      <c r="C92" s="962"/>
      <c r="D92" s="962"/>
      <c r="E92" s="967"/>
      <c r="F92" s="967"/>
      <c r="G92" s="967"/>
    </row>
    <row r="93" spans="2:7" s="951" customFormat="1">
      <c r="B93" s="966"/>
      <c r="C93" s="962"/>
      <c r="D93" s="962"/>
      <c r="E93" s="967"/>
      <c r="F93" s="967"/>
      <c r="G93" s="967"/>
    </row>
    <row r="94" spans="2:7" s="951" customFormat="1">
      <c r="B94" s="966"/>
      <c r="C94" s="962"/>
      <c r="D94" s="962"/>
      <c r="E94" s="967"/>
      <c r="F94" s="967"/>
      <c r="G94" s="967"/>
    </row>
    <row r="95" spans="2:7" s="951" customFormat="1">
      <c r="B95" s="966"/>
      <c r="C95" s="962"/>
      <c r="D95" s="962"/>
      <c r="E95" s="967"/>
      <c r="F95" s="967"/>
      <c r="G95" s="967"/>
    </row>
    <row r="96" spans="2:7" s="951" customFormat="1">
      <c r="B96" s="966"/>
      <c r="C96" s="962"/>
      <c r="D96" s="962"/>
      <c r="E96" s="967"/>
      <c r="F96" s="967"/>
      <c r="G96" s="967"/>
    </row>
    <row r="97" spans="1:8" s="951" customFormat="1">
      <c r="B97" s="966"/>
      <c r="C97" s="962"/>
      <c r="D97" s="962"/>
      <c r="E97" s="967"/>
      <c r="F97" s="967"/>
      <c r="G97" s="967"/>
    </row>
    <row r="98" spans="1:8" s="951" customFormat="1">
      <c r="B98" s="966"/>
      <c r="C98" s="962"/>
      <c r="D98" s="962"/>
      <c r="E98" s="967"/>
      <c r="F98" s="967"/>
      <c r="G98" s="967"/>
    </row>
    <row r="99" spans="1:8" s="951" customFormat="1">
      <c r="B99" s="966"/>
      <c r="C99" s="962"/>
      <c r="D99" s="962"/>
      <c r="E99" s="967"/>
      <c r="F99" s="967"/>
      <c r="G99" s="967"/>
    </row>
    <row r="100" spans="1:8" s="951" customFormat="1">
      <c r="B100" s="966"/>
      <c r="C100" s="962"/>
      <c r="D100" s="962"/>
      <c r="E100" s="967"/>
      <c r="F100" s="967"/>
      <c r="G100" s="967"/>
    </row>
    <row r="101" spans="1:8" s="951" customFormat="1">
      <c r="B101" s="966"/>
      <c r="C101" s="962"/>
      <c r="D101" s="962"/>
      <c r="E101" s="967"/>
      <c r="F101" s="967"/>
      <c r="G101" s="967"/>
    </row>
    <row r="102" spans="1:8" s="951" customFormat="1">
      <c r="B102" s="966"/>
      <c r="C102" s="962"/>
      <c r="D102" s="962"/>
      <c r="E102" s="967"/>
      <c r="F102" s="967"/>
      <c r="G102" s="967"/>
    </row>
    <row r="103" spans="1:8" s="951" customFormat="1">
      <c r="B103" s="966"/>
      <c r="C103" s="962"/>
      <c r="D103" s="962"/>
      <c r="E103" s="967"/>
      <c r="F103" s="967"/>
      <c r="G103" s="967"/>
    </row>
    <row r="104" spans="1:8" s="951" customFormat="1">
      <c r="B104" s="966"/>
      <c r="C104" s="962"/>
      <c r="D104" s="962"/>
      <c r="E104" s="967"/>
      <c r="F104" s="967"/>
      <c r="G104" s="967"/>
    </row>
    <row r="105" spans="1:8" s="951" customFormat="1">
      <c r="B105" s="966"/>
      <c r="C105" s="962"/>
      <c r="D105" s="962"/>
      <c r="E105" s="967"/>
      <c r="F105" s="967"/>
      <c r="G105" s="967"/>
    </row>
    <row r="106" spans="1:8" s="951" customFormat="1">
      <c r="B106" s="966"/>
      <c r="C106" s="962"/>
      <c r="D106" s="962"/>
      <c r="E106" s="967"/>
      <c r="F106" s="967"/>
      <c r="G106" s="967"/>
    </row>
    <row r="107" spans="1:8" s="951" customFormat="1">
      <c r="B107" s="966"/>
      <c r="C107" s="962"/>
      <c r="D107" s="962"/>
      <c r="E107" s="967"/>
      <c r="F107" s="967"/>
      <c r="G107" s="967"/>
    </row>
    <row r="108" spans="1:8" s="951" customFormat="1">
      <c r="B108" s="966"/>
      <c r="C108" s="962"/>
      <c r="D108" s="962"/>
      <c r="E108" s="967"/>
      <c r="F108" s="967"/>
      <c r="G108" s="967"/>
    </row>
    <row r="109" spans="1:8" s="951" customFormat="1">
      <c r="B109" s="966"/>
      <c r="C109" s="962"/>
      <c r="D109" s="962"/>
      <c r="E109" s="967"/>
      <c r="F109" s="967"/>
      <c r="G109" s="967"/>
    </row>
    <row r="110" spans="1:8">
      <c r="A110" s="951"/>
      <c r="B110" s="966"/>
      <c r="C110" s="962"/>
      <c r="D110" s="962"/>
      <c r="E110" s="967"/>
      <c r="F110" s="967"/>
      <c r="G110" s="967"/>
      <c r="H110" s="951"/>
    </row>
    <row r="111" spans="1:8">
      <c r="A111" s="951"/>
      <c r="B111" s="966"/>
      <c r="C111" s="962"/>
      <c r="D111" s="962"/>
      <c r="E111" s="967"/>
      <c r="F111" s="967"/>
      <c r="G111" s="967"/>
      <c r="H111" s="951"/>
    </row>
    <row r="112" spans="1:8">
      <c r="B112" s="966"/>
      <c r="C112" s="962"/>
      <c r="D112" s="962"/>
      <c r="E112" s="967"/>
      <c r="F112" s="967"/>
      <c r="G112" s="967"/>
    </row>
    <row r="113" spans="8:8">
      <c r="H113" s="968"/>
    </row>
  </sheetData>
  <mergeCells count="24">
    <mergeCell ref="E48:G48"/>
    <mergeCell ref="E60:G60"/>
    <mergeCell ref="A15:H15"/>
    <mergeCell ref="A45:G45"/>
    <mergeCell ref="E46:G46"/>
    <mergeCell ref="E47:G47"/>
    <mergeCell ref="E49:G49"/>
    <mergeCell ref="E50:G50"/>
    <mergeCell ref="A1:H1"/>
    <mergeCell ref="A2:H2"/>
    <mergeCell ref="A6:H6"/>
    <mergeCell ref="A7:H7"/>
    <mergeCell ref="A14:H14"/>
    <mergeCell ref="E63:H63"/>
    <mergeCell ref="E51:G51"/>
    <mergeCell ref="E52:G52"/>
    <mergeCell ref="E53:G53"/>
    <mergeCell ref="E54:G54"/>
    <mergeCell ref="E55:G55"/>
    <mergeCell ref="E56:G56"/>
    <mergeCell ref="E57:G57"/>
    <mergeCell ref="E58:G58"/>
    <mergeCell ref="E59:G59"/>
    <mergeCell ref="E61:G61"/>
  </mergeCells>
  <hyperlinks>
    <hyperlink ref="E63" location="'TABLA DE CONTENIDO'!A1" display="VOLVER A LA TABLA DE CONTENIDO" xr:uid="{00000000-0004-0000-0A00-000000000000}"/>
    <hyperlink ref="E63:H63" location="'TABLA DE CONTENIDO'!A1" display="VOLVER A LA TABLA DE CONTENIDO" xr:uid="{00000000-0004-0000-0A00-000001000000}"/>
  </hyperlinks>
  <printOptions horizontalCentered="1"/>
  <pageMargins left="0.59" right="0.59" top="0.59" bottom="0.67" header="0.51" footer="0.51"/>
  <pageSetup orientation="portrait" horizontalDpi="720" verticalDpi="72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K47"/>
  <sheetViews>
    <sheetView topLeftCell="A21" workbookViewId="0">
      <selection activeCell="D20" sqref="D20"/>
    </sheetView>
  </sheetViews>
  <sheetFormatPr defaultColWidth="11.42578125" defaultRowHeight="12.75"/>
  <cols>
    <col min="1" max="1" width="26.85546875" customWidth="1"/>
    <col min="2" max="2" width="8" customWidth="1"/>
    <col min="3" max="3" width="9" customWidth="1"/>
    <col min="4" max="4" width="9.140625" customWidth="1"/>
    <col min="5" max="5" width="24.7109375" customWidth="1"/>
    <col min="6" max="6" width="19.5703125" customWidth="1"/>
    <col min="7" max="7" width="26.42578125" customWidth="1"/>
  </cols>
  <sheetData>
    <row r="1" spans="1:10" s="39" customFormat="1" ht="23.25">
      <c r="A1" s="1259" t="s">
        <v>1</v>
      </c>
      <c r="B1" s="1259"/>
      <c r="C1" s="1259"/>
      <c r="D1" s="1259"/>
      <c r="E1" s="1259"/>
      <c r="F1" s="1259"/>
      <c r="G1" s="1259"/>
    </row>
    <row r="2" spans="1:10" s="39" customFormat="1" ht="18">
      <c r="A2" s="1260" t="s">
        <v>84</v>
      </c>
      <c r="B2" s="1260"/>
      <c r="C2" s="1260"/>
      <c r="D2" s="1260"/>
      <c r="E2" s="1260"/>
      <c r="F2" s="1260"/>
      <c r="G2" s="1260"/>
    </row>
    <row r="3" spans="1:10" s="39" customFormat="1">
      <c r="A3" s="45"/>
      <c r="B3" s="45"/>
      <c r="C3" s="38"/>
      <c r="D3" s="38"/>
      <c r="E3" s="38"/>
      <c r="F3" s="38"/>
      <c r="G3" s="38"/>
    </row>
    <row r="4" spans="1:10" s="39" customFormat="1" ht="18">
      <c r="A4" s="1260" t="s">
        <v>370</v>
      </c>
      <c r="B4" s="1260"/>
      <c r="C4" s="1260"/>
      <c r="D4" s="1260"/>
      <c r="E4" s="1260"/>
      <c r="F4" s="1260"/>
      <c r="G4" s="1260"/>
    </row>
    <row r="5" spans="1:10" s="39" customFormat="1">
      <c r="A5" s="45"/>
      <c r="B5" s="45"/>
      <c r="C5" s="38"/>
      <c r="D5" s="38"/>
      <c r="E5" s="38"/>
      <c r="F5" s="38"/>
      <c r="G5" s="38"/>
    </row>
    <row r="6" spans="1:10" s="39" customFormat="1" ht="18">
      <c r="A6" s="1260" t="s">
        <v>371</v>
      </c>
      <c r="B6" s="1260"/>
      <c r="C6" s="1260"/>
      <c r="D6" s="1260"/>
      <c r="E6" s="1260"/>
      <c r="F6" s="1260"/>
      <c r="G6" s="1260"/>
    </row>
    <row r="7" spans="1:10" s="39" customFormat="1" ht="12" customHeight="1">
      <c r="A7" s="1529" t="s">
        <v>372</v>
      </c>
      <c r="B7" s="1529"/>
      <c r="C7" s="1529"/>
      <c r="D7" s="1529"/>
      <c r="E7" s="1529"/>
      <c r="F7" s="1529"/>
      <c r="G7" s="1529"/>
    </row>
    <row r="8" spans="1:10" s="39" customFormat="1" ht="12" customHeight="1">
      <c r="A8"/>
      <c r="B8" s="51"/>
    </row>
    <row r="9" spans="1:10" s="39" customFormat="1" ht="12" customHeight="1">
      <c r="A9" s="185" t="s">
        <v>129</v>
      </c>
      <c r="B9" s="331" t="s">
        <v>88</v>
      </c>
      <c r="C9" s="333"/>
      <c r="D9" s="333"/>
      <c r="E9" s="333"/>
      <c r="F9" s="188" t="s">
        <v>373</v>
      </c>
      <c r="G9" s="334"/>
    </row>
    <row r="10" spans="1:10" ht="13.5" thickBot="1"/>
    <row r="11" spans="1:10" s="24" customFormat="1" ht="41.25" customHeight="1" thickBot="1">
      <c r="A11" s="139" t="s">
        <v>104</v>
      </c>
      <c r="B11" s="134" t="s">
        <v>105</v>
      </c>
      <c r="C11" s="978" t="s">
        <v>374</v>
      </c>
      <c r="D11" s="134" t="s">
        <v>375</v>
      </c>
      <c r="E11" s="140" t="s">
        <v>376</v>
      </c>
      <c r="F11" s="140" t="s">
        <v>377</v>
      </c>
      <c r="G11" s="141" t="s">
        <v>111</v>
      </c>
    </row>
    <row r="12" spans="1:10" ht="51">
      <c r="A12" s="887" t="s">
        <v>297</v>
      </c>
      <c r="B12" s="888">
        <v>5601</v>
      </c>
      <c r="C12" s="979" t="s">
        <v>378</v>
      </c>
      <c r="D12" s="889"/>
      <c r="E12" s="890" t="s">
        <v>379</v>
      </c>
      <c r="F12" s="891">
        <f>+'CANT OBRA'!H674</f>
        <v>31300644</v>
      </c>
      <c r="G12" s="892"/>
      <c r="H12" s="9"/>
      <c r="J12" s="915"/>
    </row>
    <row r="13" spans="1:10" ht="38.25">
      <c r="A13" s="893" t="s">
        <v>297</v>
      </c>
      <c r="B13" s="894">
        <v>5601</v>
      </c>
      <c r="C13" s="909" t="s">
        <v>380</v>
      </c>
      <c r="D13" s="895"/>
      <c r="E13" s="896" t="s">
        <v>381</v>
      </c>
      <c r="F13" s="897">
        <f>+'CANT OBRA'!H690</f>
        <v>39771190</v>
      </c>
      <c r="G13" s="898"/>
      <c r="H13" s="9"/>
      <c r="J13" s="915"/>
    </row>
    <row r="14" spans="1:10" ht="38.25">
      <c r="A14" s="893" t="s">
        <v>297</v>
      </c>
      <c r="B14" s="894">
        <v>5601</v>
      </c>
      <c r="C14" s="909" t="s">
        <v>382</v>
      </c>
      <c r="D14" s="895"/>
      <c r="E14" s="896" t="s">
        <v>381</v>
      </c>
      <c r="F14" s="897">
        <f>+'CANT OBRA'!H706</f>
        <v>31066629</v>
      </c>
      <c r="G14" s="898"/>
      <c r="H14" s="9"/>
      <c r="J14" s="915"/>
    </row>
    <row r="15" spans="1:10" ht="51">
      <c r="A15" s="899" t="s">
        <v>297</v>
      </c>
      <c r="B15" s="900">
        <v>5601</v>
      </c>
      <c r="C15" s="914" t="s">
        <v>383</v>
      </c>
      <c r="D15" s="901"/>
      <c r="E15" s="902" t="s">
        <v>384</v>
      </c>
      <c r="F15" s="903">
        <f>+'CANT OBRA'!H717</f>
        <v>7815654</v>
      </c>
      <c r="G15" s="904"/>
      <c r="H15" s="9"/>
      <c r="J15" s="915"/>
    </row>
    <row r="16" spans="1:10" ht="36.75" customHeight="1">
      <c r="A16" s="905" t="s">
        <v>297</v>
      </c>
      <c r="B16" s="905">
        <v>5601</v>
      </c>
      <c r="C16" s="980" t="s">
        <v>385</v>
      </c>
      <c r="D16" s="905"/>
      <c r="E16" s="906" t="s">
        <v>386</v>
      </c>
      <c r="F16" s="897">
        <f>+'CANT OBRA'!H735</f>
        <v>36434004</v>
      </c>
      <c r="G16" s="907"/>
      <c r="H16" s="9"/>
    </row>
    <row r="17" spans="1:11" ht="38.25">
      <c r="A17" s="908" t="s">
        <v>297</v>
      </c>
      <c r="B17" s="905">
        <v>5601</v>
      </c>
      <c r="C17" s="980" t="s">
        <v>387</v>
      </c>
      <c r="D17" s="905"/>
      <c r="E17" s="906" t="s">
        <v>388</v>
      </c>
      <c r="F17" s="897">
        <f>+'CANT OBRA'!H1043</f>
        <v>2517548</v>
      </c>
      <c r="G17" s="907"/>
      <c r="H17" s="9"/>
    </row>
    <row r="18" spans="1:11" ht="38.25">
      <c r="A18" s="893" t="s">
        <v>297</v>
      </c>
      <c r="B18" s="894">
        <v>5601</v>
      </c>
      <c r="C18" s="909" t="s">
        <v>389</v>
      </c>
      <c r="D18" s="895"/>
      <c r="E18" s="910" t="s">
        <v>388</v>
      </c>
      <c r="F18" s="897">
        <f>+'CANT OBRA'!H1052</f>
        <v>1869999</v>
      </c>
      <c r="G18" s="898"/>
      <c r="H18" s="9"/>
      <c r="J18" s="915"/>
      <c r="K18" s="916"/>
    </row>
    <row r="19" spans="1:11" ht="38.25">
      <c r="A19" s="893" t="s">
        <v>297</v>
      </c>
      <c r="B19" s="894">
        <v>5601</v>
      </c>
      <c r="C19" s="909" t="s">
        <v>390</v>
      </c>
      <c r="D19" s="895"/>
      <c r="E19" s="896" t="s">
        <v>391</v>
      </c>
      <c r="F19" s="897">
        <f>+'CANT OBRA'!H45</f>
        <v>89725024</v>
      </c>
      <c r="G19" s="898"/>
      <c r="H19" s="9"/>
      <c r="J19" s="915"/>
    </row>
    <row r="20" spans="1:11" ht="51">
      <c r="A20" s="893" t="s">
        <v>297</v>
      </c>
      <c r="B20" s="894">
        <v>5601</v>
      </c>
      <c r="C20" s="909" t="s">
        <v>392</v>
      </c>
      <c r="D20" s="895"/>
      <c r="E20" s="896" t="s">
        <v>393</v>
      </c>
      <c r="F20" s="897">
        <f>+'CANT OBRA'!H742</f>
        <v>951237</v>
      </c>
      <c r="G20" s="898"/>
      <c r="H20" s="9"/>
      <c r="J20" s="915"/>
    </row>
    <row r="21" spans="1:11" ht="51">
      <c r="A21" s="893" t="s">
        <v>297</v>
      </c>
      <c r="B21" s="894">
        <v>5601</v>
      </c>
      <c r="C21" s="909" t="s">
        <v>394</v>
      </c>
      <c r="D21" s="895"/>
      <c r="E21" s="896" t="s">
        <v>395</v>
      </c>
      <c r="F21" s="897">
        <f>+'CANT OBRA'!H1062</f>
        <v>19785442</v>
      </c>
      <c r="G21" s="898"/>
      <c r="H21" s="9"/>
      <c r="J21" s="915"/>
    </row>
    <row r="22" spans="1:11" ht="51">
      <c r="A22" s="893" t="s">
        <v>297</v>
      </c>
      <c r="B22" s="894">
        <v>5601</v>
      </c>
      <c r="C22" s="909" t="s">
        <v>396</v>
      </c>
      <c r="D22" s="895"/>
      <c r="E22" s="910" t="s">
        <v>379</v>
      </c>
      <c r="F22" s="897">
        <f>+'CANT OBRA'!H758</f>
        <v>31877809</v>
      </c>
      <c r="G22" s="898"/>
      <c r="H22" s="9"/>
      <c r="J22" s="915"/>
    </row>
    <row r="23" spans="1:11" ht="63.75">
      <c r="A23" s="893" t="s">
        <v>297</v>
      </c>
      <c r="B23" s="894">
        <v>5601</v>
      </c>
      <c r="C23" s="909" t="s">
        <v>397</v>
      </c>
      <c r="D23" s="895"/>
      <c r="E23" s="910" t="s">
        <v>398</v>
      </c>
      <c r="F23" s="897">
        <f>+'CANT OBRA'!H87</f>
        <v>45695047</v>
      </c>
      <c r="G23" s="898"/>
      <c r="H23" s="9"/>
      <c r="J23" s="915"/>
    </row>
    <row r="24" spans="1:11" ht="51">
      <c r="A24" s="893" t="s">
        <v>297</v>
      </c>
      <c r="B24" s="894">
        <v>5601</v>
      </c>
      <c r="C24" s="909" t="s">
        <v>399</v>
      </c>
      <c r="D24" s="895"/>
      <c r="E24" s="896" t="s">
        <v>395</v>
      </c>
      <c r="F24" s="897">
        <f>+'CANT OBRA'!H1136</f>
        <v>5935633</v>
      </c>
      <c r="G24" s="898"/>
      <c r="H24" s="9"/>
      <c r="J24" s="915"/>
    </row>
    <row r="25" spans="1:11" ht="63.75">
      <c r="A25" s="893" t="s">
        <v>297</v>
      </c>
      <c r="B25" s="894">
        <v>5601</v>
      </c>
      <c r="C25" s="909" t="s">
        <v>400</v>
      </c>
      <c r="D25" s="905"/>
      <c r="E25" s="896" t="s">
        <v>401</v>
      </c>
      <c r="F25" s="897">
        <f>+'CANT OBRA'!H1153</f>
        <v>42603838</v>
      </c>
      <c r="G25" s="898"/>
      <c r="H25" s="9"/>
      <c r="J25" s="915"/>
    </row>
    <row r="26" spans="1:11" ht="63.75">
      <c r="A26" s="893" t="s">
        <v>297</v>
      </c>
      <c r="B26" s="894">
        <v>5601</v>
      </c>
      <c r="C26" s="909" t="s">
        <v>402</v>
      </c>
      <c r="D26" s="905"/>
      <c r="E26" s="896" t="s">
        <v>401</v>
      </c>
      <c r="F26" s="897">
        <f>+'CANT OBRA'!H1171</f>
        <v>57760781</v>
      </c>
      <c r="G26" s="898"/>
      <c r="H26" s="9"/>
      <c r="J26" s="915"/>
      <c r="K26" s="916"/>
    </row>
    <row r="27" spans="1:11" ht="63.75">
      <c r="A27" s="893" t="s">
        <v>297</v>
      </c>
      <c r="B27" s="894">
        <v>5601</v>
      </c>
      <c r="C27" s="909" t="s">
        <v>403</v>
      </c>
      <c r="D27" s="895"/>
      <c r="E27" s="910" t="s">
        <v>404</v>
      </c>
      <c r="F27" s="897">
        <f>+'CANT OBRA'!H770</f>
        <v>88648923</v>
      </c>
      <c r="G27" s="898"/>
      <c r="H27" s="9"/>
      <c r="J27" s="915"/>
    </row>
    <row r="28" spans="1:11" ht="38.25">
      <c r="A28" s="893" t="s">
        <v>297</v>
      </c>
      <c r="B28" s="894">
        <v>5601</v>
      </c>
      <c r="C28" s="909" t="s">
        <v>405</v>
      </c>
      <c r="D28" s="895"/>
      <c r="E28" s="896" t="s">
        <v>406</v>
      </c>
      <c r="F28" s="897">
        <f>+'CANT OBRA'!H781</f>
        <v>4530462</v>
      </c>
      <c r="G28" s="898"/>
      <c r="H28" s="9"/>
      <c r="J28" s="915"/>
    </row>
    <row r="29" spans="1:11" ht="38.25">
      <c r="A29" s="893" t="s">
        <v>297</v>
      </c>
      <c r="B29" s="894">
        <v>5602</v>
      </c>
      <c r="C29" s="909" t="s">
        <v>407</v>
      </c>
      <c r="D29" s="895"/>
      <c r="E29" s="910" t="s">
        <v>408</v>
      </c>
      <c r="F29" s="897">
        <f>+'CANT OBRA'!H797</f>
        <v>31242111</v>
      </c>
      <c r="G29" s="898"/>
      <c r="H29" s="9"/>
      <c r="J29" s="915"/>
    </row>
    <row r="30" spans="1:11" ht="25.5">
      <c r="A30" s="893" t="s">
        <v>297</v>
      </c>
      <c r="B30" s="894">
        <v>5601</v>
      </c>
      <c r="C30" s="909" t="s">
        <v>409</v>
      </c>
      <c r="D30" s="895"/>
      <c r="E30" s="896" t="s">
        <v>410</v>
      </c>
      <c r="F30" s="897">
        <f>+'CANT OBRA'!H356</f>
        <v>175844532</v>
      </c>
      <c r="G30" s="898"/>
      <c r="H30" s="9"/>
      <c r="J30" s="915"/>
    </row>
    <row r="31" spans="1:11" ht="25.5">
      <c r="A31" s="893" t="s">
        <v>297</v>
      </c>
      <c r="B31" s="894">
        <v>5601</v>
      </c>
      <c r="C31" s="909" t="s">
        <v>411</v>
      </c>
      <c r="D31" s="895"/>
      <c r="E31" s="896" t="s">
        <v>410</v>
      </c>
      <c r="F31" s="897">
        <f>+'CANT OBRA'!H409</f>
        <v>21651542</v>
      </c>
      <c r="G31" s="898"/>
      <c r="H31" s="9"/>
      <c r="J31" s="915"/>
    </row>
    <row r="32" spans="1:11" ht="38.25">
      <c r="A32" s="893" t="s">
        <v>297</v>
      </c>
      <c r="B32" s="894">
        <v>5601</v>
      </c>
      <c r="C32" s="909" t="s">
        <v>412</v>
      </c>
      <c r="D32" s="911"/>
      <c r="E32" s="896" t="s">
        <v>413</v>
      </c>
      <c r="F32" s="897">
        <f>+'CANT OBRA'!H919</f>
        <v>32873495</v>
      </c>
      <c r="G32" s="898"/>
      <c r="H32" s="9"/>
      <c r="J32" s="915"/>
    </row>
    <row r="33" spans="1:10" ht="51">
      <c r="A33" s="893" t="s">
        <v>297</v>
      </c>
      <c r="B33" s="894">
        <v>5601</v>
      </c>
      <c r="C33" s="909" t="s">
        <v>414</v>
      </c>
      <c r="D33" s="911"/>
      <c r="E33" s="896" t="s">
        <v>415</v>
      </c>
      <c r="F33" s="897">
        <f>+'CANT OBRA'!H462</f>
        <v>5836216</v>
      </c>
      <c r="G33" s="898"/>
      <c r="H33" s="9"/>
      <c r="J33" s="915"/>
    </row>
    <row r="34" spans="1:10" ht="25.5">
      <c r="A34" s="893" t="s">
        <v>297</v>
      </c>
      <c r="B34" s="894">
        <v>5601</v>
      </c>
      <c r="C34" s="909" t="s">
        <v>416</v>
      </c>
      <c r="D34" s="895"/>
      <c r="E34" s="910" t="s">
        <v>410</v>
      </c>
      <c r="F34" s="897">
        <f>+'CANT OBRA'!H574</f>
        <v>12107998</v>
      </c>
      <c r="G34" s="898"/>
      <c r="H34" s="9"/>
      <c r="J34" s="915"/>
    </row>
    <row r="35" spans="1:10" ht="25.5">
      <c r="A35" s="893" t="s">
        <v>297</v>
      </c>
      <c r="B35" s="894">
        <v>5601</v>
      </c>
      <c r="C35" s="909" t="s">
        <v>417</v>
      </c>
      <c r="D35" s="895"/>
      <c r="E35" s="896" t="s">
        <v>418</v>
      </c>
      <c r="F35" s="897">
        <f>+'CANT OBRA'!H1013</f>
        <v>13429304</v>
      </c>
      <c r="G35" s="898"/>
      <c r="H35" s="9"/>
    </row>
    <row r="36" spans="1:10" s="389" customFormat="1" ht="89.25">
      <c r="A36" s="893" t="s">
        <v>297</v>
      </c>
      <c r="B36" s="894">
        <v>5601</v>
      </c>
      <c r="C36" s="912" t="s">
        <v>419</v>
      </c>
      <c r="D36" s="911"/>
      <c r="E36" s="910" t="s">
        <v>420</v>
      </c>
      <c r="F36" s="897">
        <f>+'CANT OBRA'!H1115</f>
        <v>56148723</v>
      </c>
      <c r="G36" s="898"/>
      <c r="H36" s="917"/>
    </row>
    <row r="37" spans="1:10" ht="25.5">
      <c r="A37" s="893" t="s">
        <v>297</v>
      </c>
      <c r="B37" s="894">
        <v>5601</v>
      </c>
      <c r="C37" s="909" t="s">
        <v>226</v>
      </c>
      <c r="D37" s="913" t="s">
        <v>421</v>
      </c>
      <c r="E37" s="896" t="s">
        <v>422</v>
      </c>
      <c r="F37" s="897">
        <f>+'CANT OBRA'!H1127</f>
        <v>435905293</v>
      </c>
      <c r="G37" s="898"/>
      <c r="H37" s="9"/>
    </row>
    <row r="38" spans="1:10" ht="38.25">
      <c r="A38" s="893" t="s">
        <v>297</v>
      </c>
      <c r="B38" s="894">
        <v>5601</v>
      </c>
      <c r="C38" s="912" t="s">
        <v>116</v>
      </c>
      <c r="D38" s="909" t="s">
        <v>117</v>
      </c>
      <c r="E38" s="896" t="s">
        <v>423</v>
      </c>
      <c r="F38" s="897">
        <f>+'CANT OBRA'!H1095</f>
        <v>54550381</v>
      </c>
      <c r="G38" s="898"/>
      <c r="H38" s="9"/>
    </row>
    <row r="39" spans="1:10" ht="38.25">
      <c r="A39" s="893" t="s">
        <v>297</v>
      </c>
      <c r="B39" s="894">
        <v>5601</v>
      </c>
      <c r="C39" s="912" t="s">
        <v>424</v>
      </c>
      <c r="D39" s="909" t="s">
        <v>425</v>
      </c>
      <c r="E39" s="910" t="s">
        <v>426</v>
      </c>
      <c r="F39" s="977">
        <f>+'CANT OBRA'!H1086</f>
        <v>6007284270</v>
      </c>
      <c r="G39" s="898"/>
      <c r="H39" s="9"/>
    </row>
    <row r="40" spans="1:10" s="389" customFormat="1" ht="89.25" customHeight="1">
      <c r="A40" s="893" t="s">
        <v>297</v>
      </c>
      <c r="B40" s="894">
        <v>5601</v>
      </c>
      <c r="C40" s="912" t="s">
        <v>427</v>
      </c>
      <c r="D40" s="895"/>
      <c r="E40" s="896" t="s">
        <v>428</v>
      </c>
      <c r="F40" s="897">
        <f>+'CANT OBRA'!H1109</f>
        <v>16086531831</v>
      </c>
      <c r="G40" s="898"/>
      <c r="H40" s="917"/>
    </row>
    <row r="41" spans="1:10" ht="38.25">
      <c r="A41" s="893" t="s">
        <v>297</v>
      </c>
      <c r="B41" s="894">
        <v>5601</v>
      </c>
      <c r="C41" s="914" t="s">
        <v>116</v>
      </c>
      <c r="D41" s="914" t="s">
        <v>117</v>
      </c>
      <c r="E41" s="902" t="s">
        <v>429</v>
      </c>
      <c r="F41" s="897">
        <f>+'CANT OBRA'!H1034</f>
        <v>3476436208</v>
      </c>
      <c r="G41" s="904"/>
      <c r="H41" s="9"/>
    </row>
    <row r="42" spans="1:10" ht="13.5" thickBot="1">
      <c r="A42" s="918"/>
      <c r="B42" s="919"/>
      <c r="C42" s="920"/>
      <c r="D42" s="920"/>
      <c r="E42" s="921" t="s">
        <v>175</v>
      </c>
      <c r="F42" s="922">
        <f>SUM(F12:F41)</f>
        <v>26948131768</v>
      </c>
      <c r="G42" s="923"/>
    </row>
    <row r="44" spans="1:10" ht="25.5" customHeight="1">
      <c r="A44" s="1354" t="s">
        <v>430</v>
      </c>
      <c r="B44" s="1354"/>
      <c r="C44" s="1354"/>
      <c r="D44" s="1354"/>
      <c r="E44" s="1354"/>
      <c r="F44" s="1354"/>
      <c r="G44" s="1354"/>
    </row>
    <row r="45" spans="1:10">
      <c r="A45" s="66" t="s">
        <v>431</v>
      </c>
      <c r="F45" s="1353" t="s">
        <v>125</v>
      </c>
      <c r="G45" s="1353"/>
    </row>
    <row r="47" spans="1:10" ht="15">
      <c r="A47" s="55"/>
      <c r="B47" s="55"/>
      <c r="C47" s="25"/>
      <c r="D47" s="25"/>
    </row>
  </sheetData>
  <mergeCells count="7">
    <mergeCell ref="F45:G45"/>
    <mergeCell ref="A7:G7"/>
    <mergeCell ref="A1:G1"/>
    <mergeCell ref="A2:G2"/>
    <mergeCell ref="A4:G4"/>
    <mergeCell ref="A6:G6"/>
    <mergeCell ref="A44:G44"/>
  </mergeCells>
  <phoneticPr fontId="4" type="noConversion"/>
  <hyperlinks>
    <hyperlink ref="F45" location="'TABLA DE CONTENIDO'!A1" display="VOLVER A TABLA DE CONTENIDO" xr:uid="{00000000-0004-0000-0B00-000000000000}"/>
  </hyperlinks>
  <printOptions horizontalCentered="1" verticalCentered="1"/>
  <pageMargins left="0.70866141732283472" right="0.78740157480314965" top="0.78740157480314965" bottom="0.98425196850393704" header="0.51181102362204722" footer="0.51181102362204722"/>
  <pageSetup scale="10" orientation="landscape" horizontalDpi="120" verticalDpi="144"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H81"/>
  <sheetViews>
    <sheetView topLeftCell="A14" workbookViewId="0">
      <selection activeCell="D20" sqref="D20"/>
    </sheetView>
  </sheetViews>
  <sheetFormatPr defaultColWidth="11.42578125" defaultRowHeight="12.75"/>
  <cols>
    <col min="1" max="1" width="21" customWidth="1"/>
    <col min="5" max="5" width="30.5703125" customWidth="1"/>
    <col min="6" max="6" width="23" customWidth="1"/>
    <col min="7" max="7" width="18.7109375" customWidth="1"/>
  </cols>
  <sheetData>
    <row r="1" spans="1:7" ht="23.25">
      <c r="A1" s="1259" t="s">
        <v>1</v>
      </c>
      <c r="B1" s="1259"/>
      <c r="C1" s="1259"/>
      <c r="D1" s="1259"/>
      <c r="E1" s="1259"/>
      <c r="F1" s="1259"/>
      <c r="G1" s="1259"/>
    </row>
    <row r="2" spans="1:7" ht="18">
      <c r="A2" s="1260" t="s">
        <v>84</v>
      </c>
      <c r="B2" s="1260"/>
      <c r="C2" s="1260"/>
      <c r="D2" s="1260"/>
      <c r="E2" s="1260"/>
      <c r="F2" s="1260"/>
      <c r="G2" s="1260"/>
    </row>
    <row r="3" spans="1:7">
      <c r="A3" s="45"/>
      <c r="B3" s="45"/>
      <c r="C3" s="38"/>
      <c r="D3" s="38"/>
      <c r="E3" s="38"/>
      <c r="F3" s="38"/>
      <c r="G3" s="38"/>
    </row>
    <row r="4" spans="1:7" ht="18">
      <c r="A4" s="1260" t="s">
        <v>432</v>
      </c>
      <c r="B4" s="1260"/>
      <c r="C4" s="1260"/>
      <c r="D4" s="1260"/>
      <c r="E4" s="1260"/>
      <c r="F4" s="1260"/>
      <c r="G4" s="1260"/>
    </row>
    <row r="5" spans="1:7">
      <c r="A5" s="45"/>
      <c r="B5" s="45"/>
      <c r="C5" s="38"/>
      <c r="D5" s="38"/>
      <c r="E5" s="38"/>
      <c r="F5" s="38"/>
      <c r="G5" s="38"/>
    </row>
    <row r="6" spans="1:7" ht="18">
      <c r="A6" s="1260" t="s">
        <v>433</v>
      </c>
      <c r="B6" s="1260"/>
      <c r="C6" s="1260"/>
      <c r="D6" s="1260"/>
      <c r="E6" s="1260"/>
      <c r="F6" s="1260"/>
      <c r="G6" s="1260"/>
    </row>
    <row r="7" spans="1:7">
      <c r="A7" s="1529" t="s">
        <v>372</v>
      </c>
      <c r="B7" s="1529"/>
      <c r="C7" s="1529"/>
      <c r="D7" s="1529"/>
      <c r="E7" s="1529"/>
      <c r="F7" s="1529"/>
      <c r="G7" s="1529"/>
    </row>
    <row r="8" spans="1:7">
      <c r="A8" s="45"/>
      <c r="B8" s="45"/>
      <c r="C8" s="38"/>
      <c r="D8" s="38"/>
      <c r="E8" s="38"/>
      <c r="F8" s="38"/>
      <c r="G8" s="38"/>
    </row>
    <row r="9" spans="1:7">
      <c r="B9" s="51"/>
      <c r="C9" s="39"/>
      <c r="D9" s="39"/>
      <c r="E9" s="39"/>
      <c r="F9" s="39"/>
      <c r="G9" s="39"/>
    </row>
    <row r="10" spans="1:7">
      <c r="A10" s="190" t="s">
        <v>434</v>
      </c>
      <c r="B10" s="51"/>
      <c r="C10" s="333" t="s">
        <v>88</v>
      </c>
      <c r="D10" s="333"/>
      <c r="E10" s="333"/>
      <c r="F10" s="188" t="s">
        <v>159</v>
      </c>
      <c r="G10" s="334" t="s">
        <v>435</v>
      </c>
    </row>
    <row r="11" spans="1:7" ht="13.5" thickBot="1"/>
    <row r="12" spans="1:7" ht="26.25" thickBot="1">
      <c r="A12" s="139" t="s">
        <v>104</v>
      </c>
      <c r="B12" s="134" t="s">
        <v>105</v>
      </c>
      <c r="C12" s="134" t="s">
        <v>374</v>
      </c>
      <c r="D12" s="134" t="s">
        <v>375</v>
      </c>
      <c r="E12" s="140" t="s">
        <v>376</v>
      </c>
      <c r="F12" s="140" t="s">
        <v>377</v>
      </c>
      <c r="G12" s="141" t="s">
        <v>111</v>
      </c>
    </row>
    <row r="13" spans="1:7" ht="38.25">
      <c r="A13" s="908" t="s">
        <v>297</v>
      </c>
      <c r="B13" s="905">
        <v>5601</v>
      </c>
      <c r="C13" s="980" t="s">
        <v>436</v>
      </c>
      <c r="D13" s="905"/>
      <c r="E13" s="906" t="s">
        <v>437</v>
      </c>
      <c r="F13" s="1555">
        <f>+'CANT OBRA'!H19</f>
        <v>52107974</v>
      </c>
      <c r="G13" s="1095"/>
    </row>
    <row r="14" spans="1:7" ht="51">
      <c r="A14" s="908" t="s">
        <v>297</v>
      </c>
      <c r="B14" s="905">
        <v>5601</v>
      </c>
      <c r="C14" s="913" t="s">
        <v>438</v>
      </c>
      <c r="D14" s="905"/>
      <c r="E14" s="906" t="s">
        <v>439</v>
      </c>
      <c r="F14" s="1555">
        <f>+'CANT OBRA'!H32</f>
        <v>54532657</v>
      </c>
      <c r="G14" s="1095"/>
    </row>
    <row r="15" spans="1:7" ht="28.5" customHeight="1">
      <c r="A15" s="908" t="s">
        <v>297</v>
      </c>
      <c r="B15" s="905">
        <v>5601</v>
      </c>
      <c r="C15" s="980" t="s">
        <v>326</v>
      </c>
      <c r="D15" s="905"/>
      <c r="E15" s="1098" t="s">
        <v>440</v>
      </c>
      <c r="F15" s="1555">
        <f>+'CANT OBRA'!H62</f>
        <v>553610426</v>
      </c>
      <c r="G15" s="1095"/>
    </row>
    <row r="16" spans="1:7" ht="38.25">
      <c r="A16" s="908" t="s">
        <v>297</v>
      </c>
      <c r="B16" s="905">
        <v>5601</v>
      </c>
      <c r="C16" s="980" t="s">
        <v>441</v>
      </c>
      <c r="D16" s="905"/>
      <c r="E16" s="906" t="s">
        <v>442</v>
      </c>
      <c r="F16" s="1555">
        <f>+'CANT OBRA'!H99</f>
        <v>39367435</v>
      </c>
      <c r="G16" s="1095"/>
    </row>
    <row r="17" spans="1:8" ht="25.5">
      <c r="A17" s="908" t="s">
        <v>297</v>
      </c>
      <c r="B17" s="905">
        <v>5601</v>
      </c>
      <c r="C17" s="980" t="s">
        <v>443</v>
      </c>
      <c r="D17" s="6"/>
      <c r="E17" s="906" t="s">
        <v>444</v>
      </c>
      <c r="F17" s="1555">
        <f>+'CANT OBRA'!H112</f>
        <v>23016565</v>
      </c>
      <c r="G17" s="1095"/>
    </row>
    <row r="18" spans="1:8" ht="38.25">
      <c r="A18" s="908" t="s">
        <v>297</v>
      </c>
      <c r="B18" s="905">
        <v>5601</v>
      </c>
      <c r="C18" s="980" t="s">
        <v>330</v>
      </c>
      <c r="D18" s="6"/>
      <c r="E18" s="906" t="s">
        <v>445</v>
      </c>
      <c r="F18" s="1555">
        <f>+'CANT OBRA'!H139</f>
        <v>609196581</v>
      </c>
      <c r="G18" s="1095"/>
    </row>
    <row r="19" spans="1:8" ht="63.75">
      <c r="A19" s="908" t="s">
        <v>297</v>
      </c>
      <c r="B19" s="905">
        <v>5601</v>
      </c>
      <c r="C19" s="980" t="s">
        <v>446</v>
      </c>
      <c r="D19" s="905" t="s">
        <v>447</v>
      </c>
      <c r="E19" s="906" t="s">
        <v>448</v>
      </c>
      <c r="F19" s="1555">
        <f>+'CANT OBRA'!H124</f>
        <v>31677637</v>
      </c>
      <c r="G19" s="1095"/>
    </row>
    <row r="20" spans="1:8" ht="38.25">
      <c r="A20" s="908" t="s">
        <v>297</v>
      </c>
      <c r="B20" s="905">
        <v>5601</v>
      </c>
      <c r="C20" s="1556" t="s">
        <v>449</v>
      </c>
      <c r="D20" s="905"/>
      <c r="E20" s="906" t="s">
        <v>450</v>
      </c>
      <c r="F20" s="1555">
        <f>+'CANT OBRA'!H153</f>
        <v>158693993</v>
      </c>
      <c r="G20" s="1095"/>
    </row>
    <row r="21" spans="1:8" ht="38.25">
      <c r="A21" s="908" t="s">
        <v>297</v>
      </c>
      <c r="B21" s="905">
        <v>5601</v>
      </c>
      <c r="C21" s="980" t="s">
        <v>451</v>
      </c>
      <c r="D21" s="905"/>
      <c r="E21" s="906" t="s">
        <v>452</v>
      </c>
      <c r="F21" s="1555">
        <f>+'CANT OBRA'!H168</f>
        <v>92312193</v>
      </c>
      <c r="G21" s="1095"/>
    </row>
    <row r="22" spans="1:8" ht="51">
      <c r="A22" s="908" t="str">
        <f>+A21</f>
        <v>LA UNIÓN - SONSÓN</v>
      </c>
      <c r="B22" s="905">
        <v>5601</v>
      </c>
      <c r="C22" s="980" t="s">
        <v>453</v>
      </c>
      <c r="D22" s="905"/>
      <c r="E22" s="906" t="s">
        <v>454</v>
      </c>
      <c r="F22" s="1555">
        <f>+'CANT OBRA'!H193</f>
        <v>24414463</v>
      </c>
      <c r="G22" s="1095"/>
    </row>
    <row r="23" spans="1:8" ht="39.75" customHeight="1">
      <c r="A23" s="908" t="s">
        <v>297</v>
      </c>
      <c r="B23" s="905">
        <v>5601</v>
      </c>
      <c r="C23" s="980" t="s">
        <v>455</v>
      </c>
      <c r="D23" s="913"/>
      <c r="E23" s="1096" t="s">
        <v>456</v>
      </c>
      <c r="F23" s="1555">
        <f>+'CANT OBRA'!H180</f>
        <v>98385491</v>
      </c>
      <c r="G23" s="1095"/>
    </row>
    <row r="24" spans="1:8" ht="51">
      <c r="A24" s="908" t="s">
        <v>297</v>
      </c>
      <c r="B24" s="905">
        <v>5601</v>
      </c>
      <c r="C24" s="980" t="s">
        <v>333</v>
      </c>
      <c r="D24" s="905"/>
      <c r="E24" s="1096" t="s">
        <v>457</v>
      </c>
      <c r="F24" s="1555">
        <f>+'CANT OBRA'!H210</f>
        <v>566518542</v>
      </c>
      <c r="G24" s="1095"/>
    </row>
    <row r="25" spans="1:8" ht="25.5">
      <c r="A25" s="908" t="s">
        <v>297</v>
      </c>
      <c r="B25" s="905">
        <v>5601</v>
      </c>
      <c r="C25" s="980" t="s">
        <v>458</v>
      </c>
      <c r="D25" s="905"/>
      <c r="E25" s="906" t="s">
        <v>418</v>
      </c>
      <c r="F25" s="1555">
        <f>+'CANT OBRA'!H1077</f>
        <v>22104399</v>
      </c>
      <c r="G25" s="1095"/>
    </row>
    <row r="26" spans="1:8" ht="25.5">
      <c r="A26" s="908" t="s">
        <v>297</v>
      </c>
      <c r="B26" s="905">
        <v>5601</v>
      </c>
      <c r="C26" s="980" t="s">
        <v>459</v>
      </c>
      <c r="D26" s="909"/>
      <c r="E26" s="906" t="s">
        <v>410</v>
      </c>
      <c r="F26" s="1555">
        <f>+'CANT OBRA'!H223</f>
        <v>71463623</v>
      </c>
      <c r="G26" s="1095"/>
      <c r="H26" s="1097"/>
    </row>
    <row r="27" spans="1:8" ht="38.25">
      <c r="A27" s="908" t="str">
        <f>+A26</f>
        <v>LA UNIÓN - SONSÓN</v>
      </c>
      <c r="B27" s="905">
        <v>5601</v>
      </c>
      <c r="C27" s="980" t="s">
        <v>460</v>
      </c>
      <c r="D27" s="909"/>
      <c r="E27" s="1098" t="s">
        <v>461</v>
      </c>
      <c r="F27" s="1555">
        <f>+'CANT OBRA'!H234</f>
        <v>36816669</v>
      </c>
      <c r="G27" s="1095"/>
      <c r="H27" s="1097"/>
    </row>
    <row r="28" spans="1:8" ht="25.5">
      <c r="A28" s="908" t="str">
        <f>+A27</f>
        <v>LA UNIÓN - SONSÓN</v>
      </c>
      <c r="B28" s="905">
        <f>+B27</f>
        <v>5601</v>
      </c>
      <c r="C28" s="980" t="s">
        <v>462</v>
      </c>
      <c r="D28" s="909"/>
      <c r="E28" s="906" t="s">
        <v>444</v>
      </c>
      <c r="F28" s="1555">
        <f>+'CANT OBRA'!H246</f>
        <v>31790955</v>
      </c>
      <c r="G28" s="1095"/>
      <c r="H28" s="1097"/>
    </row>
    <row r="29" spans="1:8" ht="25.5">
      <c r="A29" s="908" t="str">
        <f>+A28</f>
        <v>LA UNIÓN - SONSÓN</v>
      </c>
      <c r="B29" s="905">
        <v>5601</v>
      </c>
      <c r="C29" s="980" t="s">
        <v>463</v>
      </c>
      <c r="D29" s="909"/>
      <c r="E29" s="906" t="s">
        <v>464</v>
      </c>
      <c r="F29" s="1555">
        <f>+'CANT OBRA'!H255</f>
        <v>3284440</v>
      </c>
      <c r="G29" s="1095"/>
      <c r="H29" s="1097"/>
    </row>
    <row r="30" spans="1:8" ht="25.5">
      <c r="A30" s="908" t="str">
        <f>+A29</f>
        <v>LA UNIÓN - SONSÓN</v>
      </c>
      <c r="B30" s="905">
        <v>5601</v>
      </c>
      <c r="C30" s="980" t="s">
        <v>465</v>
      </c>
      <c r="D30" s="909"/>
      <c r="E30" s="906" t="s">
        <v>466</v>
      </c>
      <c r="F30" s="1555">
        <f>+'CANT OBRA'!H265</f>
        <v>17052242</v>
      </c>
      <c r="G30" s="1095"/>
      <c r="H30" s="1097"/>
    </row>
    <row r="31" spans="1:8" ht="38.25">
      <c r="A31" s="908" t="s">
        <v>297</v>
      </c>
      <c r="B31" s="905">
        <v>5601</v>
      </c>
      <c r="C31" s="913" t="s">
        <v>467</v>
      </c>
      <c r="D31" s="905"/>
      <c r="E31" s="906" t="s">
        <v>468</v>
      </c>
      <c r="F31" s="1555">
        <f>+'CANT OBRA'!H280</f>
        <v>118672132</v>
      </c>
      <c r="G31" s="1095"/>
    </row>
    <row r="32" spans="1:8" ht="51">
      <c r="A32" s="908" t="s">
        <v>297</v>
      </c>
      <c r="B32" s="905">
        <v>5601</v>
      </c>
      <c r="C32" s="1556" t="s">
        <v>469</v>
      </c>
      <c r="D32" s="905"/>
      <c r="E32" s="906" t="s">
        <v>470</v>
      </c>
      <c r="F32" s="1555">
        <f>+'CANT OBRA'!H290</f>
        <v>19966511</v>
      </c>
      <c r="G32" s="1095"/>
    </row>
    <row r="33" spans="1:7" ht="25.5">
      <c r="A33" s="908" t="s">
        <v>297</v>
      </c>
      <c r="B33" s="905">
        <v>5601</v>
      </c>
      <c r="C33" s="980" t="s">
        <v>471</v>
      </c>
      <c r="D33" s="905"/>
      <c r="E33" s="906" t="s">
        <v>410</v>
      </c>
      <c r="F33" s="1555">
        <f>+'CANT OBRA'!H304</f>
        <v>45948641</v>
      </c>
      <c r="G33" s="1095"/>
    </row>
    <row r="34" spans="1:7" ht="38.25">
      <c r="A34" s="908" t="s">
        <v>297</v>
      </c>
      <c r="B34" s="905">
        <v>5601</v>
      </c>
      <c r="C34" s="980" t="s">
        <v>472</v>
      </c>
      <c r="D34" s="905"/>
      <c r="E34" s="906" t="s">
        <v>473</v>
      </c>
      <c r="F34" s="1555">
        <f>+'CANT OBRA'!H815</f>
        <v>126681309</v>
      </c>
      <c r="G34" s="1095"/>
    </row>
    <row r="35" spans="1:7" ht="51">
      <c r="A35" s="908" t="s">
        <v>297</v>
      </c>
      <c r="B35" s="905">
        <v>5601</v>
      </c>
      <c r="C35" s="980" t="s">
        <v>474</v>
      </c>
      <c r="D35" s="905"/>
      <c r="E35" s="1098" t="s">
        <v>475</v>
      </c>
      <c r="F35" s="1555">
        <f>+'CANT OBRA'!H316</f>
        <v>18716675</v>
      </c>
      <c r="G35" s="1095"/>
    </row>
    <row r="36" spans="1:7" ht="38.25">
      <c r="A36" s="908" t="s">
        <v>297</v>
      </c>
      <c r="B36" s="905">
        <v>5601</v>
      </c>
      <c r="C36" s="980" t="s">
        <v>476</v>
      </c>
      <c r="D36" s="905"/>
      <c r="E36" s="1098" t="s">
        <v>477</v>
      </c>
      <c r="F36" s="1555">
        <f>+'CANT OBRA'!H828</f>
        <v>59007093</v>
      </c>
      <c r="G36" s="1095"/>
    </row>
    <row r="37" spans="1:7" ht="38.25">
      <c r="A37" s="908" t="s">
        <v>297</v>
      </c>
      <c r="B37" s="905">
        <v>5601</v>
      </c>
      <c r="C37" s="980" t="s">
        <v>478</v>
      </c>
      <c r="D37" s="905"/>
      <c r="E37" s="1098" t="s">
        <v>479</v>
      </c>
      <c r="F37" s="1555">
        <f>+'CANT OBRA'!H842</f>
        <v>61780848</v>
      </c>
      <c r="G37" s="1095"/>
    </row>
    <row r="38" spans="1:7" ht="25.5">
      <c r="A38" s="908" t="s">
        <v>297</v>
      </c>
      <c r="B38" s="905">
        <v>5601</v>
      </c>
      <c r="C38" s="980" t="s">
        <v>337</v>
      </c>
      <c r="D38" s="905"/>
      <c r="E38" s="1098" t="s">
        <v>480</v>
      </c>
      <c r="F38" s="1555">
        <f>+'CANT OBRA'!H326</f>
        <v>53732279</v>
      </c>
      <c r="G38" s="1095"/>
    </row>
    <row r="39" spans="1:7" ht="38.25">
      <c r="A39" s="908" t="s">
        <v>297</v>
      </c>
      <c r="B39" s="905">
        <v>5601</v>
      </c>
      <c r="C39" s="980" t="s">
        <v>481</v>
      </c>
      <c r="D39" s="905"/>
      <c r="E39" s="906" t="s">
        <v>482</v>
      </c>
      <c r="F39" s="1555">
        <f>+'CANT OBRA'!H334</f>
        <v>114813051</v>
      </c>
      <c r="G39" s="1095"/>
    </row>
    <row r="40" spans="1:7" ht="38.25">
      <c r="A40" s="908" t="s">
        <v>297</v>
      </c>
      <c r="B40" s="905">
        <v>5601</v>
      </c>
      <c r="C40" s="980" t="s">
        <v>483</v>
      </c>
      <c r="D40" s="905"/>
      <c r="E40" s="906" t="s">
        <v>473</v>
      </c>
      <c r="F40" s="1555">
        <f>+'CANT OBRA'!H860</f>
        <v>136799197</v>
      </c>
      <c r="G40" s="1095"/>
    </row>
    <row r="41" spans="1:7" ht="38.25">
      <c r="A41" s="908" t="s">
        <v>297</v>
      </c>
      <c r="B41" s="905">
        <v>5601</v>
      </c>
      <c r="C41" s="980" t="s">
        <v>484</v>
      </c>
      <c r="D41" s="905"/>
      <c r="E41" s="906" t="s">
        <v>485</v>
      </c>
      <c r="F41" s="1555">
        <f>+'CANT OBRA'!H604</f>
        <v>106776915</v>
      </c>
      <c r="G41" s="1095"/>
    </row>
    <row r="42" spans="1:7" ht="76.5">
      <c r="A42" s="908" t="s">
        <v>297</v>
      </c>
      <c r="B42" s="905">
        <v>5601</v>
      </c>
      <c r="C42" s="980" t="s">
        <v>340</v>
      </c>
      <c r="D42" s="905"/>
      <c r="E42" s="1098" t="s">
        <v>486</v>
      </c>
      <c r="F42" s="1555">
        <f>+'CANT OBRA'!H622</f>
        <v>224857933</v>
      </c>
      <c r="G42" s="1095"/>
    </row>
    <row r="43" spans="1:7" ht="38.25">
      <c r="A43" s="908" t="str">
        <f>+A42</f>
        <v>LA UNIÓN - SONSÓN</v>
      </c>
      <c r="B43" s="905">
        <v>5601</v>
      </c>
      <c r="C43" s="980" t="s">
        <v>268</v>
      </c>
      <c r="D43" s="905"/>
      <c r="E43" s="1098" t="s">
        <v>487</v>
      </c>
      <c r="F43" s="1555">
        <f>+'CANT OBRA'!H368</f>
        <v>17942573</v>
      </c>
      <c r="G43" s="1095"/>
    </row>
    <row r="44" spans="1:7" ht="51">
      <c r="A44" s="908" t="s">
        <v>297</v>
      </c>
      <c r="B44" s="905">
        <v>5601</v>
      </c>
      <c r="C44" s="980" t="s">
        <v>488</v>
      </c>
      <c r="D44" s="905"/>
      <c r="E44" s="906" t="s">
        <v>489</v>
      </c>
      <c r="F44" s="1555">
        <f>+'CANT OBRA'!H383</f>
        <v>480331957</v>
      </c>
      <c r="G44" s="1095"/>
    </row>
    <row r="45" spans="1:7" ht="76.5">
      <c r="A45" s="908" t="s">
        <v>297</v>
      </c>
      <c r="B45" s="905">
        <v>5601</v>
      </c>
      <c r="C45" s="980" t="s">
        <v>270</v>
      </c>
      <c r="D45" s="905"/>
      <c r="E45" s="906" t="s">
        <v>490</v>
      </c>
      <c r="F45" s="1555">
        <f>+'CANT OBRA'!H639</f>
        <v>1124591703</v>
      </c>
      <c r="G45" s="1095"/>
    </row>
    <row r="46" spans="1:7" ht="38.25">
      <c r="A46" s="908" t="s">
        <v>297</v>
      </c>
      <c r="B46" s="905">
        <v>5601</v>
      </c>
      <c r="C46" s="980" t="s">
        <v>346</v>
      </c>
      <c r="D46" s="905"/>
      <c r="E46" s="1098" t="s">
        <v>491</v>
      </c>
      <c r="F46" s="1555">
        <f>+'CANT OBRA'!H655</f>
        <v>303156816</v>
      </c>
      <c r="G46" s="1095"/>
    </row>
    <row r="47" spans="1:7" ht="51">
      <c r="A47" s="908" t="s">
        <v>297</v>
      </c>
      <c r="B47" s="905">
        <v>5601</v>
      </c>
      <c r="C47" s="980" t="s">
        <v>492</v>
      </c>
      <c r="D47" s="905"/>
      <c r="E47" s="906" t="s">
        <v>493</v>
      </c>
      <c r="F47" s="1555">
        <f>+'CANT OBRA'!H903</f>
        <v>286406168</v>
      </c>
      <c r="G47" s="1095"/>
    </row>
    <row r="48" spans="1:7" ht="51">
      <c r="A48" s="908" t="s">
        <v>297</v>
      </c>
      <c r="B48" s="905">
        <v>5601</v>
      </c>
      <c r="C48" s="1556" t="s">
        <v>494</v>
      </c>
      <c r="D48" s="905"/>
      <c r="E48" s="1098" t="s">
        <v>404</v>
      </c>
      <c r="F48" s="1555">
        <f>+'CANT OBRA'!H874</f>
        <v>140033462</v>
      </c>
      <c r="G48" s="1095"/>
    </row>
    <row r="49" spans="1:7" ht="76.5">
      <c r="A49" s="908" t="s">
        <v>297</v>
      </c>
      <c r="B49" s="905">
        <v>5601</v>
      </c>
      <c r="C49" s="980" t="s">
        <v>495</v>
      </c>
      <c r="D49" s="905"/>
      <c r="E49" s="906" t="s">
        <v>496</v>
      </c>
      <c r="F49" s="1555">
        <f>+'CANT OBRA'!H887</f>
        <v>45456023</v>
      </c>
      <c r="G49" s="1095"/>
    </row>
    <row r="50" spans="1:7" ht="51">
      <c r="A50" s="908" t="s">
        <v>297</v>
      </c>
      <c r="B50" s="905">
        <v>5601</v>
      </c>
      <c r="C50" s="980" t="s">
        <v>497</v>
      </c>
      <c r="D50" s="905"/>
      <c r="E50" s="1098" t="s">
        <v>498</v>
      </c>
      <c r="F50" s="1555">
        <f>+'CANT OBRA'!H484</f>
        <v>1186424309</v>
      </c>
      <c r="G50" s="1095"/>
    </row>
    <row r="51" spans="1:7" ht="51">
      <c r="A51" s="908" t="s">
        <v>297</v>
      </c>
      <c r="B51" s="905">
        <v>5601</v>
      </c>
      <c r="C51" s="1556" t="s">
        <v>499</v>
      </c>
      <c r="D51" s="905"/>
      <c r="E51" s="1098" t="s">
        <v>500</v>
      </c>
      <c r="F51" s="1555">
        <f>+'CANT OBRA'!H937</f>
        <v>356290909</v>
      </c>
      <c r="G51" s="1095"/>
    </row>
    <row r="52" spans="1:7" ht="51">
      <c r="A52" s="908" t="s">
        <v>297</v>
      </c>
      <c r="B52" s="905">
        <v>5601</v>
      </c>
      <c r="C52" s="980" t="s">
        <v>501</v>
      </c>
      <c r="D52" s="905"/>
      <c r="E52" s="1098" t="s">
        <v>502</v>
      </c>
      <c r="F52" s="1555">
        <f>+'CANT OBRA'!H396</f>
        <v>70118442</v>
      </c>
      <c r="G52" s="1095"/>
    </row>
    <row r="53" spans="1:7" ht="63.75">
      <c r="A53" s="908" t="s">
        <v>297</v>
      </c>
      <c r="B53" s="905">
        <v>5601</v>
      </c>
      <c r="C53" s="1556" t="s">
        <v>503</v>
      </c>
      <c r="D53" s="905"/>
      <c r="E53" s="1098" t="s">
        <v>504</v>
      </c>
      <c r="F53" s="1555">
        <f>+'CANT OBRA'!H420</f>
        <v>99635950</v>
      </c>
      <c r="G53" s="1095"/>
    </row>
    <row r="54" spans="1:7" ht="38.25">
      <c r="A54" s="908" t="s">
        <v>297</v>
      </c>
      <c r="B54" s="905">
        <v>5601</v>
      </c>
      <c r="C54" s="980" t="s">
        <v>355</v>
      </c>
      <c r="D54" s="905"/>
      <c r="E54" s="1098" t="s">
        <v>505</v>
      </c>
      <c r="F54" s="1555">
        <f>+'CANT OBRA'!H497</f>
        <v>356237913</v>
      </c>
      <c r="G54" s="1095"/>
    </row>
    <row r="55" spans="1:7" ht="63.75">
      <c r="A55" s="908" t="s">
        <v>297</v>
      </c>
      <c r="B55" s="905">
        <v>5601</v>
      </c>
      <c r="C55" s="980" t="s">
        <v>506</v>
      </c>
      <c r="D55" s="905"/>
      <c r="E55" s="906" t="s">
        <v>507</v>
      </c>
      <c r="F55" s="1555">
        <f>+'CANT OBRA'!H430</f>
        <v>9284143</v>
      </c>
      <c r="G55" s="1095"/>
    </row>
    <row r="56" spans="1:7" ht="38.25">
      <c r="A56" s="908" t="s">
        <v>297</v>
      </c>
      <c r="B56" s="905">
        <v>5601</v>
      </c>
      <c r="C56" s="980" t="s">
        <v>357</v>
      </c>
      <c r="D56" s="6"/>
      <c r="E56" s="1098" t="s">
        <v>479</v>
      </c>
      <c r="F56" s="1555">
        <f>+'CANT OBRA'!H442</f>
        <v>111372184</v>
      </c>
      <c r="G56" s="1095"/>
    </row>
    <row r="57" spans="1:7" ht="63.75">
      <c r="A57" s="908" t="s">
        <v>297</v>
      </c>
      <c r="B57" s="905">
        <v>5601</v>
      </c>
      <c r="C57" s="1556" t="s">
        <v>508</v>
      </c>
      <c r="D57" s="905"/>
      <c r="E57" s="1098" t="s">
        <v>509</v>
      </c>
      <c r="F57" s="1555">
        <f>+'CANT OBRA'!H512</f>
        <v>184213688</v>
      </c>
      <c r="G57" s="1095"/>
    </row>
    <row r="58" spans="1:7" ht="25.5">
      <c r="A58" s="908" t="s">
        <v>297</v>
      </c>
      <c r="B58" s="905">
        <v>5601</v>
      </c>
      <c r="C58" s="984" t="s">
        <v>280</v>
      </c>
      <c r="D58" s="905"/>
      <c r="E58" s="982" t="s">
        <v>410</v>
      </c>
      <c r="F58" s="1555">
        <f>+'CANT OBRA'!H451</f>
        <v>52152156</v>
      </c>
      <c r="G58" s="983"/>
    </row>
    <row r="59" spans="1:7" ht="51">
      <c r="A59" s="908" t="s">
        <v>297</v>
      </c>
      <c r="B59" s="905">
        <v>5601</v>
      </c>
      <c r="C59" s="981" t="s">
        <v>362</v>
      </c>
      <c r="D59" s="905"/>
      <c r="E59" s="1099" t="s">
        <v>510</v>
      </c>
      <c r="F59" s="977">
        <f>+'CANT OBRA'!H984</f>
        <v>190985084</v>
      </c>
      <c r="G59" s="983"/>
    </row>
    <row r="60" spans="1:7" ht="25.5">
      <c r="A60" s="908" t="s">
        <v>297</v>
      </c>
      <c r="B60" s="905">
        <v>5601</v>
      </c>
      <c r="C60" s="984" t="s">
        <v>511</v>
      </c>
      <c r="D60" s="909" t="s">
        <v>512</v>
      </c>
      <c r="E60" s="1099" t="s">
        <v>513</v>
      </c>
      <c r="F60" s="977">
        <f>+'CANT OBRA'!H530</f>
        <v>363970664</v>
      </c>
      <c r="G60" s="983"/>
    </row>
    <row r="61" spans="1:7" ht="25.5">
      <c r="A61" s="908" t="s">
        <v>297</v>
      </c>
      <c r="B61" s="905">
        <v>5601</v>
      </c>
      <c r="C61" s="984" t="s">
        <v>514</v>
      </c>
      <c r="D61" s="6"/>
      <c r="E61" s="1099" t="s">
        <v>413</v>
      </c>
      <c r="F61" s="977">
        <f>+'CANT OBRA'!H1000</f>
        <v>45515908</v>
      </c>
      <c r="G61" s="983"/>
    </row>
    <row r="62" spans="1:7" ht="63.75">
      <c r="A62" s="908" t="s">
        <v>297</v>
      </c>
      <c r="B62" s="905">
        <v>5601</v>
      </c>
      <c r="C62" s="981" t="s">
        <v>515</v>
      </c>
      <c r="D62" s="905"/>
      <c r="E62" s="982" t="s">
        <v>516</v>
      </c>
      <c r="F62" s="897">
        <f>+'CANT OBRA'!H548</f>
        <v>596418132</v>
      </c>
      <c r="G62" s="983"/>
    </row>
    <row r="63" spans="1:7" ht="51">
      <c r="A63" s="908" t="s">
        <v>297</v>
      </c>
      <c r="B63" s="905">
        <v>5601</v>
      </c>
      <c r="C63" s="981" t="s">
        <v>368</v>
      </c>
      <c r="D63" s="985"/>
      <c r="E63" s="1099" t="s">
        <v>517</v>
      </c>
      <c r="F63" s="897">
        <f>+'CANT OBRA'!H563</f>
        <v>186222230</v>
      </c>
      <c r="G63" s="983"/>
    </row>
    <row r="64" spans="1:7" ht="38.25">
      <c r="A64" s="905" t="s">
        <v>297</v>
      </c>
      <c r="B64" s="905">
        <v>5601</v>
      </c>
      <c r="C64" s="980" t="s">
        <v>116</v>
      </c>
      <c r="D64" s="905" t="s">
        <v>117</v>
      </c>
      <c r="E64" s="906" t="s">
        <v>518</v>
      </c>
      <c r="F64" s="897">
        <f>+'CANT OBRA'!H597</f>
        <v>3218880040</v>
      </c>
      <c r="G64" s="983"/>
    </row>
    <row r="65" spans="1:7">
      <c r="A65" s="91"/>
      <c r="B65" s="6"/>
      <c r="C65" s="6"/>
      <c r="D65" s="6"/>
      <c r="E65" s="6"/>
      <c r="F65" s="6"/>
      <c r="G65" s="23"/>
    </row>
    <row r="66" spans="1:7">
      <c r="A66" s="91"/>
      <c r="B66" s="6"/>
      <c r="C66" s="22"/>
      <c r="D66" s="22"/>
      <c r="E66" s="6"/>
      <c r="F66" s="32"/>
      <c r="G66" s="23"/>
    </row>
    <row r="67" spans="1:7" ht="28.5" customHeight="1">
      <c r="A67" s="91"/>
      <c r="B67" s="6"/>
      <c r="C67" s="22"/>
      <c r="D67" s="22"/>
      <c r="E67" s="6"/>
      <c r="F67" s="6"/>
      <c r="G67" s="23"/>
    </row>
    <row r="68" spans="1:7">
      <c r="A68" s="91"/>
      <c r="B68" s="6"/>
      <c r="C68" s="22"/>
      <c r="D68" s="22"/>
      <c r="E68" s="6"/>
      <c r="F68" s="32"/>
      <c r="G68" s="23"/>
    </row>
    <row r="69" spans="1:7">
      <c r="A69" s="91"/>
      <c r="B69" s="6"/>
      <c r="C69" s="22"/>
      <c r="D69" s="22"/>
      <c r="E69" s="6"/>
      <c r="F69" s="6"/>
      <c r="G69" s="23"/>
    </row>
    <row r="70" spans="1:7">
      <c r="A70" s="91"/>
      <c r="B70" s="6"/>
      <c r="C70" s="22"/>
      <c r="D70" s="22"/>
      <c r="E70" s="6"/>
      <c r="F70" s="32"/>
      <c r="G70" s="23"/>
    </row>
    <row r="71" spans="1:7">
      <c r="A71" s="91"/>
      <c r="B71" s="6"/>
      <c r="C71" s="22"/>
      <c r="D71" s="22"/>
      <c r="E71" s="6"/>
      <c r="F71" s="6"/>
      <c r="G71" s="23"/>
    </row>
    <row r="72" spans="1:7">
      <c r="A72" s="91"/>
      <c r="B72" s="6"/>
      <c r="C72" s="22"/>
      <c r="D72" s="22"/>
      <c r="E72" s="30"/>
      <c r="F72" s="32"/>
      <c r="G72" s="142"/>
    </row>
    <row r="73" spans="1:7" ht="39.75" customHeight="1">
      <c r="A73" s="91"/>
      <c r="B73" s="6"/>
      <c r="C73" s="6"/>
      <c r="D73" s="6"/>
      <c r="E73" s="6"/>
      <c r="F73" s="6"/>
      <c r="G73" s="23"/>
    </row>
    <row r="74" spans="1:7" ht="28.5" customHeight="1">
      <c r="A74" s="91"/>
      <c r="B74" s="6"/>
      <c r="C74" s="6"/>
      <c r="D74" s="6"/>
      <c r="E74" s="6"/>
      <c r="F74" s="6"/>
      <c r="G74" s="23"/>
    </row>
    <row r="75" spans="1:7">
      <c r="A75" s="91"/>
      <c r="B75" s="6"/>
      <c r="C75" s="6"/>
      <c r="D75" s="6"/>
      <c r="E75" s="6"/>
      <c r="F75" s="6"/>
      <c r="G75" s="23"/>
    </row>
    <row r="76" spans="1:7">
      <c r="A76" s="91"/>
      <c r="B76" s="6"/>
      <c r="C76" s="6"/>
      <c r="D76" s="6"/>
      <c r="E76" s="6"/>
      <c r="F76" s="6"/>
      <c r="G76" s="23"/>
    </row>
    <row r="77" spans="1:7">
      <c r="A77" s="91"/>
      <c r="B77" s="6"/>
      <c r="C77" s="6"/>
      <c r="D77" s="6"/>
      <c r="E77" s="6"/>
      <c r="F77" s="6"/>
      <c r="G77" s="23"/>
    </row>
    <row r="78" spans="1:7" ht="13.5" thickBot="1">
      <c r="A78" s="143"/>
      <c r="B78" s="138"/>
      <c r="C78" s="138"/>
      <c r="D78" s="138"/>
      <c r="E78" s="138"/>
      <c r="F78" s="138"/>
      <c r="G78" s="108"/>
    </row>
    <row r="80" spans="1:7">
      <c r="A80" s="1354" t="s">
        <v>430</v>
      </c>
      <c r="B80" s="1354"/>
      <c r="C80" s="1354"/>
      <c r="D80" s="1354"/>
      <c r="E80" s="1354"/>
      <c r="F80" s="1354"/>
      <c r="G80" s="1354"/>
    </row>
    <row r="81" spans="1:7">
      <c r="A81" s="66" t="s">
        <v>431</v>
      </c>
      <c r="F81" s="1262" t="s">
        <v>125</v>
      </c>
      <c r="G81" s="1262"/>
    </row>
  </sheetData>
  <mergeCells count="7">
    <mergeCell ref="F81:G81"/>
    <mergeCell ref="A7:G7"/>
    <mergeCell ref="A1:G1"/>
    <mergeCell ref="A2:G2"/>
    <mergeCell ref="A4:G4"/>
    <mergeCell ref="A6:G6"/>
    <mergeCell ref="A80:G80"/>
  </mergeCells>
  <phoneticPr fontId="4" type="noConversion"/>
  <hyperlinks>
    <hyperlink ref="F81" location="'TABLA DE CONTENIDO'!A1" display="'TABLA DE CONTENIDO'!A1" xr:uid="{00000000-0004-0000-0C00-000000000000}"/>
    <hyperlink ref="F81:G81" location="'TABLA DE CONTENIDO'!A1" display="VOLVER A TABLA DE CONTENIDO" xr:uid="{00000000-0004-0000-0C00-000001000000}"/>
  </hyperlinks>
  <printOptions horizontalCentered="1" verticalCentered="1"/>
  <pageMargins left="0.59055118110236227" right="0.70866141732283472" top="0.78740157480314965" bottom="0.98425196850393704" header="0" footer="0"/>
  <pageSetup scale="1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R1319"/>
  <sheetViews>
    <sheetView topLeftCell="A116" zoomScale="80" zoomScaleNormal="80" workbookViewId="0">
      <selection activeCell="D20" sqref="D20"/>
    </sheetView>
  </sheetViews>
  <sheetFormatPr defaultColWidth="11.42578125" defaultRowHeight="12.75"/>
  <cols>
    <col min="1" max="1" width="6.28515625" customWidth="1"/>
    <col min="2" max="2" width="12.7109375" customWidth="1"/>
    <col min="3" max="3" width="13" customWidth="1"/>
    <col min="4" max="4" width="44" customWidth="1"/>
    <col min="5" max="5" width="12.140625" customWidth="1"/>
    <col min="6" max="6" width="14.7109375" customWidth="1"/>
    <col min="7" max="7" width="22.42578125" customWidth="1"/>
    <col min="8" max="8" width="18.42578125" customWidth="1"/>
    <col min="9" max="9" width="16" customWidth="1"/>
  </cols>
  <sheetData>
    <row r="1" spans="1:15" s="34" customFormat="1" ht="23.25">
      <c r="A1" s="1259" t="s">
        <v>1</v>
      </c>
      <c r="B1" s="1259"/>
      <c r="C1" s="1259"/>
      <c r="D1" s="1259"/>
      <c r="E1" s="1259"/>
      <c r="F1" s="1259"/>
      <c r="G1" s="1259"/>
      <c r="H1" s="1259"/>
    </row>
    <row r="2" spans="1:15" s="34" customFormat="1" ht="18">
      <c r="A2" s="1260" t="s">
        <v>84</v>
      </c>
      <c r="B2" s="1260"/>
      <c r="C2" s="1260"/>
      <c r="D2" s="1260"/>
      <c r="E2" s="1260"/>
      <c r="F2" s="1260"/>
      <c r="G2" s="1260"/>
      <c r="H2" s="1260"/>
    </row>
    <row r="3" spans="1:15" s="34" customFormat="1" ht="18">
      <c r="A3" s="1260" t="s">
        <v>519</v>
      </c>
      <c r="B3" s="1260"/>
      <c r="C3" s="1260"/>
      <c r="D3" s="1260"/>
      <c r="E3" s="1260"/>
      <c r="F3" s="1260"/>
      <c r="G3" s="1260"/>
      <c r="H3" s="1260"/>
      <c r="I3" s="298"/>
      <c r="J3" s="33"/>
      <c r="K3" s="33"/>
      <c r="L3" s="33"/>
      <c r="M3" s="33"/>
      <c r="N3" s="33"/>
      <c r="O3" s="33"/>
    </row>
    <row r="4" spans="1:15" s="34" customFormat="1">
      <c r="A4" s="50"/>
      <c r="B4" s="50"/>
      <c r="C4" s="50"/>
      <c r="D4" s="33"/>
      <c r="E4" s="1"/>
      <c r="F4" s="33"/>
      <c r="G4" s="33"/>
      <c r="H4" s="33"/>
    </row>
    <row r="5" spans="1:15" s="34" customFormat="1" ht="15.75">
      <c r="A5" s="1371" t="s">
        <v>520</v>
      </c>
      <c r="B5" s="1371"/>
      <c r="C5" s="1371"/>
      <c r="D5" s="1371"/>
      <c r="E5" s="1371"/>
      <c r="F5" s="1371"/>
      <c r="G5" s="1371"/>
      <c r="H5" s="1371"/>
    </row>
    <row r="6" spans="1:15" s="34" customFormat="1" ht="15.75">
      <c r="A6" s="1388" t="s">
        <v>521</v>
      </c>
      <c r="B6" s="1388"/>
      <c r="C6" s="1388"/>
      <c r="D6" s="1388"/>
      <c r="E6" s="1388"/>
      <c r="F6" s="1388"/>
      <c r="G6" s="1388"/>
      <c r="H6" s="1388"/>
    </row>
    <row r="7" spans="1:15" s="34" customFormat="1" ht="18" customHeight="1">
      <c r="A7" s="190" t="s">
        <v>129</v>
      </c>
      <c r="B7" s="51"/>
      <c r="C7" s="51"/>
      <c r="D7" s="3" t="s">
        <v>88</v>
      </c>
      <c r="G7" s="188" t="s">
        <v>159</v>
      </c>
      <c r="H7" s="331" t="s">
        <v>217</v>
      </c>
    </row>
    <row r="8" spans="1:15" s="34" customFormat="1" ht="18" customHeight="1">
      <c r="A8" s="190" t="s">
        <v>522</v>
      </c>
      <c r="B8" s="51"/>
      <c r="C8" s="334" t="s">
        <v>523</v>
      </c>
      <c r="D8" s="3"/>
      <c r="E8" s="368" t="s">
        <v>524</v>
      </c>
      <c r="F8" s="335">
        <v>5601</v>
      </c>
      <c r="G8" s="334"/>
      <c r="H8" s="331"/>
    </row>
    <row r="9" spans="1:15" s="34" customFormat="1" ht="15" customHeight="1" thickBot="1">
      <c r="A9" s="51"/>
      <c r="B9" s="51"/>
      <c r="C9" s="51"/>
      <c r="D9" s="51"/>
      <c r="E9" s="165"/>
      <c r="F9" s="165"/>
      <c r="G9" s="51"/>
    </row>
    <row r="10" spans="1:15" ht="17.25" customHeight="1" thickBot="1">
      <c r="A10" s="1391" t="s">
        <v>525</v>
      </c>
      <c r="B10" s="1372" t="s">
        <v>526</v>
      </c>
      <c r="C10" s="1373"/>
    </row>
    <row r="11" spans="1:15" s="24" customFormat="1" ht="29.25" customHeight="1" thickBot="1">
      <c r="A11" s="1392"/>
      <c r="B11" s="164" t="s">
        <v>527</v>
      </c>
      <c r="C11" s="164" t="s">
        <v>528</v>
      </c>
      <c r="D11" s="134" t="s">
        <v>18</v>
      </c>
      <c r="E11" s="134" t="s">
        <v>529</v>
      </c>
      <c r="F11" s="134" t="s">
        <v>530</v>
      </c>
      <c r="G11" s="140" t="s">
        <v>531</v>
      </c>
      <c r="H11" s="153" t="s">
        <v>532</v>
      </c>
    </row>
    <row r="12" spans="1:15" ht="16.5" customHeight="1"/>
    <row r="13" spans="1:15" s="625" customFormat="1">
      <c r="A13" s="618" t="s">
        <v>533</v>
      </c>
      <c r="B13" s="619"/>
      <c r="C13" s="619"/>
      <c r="D13" s="620"/>
      <c r="E13" s="621"/>
      <c r="F13" s="622"/>
      <c r="G13" s="623"/>
      <c r="H13" s="624"/>
    </row>
    <row r="14" spans="1:15" s="625" customFormat="1">
      <c r="A14" s="618"/>
      <c r="B14" s="619"/>
      <c r="C14" s="619"/>
      <c r="D14" s="620"/>
      <c r="E14" s="621"/>
      <c r="F14" s="622"/>
      <c r="G14" s="623"/>
      <c r="H14" s="624"/>
    </row>
    <row r="15" spans="1:15" s="625" customFormat="1" ht="13.5" thickBot="1">
      <c r="A15" s="626"/>
      <c r="B15" s="627"/>
      <c r="C15" s="626" t="s">
        <v>534</v>
      </c>
      <c r="D15" s="626"/>
      <c r="E15" s="627"/>
      <c r="F15" s="626"/>
      <c r="G15" s="628"/>
      <c r="H15" s="629"/>
      <c r="J15" s="630"/>
    </row>
    <row r="16" spans="1:15" s="625" customFormat="1" ht="15" customHeight="1" thickTop="1" thickBot="1">
      <c r="A16" s="1231" t="s">
        <v>535</v>
      </c>
      <c r="B16" s="631" t="str">
        <f>MID(A16,1,3)&amp;"-"&amp;13</f>
        <v>623-13</v>
      </c>
      <c r="C16" s="632"/>
      <c r="D16" s="633" t="str">
        <f>VLOOKUP(A16,[33]INDICE!$A$3:$D$334,2,FALSE)</f>
        <v>ANCLAJE TIPO _____ (ROCA)</v>
      </c>
      <c r="E16" s="634" t="str">
        <f>VLOOKUP(A16,[33]INDICE!$A$3:$D$334,3,FALSE)</f>
        <v>m</v>
      </c>
      <c r="F16" s="635">
        <v>105</v>
      </c>
      <c r="G16" s="1230">
        <f>VLOOKUP(A16,[33]INDICE!$A$3:$D$334,4,FALSE)</f>
        <v>492666.1589690086</v>
      </c>
      <c r="H16" s="636">
        <f>F16*G16</f>
        <v>51729946.6917459</v>
      </c>
      <c r="J16" s="625" t="s">
        <v>535</v>
      </c>
    </row>
    <row r="17" spans="1:10" s="625" customFormat="1" ht="15" customHeight="1" thickTop="1">
      <c r="A17" s="637"/>
      <c r="B17" s="637"/>
      <c r="C17" s="637"/>
      <c r="D17" s="638"/>
      <c r="E17" s="621"/>
      <c r="G17" s="639" t="s">
        <v>536</v>
      </c>
      <c r="H17" s="640">
        <f>SUM(H16:H16)</f>
        <v>51729946.6917459</v>
      </c>
    </row>
    <row r="18" spans="1:10" s="625" customFormat="1" ht="15" customHeight="1">
      <c r="A18" s="641"/>
      <c r="B18" s="641"/>
      <c r="C18" s="641"/>
      <c r="D18" s="642"/>
      <c r="E18" s="621"/>
      <c r="G18" s="643" t="s">
        <v>537</v>
      </c>
      <c r="H18" s="644">
        <f>ROUND((+H17*0.05*0.19)/(1+0.3),0)</f>
        <v>378027</v>
      </c>
    </row>
    <row r="19" spans="1:10" s="625" customFormat="1" ht="15" customHeight="1" thickBot="1">
      <c r="A19" s="620"/>
      <c r="B19" s="619"/>
      <c r="C19" s="619"/>
      <c r="D19" s="620"/>
      <c r="E19" s="621"/>
      <c r="F19" s="622"/>
      <c r="G19" s="643" t="s">
        <v>538</v>
      </c>
      <c r="H19" s="645">
        <f>+ROUND(H17+H18,0)</f>
        <v>52107974</v>
      </c>
    </row>
    <row r="20" spans="1:10" s="625" customFormat="1" ht="15" customHeight="1" thickTop="1">
      <c r="A20" s="620"/>
      <c r="B20" s="619"/>
      <c r="C20" s="619"/>
      <c r="D20" s="620"/>
      <c r="E20" s="621"/>
      <c r="F20" s="622"/>
      <c r="G20" s="643"/>
      <c r="H20" s="646"/>
    </row>
    <row r="21" spans="1:10" s="625" customFormat="1" ht="13.5" thickBot="1">
      <c r="A21" s="626"/>
      <c r="B21" s="627"/>
      <c r="C21" s="626" t="s">
        <v>539</v>
      </c>
      <c r="D21" s="626"/>
      <c r="E21" s="627"/>
      <c r="F21" s="626"/>
      <c r="G21" s="691"/>
      <c r="H21" s="629"/>
    </row>
    <row r="22" spans="1:10" s="625" customFormat="1" ht="15" customHeight="1" thickTop="1">
      <c r="A22" s="1231" t="s">
        <v>540</v>
      </c>
      <c r="B22" s="631" t="str">
        <f t="shared" ref="B22:B29" si="0">MID(A22,1,3)&amp;"-"&amp;13</f>
        <v>600-13</v>
      </c>
      <c r="C22" s="665"/>
      <c r="D22" s="648" t="str">
        <f>VLOOKUP(A22,[33]INDICE!$A$3:$D$334,2,FALSE)</f>
        <v>EXCAVACIONES VARIAS SIN CLASIFICAR</v>
      </c>
      <c r="E22" s="649" t="str">
        <f>VLOOKUP(A22,[33]INDICE!$A$3:$D$334,3,FALSE)</f>
        <v>m3</v>
      </c>
      <c r="F22" s="666">
        <f>6*2*3</f>
        <v>36</v>
      </c>
      <c r="G22" s="651">
        <f>VLOOKUP(A22,[33]INDICE!$A$3:$D$334,4,FALSE)</f>
        <v>67953.950275344076</v>
      </c>
      <c r="H22" s="667">
        <f t="shared" ref="H22:H29" si="1">F22*G22</f>
        <v>2446342.2099123867</v>
      </c>
      <c r="J22" s="625" t="s">
        <v>541</v>
      </c>
    </row>
    <row r="23" spans="1:10" s="625" customFormat="1" ht="15" customHeight="1">
      <c r="A23" s="1231" t="s">
        <v>542</v>
      </c>
      <c r="B23" s="631" t="str">
        <f t="shared" si="0"/>
        <v>600-13</v>
      </c>
      <c r="C23" s="631"/>
      <c r="D23" s="648" t="str">
        <f>VLOOKUP(A23,[33]INDICE!$A$3:$D$334,2,FALSE)</f>
        <v>EXCAVACIONES VARIAS EN MATERIAL COMÚN BAJO AGUA.</v>
      </c>
      <c r="E23" s="649" t="str">
        <f>VLOOKUP(A23,[33]INDICE!$A$3:$D$334,3,FALSE)</f>
        <v>m3</v>
      </c>
      <c r="F23" s="655">
        <v>12</v>
      </c>
      <c r="G23" s="651">
        <f>VLOOKUP(A23,[33]INDICE!$A$3:$D$334,4,FALSE)</f>
        <v>84833.800787215107</v>
      </c>
      <c r="H23" s="652">
        <f t="shared" si="1"/>
        <v>1018005.6094465812</v>
      </c>
      <c r="J23" s="625" t="s">
        <v>543</v>
      </c>
    </row>
    <row r="24" spans="1:10" s="625" customFormat="1" ht="15" customHeight="1">
      <c r="A24" s="1232" t="s">
        <v>544</v>
      </c>
      <c r="B24" s="632" t="str">
        <f>MID(A24,1,3)&amp;"-"&amp;13</f>
        <v>610-13</v>
      </c>
      <c r="C24" s="632"/>
      <c r="D24" s="648" t="str">
        <f>VLOOKUP(A24,[33]INDICE!$A$3:$D$334,2,FALSE)</f>
        <v>RELLENOS PARA ESTRUCTURAS CON SUELO.</v>
      </c>
      <c r="E24" s="649" t="str">
        <f>VLOOKUP(A24,[33]INDICE!$A$3:$D$334,3,FALSE)</f>
        <v>m3</v>
      </c>
      <c r="F24" s="653">
        <v>5</v>
      </c>
      <c r="G24" s="651">
        <f>VLOOKUP(A24,[33]INDICE!$A$3:$D$334,4,FALSE)</f>
        <v>164362.8922747685</v>
      </c>
      <c r="H24" s="636">
        <f>F24*G24</f>
        <v>821814.46137384255</v>
      </c>
      <c r="J24" s="625">
        <v>610.1</v>
      </c>
    </row>
    <row r="25" spans="1:10" s="625" customFormat="1" ht="15.75" customHeight="1">
      <c r="A25" s="1231" t="s">
        <v>545</v>
      </c>
      <c r="B25" s="631" t="str">
        <f>MID(A25,1,3)&amp;"-"&amp;13</f>
        <v>630-13</v>
      </c>
      <c r="C25" s="631"/>
      <c r="D25" s="648" t="str">
        <f>VLOOKUP(A25,[33]INDICE!$A$3:$D$334,2,FALSE)</f>
        <v>CONCRETO RESISTENCIA 17.5MPA (E )</v>
      </c>
      <c r="E25" s="649" t="str">
        <f>VLOOKUP(A25,[33]INDICE!$A$3:$D$334,3,FALSE)</f>
        <v>m3</v>
      </c>
      <c r="F25" s="655">
        <f>8*4*0.1</f>
        <v>3.2</v>
      </c>
      <c r="G25" s="651">
        <f>VLOOKUP(A25,[33]INDICE!$A$3:$D$334,4,FALSE)</f>
        <v>735031.04931538599</v>
      </c>
      <c r="H25" s="652">
        <f>F25*G25</f>
        <v>2352099.3578092353</v>
      </c>
      <c r="J25" s="625">
        <v>630.5</v>
      </c>
    </row>
    <row r="26" spans="1:10" s="625" customFormat="1" ht="15" customHeight="1">
      <c r="A26" s="1231" t="s">
        <v>546</v>
      </c>
      <c r="B26" s="631" t="str">
        <f>MID(A26,1,3)&amp;"-"&amp;13</f>
        <v>630-13</v>
      </c>
      <c r="C26" s="631"/>
      <c r="D26" s="648" t="str">
        <f>VLOOKUP(A26,[33]INDICE!$A$3:$D$334,2,FALSE)</f>
        <v>CONCRETO RESISTENCIA 14MPA (G) (CICLOPEO)</v>
      </c>
      <c r="E26" s="649" t="str">
        <f>VLOOKUP(A26,[33]INDICE!$A$3:$D$334,3,FALSE)</f>
        <v>m3</v>
      </c>
      <c r="F26" s="655">
        <v>2</v>
      </c>
      <c r="G26" s="651">
        <f>VLOOKUP(A26,[33]INDICE!$A$3:$D$334,4,FALSE)</f>
        <v>530138.01220093726</v>
      </c>
      <c r="H26" s="652">
        <f>F26*G26</f>
        <v>1060276.0244018745</v>
      </c>
      <c r="J26" s="625">
        <v>630.70000000000005</v>
      </c>
    </row>
    <row r="27" spans="1:10" s="625" customFormat="1" ht="15" customHeight="1">
      <c r="A27" s="1231" t="s">
        <v>547</v>
      </c>
      <c r="B27" s="631" t="str">
        <f t="shared" si="0"/>
        <v>630-13</v>
      </c>
      <c r="C27" s="631"/>
      <c r="D27" s="648" t="str">
        <f>VLOOKUP(A27,[33]INDICE!$A$3:$D$334,2,FALSE)</f>
        <v>BOLSACRETO 1M3(21MPA)</v>
      </c>
      <c r="E27" s="649" t="str">
        <f>VLOOKUP(A27,[33]INDICE!$A$3:$D$334,3,FALSE)</f>
        <v>M3</v>
      </c>
      <c r="F27" s="694">
        <f>6*5</f>
        <v>30</v>
      </c>
      <c r="G27" s="651">
        <f>VLOOKUP(A27,[33]INDICE!$A$3:$D$334,4,FALSE)</f>
        <v>1058308.5970719282</v>
      </c>
      <c r="H27" s="652">
        <f t="shared" si="1"/>
        <v>31749257.912157845</v>
      </c>
      <c r="J27" s="625" t="s">
        <v>547</v>
      </c>
    </row>
    <row r="28" spans="1:10" s="625" customFormat="1" ht="15" customHeight="1">
      <c r="A28" s="1231" t="s">
        <v>548</v>
      </c>
      <c r="B28" s="631" t="str">
        <f>MID(A28,1,3)&amp;"-"&amp;13</f>
        <v>673-13</v>
      </c>
      <c r="C28" s="631"/>
      <c r="D28" s="648" t="str">
        <f>VLOOKUP(A28,[33]INDICE!$A$3:$D$334,2,FALSE)</f>
        <v>GEOTEXTIL  TIPO T-2400 O SIMILAR TEJIDO</v>
      </c>
      <c r="E28" s="649" t="str">
        <f>VLOOKUP(A28,[33]INDICE!$A$3:$D$334,3,FALSE)</f>
        <v>m2</v>
      </c>
      <c r="F28" s="654">
        <f>7*3*1.1</f>
        <v>23.1</v>
      </c>
      <c r="G28" s="651">
        <f>VLOOKUP(A28,[33]INDICE!$A$3:$D$334,4,FALSE)</f>
        <v>10983.835173625577</v>
      </c>
      <c r="H28" s="652">
        <f>F28*G28</f>
        <v>253726.59251075084</v>
      </c>
      <c r="J28" s="625">
        <v>673.1</v>
      </c>
    </row>
    <row r="29" spans="1:10" s="625" customFormat="1" ht="26.1" customHeight="1" thickBot="1">
      <c r="A29" s="1231" t="s">
        <v>549</v>
      </c>
      <c r="B29" s="631" t="str">
        <f t="shared" si="0"/>
        <v>681-13</v>
      </c>
      <c r="C29" s="631"/>
      <c r="D29" s="657" t="str">
        <f>VLOOKUP(A29,[33]INDICE!$A$3:$D$334,2,FALSE)</f>
        <v xml:space="preserve">GAVIÓNES DE MALLA DE ALAMBRE DE ACERO ENTRELAZADO  CLASE 1; RECUBRIMIENTO DE ZINC (GALVANIZADO) </v>
      </c>
      <c r="E29" s="649" t="str">
        <f>VLOOKUP(A29,[33]INDICE!$A$3:$D$334,3,FALSE)</f>
        <v>m3</v>
      </c>
      <c r="F29" s="673">
        <f>6*3*(2/3)*3</f>
        <v>36</v>
      </c>
      <c r="G29" s="678">
        <f>VLOOKUP(A29,[33]INDICE!$A$3:$D$334,4,FALSE)</f>
        <v>400986.60185015475</v>
      </c>
      <c r="H29" s="679">
        <f t="shared" si="1"/>
        <v>14435517.666605571</v>
      </c>
      <c r="J29" s="625">
        <v>681.1</v>
      </c>
    </row>
    <row r="30" spans="1:10" s="625" customFormat="1" ht="15" customHeight="1" thickTop="1">
      <c r="A30" s="637"/>
      <c r="B30" s="637"/>
      <c r="C30" s="637"/>
      <c r="D30" s="638"/>
      <c r="E30" s="659"/>
      <c r="G30" s="643" t="s">
        <v>536</v>
      </c>
      <c r="H30" s="681">
        <f>SUM(H22:H29)</f>
        <v>54137039.834218085</v>
      </c>
    </row>
    <row r="31" spans="1:10" s="625" customFormat="1" ht="15" customHeight="1">
      <c r="A31" s="641"/>
      <c r="B31" s="641"/>
      <c r="C31" s="641"/>
      <c r="D31" s="642"/>
      <c r="E31" s="621"/>
      <c r="G31" s="643" t="s">
        <v>537</v>
      </c>
      <c r="H31" s="644">
        <f>SUM(H30:H30)*0.05*0.19/1.3</f>
        <v>395616.82955774758</v>
      </c>
    </row>
    <row r="32" spans="1:10" s="625" customFormat="1" ht="15" customHeight="1" thickBot="1">
      <c r="A32" s="620"/>
      <c r="B32" s="619"/>
      <c r="C32" s="619"/>
      <c r="D32" s="620"/>
      <c r="E32" s="621"/>
      <c r="G32" s="643" t="s">
        <v>538</v>
      </c>
      <c r="H32" s="645">
        <f>+ROUND(H30+H31,0)</f>
        <v>54532657</v>
      </c>
    </row>
    <row r="33" spans="1:10" s="625" customFormat="1" ht="15" customHeight="1" thickTop="1">
      <c r="A33" s="620"/>
      <c r="B33" s="619"/>
      <c r="C33" s="619"/>
      <c r="D33" s="620"/>
      <c r="E33" s="621"/>
      <c r="F33" s="622"/>
      <c r="G33" s="643"/>
      <c r="H33" s="624"/>
    </row>
    <row r="34" spans="1:10" s="625" customFormat="1" ht="15" customHeight="1">
      <c r="A34" s="620"/>
      <c r="B34" s="619"/>
      <c r="C34" s="619"/>
      <c r="D34" s="620"/>
      <c r="E34" s="621"/>
      <c r="F34" s="622"/>
      <c r="G34" s="643"/>
      <c r="H34" s="624"/>
    </row>
    <row r="35" spans="1:10" s="625" customFormat="1" ht="15" customHeight="1" thickBot="1">
      <c r="A35" s="626"/>
      <c r="B35" s="627"/>
      <c r="C35" s="626" t="s">
        <v>550</v>
      </c>
      <c r="D35" s="626"/>
      <c r="E35" s="627"/>
      <c r="F35" s="626"/>
      <c r="G35" s="691"/>
      <c r="H35" s="629"/>
    </row>
    <row r="36" spans="1:10" s="625" customFormat="1" ht="15" customHeight="1" thickTop="1">
      <c r="A36" s="1231" t="s">
        <v>540</v>
      </c>
      <c r="B36" s="631" t="str">
        <f t="shared" ref="B36:B42" si="2">MID(A36,1,3)&amp;"-"&amp;13</f>
        <v>600-13</v>
      </c>
      <c r="C36" s="665"/>
      <c r="D36" s="648" t="str">
        <f>VLOOKUP(A36,[33]INDICE!$A$3:$D$334,2,FALSE)</f>
        <v>EXCAVACIONES VARIAS SIN CLASIFICAR</v>
      </c>
      <c r="E36" s="649" t="str">
        <f>VLOOKUP(A36,[33]INDICE!$A$3:$D$334,3,FALSE)</f>
        <v>m3</v>
      </c>
      <c r="F36" s="666">
        <f>20*2*3</f>
        <v>120</v>
      </c>
      <c r="G36" s="651">
        <f>VLOOKUP(A36,[33]INDICE!$A$3:$D$334,4,FALSE)</f>
        <v>67953.950275344076</v>
      </c>
      <c r="H36" s="667">
        <f t="shared" ref="H36:H42" si="3">F36*G36</f>
        <v>8154474.0330412891</v>
      </c>
      <c r="J36" s="625" t="s">
        <v>541</v>
      </c>
    </row>
    <row r="37" spans="1:10" s="625" customFormat="1" ht="15" customHeight="1">
      <c r="A37" s="1231" t="s">
        <v>542</v>
      </c>
      <c r="B37" s="631" t="str">
        <f t="shared" si="2"/>
        <v>600-13</v>
      </c>
      <c r="C37" s="631"/>
      <c r="D37" s="648" t="str">
        <f>VLOOKUP(A37,[33]INDICE!$A$3:$D$334,2,FALSE)</f>
        <v>EXCAVACIONES VARIAS EN MATERIAL COMÚN BAJO AGUA.</v>
      </c>
      <c r="E37" s="649" t="str">
        <f>VLOOKUP(A37,[33]INDICE!$A$3:$D$334,3,FALSE)</f>
        <v>m3</v>
      </c>
      <c r="F37" s="655">
        <f>0.7*F36</f>
        <v>84</v>
      </c>
      <c r="G37" s="651">
        <f>VLOOKUP(A37,[33]INDICE!$A$3:$D$334,4,FALSE)</f>
        <v>84833.800787215107</v>
      </c>
      <c r="H37" s="652">
        <f t="shared" si="3"/>
        <v>7126039.2661260692</v>
      </c>
      <c r="J37" s="625" t="s">
        <v>543</v>
      </c>
    </row>
    <row r="38" spans="1:10" s="625" customFormat="1" ht="15" customHeight="1">
      <c r="A38" s="1231" t="s">
        <v>544</v>
      </c>
      <c r="B38" s="631" t="str">
        <f>MID(A38,1,3)&amp;"-"&amp;13</f>
        <v>610-13</v>
      </c>
      <c r="C38" s="631"/>
      <c r="D38" s="648" t="str">
        <f>VLOOKUP(A38,[33]INDICE!$A$3:$D$334,2,FALSE)</f>
        <v>RELLENOS PARA ESTRUCTURAS CON SUELO.</v>
      </c>
      <c r="E38" s="649" t="str">
        <f>VLOOKUP(A38,[33]INDICE!$A$3:$D$334,3,FALSE)</f>
        <v>m3</v>
      </c>
      <c r="F38" s="655">
        <f>0.75*F36</f>
        <v>90</v>
      </c>
      <c r="G38" s="651">
        <f>VLOOKUP(A38,[33]INDICE!$A$3:$D$334,4,FALSE)</f>
        <v>164362.8922747685</v>
      </c>
      <c r="H38" s="652">
        <f t="shared" si="3"/>
        <v>14792660.304729166</v>
      </c>
      <c r="J38" s="625">
        <v>610.1</v>
      </c>
    </row>
    <row r="39" spans="1:10" s="625" customFormat="1" ht="15" customHeight="1">
      <c r="A39" s="1233" t="s">
        <v>545</v>
      </c>
      <c r="B39" s="683" t="str">
        <f>MID(A39,1,3)&amp;"-"&amp;13</f>
        <v>630-13</v>
      </c>
      <c r="C39" s="683"/>
      <c r="D39" s="648" t="str">
        <f>VLOOKUP(A39,[33]INDICE!$A$3:$D$334,2,FALSE)</f>
        <v>CONCRETO RESISTENCIA 17.5MPA (E )</v>
      </c>
      <c r="E39" s="649" t="str">
        <f>VLOOKUP(A39,[33]INDICE!$A$3:$D$334,3,FALSE)</f>
        <v>m3</v>
      </c>
      <c r="F39" s="685">
        <f>20*4*0.1</f>
        <v>8</v>
      </c>
      <c r="G39" s="651">
        <f>VLOOKUP(A39,[33]INDICE!$A$3:$D$334,4,FALSE)</f>
        <v>735031.04931538599</v>
      </c>
      <c r="H39" s="686">
        <f t="shared" si="3"/>
        <v>5880248.3945230879</v>
      </c>
      <c r="J39" s="625">
        <v>630.5</v>
      </c>
    </row>
    <row r="40" spans="1:10" s="625" customFormat="1" ht="15" customHeight="1">
      <c r="A40" s="1231" t="s">
        <v>546</v>
      </c>
      <c r="B40" s="631" t="str">
        <f>MID(A40,1,3)&amp;"-"&amp;13</f>
        <v>630-13</v>
      </c>
      <c r="C40" s="631"/>
      <c r="D40" s="648" t="str">
        <f>VLOOKUP(A40,[33]INDICE!$A$3:$D$334,2,FALSE)</f>
        <v>CONCRETO RESISTENCIA 14MPA (G) (CICLOPEO)</v>
      </c>
      <c r="E40" s="649" t="str">
        <f>VLOOKUP(A40,[33]INDICE!$A$3:$D$334,3,FALSE)</f>
        <v>m3</v>
      </c>
      <c r="F40" s="655">
        <v>8</v>
      </c>
      <c r="G40" s="651">
        <f>VLOOKUP(A40,[33]INDICE!$A$3:$D$334,4,FALSE)</f>
        <v>530138.01220093726</v>
      </c>
      <c r="H40" s="652">
        <f t="shared" si="3"/>
        <v>4241104.0976074981</v>
      </c>
      <c r="J40" s="625">
        <v>630.70000000000005</v>
      </c>
    </row>
    <row r="41" spans="1:10" s="625" customFormat="1" ht="15" customHeight="1">
      <c r="A41" s="1231" t="s">
        <v>548</v>
      </c>
      <c r="B41" s="631" t="str">
        <f>MID(A41,1,3)&amp;"-"&amp;13</f>
        <v>673-13</v>
      </c>
      <c r="C41" s="631"/>
      <c r="D41" s="648" t="str">
        <f>VLOOKUP(A41,[33]INDICE!$A$3:$D$334,2,FALSE)</f>
        <v>GEOTEXTIL  TIPO T-2400 O SIMILAR TEJIDO</v>
      </c>
      <c r="E41" s="649" t="str">
        <f>VLOOKUP(A41,[33]INDICE!$A$3:$D$334,3,FALSE)</f>
        <v>m2</v>
      </c>
      <c r="F41" s="654">
        <f>21*3*1.1</f>
        <v>69.300000000000011</v>
      </c>
      <c r="G41" s="651">
        <f>VLOOKUP(A41,[33]INDICE!$A$3:$D$334,4,FALSE)</f>
        <v>10983.835173625577</v>
      </c>
      <c r="H41" s="652">
        <f t="shared" si="3"/>
        <v>761179.7775322526</v>
      </c>
      <c r="J41" s="625">
        <v>673.1</v>
      </c>
    </row>
    <row r="42" spans="1:10" s="625" customFormat="1" ht="26.1" customHeight="1" thickBot="1">
      <c r="A42" s="1231" t="s">
        <v>549</v>
      </c>
      <c r="B42" s="631" t="str">
        <f t="shared" si="2"/>
        <v>681-13</v>
      </c>
      <c r="C42" s="631"/>
      <c r="D42" s="648" t="str">
        <f>VLOOKUP(A42,[33]INDICE!$A$3:$D$334,2,FALSE)</f>
        <v xml:space="preserve">GAVIÓNES DE MALLA DE ALAMBRE DE ACERO ENTRELAZADO  CLASE 1; RECUBRIMIENTO DE ZINC (GALVANIZADO) </v>
      </c>
      <c r="E42" s="649" t="str">
        <f>VLOOKUP(A42,[33]INDICE!$A$3:$D$334,3,FALSE)</f>
        <v>m3</v>
      </c>
      <c r="F42" s="673">
        <f>20*3*(2/3)*3</f>
        <v>120</v>
      </c>
      <c r="G42" s="688">
        <f>VLOOKUP(A42,[33]INDICE!$A$3:$D$334,4,FALSE)</f>
        <v>400986.60185015475</v>
      </c>
      <c r="H42" s="652">
        <f t="shared" si="3"/>
        <v>48118392.22201857</v>
      </c>
      <c r="J42" s="625">
        <v>681.1</v>
      </c>
    </row>
    <row r="43" spans="1:10" s="625" customFormat="1" ht="15" customHeight="1" thickTop="1">
      <c r="A43" s="637"/>
      <c r="B43" s="637"/>
      <c r="C43" s="637"/>
      <c r="D43" s="638"/>
      <c r="E43" s="659"/>
      <c r="G43" s="639" t="s">
        <v>536</v>
      </c>
      <c r="H43" s="640">
        <f>SUM(H36:H42)</f>
        <v>89074098.095577925</v>
      </c>
    </row>
    <row r="44" spans="1:10" s="625" customFormat="1" ht="15" customHeight="1">
      <c r="A44" s="641"/>
      <c r="B44" s="641"/>
      <c r="C44" s="641"/>
      <c r="D44" s="642"/>
      <c r="E44" s="621"/>
      <c r="G44" s="643" t="s">
        <v>537</v>
      </c>
      <c r="H44" s="644">
        <f>SUM(H43:H43)*0.05*0.19/1.3</f>
        <v>650926.10146768484</v>
      </c>
    </row>
    <row r="45" spans="1:10" s="625" customFormat="1" ht="15" customHeight="1" thickBot="1">
      <c r="A45" s="620"/>
      <c r="B45" s="619"/>
      <c r="C45" s="619"/>
      <c r="D45" s="620"/>
      <c r="E45" s="621"/>
      <c r="G45" s="643" t="s">
        <v>538</v>
      </c>
      <c r="H45" s="645">
        <f>+ROUND(H43+H44,0)</f>
        <v>89725024</v>
      </c>
    </row>
    <row r="46" spans="1:10" s="625" customFormat="1" ht="15" customHeight="1" thickTop="1">
      <c r="A46" s="620"/>
      <c r="B46" s="619"/>
      <c r="C46" s="619"/>
      <c r="D46" s="620"/>
      <c r="E46" s="621"/>
      <c r="F46" s="647"/>
      <c r="G46" s="647"/>
      <c r="H46" s="624"/>
    </row>
    <row r="47" spans="1:10" s="625" customFormat="1" ht="13.5" thickBot="1">
      <c r="A47" s="626"/>
      <c r="B47" s="627"/>
      <c r="C47" s="626" t="s">
        <v>551</v>
      </c>
      <c r="D47" s="626"/>
      <c r="E47" s="627"/>
      <c r="F47" s="626"/>
      <c r="G47" s="628"/>
      <c r="H47" s="629"/>
      <c r="J47" s="630"/>
    </row>
    <row r="48" spans="1:10" s="625" customFormat="1" ht="15" customHeight="1" thickTop="1">
      <c r="A48" s="1231" t="s">
        <v>540</v>
      </c>
      <c r="B48" s="631" t="str">
        <f t="shared" ref="B48:B59" si="4">MID(A48,1,3)&amp;"-"&amp;13</f>
        <v>600-13</v>
      </c>
      <c r="C48" s="631"/>
      <c r="D48" s="648" t="str">
        <f>VLOOKUP(A48,[33]INDICE!$A$3:$D$334,2,FALSE)</f>
        <v>EXCAVACIONES VARIAS SIN CLASIFICAR</v>
      </c>
      <c r="E48" s="649" t="str">
        <f>VLOOKUP(A48,[33]INDICE!$A$3:$D$334,3,FALSE)</f>
        <v>m3</v>
      </c>
      <c r="F48" s="650">
        <v>82</v>
      </c>
      <c r="G48" s="651">
        <f>VLOOKUP(A48,[33]INDICE!$A$3:$D$334,4,FALSE)</f>
        <v>67953.950275344076</v>
      </c>
      <c r="H48" s="652">
        <f t="shared" ref="H48:H59" si="5">F48*G48</f>
        <v>5572223.9225782137</v>
      </c>
    </row>
    <row r="49" spans="1:10" s="625" customFormat="1" ht="15" customHeight="1">
      <c r="A49" s="1232" t="s">
        <v>552</v>
      </c>
      <c r="B49" s="631" t="str">
        <f t="shared" si="4"/>
        <v>201-13</v>
      </c>
      <c r="C49" s="632"/>
      <c r="D49" s="648" t="str">
        <f>VLOOKUP(A49,[33]INDICE!$A$3:$D$334,2,FALSE)</f>
        <v>DEMOLICIÓN DE ESTRUCTURAS</v>
      </c>
      <c r="E49" s="649" t="str">
        <f>VLOOKUP(A49,[33]INDICE!$A$3:$D$334,3,FALSE)</f>
        <v>m3</v>
      </c>
      <c r="F49" s="662">
        <v>33</v>
      </c>
      <c r="G49" s="651">
        <f>VLOOKUP(A49,[33]INDICE!$A$3:$D$334,4,FALSE)</f>
        <v>240341.82659000819</v>
      </c>
      <c r="H49" s="652">
        <f t="shared" si="5"/>
        <v>7931280.2774702702</v>
      </c>
    </row>
    <row r="50" spans="1:10" s="625" customFormat="1" ht="15" customHeight="1">
      <c r="A50" s="1232" t="s">
        <v>553</v>
      </c>
      <c r="B50" s="631" t="str">
        <f t="shared" si="4"/>
        <v>630-13</v>
      </c>
      <c r="C50" s="632"/>
      <c r="D50" s="648" t="str">
        <f>VLOOKUP(A50,[33]INDICE!$A$3:$D$334,2,FALSE)</f>
        <v>CONCRETO RESISTENCIA 21MPA (D)</v>
      </c>
      <c r="E50" s="649" t="str">
        <f>VLOOKUP(A50,[33]INDICE!$A$3:$D$334,3,FALSE)</f>
        <v>m3</v>
      </c>
      <c r="F50" s="662">
        <v>43</v>
      </c>
      <c r="G50" s="651">
        <f>VLOOKUP(A50,[33]INDICE!$A$3:$D$334,4,FALSE)</f>
        <v>871855.23056364793</v>
      </c>
      <c r="H50" s="652">
        <f t="shared" si="5"/>
        <v>37489774.914236858</v>
      </c>
    </row>
    <row r="51" spans="1:10" s="625" customFormat="1" ht="15" customHeight="1">
      <c r="A51" s="1232" t="s">
        <v>554</v>
      </c>
      <c r="B51" s="631" t="str">
        <f t="shared" si="4"/>
        <v>640-13</v>
      </c>
      <c r="C51" s="632"/>
      <c r="D51" s="648" t="str">
        <f>VLOOKUP(A51,[33]INDICE!$A$3:$D$334,2,FALSE)</f>
        <v>ACERO DE REFUERZO FY 4200 MPA.</v>
      </c>
      <c r="E51" s="649" t="str">
        <f>VLOOKUP(A51,[33]INDICE!$A$3:$D$334,3,FALSE)</f>
        <v>kg</v>
      </c>
      <c r="F51" s="662">
        <v>3470</v>
      </c>
      <c r="G51" s="651">
        <f>VLOOKUP(A51,[33]INDICE!$A$3:$D$334,4,FALSE)</f>
        <v>6085.8496982034649</v>
      </c>
      <c r="H51" s="652">
        <f t="shared" si="5"/>
        <v>21117898.452766024</v>
      </c>
    </row>
    <row r="52" spans="1:10" s="625" customFormat="1" ht="15" customHeight="1">
      <c r="A52" s="1232" t="s">
        <v>555</v>
      </c>
      <c r="B52" s="631" t="str">
        <f t="shared" si="4"/>
        <v>621-13</v>
      </c>
      <c r="C52" s="632"/>
      <c r="D52" s="648" t="str">
        <f>VLOOKUP(A52,[33]INDICE!$A$3:$D$334,2,FALSE)</f>
        <v>Pilote de Concreto Vaciado In Situ, de diámetro 1,5 m</v>
      </c>
      <c r="E52" s="649" t="str">
        <f>VLOOKUP(A52,[33]INDICE!$A$3:$D$334,3,FALSE)</f>
        <v>M</v>
      </c>
      <c r="F52" s="662">
        <v>100</v>
      </c>
      <c r="G52" s="651">
        <f>VLOOKUP(A52,[33]INDICE!$A$3:$D$334,4,FALSE)</f>
        <v>3739946.3594277431</v>
      </c>
      <c r="H52" s="652">
        <f t="shared" si="5"/>
        <v>373994635.9427743</v>
      </c>
    </row>
    <row r="53" spans="1:10" s="625" customFormat="1" ht="15" customHeight="1">
      <c r="A53" s="1232" t="s">
        <v>544</v>
      </c>
      <c r="B53" s="631" t="str">
        <f t="shared" si="4"/>
        <v>610-13</v>
      </c>
      <c r="C53" s="632"/>
      <c r="D53" s="648" t="str">
        <f>VLOOKUP(A53,[33]INDICE!$A$3:$D$334,2,FALSE)</f>
        <v>RELLENOS PARA ESTRUCTURAS CON SUELO.</v>
      </c>
      <c r="E53" s="649" t="str">
        <f>VLOOKUP(A53,[33]INDICE!$A$3:$D$334,3,FALSE)</f>
        <v>m3</v>
      </c>
      <c r="F53" s="653">
        <f>27*4*1.5</f>
        <v>162</v>
      </c>
      <c r="G53" s="651">
        <f>VLOOKUP(A53,[33]INDICE!$A$3:$D$334,4,FALSE)</f>
        <v>164362.8922747685</v>
      </c>
      <c r="H53" s="652">
        <f t="shared" si="5"/>
        <v>26626788.548512496</v>
      </c>
    </row>
    <row r="54" spans="1:10" s="625" customFormat="1" ht="15" customHeight="1">
      <c r="A54" s="1231" t="s">
        <v>535</v>
      </c>
      <c r="B54" s="631" t="str">
        <f t="shared" si="4"/>
        <v>623-13</v>
      </c>
      <c r="C54" s="631"/>
      <c r="D54" s="648" t="str">
        <f>VLOOKUP(A54,[33]INDICE!$A$3:$D$334,2,FALSE)</f>
        <v>ANCLAJE TIPO _____ (ROCA)</v>
      </c>
      <c r="E54" s="649" t="str">
        <f>VLOOKUP(A54,[33]INDICE!$A$3:$D$334,3,FALSE)</f>
        <v>m</v>
      </c>
      <c r="F54" s="654">
        <v>105</v>
      </c>
      <c r="G54" s="651">
        <f>VLOOKUP(A54,[33]INDICE!$A$3:$D$334,4,FALSE)</f>
        <v>492666.1589690086</v>
      </c>
      <c r="H54" s="652">
        <f t="shared" si="5"/>
        <v>51729946.6917459</v>
      </c>
    </row>
    <row r="55" spans="1:10" s="625" customFormat="1" ht="15" customHeight="1">
      <c r="A55" s="1231" t="s">
        <v>556</v>
      </c>
      <c r="B55" s="631" t="str">
        <f t="shared" si="4"/>
        <v>630-13</v>
      </c>
      <c r="C55" s="631"/>
      <c r="D55" s="648" t="str">
        <f>VLOOKUP(A55,[33]INDICE!$A$3:$D$334,2,FALSE)</f>
        <v>CONCRETO RESISTENCIA 14MPA  (F)</v>
      </c>
      <c r="E55" s="649" t="str">
        <f>VLOOKUP(A55,[33]INDICE!$A$3:$D$334,3,FALSE)</f>
        <v>m3</v>
      </c>
      <c r="F55" s="655">
        <v>1</v>
      </c>
      <c r="G55" s="651">
        <f>VLOOKUP(A55,[33]INDICE!$A$3:$D$334,4,FALSE)</f>
        <v>674387.0151947831</v>
      </c>
      <c r="H55" s="652">
        <f t="shared" si="5"/>
        <v>674387.0151947831</v>
      </c>
    </row>
    <row r="56" spans="1:10" s="625" customFormat="1" ht="13.5" customHeight="1">
      <c r="A56" s="1231" t="s">
        <v>548</v>
      </c>
      <c r="B56" s="631" t="str">
        <f t="shared" si="4"/>
        <v>673-13</v>
      </c>
      <c r="C56" s="656" t="s">
        <v>557</v>
      </c>
      <c r="D56" s="648" t="str">
        <f>VLOOKUP(A56,[33]INDICE!$A$3:$D$334,2,FALSE)</f>
        <v>GEOTEXTIL  TIPO T-2400 O SIMILAR TEJIDO</v>
      </c>
      <c r="E56" s="649" t="str">
        <f>VLOOKUP(A56,[33]INDICE!$A$3:$D$334,3,FALSE)</f>
        <v>m2</v>
      </c>
      <c r="F56" s="654">
        <v>127</v>
      </c>
      <c r="G56" s="651">
        <f>VLOOKUP(A56,[33]INDICE!$A$3:$D$334,4,FALSE)</f>
        <v>10983.835173625577</v>
      </c>
      <c r="H56" s="652">
        <f t="shared" si="5"/>
        <v>1394947.0670504484</v>
      </c>
    </row>
    <row r="57" spans="1:10" s="625" customFormat="1" ht="13.5" customHeight="1">
      <c r="A57" s="1231" t="s">
        <v>558</v>
      </c>
      <c r="B57" s="631" t="str">
        <f t="shared" si="4"/>
        <v>330-13</v>
      </c>
      <c r="C57" s="656"/>
      <c r="D57" s="648" t="str">
        <f>VLOOKUP(A57,[33]INDICE!$A$3:$D$334,2,FALSE)</f>
        <v>BASE GRANULAR CLASE A</v>
      </c>
      <c r="E57" s="649" t="str">
        <f>VLOOKUP(A57,[33]INDICE!$A$3:$D$334,3,FALSE)</f>
        <v>m3</v>
      </c>
      <c r="F57" s="654">
        <v>39</v>
      </c>
      <c r="G57" s="651">
        <f>VLOOKUP(A57,[33]INDICE!$A$3:$D$334,4,FALSE)</f>
        <v>375353.93049818149</v>
      </c>
      <c r="H57" s="652">
        <f t="shared" si="5"/>
        <v>14638803.289429078</v>
      </c>
    </row>
    <row r="58" spans="1:10" s="625" customFormat="1" ht="13.5" customHeight="1">
      <c r="A58" s="1231" t="s">
        <v>559</v>
      </c>
      <c r="B58" s="631" t="str">
        <f t="shared" si="4"/>
        <v>671-13</v>
      </c>
      <c r="C58" s="656"/>
      <c r="D58" s="648" t="str">
        <f>VLOOKUP(A58,[33]INDICE!$A$3:$D$334,2,FALSE)</f>
        <v>CUNETA DE CONCRETO VACIADA IN SITU; INCLUYE LA CONFORMACION DE LA SUPERFICIE DE APOYO</v>
      </c>
      <c r="E58" s="649" t="str">
        <f>VLOOKUP(A58,[33]INDICE!$A$3:$D$334,3,FALSE)</f>
        <v>m3</v>
      </c>
      <c r="F58" s="654">
        <v>7</v>
      </c>
      <c r="G58" s="651">
        <f>VLOOKUP(A58,[33]INDICE!$A$3:$D$334,4,FALSE)</f>
        <v>841791.75196838728</v>
      </c>
      <c r="H58" s="652">
        <f t="shared" si="5"/>
        <v>5892542.2637787107</v>
      </c>
    </row>
    <row r="59" spans="1:10" s="625" customFormat="1" ht="13.5" thickBot="1">
      <c r="A59" s="1231" t="s">
        <v>560</v>
      </c>
      <c r="B59" s="631" t="str">
        <f t="shared" si="4"/>
        <v>673-13</v>
      </c>
      <c r="C59" s="631"/>
      <c r="D59" s="657" t="str">
        <f>VLOOKUP(A59,[33]INDICE!$A$3:$D$334,2,FALSE)</f>
        <v>MATERIAL GRANULAR DRENANTE</v>
      </c>
      <c r="E59" s="649" t="str">
        <f>VLOOKUP(A59,[33]INDICE!$A$3:$D$334,3,FALSE)</f>
        <v>m3</v>
      </c>
      <c r="F59" s="655">
        <f>30*1*1</f>
        <v>30</v>
      </c>
      <c r="G59" s="651">
        <f>VLOOKUP(A59,[33]INDICE!$A$3:$D$334,4,FALSE)</f>
        <v>84364.417561781069</v>
      </c>
      <c r="H59" s="652">
        <f t="shared" si="5"/>
        <v>2530932.5268534319</v>
      </c>
      <c r="J59" s="658"/>
    </row>
    <row r="60" spans="1:10" s="625" customFormat="1" ht="15" customHeight="1" thickTop="1">
      <c r="A60" s="637"/>
      <c r="B60" s="637"/>
      <c r="C60" s="637"/>
      <c r="D60" s="638"/>
      <c r="E60" s="659"/>
      <c r="F60" s="660"/>
      <c r="G60" s="639" t="s">
        <v>536</v>
      </c>
      <c r="H60" s="640">
        <f>SUM(H48:H59)</f>
        <v>549594160.91239047</v>
      </c>
    </row>
    <row r="61" spans="1:10" s="625" customFormat="1" ht="15" customHeight="1">
      <c r="A61" s="641"/>
      <c r="B61" s="641"/>
      <c r="C61" s="641"/>
      <c r="D61" s="642"/>
      <c r="E61" s="621"/>
      <c r="F61" s="647"/>
      <c r="G61" s="643" t="s">
        <v>537</v>
      </c>
      <c r="H61" s="644">
        <f>ROUND((+H60*0.05*0.19)/(1+0.3),0)</f>
        <v>4016265</v>
      </c>
    </row>
    <row r="62" spans="1:10" s="625" customFormat="1" ht="15" customHeight="1" thickBot="1">
      <c r="A62" s="620"/>
      <c r="B62" s="619"/>
      <c r="C62" s="619"/>
      <c r="D62" s="620"/>
      <c r="E62" s="621"/>
      <c r="F62" s="647"/>
      <c r="G62" s="643" t="s">
        <v>538</v>
      </c>
      <c r="H62" s="645">
        <f>+ROUND(H60+H61,0)</f>
        <v>553610426</v>
      </c>
      <c r="J62" s="630"/>
    </row>
    <row r="63" spans="1:10" s="625" customFormat="1" ht="15" customHeight="1" thickTop="1">
      <c r="A63" s="620"/>
      <c r="B63" s="619"/>
      <c r="C63" s="619"/>
      <c r="D63" s="620"/>
      <c r="E63" s="621"/>
      <c r="F63" s="647"/>
      <c r="G63" s="647"/>
      <c r="H63" s="624"/>
      <c r="J63" s="630"/>
    </row>
    <row r="64" spans="1:10" s="625" customFormat="1" ht="13.5" thickBot="1">
      <c r="A64" s="626"/>
      <c r="B64" s="627"/>
      <c r="C64" s="626" t="s">
        <v>561</v>
      </c>
      <c r="D64" s="626"/>
      <c r="E64" s="627"/>
      <c r="F64" s="626"/>
      <c r="G64" s="661"/>
      <c r="H64" s="629"/>
      <c r="I64" s="630"/>
    </row>
    <row r="65" spans="1:10" s="625" customFormat="1" ht="15" customHeight="1" thickTop="1">
      <c r="A65" s="1232" t="s">
        <v>540</v>
      </c>
      <c r="B65" s="632" t="str">
        <f t="shared" ref="B65:B71" si="6">MID(A65,1,3)&amp;"-"&amp;13</f>
        <v>600-13</v>
      </c>
      <c r="C65" s="632"/>
      <c r="D65" s="657" t="str">
        <f>VLOOKUP(A65,[33]INDICE!$A$3:$D$334,2,FALSE)</f>
        <v>EXCAVACIONES VARIAS SIN CLASIFICAR</v>
      </c>
      <c r="E65" s="649" t="str">
        <f>VLOOKUP(A65,[33]INDICE!$A$3:$D$334,3,FALSE)</f>
        <v>m3</v>
      </c>
      <c r="F65" s="662">
        <v>128</v>
      </c>
      <c r="G65" s="651">
        <f>VLOOKUP(A65,[33]INDICE!$A$3:$D$334,4,FALSE)</f>
        <v>67953.950275344076</v>
      </c>
      <c r="H65" s="636">
        <f t="shared" ref="H65:H71" si="7">F65*G65</f>
        <v>8698105.6352440417</v>
      </c>
    </row>
    <row r="66" spans="1:10" s="625" customFormat="1" ht="15" customHeight="1">
      <c r="A66" s="1232" t="s">
        <v>544</v>
      </c>
      <c r="B66" s="632" t="str">
        <f t="shared" si="6"/>
        <v>610-13</v>
      </c>
      <c r="C66" s="631"/>
      <c r="D66" s="657" t="str">
        <f>VLOOKUP(A66,[33]INDICE!$A$3:$D$334,2,FALSE)</f>
        <v>RELLENOS PARA ESTRUCTURAS CON SUELO.</v>
      </c>
      <c r="E66" s="649" t="str">
        <f>VLOOKUP(A66,[33]INDICE!$A$3:$D$334,3,FALSE)</f>
        <v>m3</v>
      </c>
      <c r="F66" s="654">
        <v>87</v>
      </c>
      <c r="G66" s="651">
        <f>VLOOKUP(A66,[33]INDICE!$A$3:$D$334,4,FALSE)</f>
        <v>164362.8922747685</v>
      </c>
      <c r="H66" s="652">
        <f t="shared" si="7"/>
        <v>14299571.62790486</v>
      </c>
    </row>
    <row r="67" spans="1:10" s="625" customFormat="1" ht="15" customHeight="1">
      <c r="A67" s="1232" t="s">
        <v>553</v>
      </c>
      <c r="B67" s="632" t="str">
        <f t="shared" si="6"/>
        <v>630-13</v>
      </c>
      <c r="C67" s="631"/>
      <c r="D67" s="657" t="str">
        <f>VLOOKUP(A67,[33]INDICE!$A$3:$D$334,2,FALSE)</f>
        <v>CONCRETO RESISTENCIA 21MPA (D)</v>
      </c>
      <c r="E67" s="649" t="str">
        <f>VLOOKUP(A67,[33]INDICE!$A$3:$D$334,3,FALSE)</f>
        <v>m3</v>
      </c>
      <c r="F67" s="655">
        <v>10</v>
      </c>
      <c r="G67" s="651">
        <f>VLOOKUP(A67,[33]INDICE!$A$3:$D$334,4,FALSE)</f>
        <v>871855.23056364793</v>
      </c>
      <c r="H67" s="652">
        <f t="shared" si="7"/>
        <v>8718552.3056364786</v>
      </c>
    </row>
    <row r="68" spans="1:10" s="625" customFormat="1" ht="14.25" customHeight="1">
      <c r="A68" s="1232" t="s">
        <v>556</v>
      </c>
      <c r="B68" s="632" t="str">
        <f t="shared" si="6"/>
        <v>630-13</v>
      </c>
      <c r="C68" s="656" t="s">
        <v>557</v>
      </c>
      <c r="D68" s="657" t="str">
        <f>VLOOKUP(A68,[33]INDICE!$A$3:$D$334,2,FALSE)</f>
        <v>CONCRETO RESISTENCIA 14MPA  (F)</v>
      </c>
      <c r="E68" s="649" t="str">
        <f>VLOOKUP(A68,[33]INDICE!$A$3:$D$334,3,FALSE)</f>
        <v>m3</v>
      </c>
      <c r="F68" s="654">
        <v>2</v>
      </c>
      <c r="G68" s="651">
        <f>VLOOKUP(A68,[33]INDICE!$A$3:$D$334,4,FALSE)</f>
        <v>674387.0151947831</v>
      </c>
      <c r="H68" s="652">
        <f t="shared" si="7"/>
        <v>1348774.0303895662</v>
      </c>
    </row>
    <row r="69" spans="1:10" s="625" customFormat="1" ht="15" customHeight="1">
      <c r="A69" s="1232" t="s">
        <v>554</v>
      </c>
      <c r="B69" s="632" t="str">
        <f t="shared" si="6"/>
        <v>640-13</v>
      </c>
      <c r="C69" s="631"/>
      <c r="D69" s="657" t="str">
        <f>VLOOKUP(A69,[33]INDICE!$A$3:$D$334,2,FALSE)</f>
        <v>ACERO DE REFUERZO FY 4200 MPA.</v>
      </c>
      <c r="E69" s="649" t="str">
        <f>VLOOKUP(A69,[33]INDICE!$A$3:$D$334,3,FALSE)</f>
        <v>kg</v>
      </c>
      <c r="F69" s="625">
        <v>293</v>
      </c>
      <c r="G69" s="651">
        <f>VLOOKUP(A69,[33]INDICE!$A$3:$D$334,4,FALSE)</f>
        <v>6085.8496982034649</v>
      </c>
      <c r="H69" s="652">
        <f t="shared" si="7"/>
        <v>1783153.9615736152</v>
      </c>
      <c r="J69" s="658"/>
    </row>
    <row r="70" spans="1:10" s="625" customFormat="1" ht="15" customHeight="1">
      <c r="A70" s="1232" t="s">
        <v>548</v>
      </c>
      <c r="B70" s="632" t="str">
        <f t="shared" si="6"/>
        <v>673-13</v>
      </c>
      <c r="C70" s="631"/>
      <c r="D70" s="657" t="str">
        <f>VLOOKUP(A70,[33]INDICE!$A$3:$D$334,2,FALSE)</f>
        <v>GEOTEXTIL  TIPO T-2400 O SIMILAR TEJIDO</v>
      </c>
      <c r="E70" s="649" t="str">
        <f>VLOOKUP(A70,[33]INDICE!$A$3:$D$334,3,FALSE)</f>
        <v>m2</v>
      </c>
      <c r="F70" s="654">
        <v>158</v>
      </c>
      <c r="G70" s="651">
        <f>VLOOKUP(A70,[33]INDICE!$A$3:$D$334,4,FALSE)</f>
        <v>10983.835173625577</v>
      </c>
      <c r="H70" s="652">
        <f t="shared" si="7"/>
        <v>1735445.9574328412</v>
      </c>
    </row>
    <row r="71" spans="1:10" s="625" customFormat="1" ht="38.25" customHeight="1" thickBot="1">
      <c r="A71" s="1232" t="s">
        <v>562</v>
      </c>
      <c r="B71" s="632" t="str">
        <f t="shared" si="6"/>
        <v>681-13</v>
      </c>
      <c r="C71" s="631"/>
      <c r="D71" s="657" t="str">
        <f>VLOOKUP(A71,[33]INDICE!$A$3:$D$334,2,FALSE)</f>
        <v>GAVIÓN DE MALLA DE ALAMBRE DE ACERO ENTRELAZADO  CLASE 3; RECUBRIMIENTO DE ZINC (GALVANIZADO) Y PVC</v>
      </c>
      <c r="E71" s="649" t="str">
        <f>VLOOKUP(A71,[33]INDICE!$A$3:$D$334,3,FALSE)</f>
        <v>m3</v>
      </c>
      <c r="F71" s="663">
        <v>80</v>
      </c>
      <c r="G71" s="651">
        <f>VLOOKUP(A71,[33]INDICE!$A$3:$D$334,4,FALSE)</f>
        <v>430730.76446905878</v>
      </c>
      <c r="H71" s="652">
        <f t="shared" si="7"/>
        <v>34458461.157524705</v>
      </c>
    </row>
    <row r="72" spans="1:10" s="625" customFormat="1" ht="15" customHeight="1" thickTop="1">
      <c r="A72" s="1234"/>
      <c r="B72" s="637"/>
      <c r="C72" s="637"/>
      <c r="D72" s="638"/>
      <c r="E72" s="659"/>
      <c r="G72" s="639" t="s">
        <v>536</v>
      </c>
      <c r="H72" s="640">
        <f>SUM(H65:H71)</f>
        <v>71042064.675706118</v>
      </c>
    </row>
    <row r="73" spans="1:10" s="625" customFormat="1" ht="15" customHeight="1">
      <c r="A73" s="1235"/>
      <c r="B73" s="641"/>
      <c r="C73" s="641"/>
      <c r="D73" s="642"/>
      <c r="E73" s="621"/>
      <c r="G73" s="643" t="s">
        <v>537</v>
      </c>
      <c r="H73" s="644">
        <f>ROUND((+H72*0.05*0.19)/(1+0.3),0)</f>
        <v>519154</v>
      </c>
    </row>
    <row r="74" spans="1:10" s="625" customFormat="1" ht="15" customHeight="1" thickBot="1">
      <c r="A74" s="1236"/>
      <c r="B74" s="619"/>
      <c r="C74" s="619"/>
      <c r="D74" s="620"/>
      <c r="E74" s="621"/>
      <c r="G74" s="643" t="s">
        <v>538</v>
      </c>
      <c r="H74" s="645">
        <f>+ROUND(H72+H73,0)</f>
        <v>71561219</v>
      </c>
      <c r="I74" s="630"/>
    </row>
    <row r="75" spans="1:10" s="625" customFormat="1" ht="15" customHeight="1" thickTop="1">
      <c r="A75" s="1236"/>
      <c r="B75" s="619"/>
      <c r="C75" s="619"/>
      <c r="D75" s="620"/>
      <c r="E75" s="621"/>
      <c r="G75" s="643"/>
      <c r="H75" s="646"/>
      <c r="I75" s="630"/>
    </row>
    <row r="76" spans="1:10" s="625" customFormat="1" ht="15" customHeight="1">
      <c r="A76" s="1236"/>
      <c r="B76" s="619"/>
      <c r="C76" s="619"/>
      <c r="D76" s="620"/>
      <c r="E76" s="621"/>
      <c r="G76" s="643"/>
      <c r="H76" s="624"/>
      <c r="I76" s="630"/>
    </row>
    <row r="77" spans="1:10" s="625" customFormat="1" ht="12.75" customHeight="1">
      <c r="A77" s="1236"/>
      <c r="B77" s="619"/>
      <c r="C77" s="619"/>
      <c r="D77" s="620"/>
      <c r="E77" s="621"/>
      <c r="F77" s="622"/>
      <c r="G77" s="623"/>
      <c r="H77" s="624"/>
    </row>
    <row r="78" spans="1:10" s="625" customFormat="1" ht="12.75" customHeight="1">
      <c r="A78" s="1236"/>
      <c r="B78" s="619"/>
      <c r="C78" s="619"/>
      <c r="D78" s="620"/>
      <c r="E78" s="621"/>
      <c r="F78" s="622"/>
      <c r="G78" s="623"/>
      <c r="H78" s="624"/>
    </row>
    <row r="79" spans="1:10" s="625" customFormat="1" ht="15" customHeight="1" thickBot="1">
      <c r="A79" s="1237"/>
      <c r="B79" s="627"/>
      <c r="C79" s="626" t="s">
        <v>563</v>
      </c>
      <c r="D79" s="626"/>
      <c r="E79" s="627"/>
      <c r="F79" s="626"/>
      <c r="G79" s="691"/>
      <c r="H79" s="629"/>
    </row>
    <row r="80" spans="1:10" s="625" customFormat="1" ht="15" customHeight="1" thickTop="1">
      <c r="A80" s="1231" t="s">
        <v>540</v>
      </c>
      <c r="B80" s="631" t="str">
        <f>MID(A80,1,3)&amp;"-"&amp;13</f>
        <v>600-13</v>
      </c>
      <c r="C80" s="631"/>
      <c r="D80" s="657" t="str">
        <f>VLOOKUP(A80,[33]INDICE!$A$3:$D$334,2,FALSE)</f>
        <v>EXCAVACIONES VARIAS SIN CLASIFICAR</v>
      </c>
      <c r="E80" s="649" t="str">
        <f>VLOOKUP(A80,[33]INDICE!$A$3:$D$334,3,FALSE)</f>
        <v>m3</v>
      </c>
      <c r="F80" s="654">
        <f>15*2*3.5</f>
        <v>105</v>
      </c>
      <c r="G80" s="651">
        <f>VLOOKUP(A80,[33]INDICE!$A$3:$D$334,4,FALSE)</f>
        <v>67953.950275344076</v>
      </c>
      <c r="H80" s="652">
        <f>F80*G80</f>
        <v>7135164.7789111277</v>
      </c>
      <c r="J80" s="625" t="s">
        <v>541</v>
      </c>
    </row>
    <row r="81" spans="1:10" s="625" customFormat="1" ht="15" customHeight="1">
      <c r="A81" s="1238" t="s">
        <v>544</v>
      </c>
      <c r="B81" s="695" t="str">
        <f>MID(A81,1,3)&amp;"-"&amp;13</f>
        <v>610-13</v>
      </c>
      <c r="C81" s="695"/>
      <c r="D81" s="657" t="str">
        <f>VLOOKUP(A81,[33]INDICE!$A$3:$D$334,2,FALSE)</f>
        <v>RELLENOS PARA ESTRUCTURAS CON SUELO.</v>
      </c>
      <c r="E81" s="649" t="str">
        <f>VLOOKUP(A81,[33]INDICE!$A$3:$D$334,3,FALSE)</f>
        <v>m3</v>
      </c>
      <c r="F81" s="969">
        <f>15*0.5*3.5</f>
        <v>26.25</v>
      </c>
      <c r="G81" s="651">
        <f>VLOOKUP(A81,[33]INDICE!$A$3:$D$334,4,FALSE)</f>
        <v>164362.8922747685</v>
      </c>
      <c r="H81" s="636">
        <f>F81*G81</f>
        <v>4314525.9222126734</v>
      </c>
      <c r="J81" s="625">
        <v>610.1</v>
      </c>
    </row>
    <row r="82" spans="1:10" s="625" customFormat="1" ht="15" customHeight="1">
      <c r="A82" s="1231" t="s">
        <v>546</v>
      </c>
      <c r="B82" s="631" t="str">
        <f>MID(A82,1,3)&amp;"-"&amp;13</f>
        <v>630-13</v>
      </c>
      <c r="C82" s="631"/>
      <c r="D82" s="657" t="str">
        <f>VLOOKUP(A82,[33]INDICE!$A$3:$D$334,2,FALSE)</f>
        <v>CONCRETO RESISTENCIA 14MPA (G) (CICLOPEO)</v>
      </c>
      <c r="E82" s="649" t="str">
        <f>VLOOKUP(A82,[33]INDICE!$A$3:$D$334,3,FALSE)</f>
        <v>m3</v>
      </c>
      <c r="F82" s="668">
        <v>6</v>
      </c>
      <c r="G82" s="651">
        <f>VLOOKUP(A82,[33]INDICE!$A$3:$D$334,4,FALSE)</f>
        <v>530138.01220093726</v>
      </c>
      <c r="H82" s="652">
        <f>F82*G82</f>
        <v>3180828.0732056238</v>
      </c>
      <c r="J82" s="625">
        <v>630.70000000000005</v>
      </c>
    </row>
    <row r="83" spans="1:10" s="625" customFormat="1" ht="15" customHeight="1">
      <c r="A83" s="1231" t="s">
        <v>548</v>
      </c>
      <c r="B83" s="631" t="str">
        <f>MID(A83,1,3)&amp;"-"&amp;13</f>
        <v>673-13</v>
      </c>
      <c r="C83" s="631"/>
      <c r="D83" s="657" t="str">
        <f>VLOOKUP(A83,[33]INDICE!$A$3:$D$334,2,FALSE)</f>
        <v>GEOTEXTIL  TIPO T-2400 O SIMILAR TEJIDO</v>
      </c>
      <c r="E83" s="649" t="str">
        <f>VLOOKUP(A83,[33]INDICE!$A$3:$D$334,3,FALSE)</f>
        <v>m2</v>
      </c>
      <c r="F83" s="654">
        <f>15*4</f>
        <v>60</v>
      </c>
      <c r="G83" s="651">
        <f>VLOOKUP(A83,[33]INDICE!$A$3:$D$334,4,FALSE)</f>
        <v>10983.835173625577</v>
      </c>
      <c r="H83" s="652">
        <f>F83*G83</f>
        <v>659030.1104175346</v>
      </c>
      <c r="J83" s="625">
        <v>673.1</v>
      </c>
    </row>
    <row r="84" spans="1:10" s="625" customFormat="1" ht="36.75" thickBot="1">
      <c r="A84" s="1239" t="s">
        <v>549</v>
      </c>
      <c r="B84" s="672" t="str">
        <f>MID(A84,1,3)&amp;"-"&amp;13</f>
        <v>681-13</v>
      </c>
      <c r="C84" s="672"/>
      <c r="D84" s="970" t="str">
        <f>VLOOKUP(A84,[33]INDICE!$A$3:$D$334,2,FALSE)</f>
        <v xml:space="preserve">GAVIÓNES DE MALLA DE ALAMBRE DE ACERO ENTRELAZADO  CLASE 1; RECUBRIMIENTO DE ZINC (GALVANIZADO) </v>
      </c>
      <c r="E84" s="971" t="str">
        <f>VLOOKUP(A84,[33]INDICE!$A$3:$D$334,3,FALSE)</f>
        <v>m3</v>
      </c>
      <c r="F84" s="972">
        <f>15*5</f>
        <v>75</v>
      </c>
      <c r="G84" s="973">
        <f>VLOOKUP(A84,[33]INDICE!$A$3:$D$334,4,FALSE)</f>
        <v>400986.60185015475</v>
      </c>
      <c r="H84" s="974">
        <f>F84*G84</f>
        <v>30073995.138761606</v>
      </c>
      <c r="J84" s="625">
        <v>681.1</v>
      </c>
    </row>
    <row r="85" spans="1:10" s="625" customFormat="1" ht="15" customHeight="1" thickTop="1">
      <c r="A85" s="1235"/>
      <c r="B85" s="641"/>
      <c r="C85" s="641"/>
      <c r="D85" s="680"/>
      <c r="E85" s="621"/>
      <c r="G85" s="671" t="s">
        <v>536</v>
      </c>
      <c r="H85" s="681">
        <f>SUM(H80:H84)</f>
        <v>45363544.023508564</v>
      </c>
    </row>
    <row r="86" spans="1:10" s="625" customFormat="1" ht="15" customHeight="1">
      <c r="A86" s="1235"/>
      <c r="B86" s="641"/>
      <c r="C86" s="641"/>
      <c r="D86" s="642"/>
      <c r="E86" s="621"/>
      <c r="G86" s="671" t="s">
        <v>537</v>
      </c>
      <c r="H86" s="644">
        <f>SUM(H85:H85)*0.05*0.19/1.3</f>
        <v>331502.82171025488</v>
      </c>
    </row>
    <row r="87" spans="1:10" s="625" customFormat="1" ht="15" customHeight="1" thickBot="1">
      <c r="A87" s="1236"/>
      <c r="B87" s="619"/>
      <c r="C87" s="619"/>
      <c r="D87" s="620"/>
      <c r="E87" s="621"/>
      <c r="G87" s="671" t="s">
        <v>538</v>
      </c>
      <c r="H87" s="645">
        <f>+ROUND(H85+H86,0)</f>
        <v>45695047</v>
      </c>
    </row>
    <row r="88" spans="1:10" s="625" customFormat="1" ht="12.75" customHeight="1" thickTop="1">
      <c r="A88" s="1236"/>
      <c r="B88" s="619"/>
      <c r="C88" s="619"/>
      <c r="D88" s="620"/>
      <c r="E88" s="621"/>
      <c r="F88" s="622"/>
      <c r="G88" s="623"/>
      <c r="H88" s="624"/>
    </row>
    <row r="89" spans="1:10" s="625" customFormat="1" ht="12.75" customHeight="1">
      <c r="A89" s="1236"/>
      <c r="B89" s="619"/>
      <c r="C89" s="619"/>
      <c r="D89" s="620"/>
      <c r="E89" s="621"/>
      <c r="F89" s="622"/>
      <c r="G89" s="623"/>
      <c r="H89" s="624"/>
    </row>
    <row r="90" spans="1:10" s="625" customFormat="1" ht="13.5" customHeight="1" thickBot="1">
      <c r="A90" s="1237"/>
      <c r="B90" s="627"/>
      <c r="C90" s="626" t="s">
        <v>564</v>
      </c>
      <c r="D90" s="626"/>
      <c r="E90" s="627"/>
      <c r="F90" s="626"/>
      <c r="G90" s="664"/>
      <c r="H90" s="629"/>
      <c r="I90" s="1557"/>
    </row>
    <row r="91" spans="1:10" s="625" customFormat="1" ht="12.75" customHeight="1" thickTop="1">
      <c r="A91" s="1240" t="s">
        <v>540</v>
      </c>
      <c r="B91" s="665" t="str">
        <f t="shared" ref="B91:B96" si="8">MID(A91,1,3)&amp;"-"&amp;13</f>
        <v>600-13</v>
      </c>
      <c r="C91" s="665"/>
      <c r="D91" s="657" t="str">
        <f>VLOOKUP(A91,[33]INDICE!$A$3:$D$334,2,FALSE)</f>
        <v>EXCAVACIONES VARIAS SIN CLASIFICAR</v>
      </c>
      <c r="E91" s="649" t="str">
        <f>VLOOKUP(A91,[33]INDICE!$A$3:$D$334,3,FALSE)</f>
        <v>m3</v>
      </c>
      <c r="F91" s="666">
        <v>30</v>
      </c>
      <c r="G91" s="1065">
        <f>VLOOKUP(A91,[33]INDICE!$A$3:$D$334,4,FALSE)</f>
        <v>67953.950275344076</v>
      </c>
      <c r="H91" s="667">
        <f t="shared" ref="H91:H96" si="9">F91*G91</f>
        <v>2038618.5082603223</v>
      </c>
    </row>
    <row r="92" spans="1:10" s="625" customFormat="1" ht="15" customHeight="1">
      <c r="A92" s="1232" t="s">
        <v>544</v>
      </c>
      <c r="B92" s="632" t="str">
        <f t="shared" si="8"/>
        <v>610-13</v>
      </c>
      <c r="C92" s="632"/>
      <c r="D92" s="657" t="str">
        <f>VLOOKUP(A92,[33]INDICE!$A$3:$D$334,2,FALSE)</f>
        <v>RELLENOS PARA ESTRUCTURAS CON SUELO.</v>
      </c>
      <c r="E92" s="649" t="str">
        <f>VLOOKUP(A92,[33]INDICE!$A$3:$D$334,3,FALSE)</f>
        <v>m3</v>
      </c>
      <c r="F92" s="653">
        <v>42</v>
      </c>
      <c r="G92" s="1065">
        <f>VLOOKUP(A92,[33]INDICE!$A$3:$D$334,4,FALSE)</f>
        <v>164362.8922747685</v>
      </c>
      <c r="H92" s="652">
        <f t="shared" si="9"/>
        <v>6903241.4755402766</v>
      </c>
    </row>
    <row r="93" spans="1:10" s="625" customFormat="1" ht="12.75" customHeight="1">
      <c r="A93" s="1231" t="s">
        <v>556</v>
      </c>
      <c r="B93" s="631" t="str">
        <f t="shared" si="8"/>
        <v>630-13</v>
      </c>
      <c r="C93" s="631"/>
      <c r="D93" s="657" t="str">
        <f>VLOOKUP(A93,[33]INDICE!$A$3:$D$334,2,FALSE)</f>
        <v>CONCRETO RESISTENCIA 14MPA  (F)</v>
      </c>
      <c r="E93" s="649" t="str">
        <f>VLOOKUP(A93,[33]INDICE!$A$3:$D$334,3,FALSE)</f>
        <v>m3</v>
      </c>
      <c r="F93" s="655">
        <v>2</v>
      </c>
      <c r="G93" s="1065">
        <f>VLOOKUP(A93,[33]INDICE!$A$3:$D$334,4,FALSE)</f>
        <v>674387.0151947831</v>
      </c>
      <c r="H93" s="652">
        <f t="shared" si="9"/>
        <v>1348774.0303895662</v>
      </c>
    </row>
    <row r="94" spans="1:10" s="625" customFormat="1" ht="36">
      <c r="A94" s="1231" t="s">
        <v>559</v>
      </c>
      <c r="B94" s="631" t="str">
        <f t="shared" si="8"/>
        <v>671-13</v>
      </c>
      <c r="C94" s="631"/>
      <c r="D94" s="657" t="str">
        <f>VLOOKUP(A94,[33]INDICE!$A$3:$D$334,2,FALSE)</f>
        <v>CUNETA DE CONCRETO VACIADA IN SITU; INCLUYE LA CONFORMACION DE LA SUPERFICIE DE APOYO</v>
      </c>
      <c r="E94" s="649" t="str">
        <f>VLOOKUP(A94,[33]INDICE!$A$3:$D$334,3,FALSE)</f>
        <v>m3</v>
      </c>
      <c r="F94" s="668">
        <v>5</v>
      </c>
      <c r="G94" s="1065">
        <f>VLOOKUP(A94,[33]INDICE!$A$3:$D$334,4,FALSE)</f>
        <v>841791.75196838728</v>
      </c>
      <c r="H94" s="652">
        <f t="shared" si="9"/>
        <v>4208958.7598419366</v>
      </c>
    </row>
    <row r="95" spans="1:10" s="625" customFormat="1" ht="15" customHeight="1">
      <c r="A95" s="1231" t="s">
        <v>548</v>
      </c>
      <c r="B95" s="631" t="str">
        <f t="shared" si="8"/>
        <v>673-13</v>
      </c>
      <c r="C95" s="631"/>
      <c r="D95" s="657" t="str">
        <f>VLOOKUP(A95,[33]INDICE!$A$3:$D$334,2,FALSE)</f>
        <v>GEOTEXTIL  TIPO T-2400 O SIMILAR TEJIDO</v>
      </c>
      <c r="E95" s="649" t="str">
        <f>VLOOKUP(A95,[33]INDICE!$A$3:$D$334,3,FALSE)</f>
        <v>m2</v>
      </c>
      <c r="F95" s="654">
        <v>42</v>
      </c>
      <c r="G95" s="1065">
        <f>VLOOKUP(A95,[33]INDICE!$A$3:$D$334,4,FALSE)</f>
        <v>10983.835173625577</v>
      </c>
      <c r="H95" s="652">
        <f t="shared" si="9"/>
        <v>461321.07729227422</v>
      </c>
    </row>
    <row r="96" spans="1:10" s="625" customFormat="1" ht="35.25" customHeight="1" thickBot="1">
      <c r="A96" s="1231" t="s">
        <v>562</v>
      </c>
      <c r="B96" s="631" t="str">
        <f t="shared" si="8"/>
        <v>681-13</v>
      </c>
      <c r="C96" s="631"/>
      <c r="D96" s="657" t="str">
        <f>VLOOKUP(A96,[33]INDICE!$A$3:$D$334,2,FALSE)</f>
        <v>GAVIÓN DE MALLA DE ALAMBRE DE ACERO ENTRELAZADO  CLASE 3; RECUBRIMIENTO DE ZINC (GALVANIZADO) Y PVC</v>
      </c>
      <c r="E96" s="649" t="str">
        <f>VLOOKUP(A96,[33]INDICE!$A$3:$D$334,3,FALSE)</f>
        <v>m3</v>
      </c>
      <c r="F96" s="654">
        <v>56</v>
      </c>
      <c r="G96" s="1065">
        <f>VLOOKUP(A96,[33]INDICE!$A$3:$D$334,4,FALSE)</f>
        <v>430730.76446905878</v>
      </c>
      <c r="H96" s="652">
        <f t="shared" si="9"/>
        <v>24120922.810267292</v>
      </c>
    </row>
    <row r="97" spans="1:10" s="625" customFormat="1" ht="15" customHeight="1" thickTop="1">
      <c r="A97" s="637"/>
      <c r="B97" s="637"/>
      <c r="C97" s="637"/>
      <c r="D97" s="638"/>
      <c r="E97" s="659"/>
      <c r="F97" s="669"/>
      <c r="G97" s="670" t="s">
        <v>536</v>
      </c>
      <c r="H97" s="640">
        <f>SUM(H91:H96)</f>
        <v>39081836.661591664</v>
      </c>
    </row>
    <row r="98" spans="1:10" s="625" customFormat="1" ht="15" customHeight="1">
      <c r="A98" s="641"/>
      <c r="B98" s="641"/>
      <c r="C98" s="641"/>
      <c r="D98" s="642"/>
      <c r="E98" s="621"/>
      <c r="G98" s="671" t="s">
        <v>537</v>
      </c>
      <c r="H98" s="644">
        <f>ROUND((+H97*0.05*0.19)/(1+0.3),0)</f>
        <v>285598</v>
      </c>
    </row>
    <row r="99" spans="1:10" s="625" customFormat="1" ht="15" customHeight="1" thickBot="1">
      <c r="A99" s="620"/>
      <c r="B99" s="619"/>
      <c r="C99" s="619"/>
      <c r="D99" s="620"/>
      <c r="E99" s="621"/>
      <c r="G99" s="671" t="s">
        <v>538</v>
      </c>
      <c r="H99" s="645">
        <f>+ROUND(H97+H98,0)</f>
        <v>39367435</v>
      </c>
      <c r="I99" s="1557"/>
    </row>
    <row r="100" spans="1:10" s="625" customFormat="1" ht="12.75" customHeight="1" thickTop="1">
      <c r="A100" s="620"/>
      <c r="B100" s="619"/>
      <c r="C100" s="619"/>
      <c r="D100" s="620"/>
      <c r="E100" s="621"/>
      <c r="F100" s="622"/>
      <c r="G100" s="623"/>
      <c r="H100" s="624"/>
    </row>
    <row r="101" spans="1:10" s="625" customFormat="1" ht="13.5" thickBot="1">
      <c r="A101" s="626"/>
      <c r="B101" s="627"/>
      <c r="C101" s="626" t="s">
        <v>565</v>
      </c>
      <c r="D101" s="626"/>
      <c r="E101" s="627"/>
      <c r="F101" s="626"/>
      <c r="G101" s="664"/>
      <c r="H101" s="629"/>
      <c r="I101" s="630"/>
    </row>
    <row r="102" spans="1:10" s="625" customFormat="1" ht="15" customHeight="1" thickTop="1">
      <c r="A102" s="1232" t="s">
        <v>552</v>
      </c>
      <c r="B102" s="632" t="str">
        <f>MID(A102,1,3)&amp;"-"&amp;13</f>
        <v>201-13</v>
      </c>
      <c r="C102" s="632"/>
      <c r="D102" s="657" t="str">
        <f>VLOOKUP(A102,[33]INDICE!$A$3:$D$334,2,FALSE)</f>
        <v>DEMOLICIÓN DE ESTRUCTURAS</v>
      </c>
      <c r="E102" s="649" t="str">
        <f>VLOOKUP(A102,[33]INDICE!$A$3:$D$334,3,FALSE)</f>
        <v>m3</v>
      </c>
      <c r="F102" s="662">
        <v>2</v>
      </c>
      <c r="G102" s="1065">
        <f>VLOOKUP(A102,[33]INDICE!$A$3:$D$334,4,FALSE)</f>
        <v>240341.82659000819</v>
      </c>
      <c r="H102" s="636">
        <f>F102*G102</f>
        <v>480683.65318001638</v>
      </c>
      <c r="J102" s="625">
        <v>201.7</v>
      </c>
    </row>
    <row r="103" spans="1:10" s="625" customFormat="1" ht="15" customHeight="1">
      <c r="A103" s="1231" t="s">
        <v>540</v>
      </c>
      <c r="B103" s="631" t="str">
        <f t="shared" ref="B103:B109" si="10">MID(A103,1,3)&amp;"-"&amp;13</f>
        <v>600-13</v>
      </c>
      <c r="C103" s="631"/>
      <c r="D103" s="657" t="str">
        <f>VLOOKUP(A103,[33]INDICE!$A$3:$D$334,2,FALSE)</f>
        <v>EXCAVACIONES VARIAS SIN CLASIFICAR</v>
      </c>
      <c r="E103" s="649" t="str">
        <f>VLOOKUP(A103,[33]INDICE!$A$3:$D$334,3,FALSE)</f>
        <v>m3</v>
      </c>
      <c r="F103" s="654">
        <v>20</v>
      </c>
      <c r="G103" s="1065">
        <f>VLOOKUP(A103,[33]INDICE!$A$3:$D$334,4,FALSE)</f>
        <v>67953.950275344076</v>
      </c>
      <c r="H103" s="652">
        <f t="shared" ref="H103:H109" si="11">F103*G103</f>
        <v>1359079.0055068815</v>
      </c>
      <c r="J103" s="625" t="s">
        <v>541</v>
      </c>
    </row>
    <row r="104" spans="1:10" s="625" customFormat="1" ht="15" customHeight="1">
      <c r="A104" s="1231" t="s">
        <v>544</v>
      </c>
      <c r="B104" s="631" t="str">
        <f>MID(A104,1,3)&amp;"-"&amp;13</f>
        <v>610-13</v>
      </c>
      <c r="C104" s="631"/>
      <c r="D104" s="657" t="str">
        <f>VLOOKUP(A104,[33]INDICE!$A$3:$D$334,2,FALSE)</f>
        <v>RELLENOS PARA ESTRUCTURAS CON SUELO.</v>
      </c>
      <c r="E104" s="649" t="str">
        <f>VLOOKUP(A104,[33]INDICE!$A$3:$D$334,3,FALSE)</f>
        <v>m3</v>
      </c>
      <c r="F104" s="655">
        <f>+F103*0.6</f>
        <v>12</v>
      </c>
      <c r="G104" s="1065">
        <f>VLOOKUP(A104,[33]INDICE!$A$3:$D$334,4,FALSE)</f>
        <v>164362.8922747685</v>
      </c>
      <c r="H104" s="652">
        <f>F104*G104</f>
        <v>1972354.707297222</v>
      </c>
      <c r="J104" s="625">
        <v>610.1</v>
      </c>
    </row>
    <row r="105" spans="1:10" s="625" customFormat="1" ht="15" customHeight="1">
      <c r="A105" s="1231" t="s">
        <v>545</v>
      </c>
      <c r="B105" s="631" t="str">
        <f t="shared" si="10"/>
        <v>630-13</v>
      </c>
      <c r="C105" s="631"/>
      <c r="D105" s="657" t="str">
        <f>VLOOKUP(A105,[33]INDICE!$A$3:$D$334,2,FALSE)</f>
        <v>CONCRETO RESISTENCIA 17.5MPA (E )</v>
      </c>
      <c r="E105" s="649" t="str">
        <f>VLOOKUP(A105,[33]INDICE!$A$3:$D$334,3,FALSE)</f>
        <v>m3</v>
      </c>
      <c r="F105" s="655">
        <v>4</v>
      </c>
      <c r="G105" s="1065">
        <f>VLOOKUP(A105,[33]INDICE!$A$3:$D$334,4,FALSE)</f>
        <v>735031.04931538599</v>
      </c>
      <c r="H105" s="652">
        <f t="shared" si="11"/>
        <v>2940124.1972615439</v>
      </c>
      <c r="J105" s="625">
        <v>630.5</v>
      </c>
    </row>
    <row r="106" spans="1:10" s="625" customFormat="1" ht="15" customHeight="1">
      <c r="A106" s="1231" t="s">
        <v>546</v>
      </c>
      <c r="B106" s="631" t="str">
        <f t="shared" si="10"/>
        <v>630-13</v>
      </c>
      <c r="C106" s="631"/>
      <c r="D106" s="657" t="str">
        <f>VLOOKUP(A106,[33]INDICE!$A$3:$D$334,2,FALSE)</f>
        <v>CONCRETO RESISTENCIA 14MPA (G) (CICLOPEO)</v>
      </c>
      <c r="E106" s="649" t="str">
        <f>VLOOKUP(A106,[33]INDICE!$A$3:$D$334,3,FALSE)</f>
        <v>m3</v>
      </c>
      <c r="F106" s="668">
        <v>4</v>
      </c>
      <c r="G106" s="1065">
        <f>VLOOKUP(A106,[33]INDICE!$A$3:$D$334,4,FALSE)</f>
        <v>530138.01220093726</v>
      </c>
      <c r="H106" s="652">
        <f t="shared" si="11"/>
        <v>2120552.048803749</v>
      </c>
      <c r="J106" s="625">
        <v>630.70000000000005</v>
      </c>
    </row>
    <row r="107" spans="1:10" s="625" customFormat="1" ht="26.1" customHeight="1">
      <c r="A107" s="1231" t="s">
        <v>559</v>
      </c>
      <c r="B107" s="631" t="str">
        <f>MID(A107,1,3)&amp;"-"&amp;13</f>
        <v>671-13</v>
      </c>
      <c r="C107" s="631"/>
      <c r="D107" s="657" t="str">
        <f>VLOOKUP(A107,[33]INDICE!$A$3:$D$334,2,FALSE)</f>
        <v>CUNETA DE CONCRETO VACIADA IN SITU; INCLUYE LA CONFORMACION DE LA SUPERFICIE DE APOYO</v>
      </c>
      <c r="E107" s="649" t="str">
        <f>VLOOKUP(A107,[33]INDICE!$A$3:$D$334,3,FALSE)</f>
        <v>m3</v>
      </c>
      <c r="F107" s="655">
        <v>2</v>
      </c>
      <c r="G107" s="1065">
        <f>VLOOKUP(A107,[33]INDICE!$A$3:$D$334,4,FALSE)</f>
        <v>841791.75196838728</v>
      </c>
      <c r="H107" s="652">
        <f>F107*G107</f>
        <v>1683583.5039367746</v>
      </c>
      <c r="J107" s="625">
        <v>671.3</v>
      </c>
    </row>
    <row r="108" spans="1:10" s="625" customFormat="1" ht="15" customHeight="1">
      <c r="A108" s="1231" t="s">
        <v>548</v>
      </c>
      <c r="B108" s="631" t="str">
        <f>MID(A108,1,3)&amp;"-"&amp;13</f>
        <v>673-13</v>
      </c>
      <c r="C108" s="631"/>
      <c r="D108" s="657" t="str">
        <f>VLOOKUP(A108,[33]INDICE!$A$3:$D$334,2,FALSE)</f>
        <v>GEOTEXTIL  TIPO T-2400 O SIMILAR TEJIDO</v>
      </c>
      <c r="E108" s="649" t="str">
        <f>VLOOKUP(A108,[33]INDICE!$A$3:$D$334,3,FALSE)</f>
        <v>m2</v>
      </c>
      <c r="F108" s="654">
        <f>(6+2)*3</f>
        <v>24</v>
      </c>
      <c r="G108" s="1065">
        <f>VLOOKUP(A108,[33]INDICE!$A$3:$D$334,4,FALSE)</f>
        <v>10983.835173625577</v>
      </c>
      <c r="H108" s="652">
        <f>F108*G108</f>
        <v>263612.04416701384</v>
      </c>
      <c r="J108" s="625">
        <v>673.1</v>
      </c>
    </row>
    <row r="109" spans="1:10" s="625" customFormat="1" ht="36.75" thickBot="1">
      <c r="A109" s="1239" t="s">
        <v>549</v>
      </c>
      <c r="B109" s="672" t="str">
        <f t="shared" si="10"/>
        <v>681-13</v>
      </c>
      <c r="C109" s="672"/>
      <c r="D109" s="657" t="str">
        <f>VLOOKUP(A109,[33]INDICE!$A$3:$D$334,2,FALSE)</f>
        <v xml:space="preserve">GAVIÓNES DE MALLA DE ALAMBRE DE ACERO ENTRELAZADO  CLASE 1; RECUBRIMIENTO DE ZINC (GALVANIZADO) </v>
      </c>
      <c r="E109" s="649" t="str">
        <f>VLOOKUP(A109,[33]INDICE!$A$3:$D$334,3,FALSE)</f>
        <v>m3</v>
      </c>
      <c r="F109" s="673">
        <f>6*5</f>
        <v>30</v>
      </c>
      <c r="G109" s="1065">
        <f>VLOOKUP(A109,[33]INDICE!$A$3:$D$334,4,FALSE)</f>
        <v>400986.60185015475</v>
      </c>
      <c r="H109" s="679">
        <f t="shared" si="11"/>
        <v>12029598.055504642</v>
      </c>
      <c r="J109" s="625">
        <v>681.1</v>
      </c>
    </row>
    <row r="110" spans="1:10" s="625" customFormat="1" ht="15" customHeight="1" thickTop="1">
      <c r="A110" s="1234"/>
      <c r="B110" s="637"/>
      <c r="C110" s="637"/>
      <c r="D110" s="638"/>
      <c r="E110" s="659"/>
      <c r="F110" s="669"/>
      <c r="G110" s="670" t="s">
        <v>536</v>
      </c>
      <c r="H110" s="640">
        <f>SUM(H102:H109)</f>
        <v>22849587.215657845</v>
      </c>
    </row>
    <row r="111" spans="1:10" s="625" customFormat="1" ht="15" customHeight="1">
      <c r="A111" s="1235"/>
      <c r="B111" s="641"/>
      <c r="C111" s="641"/>
      <c r="D111" s="642"/>
      <c r="E111" s="621"/>
      <c r="G111" s="671" t="s">
        <v>537</v>
      </c>
      <c r="H111" s="644">
        <f>SUM(H110:H110)*0.05*0.19/1.3</f>
        <v>166977.75272980731</v>
      </c>
    </row>
    <row r="112" spans="1:10" s="625" customFormat="1" ht="15" customHeight="1" thickBot="1">
      <c r="A112" s="1236"/>
      <c r="B112" s="619"/>
      <c r="C112" s="619"/>
      <c r="D112" s="620"/>
      <c r="E112" s="621"/>
      <c r="G112" s="671" t="s">
        <v>538</v>
      </c>
      <c r="H112" s="645">
        <f>+ROUND(H110+H111,0)</f>
        <v>23016565</v>
      </c>
      <c r="I112" s="630"/>
    </row>
    <row r="113" spans="1:10" s="625" customFormat="1" ht="15" customHeight="1" thickTop="1">
      <c r="A113" s="1236"/>
      <c r="B113" s="619"/>
      <c r="C113" s="619"/>
      <c r="D113" s="620"/>
      <c r="E113" s="621"/>
      <c r="G113" s="643"/>
      <c r="H113" s="646"/>
      <c r="I113" s="630"/>
    </row>
    <row r="114" spans="1:10" s="625" customFormat="1" ht="13.5" customHeight="1" thickBot="1">
      <c r="A114" s="1237"/>
      <c r="B114" s="674"/>
      <c r="C114" s="675" t="s">
        <v>566</v>
      </c>
      <c r="D114" s="675"/>
      <c r="E114" s="675"/>
      <c r="F114" s="675"/>
      <c r="G114" s="675"/>
      <c r="H114" s="675"/>
    </row>
    <row r="115" spans="1:10" s="625" customFormat="1" ht="15" customHeight="1" thickTop="1">
      <c r="A115" s="1231" t="s">
        <v>540</v>
      </c>
      <c r="B115" s="631" t="str">
        <f t="shared" ref="B115:B121" si="12">MID(A115,1,3)&amp;"-"&amp;13</f>
        <v>600-13</v>
      </c>
      <c r="C115" s="631"/>
      <c r="D115" s="657" t="str">
        <f>VLOOKUP(A115,[33]INDICE!$A$3:$D$334,2,FALSE)</f>
        <v>EXCAVACIONES VARIAS SIN CLASIFICAR</v>
      </c>
      <c r="E115" s="649" t="str">
        <f>VLOOKUP(A115,[33]INDICE!$A$3:$D$334,3,FALSE)</f>
        <v>m3</v>
      </c>
      <c r="F115" s="654">
        <f>20*0.7*1.5</f>
        <v>21</v>
      </c>
      <c r="G115" s="651">
        <f>VLOOKUP(A115,[33]INDICE!$A$3:$D$334,4,FALSE)</f>
        <v>67953.950275344076</v>
      </c>
      <c r="H115" s="652">
        <f t="shared" ref="H115:H121" si="13">F115*G115</f>
        <v>1427032.9557822256</v>
      </c>
      <c r="J115" s="625" t="s">
        <v>541</v>
      </c>
    </row>
    <row r="116" spans="1:10" s="625" customFormat="1" ht="15" customHeight="1">
      <c r="A116" s="1232" t="s">
        <v>544</v>
      </c>
      <c r="B116" s="632" t="str">
        <f>MID(A116,1,3)&amp;"-"&amp;13</f>
        <v>610-13</v>
      </c>
      <c r="C116" s="632"/>
      <c r="D116" s="657" t="str">
        <f>VLOOKUP(A116,[33]INDICE!$A$3:$D$334,2,FALSE)</f>
        <v>RELLENOS PARA ESTRUCTURAS CON SUELO.</v>
      </c>
      <c r="E116" s="649" t="str">
        <f>VLOOKUP(A116,[33]INDICE!$A$3:$D$334,3,FALSE)</f>
        <v>m3</v>
      </c>
      <c r="F116" s="653">
        <v>15</v>
      </c>
      <c r="G116" s="651">
        <f>VLOOKUP(A116,[33]INDICE!$A$3:$D$334,4,FALSE)</f>
        <v>164362.8922747685</v>
      </c>
      <c r="H116" s="636">
        <f>F116*G116</f>
        <v>2465443.3841215274</v>
      </c>
      <c r="J116" s="625">
        <v>610.1</v>
      </c>
    </row>
    <row r="117" spans="1:10" s="625" customFormat="1" ht="15" customHeight="1">
      <c r="A117" s="1231" t="s">
        <v>545</v>
      </c>
      <c r="B117" s="631" t="str">
        <f t="shared" si="12"/>
        <v>630-13</v>
      </c>
      <c r="C117" s="631"/>
      <c r="D117" s="657" t="str">
        <f>VLOOKUP(A117,[33]INDICE!$A$3:$D$334,2,FALSE)</f>
        <v>CONCRETO RESISTENCIA 17.5MPA (E )</v>
      </c>
      <c r="E117" s="649" t="str">
        <f>VLOOKUP(A117,[33]INDICE!$A$3:$D$334,3,FALSE)</f>
        <v>m3</v>
      </c>
      <c r="F117" s="655">
        <v>22</v>
      </c>
      <c r="G117" s="651">
        <f>VLOOKUP(A117,[33]INDICE!$A$3:$D$334,4,FALSE)</f>
        <v>735031.04931538599</v>
      </c>
      <c r="H117" s="652">
        <f t="shared" si="13"/>
        <v>16170683.084938493</v>
      </c>
      <c r="J117" s="625">
        <v>630.5</v>
      </c>
    </row>
    <row r="118" spans="1:10" s="625" customFormat="1" ht="15" customHeight="1">
      <c r="A118" s="1231" t="s">
        <v>546</v>
      </c>
      <c r="B118" s="631" t="str">
        <f t="shared" si="12"/>
        <v>630-13</v>
      </c>
      <c r="C118" s="631"/>
      <c r="D118" s="657" t="str">
        <f>VLOOKUP(A118,[33]INDICE!$A$3:$D$334,2,FALSE)</f>
        <v>CONCRETO RESISTENCIA 14MPA (G) (CICLOPEO)</v>
      </c>
      <c r="E118" s="649" t="str">
        <f>VLOOKUP(A118,[33]INDICE!$A$3:$D$334,3,FALSE)</f>
        <v>m3</v>
      </c>
      <c r="F118" s="668">
        <v>5</v>
      </c>
      <c r="G118" s="651">
        <f>VLOOKUP(A118,[33]INDICE!$A$3:$D$334,4,FALSE)</f>
        <v>530138.01220093726</v>
      </c>
      <c r="H118" s="652">
        <f t="shared" si="13"/>
        <v>2650690.0610046862</v>
      </c>
      <c r="J118" s="625">
        <v>630.70000000000005</v>
      </c>
    </row>
    <row r="119" spans="1:10" s="625" customFormat="1" ht="15" customHeight="1">
      <c r="A119" s="1231" t="s">
        <v>554</v>
      </c>
      <c r="B119" s="631" t="str">
        <f t="shared" si="12"/>
        <v>640-13</v>
      </c>
      <c r="C119" s="631"/>
      <c r="D119" s="657" t="str">
        <f>VLOOKUP(A119,[33]INDICE!$A$3:$D$334,2,FALSE)</f>
        <v>ACERO DE REFUERZO FY 4200 MPA.</v>
      </c>
      <c r="E119" s="649" t="str">
        <f>VLOOKUP(A119,[33]INDICE!$A$3:$D$334,3,FALSE)</f>
        <v>kg</v>
      </c>
      <c r="F119" s="654">
        <f>F117*105*0.5</f>
        <v>1155</v>
      </c>
      <c r="G119" s="651">
        <f>VLOOKUP(A119,[33]INDICE!$A$3:$D$334,4,FALSE)</f>
        <v>6085.8496982034649</v>
      </c>
      <c r="H119" s="652">
        <f t="shared" si="13"/>
        <v>7029156.4014250021</v>
      </c>
      <c r="J119" s="625">
        <v>640.1</v>
      </c>
    </row>
    <row r="120" spans="1:10" s="625" customFormat="1" ht="15" customHeight="1">
      <c r="A120" s="1232" t="s">
        <v>548</v>
      </c>
      <c r="B120" s="632" t="str">
        <f>MID(A120,1,3)&amp;"-"&amp;13</f>
        <v>673-13</v>
      </c>
      <c r="C120" s="632"/>
      <c r="D120" s="657" t="str">
        <f>VLOOKUP(A120,[33]INDICE!$A$3:$D$334,2,FALSE)</f>
        <v>GEOTEXTIL  TIPO T-2400 O SIMILAR TEJIDO</v>
      </c>
      <c r="E120" s="649" t="str">
        <f>VLOOKUP(A120,[33]INDICE!$A$3:$D$334,3,FALSE)</f>
        <v>m2</v>
      </c>
      <c r="F120" s="1066">
        <v>40</v>
      </c>
      <c r="G120" s="651">
        <f>VLOOKUP(A120,[33]INDICE!$A$3:$D$334,4,FALSE)</f>
        <v>10983.835173625577</v>
      </c>
      <c r="H120" s="636">
        <f>F120*G120</f>
        <v>439353.4069450231</v>
      </c>
      <c r="J120" s="625">
        <v>673.1</v>
      </c>
    </row>
    <row r="121" spans="1:10" s="625" customFormat="1" ht="15" customHeight="1" thickBot="1">
      <c r="A121" s="1239" t="s">
        <v>560</v>
      </c>
      <c r="B121" s="672" t="str">
        <f t="shared" si="12"/>
        <v>673-13</v>
      </c>
      <c r="C121" s="672"/>
      <c r="D121" s="676" t="str">
        <f>VLOOKUP(A121,[33]INDICE!$A$3:$D$334,2,FALSE)</f>
        <v>MATERIAL GRANULAR DRENANTE</v>
      </c>
      <c r="E121" s="677" t="str">
        <f>VLOOKUP(A121,[33]INDICE!$A$3:$D$334,3,FALSE)</f>
        <v>m3</v>
      </c>
      <c r="F121" s="663">
        <f>20*0.5*1.5</f>
        <v>15</v>
      </c>
      <c r="G121" s="678">
        <f>VLOOKUP(A121,[33]INDICE!$A$3:$D$334,4,FALSE)</f>
        <v>84364.417561781069</v>
      </c>
      <c r="H121" s="679">
        <f t="shared" si="13"/>
        <v>1265466.263426716</v>
      </c>
      <c r="J121" s="625">
        <v>673.2</v>
      </c>
    </row>
    <row r="122" spans="1:10" s="625" customFormat="1" ht="15" customHeight="1" thickTop="1">
      <c r="A122" s="1235"/>
      <c r="B122" s="641"/>
      <c r="C122" s="641"/>
      <c r="D122" s="680"/>
      <c r="E122" s="621"/>
      <c r="G122" s="643" t="s">
        <v>536</v>
      </c>
      <c r="H122" s="681">
        <f>SUM(H115:H121)</f>
        <v>31447825.557643674</v>
      </c>
    </row>
    <row r="123" spans="1:10" s="625" customFormat="1" ht="15" customHeight="1">
      <c r="A123" s="1235"/>
      <c r="B123" s="641"/>
      <c r="C123" s="641"/>
      <c r="D123" s="642"/>
      <c r="E123" s="621"/>
      <c r="G123" s="643" t="s">
        <v>537</v>
      </c>
      <c r="H123" s="644">
        <f>SUM(H122:H122)*0.05*0.19/1.3</f>
        <v>229811.03292124224</v>
      </c>
    </row>
    <row r="124" spans="1:10" s="625" customFormat="1" ht="15" customHeight="1" thickBot="1">
      <c r="A124" s="1236"/>
      <c r="B124" s="619"/>
      <c r="C124" s="619"/>
      <c r="D124" s="620"/>
      <c r="E124" s="621"/>
      <c r="G124" s="643" t="s">
        <v>538</v>
      </c>
      <c r="H124" s="645">
        <f>+ROUND(H122+H123,0)</f>
        <v>31677637</v>
      </c>
    </row>
    <row r="125" spans="1:10" s="625" customFormat="1" ht="13.5" customHeight="1" thickTop="1" thickBot="1">
      <c r="A125" s="1237"/>
      <c r="B125" s="674"/>
      <c r="C125" s="675" t="s">
        <v>567</v>
      </c>
      <c r="D125" s="675"/>
      <c r="E125" s="675"/>
      <c r="F125" s="675"/>
      <c r="G125" s="675"/>
      <c r="H125" s="675"/>
    </row>
    <row r="126" spans="1:10" s="625" customFormat="1" ht="15" customHeight="1" thickTop="1">
      <c r="A126" s="1231" t="s">
        <v>552</v>
      </c>
      <c r="B126" s="631" t="str">
        <f t="shared" ref="B126:B136" si="14">MID(A126,1,3)&amp;"-"&amp;13</f>
        <v>201-13</v>
      </c>
      <c r="C126" s="631"/>
      <c r="D126" s="657" t="str">
        <f>VLOOKUP(A126,[33]INDICE!$A$3:$D$334,2,FALSE)</f>
        <v>DEMOLICIÓN DE ESTRUCTURAS</v>
      </c>
      <c r="E126" s="649" t="str">
        <f>VLOOKUP(A126,[33]INDICE!$A$3:$D$334,3,FALSE)</f>
        <v>m3</v>
      </c>
      <c r="F126" s="654">
        <v>15</v>
      </c>
      <c r="G126" s="651">
        <f>VLOOKUP(A126,[33]INDICE!$A$3:$D$334,4,FALSE)</f>
        <v>240341.82659000819</v>
      </c>
      <c r="H126" s="652">
        <f t="shared" ref="H126:H136" si="15">F126*G126</f>
        <v>3605127.3988501229</v>
      </c>
      <c r="J126" s="625" t="s">
        <v>541</v>
      </c>
    </row>
    <row r="127" spans="1:10" s="625" customFormat="1" ht="15" customHeight="1">
      <c r="A127" s="1232" t="s">
        <v>558</v>
      </c>
      <c r="B127" s="632" t="str">
        <f t="shared" si="14"/>
        <v>330-13</v>
      </c>
      <c r="C127" s="632"/>
      <c r="D127" s="657" t="str">
        <f>VLOOKUP(A127,[33]INDICE!$A$3:$D$334,2,FALSE)</f>
        <v>BASE GRANULAR CLASE A</v>
      </c>
      <c r="E127" s="649" t="str">
        <f>VLOOKUP(A127,[33]INDICE!$A$3:$D$334,3,FALSE)</f>
        <v>m3</v>
      </c>
      <c r="F127" s="653">
        <v>15</v>
      </c>
      <c r="G127" s="651">
        <f>VLOOKUP(A127,[33]INDICE!$A$3:$D$334,4,FALSE)</f>
        <v>375353.93049818149</v>
      </c>
      <c r="H127" s="636">
        <f t="shared" si="15"/>
        <v>5630308.957472722</v>
      </c>
      <c r="J127" s="625">
        <v>610.1</v>
      </c>
    </row>
    <row r="128" spans="1:10" s="625" customFormat="1" ht="15" customHeight="1">
      <c r="A128" s="1231" t="s">
        <v>540</v>
      </c>
      <c r="B128" s="631" t="str">
        <f t="shared" si="14"/>
        <v>600-13</v>
      </c>
      <c r="C128" s="631"/>
      <c r="D128" s="657" t="str">
        <f>VLOOKUP(A128,[33]INDICE!$A$3:$D$334,2,FALSE)</f>
        <v>EXCAVACIONES VARIAS SIN CLASIFICAR</v>
      </c>
      <c r="E128" s="649" t="str">
        <f>VLOOKUP(A128,[33]INDICE!$A$3:$D$334,3,FALSE)</f>
        <v>m3</v>
      </c>
      <c r="F128" s="655">
        <v>354</v>
      </c>
      <c r="G128" s="651">
        <f>VLOOKUP(A128,[33]INDICE!$A$3:$D$334,4,FALSE)</f>
        <v>67953.950275344076</v>
      </c>
      <c r="H128" s="652">
        <f t="shared" si="15"/>
        <v>24055698.397471804</v>
      </c>
      <c r="J128" s="625">
        <v>630.5</v>
      </c>
    </row>
    <row r="129" spans="1:10" s="625" customFormat="1" ht="15" customHeight="1">
      <c r="A129" s="1231" t="s">
        <v>544</v>
      </c>
      <c r="B129" s="631" t="str">
        <f t="shared" si="14"/>
        <v>610-13</v>
      </c>
      <c r="C129" s="631"/>
      <c r="D129" s="657" t="str">
        <f>VLOOKUP(A129,[33]INDICE!$A$3:$D$334,2,FALSE)</f>
        <v>RELLENOS PARA ESTRUCTURAS CON SUELO.</v>
      </c>
      <c r="E129" s="649" t="str">
        <f>VLOOKUP(A129,[33]INDICE!$A$3:$D$334,3,FALSE)</f>
        <v>m3</v>
      </c>
      <c r="F129" s="668">
        <v>300</v>
      </c>
      <c r="G129" s="651">
        <f>VLOOKUP(A129,[33]INDICE!$A$3:$D$334,4,FALSE)</f>
        <v>164362.8922747685</v>
      </c>
      <c r="H129" s="652">
        <f t="shared" si="15"/>
        <v>49308867.68243055</v>
      </c>
      <c r="J129" s="625">
        <v>630.70000000000005</v>
      </c>
    </row>
    <row r="130" spans="1:10" s="625" customFormat="1" ht="15" customHeight="1">
      <c r="A130" s="1231" t="s">
        <v>555</v>
      </c>
      <c r="B130" s="631" t="str">
        <f t="shared" si="14"/>
        <v>621-13</v>
      </c>
      <c r="C130" s="631"/>
      <c r="D130" s="657" t="str">
        <f>VLOOKUP(A130,[33]INDICE!$A$3:$D$334,2,FALSE)</f>
        <v>Pilote de Concreto Vaciado In Situ, de diámetro 1,5 m</v>
      </c>
      <c r="E130" s="649" t="str">
        <f>VLOOKUP(A130,[33]INDICE!$A$3:$D$334,3,FALSE)</f>
        <v>M</v>
      </c>
      <c r="F130" s="654">
        <v>90</v>
      </c>
      <c r="G130" s="651">
        <f>VLOOKUP(A130,[33]INDICE!$A$3:$D$334,4,FALSE)</f>
        <v>3739946.3594277431</v>
      </c>
      <c r="H130" s="652">
        <f t="shared" si="15"/>
        <v>336595172.34849685</v>
      </c>
      <c r="J130" s="625">
        <v>640.1</v>
      </c>
    </row>
    <row r="131" spans="1:10" s="625" customFormat="1" ht="15" customHeight="1">
      <c r="A131" s="1232" t="s">
        <v>553</v>
      </c>
      <c r="B131" s="632" t="str">
        <f t="shared" si="14"/>
        <v>630-13</v>
      </c>
      <c r="C131" s="632"/>
      <c r="D131" s="657" t="str">
        <f>VLOOKUP(A131,[33]INDICE!$A$3:$D$334,2,FALSE)</f>
        <v>CONCRETO RESISTENCIA 21MPA (D)</v>
      </c>
      <c r="E131" s="649" t="str">
        <f>VLOOKUP(A131,[33]INDICE!$A$3:$D$334,3,FALSE)</f>
        <v>m3</v>
      </c>
      <c r="F131" s="1066">
        <v>80</v>
      </c>
      <c r="G131" s="651">
        <f>VLOOKUP(A131,[33]INDICE!$A$3:$D$334,4,FALSE)</f>
        <v>871855.23056364793</v>
      </c>
      <c r="H131" s="636">
        <f t="shared" si="15"/>
        <v>69748418.445091829</v>
      </c>
      <c r="J131" s="625">
        <v>673.1</v>
      </c>
    </row>
    <row r="132" spans="1:10" s="625" customFormat="1" ht="15" customHeight="1">
      <c r="A132" s="1232" t="s">
        <v>556</v>
      </c>
      <c r="B132" s="632" t="str">
        <f t="shared" si="14"/>
        <v>630-13</v>
      </c>
      <c r="C132" s="632"/>
      <c r="D132" s="657" t="str">
        <f>VLOOKUP(A132,[33]INDICE!$A$3:$D$334,2,FALSE)</f>
        <v>CONCRETO RESISTENCIA 14MPA  (F)</v>
      </c>
      <c r="E132" s="649" t="str">
        <f>VLOOKUP(A132,[33]INDICE!$A$3:$D$334,3,FALSE)</f>
        <v>m3</v>
      </c>
      <c r="F132" s="1066">
        <v>4</v>
      </c>
      <c r="G132" s="651">
        <f>VLOOKUP(A132,[33]INDICE!$A$3:$D$334,4,FALSE)</f>
        <v>674387.0151947831</v>
      </c>
      <c r="H132" s="636">
        <f t="shared" si="15"/>
        <v>2697548.0607791324</v>
      </c>
    </row>
    <row r="133" spans="1:10" s="625" customFormat="1" ht="15" customHeight="1">
      <c r="A133" s="1232" t="s">
        <v>554</v>
      </c>
      <c r="B133" s="632" t="str">
        <f t="shared" si="14"/>
        <v>640-13</v>
      </c>
      <c r="C133" s="632"/>
      <c r="D133" s="657" t="str">
        <f>VLOOKUP(A133,[33]INDICE!$A$3:$D$334,2,FALSE)</f>
        <v>ACERO DE REFUERZO FY 4200 MPA.</v>
      </c>
      <c r="E133" s="649" t="str">
        <f>VLOOKUP(A133,[33]INDICE!$A$3:$D$334,3,FALSE)</f>
        <v>kg</v>
      </c>
      <c r="F133" s="1066">
        <v>8528</v>
      </c>
      <c r="G133" s="651">
        <f>VLOOKUP(A133,[33]INDICE!$A$3:$D$334,4,FALSE)</f>
        <v>6085.8496982034649</v>
      </c>
      <c r="H133" s="636">
        <f t="shared" si="15"/>
        <v>51900126.226279147</v>
      </c>
    </row>
    <row r="134" spans="1:10" s="625" customFormat="1" ht="15" customHeight="1">
      <c r="A134" s="1232" t="s">
        <v>559</v>
      </c>
      <c r="B134" s="632" t="str">
        <f t="shared" si="14"/>
        <v>671-13</v>
      </c>
      <c r="C134" s="632"/>
      <c r="D134" s="657" t="str">
        <f>VLOOKUP(A134,[33]INDICE!$A$3:$D$334,2,FALSE)</f>
        <v>CUNETA DE CONCRETO VACIADA IN SITU; INCLUYE LA CONFORMACION DE LA SUPERFICIE DE APOYO</v>
      </c>
      <c r="E134" s="649" t="str">
        <f>VLOOKUP(A134,[33]INDICE!$A$3:$D$334,3,FALSE)</f>
        <v>m3</v>
      </c>
      <c r="F134" s="1066">
        <v>39</v>
      </c>
      <c r="G134" s="651">
        <f>VLOOKUP(A134,[33]INDICE!$A$3:$D$334,4,FALSE)</f>
        <v>841791.75196838728</v>
      </c>
      <c r="H134" s="636">
        <f t="shared" si="15"/>
        <v>32829878.326767106</v>
      </c>
    </row>
    <row r="135" spans="1:10" s="625" customFormat="1" ht="15" customHeight="1">
      <c r="A135" s="1232" t="s">
        <v>548</v>
      </c>
      <c r="B135" s="632" t="str">
        <f t="shared" si="14"/>
        <v>673-13</v>
      </c>
      <c r="C135" s="632"/>
      <c r="D135" s="657" t="str">
        <f>VLOOKUP(A135,[33]INDICE!$A$3:$D$334,2,FALSE)</f>
        <v>GEOTEXTIL  TIPO T-2400 O SIMILAR TEJIDO</v>
      </c>
      <c r="E135" s="649" t="str">
        <f>VLOOKUP(A135,[33]INDICE!$A$3:$D$334,3,FALSE)</f>
        <v>m2</v>
      </c>
      <c r="F135" s="1066">
        <v>1050</v>
      </c>
      <c r="G135" s="651">
        <f>VLOOKUP(A135,[33]INDICE!$A$3:$D$334,4,FALSE)</f>
        <v>10983.835173625577</v>
      </c>
      <c r="H135" s="636">
        <f t="shared" si="15"/>
        <v>11533026.932306856</v>
      </c>
    </row>
    <row r="136" spans="1:10" s="625" customFormat="1" ht="15" customHeight="1" thickBot="1">
      <c r="A136" s="1248" t="s">
        <v>560</v>
      </c>
      <c r="B136" s="672" t="str">
        <f t="shared" si="14"/>
        <v>673-13</v>
      </c>
      <c r="C136" s="1249"/>
      <c r="D136" s="676" t="str">
        <f>VLOOKUP(A136,[33]INDICE!$A$3:$D$334,2,FALSE)</f>
        <v>MATERIAL GRANULAR DRENANTE</v>
      </c>
      <c r="E136" s="677" t="str">
        <f>VLOOKUP(A136,[33]INDICE!$A$3:$D$334,3,FALSE)</f>
        <v>m3</v>
      </c>
      <c r="F136" s="1250">
        <v>200</v>
      </c>
      <c r="G136" s="678">
        <f>VLOOKUP(A136,[33]INDICE!$A$3:$D$334,4,FALSE)</f>
        <v>84364.417561781069</v>
      </c>
      <c r="H136" s="679">
        <f t="shared" si="15"/>
        <v>16872883.512356214</v>
      </c>
    </row>
    <row r="137" spans="1:10" s="625" customFormat="1" ht="15" customHeight="1" thickTop="1">
      <c r="A137" s="1235"/>
      <c r="B137" s="641"/>
      <c r="C137" s="641"/>
      <c r="D137" s="680"/>
      <c r="E137" s="621"/>
      <c r="G137" s="643" t="s">
        <v>536</v>
      </c>
      <c r="H137" s="681">
        <f>SUM(H126:H136)</f>
        <v>604777056.28830242</v>
      </c>
    </row>
    <row r="138" spans="1:10" s="625" customFormat="1" ht="15" customHeight="1">
      <c r="A138" s="1235"/>
      <c r="B138" s="641"/>
      <c r="C138" s="641"/>
      <c r="D138" s="642"/>
      <c r="E138" s="621"/>
      <c r="G138" s="643" t="s">
        <v>537</v>
      </c>
      <c r="H138" s="644">
        <f>SUM(H137:H137)*0.05*0.19/1.3</f>
        <v>4419524.6421068255</v>
      </c>
    </row>
    <row r="139" spans="1:10" s="625" customFormat="1" ht="15" customHeight="1" thickBot="1">
      <c r="A139" s="1236"/>
      <c r="B139" s="619"/>
      <c r="C139" s="619"/>
      <c r="D139" s="620"/>
      <c r="E139" s="621"/>
      <c r="G139" s="643" t="s">
        <v>538</v>
      </c>
      <c r="H139" s="645">
        <f>+ROUND(H137+H138,0)</f>
        <v>609196581</v>
      </c>
    </row>
    <row r="140" spans="1:10" s="625" customFormat="1" ht="15" customHeight="1" thickTop="1">
      <c r="A140" s="1236"/>
      <c r="B140" s="619"/>
      <c r="C140" s="619"/>
      <c r="D140" s="620"/>
      <c r="E140" s="621"/>
      <c r="G140" s="643"/>
      <c r="H140" s="646"/>
    </row>
    <row r="141" spans="1:10" s="625" customFormat="1" ht="13.5" thickBot="1">
      <c r="A141" s="1237"/>
      <c r="B141" s="627"/>
      <c r="C141" s="626" t="s">
        <v>568</v>
      </c>
      <c r="D141" s="626"/>
      <c r="E141" s="627"/>
      <c r="F141" s="626"/>
      <c r="G141" s="628"/>
      <c r="H141" s="629"/>
      <c r="I141" s="630"/>
    </row>
    <row r="142" spans="1:10" s="625" customFormat="1" ht="15" customHeight="1" thickTop="1">
      <c r="A142" s="1240" t="s">
        <v>552</v>
      </c>
      <c r="B142" s="665" t="str">
        <f t="shared" ref="B142:B150" si="16">MID(A142,1,3)&amp;"-"&amp;13</f>
        <v>201-13</v>
      </c>
      <c r="C142" s="665"/>
      <c r="D142" s="657" t="str">
        <f>VLOOKUP(A142,[33]INDICE!$A$3:$D$334,2,FALSE)</f>
        <v>DEMOLICIÓN DE ESTRUCTURAS</v>
      </c>
      <c r="E142" s="649" t="str">
        <f>VLOOKUP(A142,[33]INDICE!$A$3:$D$334,3,FALSE)</f>
        <v>m3</v>
      </c>
      <c r="F142" s="682">
        <v>7</v>
      </c>
      <c r="G142" s="651">
        <f>VLOOKUP(A142,[33]INDICE!$A$3:$D$334,4,FALSE)</f>
        <v>240341.82659000819</v>
      </c>
      <c r="H142" s="667">
        <f t="shared" ref="H142:H150" si="17">F142*G142</f>
        <v>1682392.7861300574</v>
      </c>
      <c r="J142" s="625">
        <v>201.7</v>
      </c>
    </row>
    <row r="143" spans="1:10" s="625" customFormat="1" ht="15" customHeight="1">
      <c r="A143" s="1233" t="s">
        <v>558</v>
      </c>
      <c r="B143" s="683" t="str">
        <f t="shared" si="16"/>
        <v>330-13</v>
      </c>
      <c r="C143" s="684"/>
      <c r="D143" s="657" t="str">
        <f>VLOOKUP(A143,[33]INDICE!$A$3:$D$334,2,FALSE)</f>
        <v>BASE GRANULAR CLASE A</v>
      </c>
      <c r="E143" s="649" t="str">
        <f>VLOOKUP(A143,[33]INDICE!$A$3:$D$334,3,FALSE)</f>
        <v>m3</v>
      </c>
      <c r="F143" s="685">
        <v>10</v>
      </c>
      <c r="G143" s="651">
        <f>VLOOKUP(A143,[33]INDICE!$A$3:$D$334,4,FALSE)</f>
        <v>375353.93049818149</v>
      </c>
      <c r="H143" s="686">
        <f t="shared" si="17"/>
        <v>3753539.3049818147</v>
      </c>
      <c r="J143" s="625">
        <v>330.1</v>
      </c>
    </row>
    <row r="144" spans="1:10" s="625" customFormat="1" ht="15" customHeight="1">
      <c r="A144" s="1231" t="s">
        <v>540</v>
      </c>
      <c r="B144" s="631" t="str">
        <f t="shared" si="16"/>
        <v>600-13</v>
      </c>
      <c r="C144" s="683"/>
      <c r="D144" s="657" t="str">
        <f>VLOOKUP(A144,[33]INDICE!$A$3:$D$334,2,FALSE)</f>
        <v>EXCAVACIONES VARIAS SIN CLASIFICAR</v>
      </c>
      <c r="E144" s="649" t="str">
        <f>VLOOKUP(A144,[33]INDICE!$A$3:$D$334,3,FALSE)</f>
        <v>m3</v>
      </c>
      <c r="F144" s="687">
        <f>35*3.5*2</f>
        <v>245</v>
      </c>
      <c r="G144" s="651">
        <f>VLOOKUP(A144,[33]INDICE!$A$3:$D$334,4,FALSE)</f>
        <v>67953.950275344076</v>
      </c>
      <c r="H144" s="686">
        <f t="shared" si="17"/>
        <v>16648717.817459298</v>
      </c>
      <c r="J144" s="625" t="s">
        <v>541</v>
      </c>
    </row>
    <row r="145" spans="1:10" s="625" customFormat="1" ht="15" customHeight="1">
      <c r="A145" s="1231" t="s">
        <v>544</v>
      </c>
      <c r="B145" s="631" t="str">
        <f t="shared" si="16"/>
        <v>610-13</v>
      </c>
      <c r="C145" s="631"/>
      <c r="D145" s="657" t="str">
        <f>VLOOKUP(A145,[33]INDICE!$A$3:$D$334,2,FALSE)</f>
        <v>RELLENOS PARA ESTRUCTURAS CON SUELO.</v>
      </c>
      <c r="E145" s="649" t="str">
        <f>VLOOKUP(A145,[33]INDICE!$A$3:$D$334,3,FALSE)</f>
        <v>m3</v>
      </c>
      <c r="F145" s="653">
        <v>207</v>
      </c>
      <c r="G145" s="651">
        <f>VLOOKUP(A145,[33]INDICE!$A$3:$D$334,4,FALSE)</f>
        <v>164362.8922747685</v>
      </c>
      <c r="H145" s="652">
        <f t="shared" si="17"/>
        <v>34023118.700877078</v>
      </c>
      <c r="J145" s="625">
        <v>610.1</v>
      </c>
    </row>
    <row r="146" spans="1:10" s="625" customFormat="1" ht="15" customHeight="1">
      <c r="A146" s="1231" t="s">
        <v>553</v>
      </c>
      <c r="B146" s="631" t="str">
        <f t="shared" si="16"/>
        <v>630-13</v>
      </c>
      <c r="C146" s="631"/>
      <c r="D146" s="657" t="str">
        <f>VLOOKUP(A146,[33]INDICE!$A$3:$D$334,2,FALSE)</f>
        <v>CONCRETO RESISTENCIA 21MPA (D)</v>
      </c>
      <c r="E146" s="649" t="str">
        <f>VLOOKUP(A146,[33]INDICE!$A$3:$D$334,3,FALSE)</f>
        <v>m3</v>
      </c>
      <c r="F146" s="655">
        <v>83</v>
      </c>
      <c r="G146" s="651">
        <f>VLOOKUP(A146,[33]INDICE!$A$3:$D$334,4,FALSE)</f>
        <v>871855.23056364793</v>
      </c>
      <c r="H146" s="652">
        <f t="shared" si="17"/>
        <v>72363984.13678278</v>
      </c>
      <c r="J146" s="658">
        <v>630.4</v>
      </c>
    </row>
    <row r="147" spans="1:10" s="625" customFormat="1" ht="15" customHeight="1">
      <c r="A147" s="1231" t="s">
        <v>554</v>
      </c>
      <c r="B147" s="631" t="str">
        <f t="shared" si="16"/>
        <v>640-13</v>
      </c>
      <c r="C147" s="631"/>
      <c r="D147" s="657" t="str">
        <f>VLOOKUP(A147,[33]INDICE!$A$3:$D$334,2,FALSE)</f>
        <v>ACERO DE REFUERZO FY 4200 MPA.</v>
      </c>
      <c r="E147" s="649" t="str">
        <f>VLOOKUP(A147,[33]INDICE!$A$3:$D$334,3,FALSE)</f>
        <v>kg</v>
      </c>
      <c r="F147" s="654">
        <v>3475</v>
      </c>
      <c r="G147" s="651">
        <f>VLOOKUP(A147,[33]INDICE!$A$3:$D$334,4,FALSE)</f>
        <v>6085.8496982034649</v>
      </c>
      <c r="H147" s="652">
        <f t="shared" si="17"/>
        <v>21148327.701257039</v>
      </c>
      <c r="J147" s="625">
        <v>640.1</v>
      </c>
    </row>
    <row r="148" spans="1:10" s="625" customFormat="1" ht="26.1" customHeight="1">
      <c r="A148" s="1231" t="s">
        <v>559</v>
      </c>
      <c r="B148" s="631" t="str">
        <f t="shared" si="16"/>
        <v>671-13</v>
      </c>
      <c r="C148" s="631"/>
      <c r="D148" s="657" t="str">
        <f>VLOOKUP(A148,[33]INDICE!$A$3:$D$334,2,FALSE)</f>
        <v>CUNETA DE CONCRETO VACIADA IN SITU; INCLUYE LA CONFORMACION DE LA SUPERFICIE DE APOYO</v>
      </c>
      <c r="E148" s="649" t="str">
        <f>VLOOKUP(A148,[33]INDICE!$A$3:$D$334,3,FALSE)</f>
        <v>m3</v>
      </c>
      <c r="F148" s="655">
        <v>5</v>
      </c>
      <c r="G148" s="688">
        <f>VLOOKUP(A148,[33]INDICE!$A$3:$D$334,4,FALSE)</f>
        <v>841791.75196838728</v>
      </c>
      <c r="H148" s="652">
        <f t="shared" si="17"/>
        <v>4208958.7598419366</v>
      </c>
      <c r="J148" s="625">
        <v>671.3</v>
      </c>
    </row>
    <row r="149" spans="1:10" s="625" customFormat="1" ht="15" customHeight="1">
      <c r="A149" s="1231" t="s">
        <v>548</v>
      </c>
      <c r="B149" s="631" t="str">
        <f t="shared" si="16"/>
        <v>673-13</v>
      </c>
      <c r="C149" s="631"/>
      <c r="D149" s="657" t="str">
        <f>VLOOKUP(A149,[33]INDICE!$A$3:$D$334,2,FALSE)</f>
        <v>GEOTEXTIL  TIPO T-2400 O SIMILAR TEJIDO</v>
      </c>
      <c r="E149" s="649" t="str">
        <f>VLOOKUP(A149,[33]INDICE!$A$3:$D$334,3,FALSE)</f>
        <v>m2</v>
      </c>
      <c r="F149" s="654">
        <v>100</v>
      </c>
      <c r="G149" s="651">
        <f>VLOOKUP(A149,[33]INDICE!$A$3:$D$334,4,FALSE)</f>
        <v>10983.835173625577</v>
      </c>
      <c r="H149" s="652">
        <f t="shared" si="17"/>
        <v>1098383.5173625578</v>
      </c>
      <c r="J149" s="625">
        <v>673.1</v>
      </c>
    </row>
    <row r="150" spans="1:10" s="625" customFormat="1" ht="15" customHeight="1" thickBot="1">
      <c r="A150" s="1231" t="s">
        <v>560</v>
      </c>
      <c r="B150" s="631" t="str">
        <f t="shared" si="16"/>
        <v>673-13</v>
      </c>
      <c r="C150" s="631"/>
      <c r="D150" s="657" t="str">
        <f>VLOOKUP(A150,[33]INDICE!$A$3:$D$334,2,FALSE)</f>
        <v>MATERIAL GRANULAR DRENANTE</v>
      </c>
      <c r="E150" s="649" t="str">
        <f>VLOOKUP(A150,[33]INDICE!$A$3:$D$334,3,FALSE)</f>
        <v>m3</v>
      </c>
      <c r="F150" s="655">
        <v>31</v>
      </c>
      <c r="G150" s="651">
        <f>VLOOKUP(A150,[33]INDICE!$A$3:$D$334,4,FALSE)</f>
        <v>84364.417561781069</v>
      </c>
      <c r="H150" s="652">
        <f t="shared" si="17"/>
        <v>2615296.9444152131</v>
      </c>
      <c r="J150" s="625">
        <v>673.2</v>
      </c>
    </row>
    <row r="151" spans="1:10" s="625" customFormat="1" ht="15" customHeight="1" thickTop="1">
      <c r="A151" s="1234"/>
      <c r="B151" s="637"/>
      <c r="C151" s="637"/>
      <c r="D151" s="638"/>
      <c r="E151" s="659"/>
      <c r="F151" s="660"/>
      <c r="G151" s="670" t="s">
        <v>536</v>
      </c>
      <c r="H151" s="640">
        <f>SUM(H142:H150)</f>
        <v>157542719.66910779</v>
      </c>
    </row>
    <row r="152" spans="1:10" s="625" customFormat="1" ht="15" customHeight="1">
      <c r="A152" s="1235"/>
      <c r="B152" s="641"/>
      <c r="C152" s="641"/>
      <c r="D152" s="642"/>
      <c r="E152" s="621"/>
      <c r="F152" s="647"/>
      <c r="G152" s="671" t="s">
        <v>537</v>
      </c>
      <c r="H152" s="644">
        <f>SUM(H151:H151)*0.05*0.19/1.3</f>
        <v>1151273.7206588646</v>
      </c>
    </row>
    <row r="153" spans="1:10" s="625" customFormat="1" ht="15" customHeight="1" thickBot="1">
      <c r="A153" s="1236"/>
      <c r="B153" s="619"/>
      <c r="C153" s="619"/>
      <c r="D153" s="620"/>
      <c r="E153" s="621"/>
      <c r="F153" s="647"/>
      <c r="G153" s="671" t="s">
        <v>538</v>
      </c>
      <c r="H153" s="645">
        <f>+ROUND(H151+H152,0)</f>
        <v>158693993</v>
      </c>
      <c r="I153" s="630"/>
    </row>
    <row r="154" spans="1:10" s="625" customFormat="1" ht="15" customHeight="1" thickTop="1">
      <c r="A154" s="1236"/>
      <c r="B154" s="619"/>
      <c r="C154" s="619"/>
      <c r="D154" s="620"/>
      <c r="E154" s="621"/>
      <c r="F154" s="647"/>
      <c r="G154" s="643"/>
      <c r="H154" s="646"/>
      <c r="I154" s="630"/>
    </row>
    <row r="155" spans="1:10" s="625" customFormat="1" ht="15" customHeight="1">
      <c r="A155" s="1236"/>
      <c r="B155" s="619"/>
      <c r="C155" s="619"/>
      <c r="D155" s="620"/>
      <c r="E155" s="621"/>
      <c r="G155" s="643"/>
      <c r="H155" s="624"/>
    </row>
    <row r="156" spans="1:10" s="625" customFormat="1" ht="13.5" thickBot="1">
      <c r="A156" s="1237"/>
      <c r="B156" s="627"/>
      <c r="C156" s="626" t="s">
        <v>569</v>
      </c>
      <c r="D156" s="626"/>
      <c r="E156" s="627"/>
      <c r="F156" s="626"/>
      <c r="G156" s="628"/>
      <c r="H156" s="629"/>
      <c r="I156" s="630"/>
    </row>
    <row r="157" spans="1:10" s="625" customFormat="1" ht="15" customHeight="1" thickTop="1">
      <c r="A157" s="1231" t="s">
        <v>552</v>
      </c>
      <c r="B157" s="631" t="str">
        <f t="shared" ref="B157:B165" si="18">MID(A157,1,3)&amp;"-"&amp;13</f>
        <v>201-13</v>
      </c>
      <c r="C157" s="631"/>
      <c r="D157" s="657" t="str">
        <f>VLOOKUP(A157,[33]INDICE!$A$3:$D$334,2,FALSE)</f>
        <v>DEMOLICIÓN DE ESTRUCTURAS</v>
      </c>
      <c r="E157" s="649" t="str">
        <f>VLOOKUP(A157,[33]INDICE!$A$3:$D$334,3,FALSE)</f>
        <v>m3</v>
      </c>
      <c r="F157" s="650">
        <v>4</v>
      </c>
      <c r="G157" s="688">
        <f>VLOOKUP(A157,[33]INDICE!$A$3:$D$334,4,FALSE)</f>
        <v>240341.82659000819</v>
      </c>
      <c r="H157" s="652">
        <f t="shared" ref="H157:H165" si="19">F157*G157</f>
        <v>961367.30636003276</v>
      </c>
      <c r="J157" s="625">
        <v>201.7</v>
      </c>
    </row>
    <row r="158" spans="1:10" s="625" customFormat="1" ht="15" customHeight="1">
      <c r="A158" s="1231" t="s">
        <v>558</v>
      </c>
      <c r="B158" s="631" t="str">
        <f t="shared" si="18"/>
        <v>330-13</v>
      </c>
      <c r="C158" s="689"/>
      <c r="D158" s="657" t="str">
        <f>VLOOKUP(A158,[33]INDICE!$A$3:$D$334,2,FALSE)</f>
        <v>BASE GRANULAR CLASE A</v>
      </c>
      <c r="E158" s="649" t="str">
        <f>VLOOKUP(A158,[33]INDICE!$A$3:$D$334,3,FALSE)</f>
        <v>m3</v>
      </c>
      <c r="F158" s="655">
        <f>20*1*0.4</f>
        <v>8</v>
      </c>
      <c r="G158" s="688">
        <f>VLOOKUP(A158,[33]INDICE!$A$3:$D$334,4,FALSE)</f>
        <v>375353.93049818149</v>
      </c>
      <c r="H158" s="652">
        <f t="shared" si="19"/>
        <v>3002831.4439854519</v>
      </c>
      <c r="J158" s="625">
        <v>330.1</v>
      </c>
    </row>
    <row r="159" spans="1:10" s="625" customFormat="1" ht="15" customHeight="1">
      <c r="A159" s="1231" t="s">
        <v>540</v>
      </c>
      <c r="B159" s="631" t="str">
        <f t="shared" si="18"/>
        <v>600-13</v>
      </c>
      <c r="C159" s="631"/>
      <c r="D159" s="657" t="str">
        <f>VLOOKUP(A159,[33]INDICE!$A$3:$D$334,2,FALSE)</f>
        <v>EXCAVACIONES VARIAS SIN CLASIFICAR</v>
      </c>
      <c r="E159" s="649" t="str">
        <f>VLOOKUP(A159,[33]INDICE!$A$3:$D$334,3,FALSE)</f>
        <v>m3</v>
      </c>
      <c r="F159" s="654">
        <f>20*3.5*2</f>
        <v>140</v>
      </c>
      <c r="G159" s="688">
        <f>VLOOKUP(A159,[33]INDICE!$A$3:$D$334,4,FALSE)</f>
        <v>67953.950275344076</v>
      </c>
      <c r="H159" s="652">
        <f t="shared" si="19"/>
        <v>9513553.0385481715</v>
      </c>
      <c r="J159" s="625" t="s">
        <v>541</v>
      </c>
    </row>
    <row r="160" spans="1:10" s="625" customFormat="1" ht="15" customHeight="1">
      <c r="A160" s="1231" t="s">
        <v>544</v>
      </c>
      <c r="B160" s="631" t="str">
        <f t="shared" si="18"/>
        <v>610-13</v>
      </c>
      <c r="C160" s="631"/>
      <c r="D160" s="657" t="str">
        <f>VLOOKUP(A160,[33]INDICE!$A$3:$D$334,2,FALSE)</f>
        <v>RELLENOS PARA ESTRUCTURAS CON SUELO.</v>
      </c>
      <c r="E160" s="649" t="str">
        <f>VLOOKUP(A160,[33]INDICE!$A$3:$D$334,3,FALSE)</f>
        <v>m3</v>
      </c>
      <c r="F160" s="653">
        <v>119</v>
      </c>
      <c r="G160" s="688">
        <f>VLOOKUP(A160,[33]INDICE!$A$3:$D$334,4,FALSE)</f>
        <v>164362.8922747685</v>
      </c>
      <c r="H160" s="652">
        <f t="shared" si="19"/>
        <v>19559184.180697452</v>
      </c>
      <c r="J160" s="625">
        <v>610.1</v>
      </c>
    </row>
    <row r="161" spans="1:10" s="625" customFormat="1" ht="15" customHeight="1">
      <c r="A161" s="1231" t="s">
        <v>553</v>
      </c>
      <c r="B161" s="631" t="str">
        <f t="shared" si="18"/>
        <v>630-13</v>
      </c>
      <c r="C161" s="631"/>
      <c r="D161" s="657" t="str">
        <f>VLOOKUP(A161,[33]INDICE!$A$3:$D$334,2,FALSE)</f>
        <v>CONCRETO RESISTENCIA 21MPA (D)</v>
      </c>
      <c r="E161" s="649" t="str">
        <f>VLOOKUP(A161,[33]INDICE!$A$3:$D$334,3,FALSE)</f>
        <v>m3</v>
      </c>
      <c r="F161" s="655">
        <v>48</v>
      </c>
      <c r="G161" s="688">
        <f>VLOOKUP(A161,[33]INDICE!$A$3:$D$334,4,FALSE)</f>
        <v>871855.23056364793</v>
      </c>
      <c r="H161" s="652">
        <f t="shared" si="19"/>
        <v>41849051.067055099</v>
      </c>
      <c r="J161" s="658">
        <v>630.4</v>
      </c>
    </row>
    <row r="162" spans="1:10" s="625" customFormat="1" ht="15" customHeight="1">
      <c r="A162" s="1231" t="s">
        <v>554</v>
      </c>
      <c r="B162" s="631" t="str">
        <f t="shared" si="18"/>
        <v>640-13</v>
      </c>
      <c r="C162" s="631"/>
      <c r="D162" s="657" t="str">
        <f>VLOOKUP(A162,[33]INDICE!$A$3:$D$334,2,FALSE)</f>
        <v>ACERO DE REFUERZO FY 4200 MPA.</v>
      </c>
      <c r="E162" s="649" t="str">
        <f>VLOOKUP(A162,[33]INDICE!$A$3:$D$334,3,FALSE)</f>
        <v>kg</v>
      </c>
      <c r="F162" s="654">
        <v>1986</v>
      </c>
      <c r="G162" s="688">
        <f>VLOOKUP(A162,[33]INDICE!$A$3:$D$334,4,FALSE)</f>
        <v>6085.8496982034649</v>
      </c>
      <c r="H162" s="652">
        <f t="shared" si="19"/>
        <v>12086497.500632081</v>
      </c>
      <c r="J162" s="625">
        <v>640.1</v>
      </c>
    </row>
    <row r="163" spans="1:10" s="625" customFormat="1" ht="26.1" customHeight="1">
      <c r="A163" s="1231" t="s">
        <v>559</v>
      </c>
      <c r="B163" s="631" t="str">
        <f t="shared" si="18"/>
        <v>671-13</v>
      </c>
      <c r="C163" s="631"/>
      <c r="D163" s="657" t="str">
        <f>VLOOKUP(A163,[33]INDICE!$A$3:$D$334,2,FALSE)</f>
        <v>CUNETA DE CONCRETO VACIADA IN SITU; INCLUYE LA CONFORMACION DE LA SUPERFICIE DE APOYO</v>
      </c>
      <c r="E163" s="649" t="str">
        <f>VLOOKUP(A163,[33]INDICE!$A$3:$D$334,3,FALSE)</f>
        <v>m3</v>
      </c>
      <c r="F163" s="655">
        <v>3</v>
      </c>
      <c r="G163" s="688">
        <f>VLOOKUP(A163,[33]INDICE!$A$3:$D$334,4,FALSE)</f>
        <v>841791.75196838728</v>
      </c>
      <c r="H163" s="652">
        <f t="shared" si="19"/>
        <v>2525375.2559051616</v>
      </c>
      <c r="J163" s="625">
        <v>671.3</v>
      </c>
    </row>
    <row r="164" spans="1:10" s="625" customFormat="1" ht="15" customHeight="1">
      <c r="A164" s="1231" t="s">
        <v>548</v>
      </c>
      <c r="B164" s="631" t="str">
        <f t="shared" si="18"/>
        <v>673-13</v>
      </c>
      <c r="C164" s="631"/>
      <c r="D164" s="657" t="str">
        <f>VLOOKUP(A164,[33]INDICE!$A$3:$D$334,2,FALSE)</f>
        <v>GEOTEXTIL  TIPO T-2400 O SIMILAR TEJIDO</v>
      </c>
      <c r="E164" s="649" t="str">
        <f>VLOOKUP(A164,[33]INDICE!$A$3:$D$334,3,FALSE)</f>
        <v>m2</v>
      </c>
      <c r="F164" s="654">
        <f>2.85*20</f>
        <v>57</v>
      </c>
      <c r="G164" s="688">
        <f>VLOOKUP(A164,[33]INDICE!$A$3:$D$334,4,FALSE)</f>
        <v>10983.835173625577</v>
      </c>
      <c r="H164" s="652">
        <f t="shared" si="19"/>
        <v>626078.60489665787</v>
      </c>
      <c r="J164" s="625">
        <v>673.1</v>
      </c>
    </row>
    <row r="165" spans="1:10" s="625" customFormat="1" ht="15" customHeight="1" thickBot="1">
      <c r="A165" s="1231" t="s">
        <v>560</v>
      </c>
      <c r="B165" s="631" t="str">
        <f t="shared" si="18"/>
        <v>673-13</v>
      </c>
      <c r="C165" s="631"/>
      <c r="D165" s="657" t="str">
        <f>VLOOKUP(A165,[33]INDICE!$A$3:$D$334,2,FALSE)</f>
        <v>MATERIAL GRANULAR DRENANTE</v>
      </c>
      <c r="E165" s="649" t="str">
        <f>VLOOKUP(A165,[33]INDICE!$A$3:$D$334,3,FALSE)</f>
        <v>m3</v>
      </c>
      <c r="F165" s="655">
        <v>18</v>
      </c>
      <c r="G165" s="688">
        <f>VLOOKUP(A165,[33]INDICE!$A$3:$D$334,4,FALSE)</f>
        <v>84364.417561781069</v>
      </c>
      <c r="H165" s="652">
        <f t="shared" si="19"/>
        <v>1518559.5161120594</v>
      </c>
      <c r="J165" s="625">
        <v>673.2</v>
      </c>
    </row>
    <row r="166" spans="1:10" s="625" customFormat="1" ht="15" customHeight="1" thickTop="1">
      <c r="A166" s="1234"/>
      <c r="B166" s="637"/>
      <c r="C166" s="637"/>
      <c r="D166" s="638"/>
      <c r="E166" s="659"/>
      <c r="F166" s="660"/>
      <c r="G166" s="670" t="s">
        <v>536</v>
      </c>
      <c r="H166" s="640">
        <f>SUM(H157:H165)</f>
        <v>91642497.914192185</v>
      </c>
      <c r="J166" s="690"/>
    </row>
    <row r="167" spans="1:10" s="625" customFormat="1" ht="15" customHeight="1">
      <c r="A167" s="1235"/>
      <c r="B167" s="641"/>
      <c r="C167" s="641"/>
      <c r="D167" s="642"/>
      <c r="E167" s="621"/>
      <c r="F167" s="647"/>
      <c r="G167" s="671" t="s">
        <v>537</v>
      </c>
      <c r="H167" s="644">
        <f>SUM(H166:H166)*0.05*0.19/1.3</f>
        <v>669695.17706525058</v>
      </c>
    </row>
    <row r="168" spans="1:10" s="625" customFormat="1" ht="15" customHeight="1" thickBot="1">
      <c r="A168" s="1236"/>
      <c r="B168" s="619"/>
      <c r="C168" s="619"/>
      <c r="D168" s="620"/>
      <c r="E168" s="621"/>
      <c r="F168" s="647"/>
      <c r="G168" s="671" t="s">
        <v>538</v>
      </c>
      <c r="H168" s="645">
        <f>+ROUND(H166+H167,0)</f>
        <v>92312193</v>
      </c>
      <c r="I168" s="630"/>
    </row>
    <row r="169" spans="1:10" s="625" customFormat="1" ht="15" customHeight="1" thickTop="1">
      <c r="A169" s="1236"/>
      <c r="B169" s="619"/>
      <c r="C169" s="619"/>
      <c r="D169" s="620"/>
      <c r="E169" s="621"/>
      <c r="F169" s="622"/>
      <c r="G169" s="623"/>
      <c r="H169" s="624"/>
    </row>
    <row r="170" spans="1:10" s="625" customFormat="1" ht="13.5" customHeight="1" thickBot="1">
      <c r="A170" s="1237"/>
      <c r="B170" s="627"/>
      <c r="C170" s="675" t="s">
        <v>570</v>
      </c>
      <c r="D170" s="1067"/>
      <c r="E170" s="1067"/>
      <c r="F170" s="1067"/>
      <c r="G170" s="1067"/>
      <c r="H170" s="1067"/>
      <c r="I170" s="630"/>
    </row>
    <row r="171" spans="1:10" s="625" customFormat="1" ht="15" customHeight="1" thickTop="1">
      <c r="A171" s="1231" t="s">
        <v>540</v>
      </c>
      <c r="B171" s="631" t="str">
        <f t="shared" ref="B171:B177" si="20">MID(A171,1,3)&amp;"-"&amp;13</f>
        <v>600-13</v>
      </c>
      <c r="C171" s="665"/>
      <c r="D171" s="657" t="str">
        <f>VLOOKUP(A171,[33]INDICE!$A$3:$D$334,2,FALSE)</f>
        <v>EXCAVACIONES VARIAS SIN CLASIFICAR</v>
      </c>
      <c r="E171" s="649" t="str">
        <f>VLOOKUP(A171,[33]INDICE!$A$3:$D$334,3,FALSE)</f>
        <v>m3</v>
      </c>
      <c r="F171" s="666">
        <f>60*0.5+50</f>
        <v>80</v>
      </c>
      <c r="G171" s="688">
        <f>VLOOKUP(A171,[33]INDICE!$A$3:$D$334,4,FALSE)</f>
        <v>67953.950275344076</v>
      </c>
      <c r="H171" s="667">
        <f t="shared" ref="H171:H177" si="21">F171*G171</f>
        <v>5436316.0220275261</v>
      </c>
      <c r="J171" s="625" t="s">
        <v>541</v>
      </c>
    </row>
    <row r="172" spans="1:10" s="625" customFormat="1" ht="15" customHeight="1">
      <c r="A172" s="1231" t="s">
        <v>544</v>
      </c>
      <c r="B172" s="631" t="str">
        <f>MID(A172,1,3)&amp;"-"&amp;13</f>
        <v>610-13</v>
      </c>
      <c r="C172" s="631"/>
      <c r="D172" s="657" t="str">
        <f>VLOOKUP(A172,[33]INDICE!$A$3:$D$334,2,FALSE)</f>
        <v>RELLENOS PARA ESTRUCTURAS CON SUELO.</v>
      </c>
      <c r="E172" s="649" t="str">
        <f>VLOOKUP(A172,[33]INDICE!$A$3:$D$334,3,FALSE)</f>
        <v>m3</v>
      </c>
      <c r="F172" s="653">
        <f>30*0.4</f>
        <v>12</v>
      </c>
      <c r="G172" s="688">
        <f>VLOOKUP(A172,[33]INDICE!$A$3:$D$334,4,FALSE)</f>
        <v>164362.8922747685</v>
      </c>
      <c r="H172" s="652">
        <f>F172*G172</f>
        <v>1972354.707297222</v>
      </c>
      <c r="J172" s="625">
        <v>610.1</v>
      </c>
    </row>
    <row r="173" spans="1:10" s="625" customFormat="1" ht="15" customHeight="1">
      <c r="A173" s="1231" t="s">
        <v>545</v>
      </c>
      <c r="B173" s="631" t="str">
        <f t="shared" si="20"/>
        <v>630-13</v>
      </c>
      <c r="C173" s="631"/>
      <c r="D173" s="657" t="str">
        <f>VLOOKUP(A173,[33]INDICE!$A$3:$D$334,2,FALSE)</f>
        <v>CONCRETO RESISTENCIA 17.5MPA (E )</v>
      </c>
      <c r="E173" s="649" t="str">
        <f>VLOOKUP(A173,[33]INDICE!$A$3:$D$334,3,FALSE)</f>
        <v>m3</v>
      </c>
      <c r="F173" s="655">
        <f>60*0.55</f>
        <v>33</v>
      </c>
      <c r="G173" s="688">
        <f>VLOOKUP(A173,[33]INDICE!$A$3:$D$334,4,FALSE)</f>
        <v>735031.04931538599</v>
      </c>
      <c r="H173" s="652">
        <f t="shared" si="21"/>
        <v>24256024.627407737</v>
      </c>
      <c r="J173" s="625">
        <v>630.5</v>
      </c>
    </row>
    <row r="174" spans="1:10" s="625" customFormat="1" ht="15" customHeight="1">
      <c r="A174" s="1231" t="s">
        <v>546</v>
      </c>
      <c r="B174" s="631" t="str">
        <f t="shared" si="20"/>
        <v>630-13</v>
      </c>
      <c r="C174" s="631"/>
      <c r="D174" s="657" t="str">
        <f>VLOOKUP(A174,[33]INDICE!$A$3:$D$334,2,FALSE)</f>
        <v>CONCRETO RESISTENCIA 14MPA (G) (CICLOPEO)</v>
      </c>
      <c r="E174" s="649" t="str">
        <f>VLOOKUP(A174,[33]INDICE!$A$3:$D$334,3,FALSE)</f>
        <v>m3</v>
      </c>
      <c r="F174" s="668">
        <v>15</v>
      </c>
      <c r="G174" s="688">
        <f>VLOOKUP(A174,[33]INDICE!$A$3:$D$334,4,FALSE)</f>
        <v>530138.01220093726</v>
      </c>
      <c r="H174" s="652">
        <f t="shared" si="21"/>
        <v>7952070.1830140585</v>
      </c>
      <c r="J174" s="625">
        <v>630.70000000000005</v>
      </c>
    </row>
    <row r="175" spans="1:10" s="625" customFormat="1" ht="12.95" customHeight="1">
      <c r="A175" s="1231" t="s">
        <v>554</v>
      </c>
      <c r="B175" s="631" t="str">
        <f t="shared" si="20"/>
        <v>640-13</v>
      </c>
      <c r="C175" s="631"/>
      <c r="D175" s="657" t="str">
        <f>VLOOKUP(A175,[33]INDICE!$A$3:$D$334,2,FALSE)</f>
        <v>ACERO DE REFUERZO FY 4200 MPA.</v>
      </c>
      <c r="E175" s="649" t="str">
        <f>VLOOKUP(A175,[33]INDICE!$A$3:$D$334,3,FALSE)</f>
        <v>kg</v>
      </c>
      <c r="F175" s="654">
        <f>F173*105</f>
        <v>3465</v>
      </c>
      <c r="G175" s="688">
        <f>VLOOKUP(A175,[33]INDICE!$A$3:$D$334,4,FALSE)</f>
        <v>6085.8496982034649</v>
      </c>
      <c r="H175" s="652">
        <f t="shared" si="21"/>
        <v>21087469.204275005</v>
      </c>
      <c r="J175" s="625">
        <v>640.1</v>
      </c>
    </row>
    <row r="176" spans="1:10" s="625" customFormat="1" ht="15" customHeight="1">
      <c r="A176" s="1231" t="s">
        <v>548</v>
      </c>
      <c r="B176" s="631" t="str">
        <f>MID(A176,1,3)&amp;"-"&amp;13</f>
        <v>673-13</v>
      </c>
      <c r="C176" s="631"/>
      <c r="D176" s="657" t="str">
        <f>VLOOKUP(A176,[33]INDICE!$A$3:$D$334,2,FALSE)</f>
        <v>GEOTEXTIL  TIPO T-2400 O SIMILAR TEJIDO</v>
      </c>
      <c r="E176" s="649" t="str">
        <f>VLOOKUP(A176,[33]INDICE!$A$3:$D$334,3,FALSE)</f>
        <v>m2</v>
      </c>
      <c r="F176" s="654">
        <v>80</v>
      </c>
      <c r="G176" s="688">
        <f>VLOOKUP(A176,[33]INDICE!$A$3:$D$334,4,FALSE)</f>
        <v>10983.835173625577</v>
      </c>
      <c r="H176" s="652">
        <f>F176*G176</f>
        <v>878706.81389004621</v>
      </c>
      <c r="J176" s="625">
        <v>673.1</v>
      </c>
    </row>
    <row r="177" spans="1:10" s="625" customFormat="1" ht="26.1" customHeight="1" thickBot="1">
      <c r="A177" s="1231" t="s">
        <v>549</v>
      </c>
      <c r="B177" s="631" t="str">
        <f t="shared" si="20"/>
        <v>681-13</v>
      </c>
      <c r="C177" s="631"/>
      <c r="D177" s="657" t="str">
        <f>VLOOKUP(A177,[33]INDICE!$A$3:$D$334,2,FALSE)</f>
        <v xml:space="preserve">GAVIÓNES DE MALLA DE ALAMBRE DE ACERO ENTRELAZADO  CLASE 1; RECUBRIMIENTO DE ZINC (GALVANIZADO) </v>
      </c>
      <c r="E177" s="649" t="str">
        <f>VLOOKUP(A177,[33]INDICE!$A$3:$D$334,3,FALSE)</f>
        <v>m3</v>
      </c>
      <c r="F177" s="654">
        <f>30*3</f>
        <v>90</v>
      </c>
      <c r="G177" s="688">
        <f>VLOOKUP(A177,[33]INDICE!$A$3:$D$334,4,FALSE)</f>
        <v>400986.60185015475</v>
      </c>
      <c r="H177" s="652">
        <f t="shared" si="21"/>
        <v>36088794.166513927</v>
      </c>
      <c r="J177" s="625">
        <v>681.1</v>
      </c>
    </row>
    <row r="178" spans="1:10" s="625" customFormat="1" ht="15" customHeight="1" thickTop="1">
      <c r="A178" s="1234"/>
      <c r="B178" s="637"/>
      <c r="C178" s="637"/>
      <c r="D178" s="638"/>
      <c r="E178" s="659"/>
      <c r="F178" s="660"/>
      <c r="G178" s="670" t="s">
        <v>536</v>
      </c>
      <c r="H178" s="640">
        <f>SUM(H171:H177)</f>
        <v>97671735.724425524</v>
      </c>
    </row>
    <row r="179" spans="1:10" s="625" customFormat="1" ht="15" customHeight="1">
      <c r="A179" s="1235"/>
      <c r="B179" s="641"/>
      <c r="C179" s="641"/>
      <c r="D179" s="642"/>
      <c r="E179" s="621"/>
      <c r="F179" s="647"/>
      <c r="G179" s="671" t="s">
        <v>537</v>
      </c>
      <c r="H179" s="644">
        <f>SUM(H178:H178)*0.05*0.19/1.3</f>
        <v>713754.99183234025</v>
      </c>
    </row>
    <row r="180" spans="1:10" s="625" customFormat="1" ht="15" customHeight="1" thickBot="1">
      <c r="A180" s="1236"/>
      <c r="B180" s="619"/>
      <c r="C180" s="619"/>
      <c r="D180" s="620"/>
      <c r="E180" s="621"/>
      <c r="F180" s="647"/>
      <c r="G180" s="671" t="s">
        <v>538</v>
      </c>
      <c r="H180" s="645">
        <f>+ROUND(H178+H179,0)</f>
        <v>98385491</v>
      </c>
      <c r="I180" s="630"/>
    </row>
    <row r="181" spans="1:10" s="625" customFormat="1" ht="15" customHeight="1" thickTop="1">
      <c r="A181" s="1236"/>
      <c r="B181" s="619"/>
      <c r="C181" s="619"/>
      <c r="D181" s="620"/>
      <c r="E181" s="621"/>
      <c r="G181" s="643"/>
      <c r="H181" s="624"/>
    </row>
    <row r="182" spans="1:10" s="625" customFormat="1" ht="13.5" thickBot="1">
      <c r="A182" s="1237"/>
      <c r="B182" s="627"/>
      <c r="C182" s="626" t="s">
        <v>571</v>
      </c>
      <c r="D182" s="626"/>
      <c r="E182" s="627"/>
      <c r="F182" s="626"/>
      <c r="G182" s="664"/>
      <c r="H182" s="629"/>
      <c r="I182" s="630"/>
    </row>
    <row r="183" spans="1:10" s="625" customFormat="1" ht="15" customHeight="1" thickTop="1">
      <c r="A183" s="1232" t="s">
        <v>540</v>
      </c>
      <c r="B183" s="632" t="str">
        <f t="shared" ref="B183:B190" si="22">MID(A183,1,3)&amp;"-"&amp;13</f>
        <v>600-13</v>
      </c>
      <c r="C183" s="632"/>
      <c r="D183" s="657" t="str">
        <f>VLOOKUP(A183,[33]INDICE!$A$3:$D$334,2,FALSE)</f>
        <v>EXCAVACIONES VARIAS SIN CLASIFICAR</v>
      </c>
      <c r="E183" s="649" t="str">
        <f>VLOOKUP(A183,[33]INDICE!$A$3:$D$334,3,FALSE)</f>
        <v>m3</v>
      </c>
      <c r="F183" s="662">
        <v>19</v>
      </c>
      <c r="G183" s="651">
        <f>VLOOKUP(A183,[33]INDICE!$A$3:$D$334,4,FALSE)</f>
        <v>67953.950275344076</v>
      </c>
      <c r="H183" s="636">
        <f t="shared" ref="H183:H190" si="23">F183*G183</f>
        <v>1291125.0552315374</v>
      </c>
    </row>
    <row r="184" spans="1:10" s="625" customFormat="1" ht="15" customHeight="1">
      <c r="A184" s="1231" t="s">
        <v>544</v>
      </c>
      <c r="B184" s="632" t="str">
        <f t="shared" si="22"/>
        <v>610-13</v>
      </c>
      <c r="C184" s="631"/>
      <c r="D184" s="657" t="str">
        <f>VLOOKUP(A184,[33]INDICE!$A$3:$D$334,2,FALSE)</f>
        <v>RELLENOS PARA ESTRUCTURAS CON SUELO.</v>
      </c>
      <c r="E184" s="649" t="str">
        <f>VLOOKUP(A184,[33]INDICE!$A$3:$D$334,3,FALSE)</f>
        <v>m3</v>
      </c>
      <c r="F184" s="654">
        <v>23</v>
      </c>
      <c r="G184" s="651">
        <f>VLOOKUP(A184,[33]INDICE!$A$3:$D$334,4,FALSE)</f>
        <v>164362.8922747685</v>
      </c>
      <c r="H184" s="636">
        <f t="shared" si="23"/>
        <v>3780346.5223196754</v>
      </c>
    </row>
    <row r="185" spans="1:10" s="625" customFormat="1" ht="15" customHeight="1">
      <c r="A185" s="1231" t="s">
        <v>553</v>
      </c>
      <c r="B185" s="632" t="str">
        <f t="shared" si="22"/>
        <v>630-13</v>
      </c>
      <c r="C185" s="631"/>
      <c r="D185" s="657" t="str">
        <f>VLOOKUP(A185,[33]INDICE!$A$3:$D$334,2,FALSE)</f>
        <v>CONCRETO RESISTENCIA 21MPA (D)</v>
      </c>
      <c r="E185" s="649" t="str">
        <f>VLOOKUP(A185,[33]INDICE!$A$3:$D$334,3,FALSE)</f>
        <v>m3</v>
      </c>
      <c r="F185" s="655">
        <v>9</v>
      </c>
      <c r="G185" s="651">
        <f>VLOOKUP(A185,[33]INDICE!$A$3:$D$334,4,FALSE)</f>
        <v>871855.23056364793</v>
      </c>
      <c r="H185" s="636">
        <f t="shared" si="23"/>
        <v>7846697.0750728315</v>
      </c>
    </row>
    <row r="186" spans="1:10" s="625" customFormat="1" ht="15" customHeight="1">
      <c r="A186" s="1231" t="s">
        <v>556</v>
      </c>
      <c r="B186" s="632" t="str">
        <f t="shared" si="22"/>
        <v>630-13</v>
      </c>
      <c r="C186" s="631"/>
      <c r="D186" s="657" t="str">
        <f>VLOOKUP(A186,[33]INDICE!$A$3:$D$334,2,FALSE)</f>
        <v>CONCRETO RESISTENCIA 14MPA  (F)</v>
      </c>
      <c r="E186" s="649" t="str">
        <f>VLOOKUP(A186,[33]INDICE!$A$3:$D$334,3,FALSE)</f>
        <v>m3</v>
      </c>
      <c r="F186" s="655">
        <v>1</v>
      </c>
      <c r="G186" s="651">
        <f>VLOOKUP(A186,[33]INDICE!$A$3:$D$334,4,FALSE)</f>
        <v>674387.0151947831</v>
      </c>
      <c r="H186" s="636">
        <f t="shared" si="23"/>
        <v>674387.0151947831</v>
      </c>
    </row>
    <row r="187" spans="1:10" s="625" customFormat="1" ht="15" customHeight="1">
      <c r="A187" s="1231" t="s">
        <v>554</v>
      </c>
      <c r="B187" s="632" t="str">
        <f t="shared" si="22"/>
        <v>640-13</v>
      </c>
      <c r="C187" s="631"/>
      <c r="D187" s="657" t="str">
        <f>VLOOKUP(A187,[33]INDICE!$A$3:$D$334,2,FALSE)</f>
        <v>ACERO DE REFUERZO FY 4200 MPA.</v>
      </c>
      <c r="E187" s="649" t="str">
        <f>VLOOKUP(A187,[33]INDICE!$A$3:$D$334,3,FALSE)</f>
        <v>kg</v>
      </c>
      <c r="F187" s="668">
        <v>219</v>
      </c>
      <c r="G187" s="651">
        <f>VLOOKUP(A187,[33]INDICE!$A$3:$D$334,4,FALSE)</f>
        <v>6085.8496982034649</v>
      </c>
      <c r="H187" s="636">
        <f t="shared" si="23"/>
        <v>1332801.0839065588</v>
      </c>
    </row>
    <row r="188" spans="1:10" s="625" customFormat="1" ht="26.1" customHeight="1">
      <c r="A188" s="1231" t="s">
        <v>548</v>
      </c>
      <c r="B188" s="632" t="str">
        <f t="shared" si="22"/>
        <v>673-13</v>
      </c>
      <c r="C188" s="631"/>
      <c r="D188" s="657" t="str">
        <f>VLOOKUP(A188,[33]INDICE!$A$3:$D$334,2,FALSE)</f>
        <v>GEOTEXTIL  TIPO T-2400 O SIMILAR TEJIDO</v>
      </c>
      <c r="E188" s="649" t="str">
        <f>VLOOKUP(A188,[33]INDICE!$A$3:$D$334,3,FALSE)</f>
        <v>m2</v>
      </c>
      <c r="F188" s="655">
        <v>20</v>
      </c>
      <c r="G188" s="651">
        <f>VLOOKUP(A188,[33]INDICE!$A$3:$D$334,4,FALSE)</f>
        <v>10983.835173625577</v>
      </c>
      <c r="H188" s="636">
        <f t="shared" si="23"/>
        <v>219676.70347251155</v>
      </c>
    </row>
    <row r="189" spans="1:10" s="625" customFormat="1" ht="36">
      <c r="A189" s="1231" t="s">
        <v>562</v>
      </c>
      <c r="B189" s="632" t="str">
        <f t="shared" si="22"/>
        <v>681-13</v>
      </c>
      <c r="C189" s="631"/>
      <c r="D189" s="657" t="str">
        <f>VLOOKUP(A189,[33]INDICE!$A$3:$D$334,2,FALSE)</f>
        <v>GAVIÓN DE MALLA DE ALAMBRE DE ACERO ENTRELAZADO  CLASE 3; RECUBRIMIENTO DE ZINC (GALVANIZADO) Y PVC</v>
      </c>
      <c r="E189" s="649" t="str">
        <f>VLOOKUP(A189,[33]INDICE!$A$3:$D$334,3,FALSE)</f>
        <v>m3</v>
      </c>
      <c r="F189" s="654">
        <v>20</v>
      </c>
      <c r="G189" s="651">
        <f>VLOOKUP(A189,[33]INDICE!$A$3:$D$334,4,FALSE)</f>
        <v>430730.76446905878</v>
      </c>
      <c r="H189" s="636">
        <f t="shared" si="23"/>
        <v>8614615.2893811762</v>
      </c>
    </row>
    <row r="190" spans="1:10" s="625" customFormat="1" ht="26.1" customHeight="1" thickBot="1">
      <c r="A190" s="1239" t="s">
        <v>572</v>
      </c>
      <c r="B190" s="672" t="str">
        <f t="shared" si="22"/>
        <v>810-13</v>
      </c>
      <c r="C190" s="672"/>
      <c r="D190" s="657" t="str">
        <f>VLOOKUP(A190,[33]INDICE!$A$3:$D$334,2,FALSE)</f>
        <v>PROTECCIÓN DE TALUDES CON HIDROSIEMBRA CONTROLADA.</v>
      </c>
      <c r="E190" s="649" t="str">
        <f>VLOOKUP(A190,[33]INDICE!$A$3:$D$334,3,FALSE)</f>
        <v>m2</v>
      </c>
      <c r="F190" s="673">
        <v>84</v>
      </c>
      <c r="G190" s="651">
        <f>VLOOKUP(A190,[33]INDICE!$A$3:$D$334,4,FALSE)</f>
        <v>5686.8539213130534</v>
      </c>
      <c r="H190" s="636">
        <f t="shared" si="23"/>
        <v>477695.7293902965</v>
      </c>
    </row>
    <row r="191" spans="1:10" s="625" customFormat="1" ht="15" customHeight="1" thickTop="1">
      <c r="A191" s="637"/>
      <c r="B191" s="637"/>
      <c r="C191" s="637"/>
      <c r="D191" s="638"/>
      <c r="E191" s="659"/>
      <c r="F191" s="669"/>
      <c r="G191" s="670" t="s">
        <v>536</v>
      </c>
      <c r="H191" s="640">
        <f>SUM(H183:H190)</f>
        <v>24237344.473969374</v>
      </c>
    </row>
    <row r="192" spans="1:10" s="625" customFormat="1" ht="15" customHeight="1">
      <c r="A192" s="641"/>
      <c r="B192" s="641"/>
      <c r="C192" s="641"/>
      <c r="D192" s="642"/>
      <c r="E192" s="621"/>
      <c r="G192" s="671" t="s">
        <v>537</v>
      </c>
      <c r="H192" s="644">
        <f>ROUND((+H191*0.05*0.19)/(1+0.3),0)</f>
        <v>177119</v>
      </c>
    </row>
    <row r="193" spans="1:10" s="625" customFormat="1" ht="15" customHeight="1" thickBot="1">
      <c r="A193" s="620"/>
      <c r="B193" s="619"/>
      <c r="C193" s="619"/>
      <c r="D193" s="620"/>
      <c r="E193" s="621"/>
      <c r="G193" s="671" t="s">
        <v>538</v>
      </c>
      <c r="H193" s="645">
        <f>+ROUND(H191+H192,0)</f>
        <v>24414463</v>
      </c>
      <c r="I193" s="630"/>
    </row>
    <row r="194" spans="1:10" s="625" customFormat="1" ht="15" customHeight="1" thickTop="1">
      <c r="A194" s="620"/>
      <c r="B194" s="619"/>
      <c r="C194" s="619"/>
      <c r="D194" s="620"/>
      <c r="E194" s="621"/>
      <c r="G194" s="643"/>
      <c r="H194" s="646"/>
      <c r="I194" s="630"/>
    </row>
    <row r="195" spans="1:10" s="625" customFormat="1" ht="13.5" customHeight="1" thickBot="1">
      <c r="A195" s="626"/>
      <c r="B195" s="627"/>
      <c r="C195" s="626" t="s">
        <v>573</v>
      </c>
      <c r="D195" s="626"/>
      <c r="E195" s="627"/>
      <c r="F195" s="626"/>
      <c r="G195" s="628"/>
      <c r="H195" s="629"/>
      <c r="I195" s="630"/>
    </row>
    <row r="196" spans="1:10" s="625" customFormat="1" ht="15" customHeight="1" thickTop="1">
      <c r="A196" s="1231" t="s">
        <v>552</v>
      </c>
      <c r="B196" s="631" t="str">
        <f>MID(A196,1,3)&amp;"-"&amp;13</f>
        <v>201-13</v>
      </c>
      <c r="C196" s="632"/>
      <c r="D196" s="657" t="str">
        <f>VLOOKUP(A196,[33]INDICE!$A$3:$D$334,2,FALSE)</f>
        <v>DEMOLICIÓN DE ESTRUCTURAS</v>
      </c>
      <c r="E196" s="649" t="str">
        <f>VLOOKUP(A196,[33]INDICE!$A$3:$D$334,3,FALSE)</f>
        <v>m3</v>
      </c>
      <c r="F196" s="662">
        <f>10</f>
        <v>10</v>
      </c>
      <c r="G196" s="688">
        <f>VLOOKUP(A196,[33]INDICE!$A$3:$D$334,4,FALSE)</f>
        <v>240341.82659000819</v>
      </c>
      <c r="H196" s="636">
        <f>F196*G196</f>
        <v>2403418.265900082</v>
      </c>
      <c r="I196" s="625">
        <v>201.7</v>
      </c>
    </row>
    <row r="197" spans="1:10" s="625" customFormat="1" ht="15" customHeight="1">
      <c r="A197" s="1231" t="s">
        <v>558</v>
      </c>
      <c r="B197" s="631" t="str">
        <f>MID(A197,1,3)&amp;"-"&amp;13</f>
        <v>330-13</v>
      </c>
      <c r="C197" s="689"/>
      <c r="D197" s="657" t="str">
        <f>VLOOKUP(A197,[33]INDICE!$A$3:$D$334,2,FALSE)</f>
        <v>BASE GRANULAR CLASE A</v>
      </c>
      <c r="E197" s="649" t="str">
        <f>VLOOKUP(A197,[33]INDICE!$A$3:$D$334,3,FALSE)</f>
        <v>m3</v>
      </c>
      <c r="F197" s="655">
        <f>20*0.5*3</f>
        <v>30</v>
      </c>
      <c r="G197" s="688">
        <f>VLOOKUP(A197,[33]INDICE!$A$3:$D$334,4,FALSE)</f>
        <v>375353.93049818149</v>
      </c>
      <c r="H197" s="652">
        <f>F197*G197</f>
        <v>11260617.914945444</v>
      </c>
      <c r="I197" s="625">
        <v>330.1</v>
      </c>
    </row>
    <row r="198" spans="1:10" s="625" customFormat="1" ht="26.1" customHeight="1">
      <c r="A198" s="1231" t="s">
        <v>574</v>
      </c>
      <c r="B198" s="631" t="str">
        <f>MID(A198,1,3)&amp;"-"&amp;13</f>
        <v>450-13</v>
      </c>
      <c r="C198" s="689"/>
      <c r="D198" s="657" t="str">
        <f>VLOOKUP(A198,[33]INDICE!$A$3:$D$335,2,FALSE)</f>
        <v>Mezcla Densa en Caliente tipo MDC-19 INCLUYE TRANSPORTE</v>
      </c>
      <c r="E198" s="649" t="str">
        <f>VLOOKUP(A198,[33]INDICE!$A$3:$D$334,3,FALSE)</f>
        <v>M3</v>
      </c>
      <c r="F198" s="694">
        <f>20*3*0.15</f>
        <v>9</v>
      </c>
      <c r="G198" s="688">
        <f>VLOOKUP(A198,[33]INDICE!$A$3:$D$334,4,FALSE)</f>
        <v>1299990.5178796239</v>
      </c>
      <c r="H198" s="652">
        <f>F198*G198</f>
        <v>11699914.660916615</v>
      </c>
      <c r="I198" s="625" t="s">
        <v>575</v>
      </c>
    </row>
    <row r="199" spans="1:10" s="625" customFormat="1" ht="15" customHeight="1">
      <c r="A199" s="1231" t="s">
        <v>540</v>
      </c>
      <c r="B199" s="631" t="str">
        <f t="shared" ref="B199:B207" si="24">MID(A199,1,3)&amp;"-"&amp;13</f>
        <v>600-13</v>
      </c>
      <c r="C199" s="631"/>
      <c r="D199" s="657" t="str">
        <f>VLOOKUP(A199,[33]INDICE!$A$3:$D$334,2,FALSE)</f>
        <v>EXCAVACIONES VARIAS SIN CLASIFICAR</v>
      </c>
      <c r="E199" s="649" t="str">
        <f>VLOOKUP(A199,[33]INDICE!$A$3:$D$334,3,FALSE)</f>
        <v>m3</v>
      </c>
      <c r="F199" s="654">
        <f>20*5.1*3.3</f>
        <v>336.59999999999997</v>
      </c>
      <c r="G199" s="688">
        <f>VLOOKUP(A199,[33]INDICE!$A$3:$D$334,4,FALSE)</f>
        <v>67953.950275344076</v>
      </c>
      <c r="H199" s="652">
        <f t="shared" ref="H199:H207" si="25">F199*G199</f>
        <v>22873299.662680812</v>
      </c>
      <c r="I199" s="625" t="s">
        <v>541</v>
      </c>
      <c r="J199" s="625" t="s">
        <v>576</v>
      </c>
    </row>
    <row r="200" spans="1:10" s="625" customFormat="1" ht="15" customHeight="1">
      <c r="A200" s="1231" t="s">
        <v>544</v>
      </c>
      <c r="B200" s="631" t="str">
        <f>MID(A200,1,3)&amp;"-"&amp;13</f>
        <v>610-13</v>
      </c>
      <c r="C200" s="631"/>
      <c r="D200" s="657" t="str">
        <f>VLOOKUP(A200,[33]INDICE!$A$3:$D$334,2,FALSE)</f>
        <v>RELLENOS PARA ESTRUCTURAS CON SUELO.</v>
      </c>
      <c r="E200" s="649" t="str">
        <f>VLOOKUP(A200,[33]INDICE!$A$3:$D$334,3,FALSE)</f>
        <v>m3</v>
      </c>
      <c r="F200" s="655">
        <f>19.67*20</f>
        <v>393.40000000000003</v>
      </c>
      <c r="G200" s="688">
        <f>VLOOKUP(A200,[33]INDICE!$A$3:$D$334,4,FALSE)</f>
        <v>164362.8922747685</v>
      </c>
      <c r="H200" s="652">
        <f>F200*G200</f>
        <v>64660361.820893936</v>
      </c>
      <c r="I200" s="625">
        <v>610.1</v>
      </c>
    </row>
    <row r="201" spans="1:10" s="625" customFormat="1" ht="15" customHeight="1">
      <c r="A201" s="1231" t="s">
        <v>553</v>
      </c>
      <c r="B201" s="631" t="str">
        <f t="shared" si="24"/>
        <v>630-13</v>
      </c>
      <c r="C201" s="631"/>
      <c r="D201" s="657" t="str">
        <f>VLOOKUP(A201,[33]INDICE!$A$3:$D$334,2,FALSE)</f>
        <v>CONCRETO RESISTENCIA 21MPA (D)</v>
      </c>
      <c r="E201" s="649" t="str">
        <f>VLOOKUP(A201,[33]INDICE!$A$3:$D$334,3,FALSE)</f>
        <v>m3</v>
      </c>
      <c r="F201" s="625">
        <f>3.94*20</f>
        <v>78.8</v>
      </c>
      <c r="G201" s="688">
        <f>VLOOKUP(A201,[33]INDICE!$A$3:$D$334,4,FALSE)</f>
        <v>871855.23056364793</v>
      </c>
      <c r="H201" s="652">
        <f t="shared" si="25"/>
        <v>68702192.168415457</v>
      </c>
      <c r="I201" s="625">
        <v>630.4</v>
      </c>
      <c r="J201" s="658"/>
    </row>
    <row r="202" spans="1:10" s="625" customFormat="1" ht="15" customHeight="1">
      <c r="A202" s="1231" t="s">
        <v>547</v>
      </c>
      <c r="B202" s="631" t="str">
        <f>MID(A202,1,3)&amp;"-"&amp;13</f>
        <v>630-13</v>
      </c>
      <c r="C202" s="631"/>
      <c r="D202" s="657" t="str">
        <f>VLOOKUP(A202,[33]INDICE!$A$3:$D$334,2,FALSE)</f>
        <v>BOLSACRETO 1M3(21MPA)</v>
      </c>
      <c r="E202" s="649" t="str">
        <f>VLOOKUP(A202,[33]INDICE!$A$3:$D$334,3,FALSE)</f>
        <v>M3</v>
      </c>
      <c r="F202" s="694">
        <f>60*4</f>
        <v>240</v>
      </c>
      <c r="G202" s="688">
        <f>VLOOKUP(A202,[33]INDICE!$A$3:$D$334,4,FALSE)</f>
        <v>1058308.5970719282</v>
      </c>
      <c r="H202" s="652">
        <f>F202*G202</f>
        <v>253994063.29726276</v>
      </c>
      <c r="I202" s="625" t="s">
        <v>547</v>
      </c>
    </row>
    <row r="203" spans="1:10" s="625" customFormat="1" ht="15" customHeight="1">
      <c r="A203" s="1231" t="s">
        <v>554</v>
      </c>
      <c r="B203" s="631" t="str">
        <f t="shared" si="24"/>
        <v>640-13</v>
      </c>
      <c r="C203" s="631"/>
      <c r="D203" s="657" t="str">
        <f>VLOOKUP(A203,[33]INDICE!$A$3:$D$334,2,FALSE)</f>
        <v>ACERO DE REFUERZO FY 4200 MPA.</v>
      </c>
      <c r="E203" s="649" t="str">
        <f>VLOOKUP(A203,[33]INDICE!$A$3:$D$334,3,FALSE)</f>
        <v>kg</v>
      </c>
      <c r="F203" s="654">
        <f>757*20</f>
        <v>15140</v>
      </c>
      <c r="G203" s="688">
        <f>VLOOKUP(A203,[33]INDICE!$A$3:$D$334,4,FALSE)</f>
        <v>6085.8496982034649</v>
      </c>
      <c r="H203" s="652">
        <f t="shared" si="25"/>
        <v>92139764.430800453</v>
      </c>
      <c r="I203" s="625">
        <v>640.1</v>
      </c>
    </row>
    <row r="204" spans="1:10" s="625" customFormat="1" ht="26.1" customHeight="1">
      <c r="A204" s="1231" t="s">
        <v>559</v>
      </c>
      <c r="B204" s="631" t="str">
        <f>MID(A204,1,3)&amp;"-"&amp;13</f>
        <v>671-13</v>
      </c>
      <c r="C204" s="631"/>
      <c r="D204" s="657" t="str">
        <f>VLOOKUP(A204,[33]INDICE!$A$3:$D$334,2,FALSE)</f>
        <v>CUNETA DE CONCRETO VACIADA IN SITU; INCLUYE LA CONFORMACION DE LA SUPERFICIE DE APOYO</v>
      </c>
      <c r="E204" s="649" t="str">
        <f>VLOOKUP(A204,[33]INDICE!$A$3:$D$334,3,FALSE)</f>
        <v>m3</v>
      </c>
      <c r="F204" s="655">
        <f>20*0.138</f>
        <v>2.7600000000000002</v>
      </c>
      <c r="G204" s="688">
        <f>VLOOKUP(A204,[33]INDICE!$A$3:$D$334,4,FALSE)</f>
        <v>841791.75196838728</v>
      </c>
      <c r="H204" s="652">
        <f>F204*G204</f>
        <v>2323345.2354327491</v>
      </c>
      <c r="I204" s="625">
        <v>671.3</v>
      </c>
    </row>
    <row r="205" spans="1:10" s="625" customFormat="1" ht="15" customHeight="1">
      <c r="A205" s="1231" t="s">
        <v>548</v>
      </c>
      <c r="B205" s="631" t="str">
        <f>MID(A205,1,3)&amp;"-"&amp;13</f>
        <v>673-13</v>
      </c>
      <c r="C205" s="631"/>
      <c r="D205" s="657" t="str">
        <f>VLOOKUP(A205,[33]INDICE!$A$3:$D$334,2,FALSE)</f>
        <v>GEOTEXTIL  TIPO T-2400 O SIMILAR TEJIDO</v>
      </c>
      <c r="E205" s="649" t="str">
        <f>VLOOKUP(A205,[33]INDICE!$A$3:$D$334,3,FALSE)</f>
        <v>m2</v>
      </c>
      <c r="F205" s="654">
        <f>5.9*20</f>
        <v>118</v>
      </c>
      <c r="G205" s="688">
        <f>VLOOKUP(A205,[33]INDICE!$A$3:$D$334,4,FALSE)</f>
        <v>10983.835173625577</v>
      </c>
      <c r="H205" s="652">
        <f>F205*G205</f>
        <v>1296092.5504878182</v>
      </c>
      <c r="I205" s="625">
        <v>673.1</v>
      </c>
    </row>
    <row r="206" spans="1:10" s="625" customFormat="1" ht="15" customHeight="1">
      <c r="A206" s="1231" t="s">
        <v>560</v>
      </c>
      <c r="B206" s="631" t="str">
        <f>MID(A206,1,3)&amp;"-"&amp;13</f>
        <v>673-13</v>
      </c>
      <c r="C206" s="631"/>
      <c r="D206" s="657" t="str">
        <f>VLOOKUP(A206,[33]INDICE!$A$3:$D$334,2,FALSE)</f>
        <v>MATERIAL GRANULAR DRENANTE</v>
      </c>
      <c r="E206" s="649" t="str">
        <f>VLOOKUP(A206,[33]INDICE!$A$3:$D$334,3,FALSE)</f>
        <v>m3</v>
      </c>
      <c r="F206" s="655">
        <f>20*1.77</f>
        <v>35.4</v>
      </c>
      <c r="G206" s="688">
        <f>VLOOKUP(A206,[33]INDICE!$A$3:$D$334,4,FALSE)</f>
        <v>84364.417561781069</v>
      </c>
      <c r="H206" s="652">
        <f>F206*G206</f>
        <v>2986500.3816870498</v>
      </c>
      <c r="I206" s="625">
        <v>673.2</v>
      </c>
    </row>
    <row r="207" spans="1:10" s="625" customFormat="1" ht="26.1" customHeight="1" thickBot="1">
      <c r="A207" s="1231" t="s">
        <v>549</v>
      </c>
      <c r="B207" s="631" t="str">
        <f t="shared" si="24"/>
        <v>681-13</v>
      </c>
      <c r="C207" s="631"/>
      <c r="D207" s="657" t="str">
        <f>VLOOKUP(A207,[33]INDICE!$A$3:$D$334,2,FALSE)</f>
        <v xml:space="preserve">GAVIÓNES DE MALLA DE ALAMBRE DE ACERO ENTRELAZADO  CLASE 1; RECUBRIMIENTO DE ZINC (GALVANIZADO) </v>
      </c>
      <c r="E207" s="649" t="str">
        <f>VLOOKUP(A207,[33]INDICE!$A$3:$D$334,3,FALSE)</f>
        <v>m3</v>
      </c>
      <c r="F207" s="654">
        <v>70</v>
      </c>
      <c r="G207" s="688">
        <f>VLOOKUP(A207,[33]INDICE!$A$3:$D$334,4,FALSE)</f>
        <v>400986.60185015475</v>
      </c>
      <c r="H207" s="652">
        <f t="shared" si="25"/>
        <v>28069062.129510831</v>
      </c>
      <c r="I207" s="625">
        <v>681.1</v>
      </c>
    </row>
    <row r="208" spans="1:10" s="625" customFormat="1" ht="15" customHeight="1" thickTop="1">
      <c r="A208" s="1234"/>
      <c r="B208" s="637"/>
      <c r="C208" s="637"/>
      <c r="D208" s="638"/>
      <c r="E208" s="659"/>
      <c r="F208" s="660"/>
      <c r="G208" s="670" t="s">
        <v>536</v>
      </c>
      <c r="H208" s="640">
        <f>SUM(H196:H207)</f>
        <v>562408632.51893401</v>
      </c>
    </row>
    <row r="209" spans="1:9" s="625" customFormat="1" ht="15" customHeight="1">
      <c r="A209" s="1235"/>
      <c r="B209" s="641"/>
      <c r="C209" s="641"/>
      <c r="D209" s="642"/>
      <c r="E209" s="621"/>
      <c r="F209" s="647"/>
      <c r="G209" s="671" t="s">
        <v>537</v>
      </c>
      <c r="H209" s="644">
        <f>SUM(H208:H208)*0.05*0.19/1.3</f>
        <v>4109909.2376383636</v>
      </c>
    </row>
    <row r="210" spans="1:9" s="625" customFormat="1" ht="15" customHeight="1" thickBot="1">
      <c r="A210" s="1236"/>
      <c r="B210" s="619"/>
      <c r="C210" s="619"/>
      <c r="D210" s="620"/>
      <c r="E210" s="621"/>
      <c r="F210" s="647"/>
      <c r="G210" s="671" t="s">
        <v>538</v>
      </c>
      <c r="H210" s="645">
        <f>+ROUND(H208+H209,0)</f>
        <v>566518542</v>
      </c>
      <c r="I210" s="630"/>
    </row>
    <row r="211" spans="1:9" s="625" customFormat="1" ht="15" customHeight="1" thickTop="1">
      <c r="A211" s="1236"/>
      <c r="B211" s="619"/>
      <c r="C211" s="619"/>
      <c r="D211" s="620"/>
      <c r="E211" s="621"/>
      <c r="F211" s="622"/>
      <c r="G211" s="623"/>
      <c r="H211" s="624"/>
    </row>
    <row r="212" spans="1:9" s="625" customFormat="1" ht="13.5" customHeight="1" thickBot="1">
      <c r="A212" s="1237"/>
      <c r="B212" s="627"/>
      <c r="C212" s="626" t="s">
        <v>577</v>
      </c>
      <c r="D212" s="626"/>
      <c r="E212" s="627"/>
      <c r="F212" s="626"/>
      <c r="G212" s="628"/>
      <c r="H212" s="629"/>
      <c r="I212" s="630"/>
    </row>
    <row r="213" spans="1:9" s="625" customFormat="1" ht="15" customHeight="1" thickTop="1">
      <c r="A213" s="1232" t="s">
        <v>552</v>
      </c>
      <c r="B213" s="632" t="str">
        <f>MID(A213,1,3)&amp;"-"&amp;13</f>
        <v>201-13</v>
      </c>
      <c r="C213" s="632"/>
      <c r="D213" s="657" t="str">
        <f>VLOOKUP(A213,[33]INDICE!$A$3:$D$334,2,FALSE)</f>
        <v>DEMOLICIÓN DE ESTRUCTURAS</v>
      </c>
      <c r="E213" s="649" t="str">
        <f>VLOOKUP(A213,[33]INDICE!$A$3:$D$334,3,FALSE)</f>
        <v>m3</v>
      </c>
      <c r="F213" s="662">
        <v>1</v>
      </c>
      <c r="G213" s="688">
        <f>VLOOKUP(A213,[33]INDICE!$A$3:$D$334,4,FALSE)</f>
        <v>240341.82659000819</v>
      </c>
      <c r="H213" s="636">
        <f>F213*G213</f>
        <v>240341.82659000819</v>
      </c>
      <c r="I213" s="625">
        <v>201.7</v>
      </c>
    </row>
    <row r="214" spans="1:9" s="625" customFormat="1" ht="15" customHeight="1">
      <c r="A214" s="1231" t="s">
        <v>540</v>
      </c>
      <c r="B214" s="631" t="str">
        <f t="shared" ref="B214:B220" si="26">MID(A214,1,3)&amp;"-"&amp;13</f>
        <v>600-13</v>
      </c>
      <c r="C214" s="631"/>
      <c r="D214" s="657" t="str">
        <f>VLOOKUP(A214,[33]INDICE!$A$3:$D$334,2,FALSE)</f>
        <v>EXCAVACIONES VARIAS SIN CLASIFICAR</v>
      </c>
      <c r="E214" s="649" t="str">
        <f>VLOOKUP(A214,[33]INDICE!$A$3:$D$334,3,FALSE)</f>
        <v>m3</v>
      </c>
      <c r="F214" s="654">
        <v>12</v>
      </c>
      <c r="G214" s="688">
        <f>VLOOKUP(A214,[33]INDICE!$A$3:$D$334,4,FALSE)</f>
        <v>67953.950275344076</v>
      </c>
      <c r="H214" s="652">
        <f t="shared" ref="H214:H220" si="27">F214*G214</f>
        <v>815447.40330412891</v>
      </c>
      <c r="I214" s="625" t="s">
        <v>541</v>
      </c>
    </row>
    <row r="215" spans="1:9" s="625" customFormat="1" ht="15" customHeight="1">
      <c r="A215" s="1231" t="s">
        <v>544</v>
      </c>
      <c r="B215" s="631" t="str">
        <f>MID(A215,1,3)&amp;"-"&amp;13</f>
        <v>610-13</v>
      </c>
      <c r="C215" s="631"/>
      <c r="D215" s="657" t="str">
        <f>VLOOKUP(A215,[33]INDICE!$A$3:$D$334,2,FALSE)</f>
        <v>RELLENOS PARA ESTRUCTURAS CON SUELO.</v>
      </c>
      <c r="E215" s="649" t="str">
        <f>VLOOKUP(A215,[33]INDICE!$A$3:$D$334,3,FALSE)</f>
        <v>m3</v>
      </c>
      <c r="F215" s="655">
        <f>+F214*0.6</f>
        <v>7.1999999999999993</v>
      </c>
      <c r="G215" s="688">
        <f>VLOOKUP(A215,[33]INDICE!$A$3:$D$334,4,FALSE)</f>
        <v>164362.8922747685</v>
      </c>
      <c r="H215" s="652">
        <f>F215*G215</f>
        <v>1183412.8243783331</v>
      </c>
      <c r="I215" s="625">
        <v>610.1</v>
      </c>
    </row>
    <row r="216" spans="1:9" s="625" customFormat="1" ht="15" customHeight="1">
      <c r="A216" s="1231" t="s">
        <v>545</v>
      </c>
      <c r="B216" s="631" t="str">
        <f t="shared" si="26"/>
        <v>630-13</v>
      </c>
      <c r="C216" s="631"/>
      <c r="D216" s="657" t="str">
        <f>VLOOKUP(A216,[33]INDICE!$A$3:$D$334,2,FALSE)</f>
        <v>CONCRETO RESISTENCIA 17.5MPA (E )</v>
      </c>
      <c r="E216" s="649" t="str">
        <f>VLOOKUP(A216,[33]INDICE!$A$3:$D$334,3,FALSE)</f>
        <v>m3</v>
      </c>
      <c r="F216" s="655">
        <v>4</v>
      </c>
      <c r="G216" s="688">
        <f>VLOOKUP(A216,[33]INDICE!$A$3:$D$334,4,FALSE)</f>
        <v>735031.04931538599</v>
      </c>
      <c r="H216" s="652">
        <f t="shared" si="27"/>
        <v>2940124.1972615439</v>
      </c>
      <c r="I216" s="625">
        <v>630.5</v>
      </c>
    </row>
    <row r="217" spans="1:9" s="625" customFormat="1" ht="15" customHeight="1">
      <c r="A217" s="1231" t="s">
        <v>546</v>
      </c>
      <c r="B217" s="631" t="str">
        <f t="shared" si="26"/>
        <v>630-13</v>
      </c>
      <c r="C217" s="631"/>
      <c r="D217" s="657" t="str">
        <f>VLOOKUP(A217,[33]INDICE!$A$3:$D$334,2,FALSE)</f>
        <v>CONCRETO RESISTENCIA 14MPA (G) (CICLOPEO)</v>
      </c>
      <c r="E217" s="649" t="str">
        <f>VLOOKUP(A217,[33]INDICE!$A$3:$D$334,3,FALSE)</f>
        <v>m3</v>
      </c>
      <c r="F217" s="668">
        <v>4</v>
      </c>
      <c r="G217" s="688">
        <f>VLOOKUP(A217,[33]INDICE!$A$3:$D$334,4,FALSE)</f>
        <v>530138.01220093726</v>
      </c>
      <c r="H217" s="652">
        <f t="shared" si="27"/>
        <v>2120552.048803749</v>
      </c>
      <c r="I217" s="625">
        <v>630.70000000000005</v>
      </c>
    </row>
    <row r="218" spans="1:9" s="625" customFormat="1" ht="26.1" customHeight="1">
      <c r="A218" s="1231" t="s">
        <v>559</v>
      </c>
      <c r="B218" s="631" t="str">
        <f>MID(A218,1,3)&amp;"-"&amp;13</f>
        <v>671-13</v>
      </c>
      <c r="C218" s="631"/>
      <c r="D218" s="657" t="str">
        <f>VLOOKUP(A218,[33]INDICE!$A$3:$D$334,2,FALSE)</f>
        <v>CUNETA DE CONCRETO VACIADA IN SITU; INCLUYE LA CONFORMACION DE LA SUPERFICIE DE APOYO</v>
      </c>
      <c r="E218" s="649" t="str">
        <f>VLOOKUP(A218,[33]INDICE!$A$3:$D$334,3,FALSE)</f>
        <v>m3</v>
      </c>
      <c r="F218" s="655">
        <f>25*0.138</f>
        <v>3.45</v>
      </c>
      <c r="G218" s="688">
        <f>VLOOKUP(A218,[33]INDICE!$A$3:$D$334,4,FALSE)</f>
        <v>841791.75196838728</v>
      </c>
      <c r="H218" s="652">
        <f>F218*G218</f>
        <v>2904181.5442909361</v>
      </c>
      <c r="I218" s="625">
        <v>671.3</v>
      </c>
    </row>
    <row r="219" spans="1:9" s="625" customFormat="1" ht="15" customHeight="1">
      <c r="A219" s="1233" t="s">
        <v>548</v>
      </c>
      <c r="B219" s="683" t="str">
        <f>MID(A219,1,3)&amp;"-"&amp;13</f>
        <v>673-13</v>
      </c>
      <c r="C219" s="683"/>
      <c r="D219" s="657" t="str">
        <f>VLOOKUP(A219,[33]INDICE!$A$3:$D$334,2,FALSE)</f>
        <v>GEOTEXTIL  TIPO T-2400 O SIMILAR TEJIDO</v>
      </c>
      <c r="E219" s="649" t="str">
        <f>VLOOKUP(A219,[33]INDICE!$A$3:$D$334,3,FALSE)</f>
        <v>m2</v>
      </c>
      <c r="F219" s="687">
        <f>(25+2)*2</f>
        <v>54</v>
      </c>
      <c r="G219" s="688">
        <f>VLOOKUP(A219,[33]INDICE!$A$3:$D$334,4,FALSE)</f>
        <v>10983.835173625577</v>
      </c>
      <c r="H219" s="686">
        <f>F219*G219</f>
        <v>593127.09937578114</v>
      </c>
      <c r="I219" s="625">
        <v>673.1</v>
      </c>
    </row>
    <row r="220" spans="1:9" s="625" customFormat="1" ht="26.1" customHeight="1" thickBot="1">
      <c r="A220" s="1231" t="s">
        <v>549</v>
      </c>
      <c r="B220" s="631" t="str">
        <f t="shared" si="26"/>
        <v>681-13</v>
      </c>
      <c r="C220" s="631"/>
      <c r="D220" s="657" t="str">
        <f>VLOOKUP(A220,[33]INDICE!$A$3:$D$334,2,FALSE)</f>
        <v xml:space="preserve">GAVIÓNES DE MALLA DE ALAMBRE DE ACERO ENTRELAZADO  CLASE 1; RECUBRIMIENTO DE ZINC (GALVANIZADO) </v>
      </c>
      <c r="E220" s="649" t="str">
        <f>VLOOKUP(A220,[33]INDICE!$A$3:$D$334,3,FALSE)</f>
        <v>m3</v>
      </c>
      <c r="F220" s="654">
        <f>25*6</f>
        <v>150</v>
      </c>
      <c r="G220" s="688">
        <f>VLOOKUP(A220,[33]INDICE!$A$3:$D$334,4,FALSE)</f>
        <v>400986.60185015475</v>
      </c>
      <c r="H220" s="652">
        <f t="shared" si="27"/>
        <v>60147990.277523212</v>
      </c>
      <c r="I220" s="625">
        <v>681.1</v>
      </c>
    </row>
    <row r="221" spans="1:9" s="625" customFormat="1" ht="15" customHeight="1" thickTop="1">
      <c r="A221" s="1234"/>
      <c r="B221" s="637"/>
      <c r="C221" s="637"/>
      <c r="D221" s="638"/>
      <c r="E221" s="659"/>
      <c r="F221" s="660"/>
      <c r="G221" s="670" t="s">
        <v>536</v>
      </c>
      <c r="H221" s="640">
        <f>SUM(H213:H220)</f>
        <v>70945177.221527696</v>
      </c>
    </row>
    <row r="222" spans="1:9" s="625" customFormat="1" ht="15" customHeight="1">
      <c r="A222" s="1235"/>
      <c r="B222" s="641"/>
      <c r="C222" s="641"/>
      <c r="D222" s="642"/>
      <c r="E222" s="621"/>
      <c r="F222" s="647"/>
      <c r="G222" s="671" t="s">
        <v>537</v>
      </c>
      <c r="H222" s="644">
        <f>SUM(H221:H221)*0.05*0.19/1.3</f>
        <v>518445.52584962541</v>
      </c>
    </row>
    <row r="223" spans="1:9" s="625" customFormat="1" ht="15" customHeight="1" thickBot="1">
      <c r="A223" s="1236"/>
      <c r="B223" s="619"/>
      <c r="C223" s="619"/>
      <c r="D223" s="620"/>
      <c r="E223" s="621"/>
      <c r="F223" s="647"/>
      <c r="G223" s="671" t="s">
        <v>538</v>
      </c>
      <c r="H223" s="645">
        <f>+ROUND(H221+H222,0)</f>
        <v>71463623</v>
      </c>
      <c r="I223" s="630"/>
    </row>
    <row r="224" spans="1:9" s="625" customFormat="1" ht="15" customHeight="1" thickTop="1">
      <c r="A224" s="1236"/>
      <c r="B224" s="619"/>
      <c r="C224" s="619"/>
      <c r="D224" s="620"/>
      <c r="E224" s="621"/>
      <c r="F224" s="647"/>
      <c r="G224" s="643"/>
      <c r="H224" s="646"/>
      <c r="I224" s="630"/>
    </row>
    <row r="225" spans="1:9" s="625" customFormat="1" ht="13.5" customHeight="1" thickBot="1">
      <c r="A225" s="1237"/>
      <c r="B225" s="674"/>
      <c r="C225" s="675" t="s">
        <v>578</v>
      </c>
      <c r="D225" s="675"/>
      <c r="E225" s="675"/>
      <c r="F225" s="675"/>
      <c r="G225" s="675"/>
      <c r="H225" s="675"/>
    </row>
    <row r="226" spans="1:9" s="625" customFormat="1" ht="13.5" thickTop="1">
      <c r="A226" s="1231" t="s">
        <v>552</v>
      </c>
      <c r="B226" s="631" t="str">
        <f t="shared" ref="B226:B231" si="28">MID(A226,1,3)&amp;"-"&amp;13</f>
        <v>201-13</v>
      </c>
      <c r="C226" s="631"/>
      <c r="D226" s="657" t="str">
        <f>VLOOKUP(A226,[33]INDICE!$A$3:$D$334,2,FALSE)</f>
        <v>DEMOLICIÓN DE ESTRUCTURAS</v>
      </c>
      <c r="E226" s="649" t="str">
        <f>VLOOKUP(A226,[33]INDICE!$A$3:$D$334,3,FALSE)</f>
        <v>m3</v>
      </c>
      <c r="F226" s="654">
        <v>5</v>
      </c>
      <c r="G226" s="651">
        <f>VLOOKUP(A226,[33]INDICE!$A$3:$D$334,4,FALSE)</f>
        <v>240341.82659000819</v>
      </c>
      <c r="H226" s="652">
        <f t="shared" ref="H226:H231" si="29">F226*G226</f>
        <v>1201709.132950041</v>
      </c>
    </row>
    <row r="227" spans="1:9" s="625" customFormat="1" ht="15" customHeight="1">
      <c r="A227" s="1232" t="s">
        <v>544</v>
      </c>
      <c r="B227" s="632" t="str">
        <f t="shared" si="28"/>
        <v>610-13</v>
      </c>
      <c r="C227" s="632"/>
      <c r="D227" s="657" t="str">
        <f>VLOOKUP(A227,[33]INDICE!$A$3:$D$334,2,FALSE)</f>
        <v>RELLENOS PARA ESTRUCTURAS CON SUELO.</v>
      </c>
      <c r="E227" s="649" t="str">
        <f>VLOOKUP(A227,[33]INDICE!$A$3:$D$334,3,FALSE)</f>
        <v>m3</v>
      </c>
      <c r="F227" s="653">
        <v>20</v>
      </c>
      <c r="G227" s="651">
        <f>VLOOKUP(A227,[33]INDICE!$A$3:$D$334,4,FALSE)</f>
        <v>164362.8922747685</v>
      </c>
      <c r="H227" s="636">
        <f t="shared" si="29"/>
        <v>3287257.8454953702</v>
      </c>
    </row>
    <row r="228" spans="1:9" s="625" customFormat="1" ht="15" customHeight="1">
      <c r="A228" s="1231" t="s">
        <v>556</v>
      </c>
      <c r="B228" s="631" t="str">
        <f t="shared" si="28"/>
        <v>630-13</v>
      </c>
      <c r="C228" s="631"/>
      <c r="D228" s="657" t="str">
        <f>VLOOKUP(A228,[33]INDICE!$A$3:$D$334,2,FALSE)</f>
        <v>CONCRETO RESISTENCIA 14MPA  (F)</v>
      </c>
      <c r="E228" s="649" t="str">
        <f>VLOOKUP(A228,[33]INDICE!$A$3:$D$334,3,FALSE)</f>
        <v>m3</v>
      </c>
      <c r="F228" s="655">
        <v>2</v>
      </c>
      <c r="G228" s="651">
        <f>VLOOKUP(A228,[33]INDICE!$A$3:$D$334,4,FALSE)</f>
        <v>674387.0151947831</v>
      </c>
      <c r="H228" s="652">
        <f t="shared" si="29"/>
        <v>1348774.0303895662</v>
      </c>
    </row>
    <row r="229" spans="1:9" s="625" customFormat="1" ht="36">
      <c r="A229" s="1231" t="s">
        <v>559</v>
      </c>
      <c r="B229" s="631" t="str">
        <f t="shared" si="28"/>
        <v>671-13</v>
      </c>
      <c r="C229" s="631"/>
      <c r="D229" s="657" t="str">
        <f>VLOOKUP(A229,[33]INDICE!$A$3:$D$334,2,FALSE)</f>
        <v>CUNETA DE CONCRETO VACIADA IN SITU; INCLUYE LA CONFORMACION DE LA SUPERFICIE DE APOYO</v>
      </c>
      <c r="E229" s="649" t="str">
        <f>VLOOKUP(A229,[33]INDICE!$A$3:$D$334,3,FALSE)</f>
        <v>m3</v>
      </c>
      <c r="F229" s="668">
        <v>5</v>
      </c>
      <c r="G229" s="651">
        <f>VLOOKUP(A229,[33]INDICE!$A$3:$D$334,4,FALSE)</f>
        <v>841791.75196838728</v>
      </c>
      <c r="H229" s="652">
        <f t="shared" si="29"/>
        <v>4208958.7598419366</v>
      </c>
    </row>
    <row r="230" spans="1:9" s="625" customFormat="1" ht="15" customHeight="1">
      <c r="A230" s="1231" t="s">
        <v>548</v>
      </c>
      <c r="B230" s="631" t="str">
        <f t="shared" si="28"/>
        <v>673-13</v>
      </c>
      <c r="C230" s="631"/>
      <c r="D230" s="657" t="str">
        <f>VLOOKUP(A230,[33]INDICE!$A$3:$D$334,2,FALSE)</f>
        <v>GEOTEXTIL  TIPO T-2400 O SIMILAR TEJIDO</v>
      </c>
      <c r="E230" s="649" t="str">
        <f>VLOOKUP(A230,[33]INDICE!$A$3:$D$334,3,FALSE)</f>
        <v>m2</v>
      </c>
      <c r="F230" s="654">
        <v>60</v>
      </c>
      <c r="G230" s="651">
        <f>VLOOKUP(A230,[33]INDICE!$A$3:$D$334,4,FALSE)</f>
        <v>10983.835173625577</v>
      </c>
      <c r="H230" s="652">
        <f t="shared" si="29"/>
        <v>659030.1104175346</v>
      </c>
    </row>
    <row r="231" spans="1:9" s="625" customFormat="1" ht="36.75" thickBot="1">
      <c r="A231" s="1239" t="s">
        <v>562</v>
      </c>
      <c r="B231" s="672" t="str">
        <f t="shared" si="28"/>
        <v>681-13</v>
      </c>
      <c r="C231" s="672"/>
      <c r="D231" s="676" t="str">
        <f>VLOOKUP(A231,[33]INDICE!$A$3:$D$334,2,FALSE)</f>
        <v>GAVIÓN DE MALLA DE ALAMBRE DE ACERO ENTRELAZADO  CLASE 3; RECUBRIMIENTO DE ZINC (GALVANIZADO) Y PVC</v>
      </c>
      <c r="E231" s="677" t="str">
        <f>VLOOKUP(A231,[33]INDICE!$A$3:$D$334,3,FALSE)</f>
        <v>m3</v>
      </c>
      <c r="F231" s="673">
        <v>60</v>
      </c>
      <c r="G231" s="678">
        <f>VLOOKUP(A231,[33]INDICE!$A$3:$D$334,4,FALSE)</f>
        <v>430730.76446905878</v>
      </c>
      <c r="H231" s="679">
        <f t="shared" si="29"/>
        <v>25843845.868143525</v>
      </c>
    </row>
    <row r="232" spans="1:9" s="625" customFormat="1" ht="15" customHeight="1" thickTop="1">
      <c r="A232" s="1235"/>
      <c r="B232" s="641"/>
      <c r="C232" s="641"/>
      <c r="D232" s="680"/>
      <c r="E232" s="621"/>
      <c r="G232" s="643" t="s">
        <v>536</v>
      </c>
      <c r="H232" s="681">
        <f>SUM(H226:H231)</f>
        <v>36549575.747237973</v>
      </c>
    </row>
    <row r="233" spans="1:9" s="625" customFormat="1" ht="15" customHeight="1">
      <c r="A233" s="1235"/>
      <c r="B233" s="641"/>
      <c r="C233" s="641"/>
      <c r="D233" s="642"/>
      <c r="E233" s="621"/>
      <c r="G233" s="643" t="s">
        <v>537</v>
      </c>
      <c r="H233" s="644">
        <f>ROUND((+H232*0.05*0.19)/(1+0.3),0)</f>
        <v>267093</v>
      </c>
    </row>
    <row r="234" spans="1:9" s="625" customFormat="1" ht="15" customHeight="1" thickBot="1">
      <c r="A234" s="1236"/>
      <c r="B234" s="619"/>
      <c r="C234" s="619"/>
      <c r="D234" s="620"/>
      <c r="E234" s="621"/>
      <c r="G234" s="643" t="s">
        <v>538</v>
      </c>
      <c r="H234" s="645">
        <f>+ROUND(H232+H233,0)</f>
        <v>36816669</v>
      </c>
    </row>
    <row r="235" spans="1:9" s="625" customFormat="1" ht="15" customHeight="1" thickTop="1">
      <c r="A235" s="1236"/>
      <c r="B235" s="619"/>
      <c r="C235" s="619"/>
      <c r="D235" s="620"/>
      <c r="E235" s="621"/>
      <c r="G235" s="643"/>
      <c r="H235" s="646"/>
    </row>
    <row r="236" spans="1:9" s="625" customFormat="1" ht="13.5" thickBot="1">
      <c r="A236" s="1237"/>
      <c r="B236" s="627"/>
      <c r="C236" s="626" t="s">
        <v>579</v>
      </c>
      <c r="D236" s="626"/>
      <c r="E236" s="627"/>
      <c r="F236" s="626"/>
      <c r="G236" s="628"/>
      <c r="H236" s="629"/>
      <c r="I236" s="630"/>
    </row>
    <row r="237" spans="1:9" s="625" customFormat="1" ht="15" customHeight="1" thickTop="1">
      <c r="A237" s="1240" t="s">
        <v>540</v>
      </c>
      <c r="B237" s="665" t="str">
        <f>MID(A237,1,3)&amp;"-"&amp;13</f>
        <v>600-13</v>
      </c>
      <c r="C237" s="665"/>
      <c r="D237" s="657" t="str">
        <f>VLOOKUP(A237,[33]INDICE!$A$3:$D$334,2,FALSE)</f>
        <v>EXCAVACIONES VARIAS SIN CLASIFICAR</v>
      </c>
      <c r="E237" s="649" t="str">
        <f>VLOOKUP(A237,[33]INDICE!$A$3:$D$334,3,FALSE)</f>
        <v>m3</v>
      </c>
      <c r="F237" s="682">
        <v>20</v>
      </c>
      <c r="G237" s="651">
        <f>VLOOKUP(A237,[33]INDICE!$A$3:$D$334,4,FALSE)</f>
        <v>67953.950275344076</v>
      </c>
      <c r="H237" s="667">
        <f>F237*G237</f>
        <v>1359079.0055068815</v>
      </c>
    </row>
    <row r="238" spans="1:9" s="625" customFormat="1" ht="15" customHeight="1">
      <c r="A238" s="1233" t="s">
        <v>544</v>
      </c>
      <c r="B238" s="683" t="str">
        <f t="shared" ref="B238:B243" si="30">MID(A238,1,3)&amp;"-"&amp;13</f>
        <v>610-13</v>
      </c>
      <c r="C238" s="684"/>
      <c r="D238" s="657" t="str">
        <f>VLOOKUP(A238,[33]INDICE!$A$3:$D$334,2,FALSE)</f>
        <v>RELLENOS PARA ESTRUCTURAS CON SUELO.</v>
      </c>
      <c r="E238" s="649" t="str">
        <f>VLOOKUP(A238,[33]INDICE!$A$3:$D$334,3,FALSE)</f>
        <v>m3</v>
      </c>
      <c r="F238" s="685">
        <v>26</v>
      </c>
      <c r="G238" s="651">
        <f>VLOOKUP(A238,[33]INDICE!$A$3:$D$334,4,FALSE)</f>
        <v>164362.8922747685</v>
      </c>
      <c r="H238" s="686">
        <f t="shared" ref="H238:H243" si="31">F238*G238</f>
        <v>4273435.1991439806</v>
      </c>
    </row>
    <row r="239" spans="1:9" s="625" customFormat="1" ht="15" customHeight="1">
      <c r="A239" s="1231" t="s">
        <v>553</v>
      </c>
      <c r="B239" s="631" t="str">
        <f t="shared" si="30"/>
        <v>630-13</v>
      </c>
      <c r="C239" s="683"/>
      <c r="D239" s="657" t="str">
        <f>VLOOKUP(A239,[33]INDICE!$A$3:$D$334,2,FALSE)</f>
        <v>CONCRETO RESISTENCIA 21MPA (D)</v>
      </c>
      <c r="E239" s="649" t="str">
        <f>VLOOKUP(A239,[33]INDICE!$A$3:$D$334,3,FALSE)</f>
        <v>m3</v>
      </c>
      <c r="F239" s="687">
        <v>12</v>
      </c>
      <c r="G239" s="651">
        <f>VLOOKUP(A239,[33]INDICE!$A$3:$D$334,4,FALSE)</f>
        <v>871855.23056364793</v>
      </c>
      <c r="H239" s="686">
        <f t="shared" si="31"/>
        <v>10462262.766763775</v>
      </c>
    </row>
    <row r="240" spans="1:9" s="625" customFormat="1" ht="15" customHeight="1">
      <c r="A240" s="1231" t="s">
        <v>556</v>
      </c>
      <c r="B240" s="631" t="str">
        <f t="shared" si="30"/>
        <v>630-13</v>
      </c>
      <c r="C240" s="631"/>
      <c r="D240" s="657" t="str">
        <f>VLOOKUP(A240,[33]INDICE!$A$3:$D$334,2,FALSE)</f>
        <v>CONCRETO RESISTENCIA 14MPA  (F)</v>
      </c>
      <c r="E240" s="649" t="str">
        <f>VLOOKUP(A240,[33]INDICE!$A$3:$D$334,3,FALSE)</f>
        <v>m3</v>
      </c>
      <c r="F240" s="653">
        <v>1</v>
      </c>
      <c r="G240" s="651">
        <f>VLOOKUP(A240,[33]INDICE!$A$3:$D$334,4,FALSE)</f>
        <v>674387.0151947831</v>
      </c>
      <c r="H240" s="652">
        <f t="shared" si="31"/>
        <v>674387.0151947831</v>
      </c>
    </row>
    <row r="241" spans="1:10" s="625" customFormat="1" ht="15" customHeight="1">
      <c r="A241" s="1231" t="s">
        <v>548</v>
      </c>
      <c r="B241" s="631" t="str">
        <f t="shared" si="30"/>
        <v>673-13</v>
      </c>
      <c r="C241" s="631"/>
      <c r="D241" s="657" t="str">
        <f>VLOOKUP(A241,[33]INDICE!$A$3:$D$334,2,FALSE)</f>
        <v>GEOTEXTIL  TIPO T-2400 O SIMILAR TEJIDO</v>
      </c>
      <c r="E241" s="649" t="str">
        <f>VLOOKUP(A241,[33]INDICE!$A$3:$D$334,3,FALSE)</f>
        <v>m2</v>
      </c>
      <c r="F241" s="655">
        <v>30</v>
      </c>
      <c r="G241" s="651">
        <f>VLOOKUP(A241,[33]INDICE!$A$3:$D$334,4,FALSE)</f>
        <v>10983.835173625577</v>
      </c>
      <c r="H241" s="652">
        <f t="shared" si="31"/>
        <v>329515.0552087673</v>
      </c>
      <c r="J241" s="658"/>
    </row>
    <row r="242" spans="1:10" s="625" customFormat="1" ht="15" customHeight="1">
      <c r="A242" s="1231" t="s">
        <v>554</v>
      </c>
      <c r="B242" s="631" t="str">
        <f t="shared" si="30"/>
        <v>640-13</v>
      </c>
      <c r="C242" s="631"/>
      <c r="D242" s="657" t="str">
        <f>VLOOKUP(A242,[33]INDICE!$A$3:$D$334,2,FALSE)</f>
        <v>ACERO DE REFUERZO FY 4200 MPA.</v>
      </c>
      <c r="E242" s="649" t="str">
        <f>VLOOKUP(A242,[33]INDICE!$A$3:$D$334,3,FALSE)</f>
        <v>kg</v>
      </c>
      <c r="F242" s="654">
        <v>253</v>
      </c>
      <c r="G242" s="651">
        <f>VLOOKUP(A242,[33]INDICE!$A$3:$D$334,4,FALSE)</f>
        <v>6085.8496982034649</v>
      </c>
      <c r="H242" s="652">
        <f t="shared" si="31"/>
        <v>1539719.9736454766</v>
      </c>
    </row>
    <row r="243" spans="1:10" s="625" customFormat="1" ht="26.1" customHeight="1" thickBot="1">
      <c r="A243" s="1231" t="s">
        <v>562</v>
      </c>
      <c r="B243" s="631" t="str">
        <f t="shared" si="30"/>
        <v>681-13</v>
      </c>
      <c r="C243" s="631"/>
      <c r="D243" s="657" t="str">
        <f>VLOOKUP(A243,[33]INDICE!$A$3:$D$334,2,FALSE)</f>
        <v>GAVIÓN DE MALLA DE ALAMBRE DE ACERO ENTRELAZADO  CLASE 3; RECUBRIMIENTO DE ZINC (GALVANIZADO) Y PVC</v>
      </c>
      <c r="E243" s="649" t="str">
        <f>VLOOKUP(A243,[33]INDICE!$A$3:$D$334,3,FALSE)</f>
        <v>m3</v>
      </c>
      <c r="F243" s="655">
        <v>30</v>
      </c>
      <c r="G243" s="651">
        <f>VLOOKUP(A243,[33]INDICE!$A$3:$D$334,4,FALSE)</f>
        <v>430730.76446905878</v>
      </c>
      <c r="H243" s="652">
        <f t="shared" si="31"/>
        <v>12921922.934071762</v>
      </c>
    </row>
    <row r="244" spans="1:10" s="625" customFormat="1" ht="15" customHeight="1" thickTop="1">
      <c r="A244" s="1234"/>
      <c r="B244" s="637"/>
      <c r="C244" s="637"/>
      <c r="D244" s="638"/>
      <c r="E244" s="659"/>
      <c r="F244" s="660"/>
      <c r="G244" s="670" t="s">
        <v>536</v>
      </c>
      <c r="H244" s="640">
        <f>SUM(H237:H243)</f>
        <v>31560321.949535429</v>
      </c>
    </row>
    <row r="245" spans="1:10" s="625" customFormat="1" ht="15" customHeight="1">
      <c r="A245" s="1235"/>
      <c r="B245" s="641"/>
      <c r="C245" s="641"/>
      <c r="D245" s="642"/>
      <c r="E245" s="621"/>
      <c r="F245" s="647"/>
      <c r="G245" s="671" t="s">
        <v>537</v>
      </c>
      <c r="H245" s="644">
        <f>ROUND((+H244*0.05*0.19)/(1+0.3),0)</f>
        <v>230633</v>
      </c>
    </row>
    <row r="246" spans="1:10" s="625" customFormat="1" ht="15" customHeight="1" thickBot="1">
      <c r="A246" s="1236"/>
      <c r="B246" s="619"/>
      <c r="C246" s="619"/>
      <c r="D246" s="620"/>
      <c r="E246" s="621"/>
      <c r="F246" s="647"/>
      <c r="G246" s="671" t="s">
        <v>538</v>
      </c>
      <c r="H246" s="645">
        <f>+ROUND(H244+H245,0)</f>
        <v>31790955</v>
      </c>
      <c r="I246" s="630"/>
    </row>
    <row r="247" spans="1:10" s="625" customFormat="1" ht="15" customHeight="1" thickTop="1">
      <c r="A247" s="1236"/>
      <c r="B247" s="619"/>
      <c r="C247" s="619"/>
      <c r="D247" s="620"/>
      <c r="E247" s="621"/>
      <c r="F247" s="647"/>
      <c r="G247" s="643"/>
      <c r="H247" s="646"/>
      <c r="I247" s="630"/>
    </row>
    <row r="248" spans="1:10" s="625" customFormat="1" ht="15" customHeight="1">
      <c r="A248" s="1236"/>
      <c r="B248" s="619"/>
      <c r="C248" s="619"/>
      <c r="D248" s="620"/>
      <c r="E248" s="621"/>
      <c r="G248" s="643"/>
      <c r="H248" s="624"/>
    </row>
    <row r="249" spans="1:10" s="625" customFormat="1" ht="13.5" thickBot="1">
      <c r="A249" s="1237"/>
      <c r="B249" s="627"/>
      <c r="C249" s="626" t="s">
        <v>580</v>
      </c>
      <c r="D249" s="626"/>
      <c r="E249" s="627"/>
      <c r="F249" s="626"/>
      <c r="G249" s="628"/>
      <c r="H249" s="629"/>
      <c r="I249" s="630"/>
    </row>
    <row r="250" spans="1:10" s="625" customFormat="1" ht="13.5" thickTop="1">
      <c r="A250" s="1231" t="s">
        <v>552</v>
      </c>
      <c r="B250" s="631" t="str">
        <f>MID(A250,1,3)&amp;"-"&amp;13</f>
        <v>201-13</v>
      </c>
      <c r="C250" s="631"/>
      <c r="D250" s="657" t="str">
        <f>VLOOKUP(A250,[33]INDICE!$A$3:$D$334,2,FALSE)</f>
        <v>DEMOLICIÓN DE ESTRUCTURAS</v>
      </c>
      <c r="E250" s="649" t="str">
        <f>VLOOKUP(A250,[33]INDICE!$A$3:$D$334,3,FALSE)</f>
        <v>m3</v>
      </c>
      <c r="F250" s="650">
        <v>2</v>
      </c>
      <c r="G250" s="688">
        <f>VLOOKUP(A250,[33]INDICE!$A$3:$D$334,4,FALSE)</f>
        <v>240341.82659000819</v>
      </c>
      <c r="H250" s="652">
        <f>F250*G250</f>
        <v>480683.65318001638</v>
      </c>
    </row>
    <row r="251" spans="1:10" s="625" customFormat="1" ht="15" customHeight="1">
      <c r="A251" s="1231" t="s">
        <v>544</v>
      </c>
      <c r="B251" s="631" t="str">
        <f>MID(A251,1,3)&amp;"-"&amp;13</f>
        <v>610-13</v>
      </c>
      <c r="C251" s="689"/>
      <c r="D251" s="657" t="str">
        <f>VLOOKUP(A251,[33]INDICE!$A$3:$D$334,2,FALSE)</f>
        <v>RELLENOS PARA ESTRUCTURAS CON SUELO.</v>
      </c>
      <c r="E251" s="649" t="str">
        <f>VLOOKUP(A251,[33]INDICE!$A$3:$D$334,3,FALSE)</f>
        <v>m3</v>
      </c>
      <c r="F251" s="655">
        <v>1</v>
      </c>
      <c r="G251" s="688">
        <f>VLOOKUP(A251,[33]INDICE!$A$3:$D$334,4,FALSE)</f>
        <v>164362.8922747685</v>
      </c>
      <c r="H251" s="652">
        <f>F251*G251</f>
        <v>164362.8922747685</v>
      </c>
    </row>
    <row r="252" spans="1:10" s="625" customFormat="1" ht="15" customHeight="1" thickBot="1">
      <c r="A252" s="1231" t="s">
        <v>553</v>
      </c>
      <c r="B252" s="631" t="str">
        <f>MID(A252,1,3)&amp;"-"&amp;13</f>
        <v>630-13</v>
      </c>
      <c r="C252" s="631"/>
      <c r="D252" s="657" t="str">
        <f>VLOOKUP(A252,[33]INDICE!$A$3:$D$334,2,FALSE)</f>
        <v>CONCRETO RESISTENCIA 21MPA (D)</v>
      </c>
      <c r="E252" s="649" t="str">
        <f>VLOOKUP(A252,[33]INDICE!$A$3:$D$334,3,FALSE)</f>
        <v>m3</v>
      </c>
      <c r="F252" s="654">
        <v>3</v>
      </c>
      <c r="G252" s="688">
        <f>VLOOKUP(A252,[33]INDICE!$A$3:$D$334,4,FALSE)</f>
        <v>871855.23056364793</v>
      </c>
      <c r="H252" s="652">
        <f>F252*G252</f>
        <v>2615565.6916909437</v>
      </c>
    </row>
    <row r="253" spans="1:10" s="625" customFormat="1" ht="15" customHeight="1" thickTop="1">
      <c r="A253" s="1234"/>
      <c r="B253" s="637"/>
      <c r="C253" s="637"/>
      <c r="D253" s="638"/>
      <c r="E253" s="659"/>
      <c r="F253" s="660"/>
      <c r="G253" s="670" t="s">
        <v>536</v>
      </c>
      <c r="H253" s="640">
        <f>SUM(H250:H252)</f>
        <v>3260612.2371457284</v>
      </c>
      <c r="J253" s="690"/>
    </row>
    <row r="254" spans="1:10" s="625" customFormat="1" ht="15" customHeight="1">
      <c r="A254" s="1235"/>
      <c r="B254" s="641"/>
      <c r="C254" s="641"/>
      <c r="D254" s="642"/>
      <c r="E254" s="621"/>
      <c r="F254" s="647"/>
      <c r="G254" s="671" t="s">
        <v>537</v>
      </c>
      <c r="H254" s="644">
        <f>ROUND((+H253*0.05*0.19)/(1+0.3),0)</f>
        <v>23828</v>
      </c>
    </row>
    <row r="255" spans="1:10" s="625" customFormat="1" ht="15" customHeight="1" thickBot="1">
      <c r="A255" s="1236"/>
      <c r="B255" s="619"/>
      <c r="C255" s="619"/>
      <c r="D255" s="620"/>
      <c r="E255" s="621"/>
      <c r="F255" s="647"/>
      <c r="G255" s="671" t="s">
        <v>538</v>
      </c>
      <c r="H255" s="645">
        <f>+ROUND(H253+H254,0)</f>
        <v>3284440</v>
      </c>
      <c r="I255" s="630"/>
    </row>
    <row r="256" spans="1:10" s="625" customFormat="1" ht="15" customHeight="1" thickTop="1">
      <c r="A256" s="1236"/>
      <c r="B256" s="619"/>
      <c r="C256" s="619"/>
      <c r="D256" s="620"/>
      <c r="E256" s="621"/>
      <c r="F256" s="647"/>
      <c r="G256" s="643"/>
      <c r="H256" s="646"/>
      <c r="I256" s="630"/>
    </row>
    <row r="257" spans="1:10" s="625" customFormat="1" ht="13.5" thickBot="1">
      <c r="A257" s="1237"/>
      <c r="B257" s="627"/>
      <c r="C257" s="626" t="s">
        <v>581</v>
      </c>
      <c r="D257" s="626"/>
      <c r="E257" s="627"/>
      <c r="F257" s="626"/>
      <c r="G257" s="691"/>
      <c r="H257" s="629"/>
      <c r="I257" s="630"/>
    </row>
    <row r="258" spans="1:10" s="625" customFormat="1" ht="15" customHeight="1" thickTop="1">
      <c r="A258" s="1231" t="s">
        <v>540</v>
      </c>
      <c r="B258" s="631" t="str">
        <f>MID(A258,1,3)&amp;"-"&amp;13</f>
        <v>600-13</v>
      </c>
      <c r="C258" s="631"/>
      <c r="D258" s="657" t="str">
        <f>VLOOKUP(A258,[33]INDICE!$A$3:$D$334,2,FALSE)</f>
        <v>EXCAVACIONES VARIAS SIN CLASIFICAR</v>
      </c>
      <c r="E258" s="649" t="str">
        <f>VLOOKUP(A258,[33]INDICE!$A$3:$D$334,3,FALSE)</f>
        <v>m3</v>
      </c>
      <c r="F258" s="650">
        <v>20</v>
      </c>
      <c r="G258" s="688">
        <f>VLOOKUP(A258,[33]INDICE!$A$3:$D$334,4,FALSE)</f>
        <v>67953.950275344076</v>
      </c>
      <c r="H258" s="652">
        <f>F258*G258</f>
        <v>1359079.0055068815</v>
      </c>
    </row>
    <row r="259" spans="1:10" s="625" customFormat="1" ht="15" customHeight="1">
      <c r="A259" s="1231" t="s">
        <v>544</v>
      </c>
      <c r="B259" s="631" t="str">
        <f>MID(A259,1,3)&amp;"-"&amp;13</f>
        <v>610-13</v>
      </c>
      <c r="C259" s="692"/>
      <c r="D259" s="657" t="str">
        <f>VLOOKUP(A259,[33]INDICE!$A$3:$D$334,2,FALSE)</f>
        <v>RELLENOS PARA ESTRUCTURAS CON SUELO.</v>
      </c>
      <c r="E259" s="649" t="str">
        <f>VLOOKUP(A259,[33]INDICE!$A$3:$D$334,3,FALSE)</f>
        <v>m3</v>
      </c>
      <c r="F259" s="653">
        <v>10</v>
      </c>
      <c r="G259" s="688">
        <f>VLOOKUP(A259,[33]INDICE!$A$3:$D$334,4,FALSE)</f>
        <v>164362.8922747685</v>
      </c>
      <c r="H259" s="652">
        <f>F259*G259</f>
        <v>1643628.9227476851</v>
      </c>
    </row>
    <row r="260" spans="1:10" s="625" customFormat="1" ht="15" customHeight="1">
      <c r="A260" s="1231" t="s">
        <v>556</v>
      </c>
      <c r="B260" s="631" t="str">
        <f>MID(A260,1,3)&amp;"-"&amp;13</f>
        <v>630-13</v>
      </c>
      <c r="C260" s="631"/>
      <c r="D260" s="657" t="str">
        <f>VLOOKUP(A260,[33]INDICE!$A$3:$D$334,2,FALSE)</f>
        <v>CONCRETO RESISTENCIA 14MPA  (F)</v>
      </c>
      <c r="E260" s="649" t="str">
        <f>VLOOKUP(A260,[33]INDICE!$A$3:$D$334,3,FALSE)</f>
        <v>m3</v>
      </c>
      <c r="F260" s="654">
        <v>1</v>
      </c>
      <c r="G260" s="688">
        <f>VLOOKUP(A260,[33]INDICE!$A$3:$D$334,4,FALSE)</f>
        <v>674387.0151947831</v>
      </c>
      <c r="H260" s="652">
        <f>F260*G260</f>
        <v>674387.0151947831</v>
      </c>
    </row>
    <row r="261" spans="1:10" s="625" customFormat="1" ht="15" customHeight="1">
      <c r="A261" s="1231" t="s">
        <v>548</v>
      </c>
      <c r="B261" s="631" t="str">
        <f>MID(A261,1,3)&amp;"-"&amp;13</f>
        <v>673-13</v>
      </c>
      <c r="C261" s="631"/>
      <c r="D261" s="657" t="str">
        <f>VLOOKUP(A261,[33]INDICE!$A$3:$D$334,2,FALSE)</f>
        <v>GEOTEXTIL  TIPO T-2400 O SIMILAR TEJIDO</v>
      </c>
      <c r="E261" s="649" t="str">
        <f>VLOOKUP(A261,[33]INDICE!$A$3:$D$334,3,FALSE)</f>
        <v>m2</v>
      </c>
      <c r="F261" s="655">
        <v>30</v>
      </c>
      <c r="G261" s="688">
        <f>VLOOKUP(A261,[33]INDICE!$A$3:$D$334,4,FALSE)</f>
        <v>10983.835173625577</v>
      </c>
      <c r="H261" s="652">
        <f>F261*G261</f>
        <v>329515.0552087673</v>
      </c>
    </row>
    <row r="262" spans="1:10" s="625" customFormat="1" ht="36.75" thickBot="1">
      <c r="A262" s="1231" t="s">
        <v>562</v>
      </c>
      <c r="B262" s="631" t="str">
        <f>MID(A262,1,3)&amp;"-"&amp;13</f>
        <v>681-13</v>
      </c>
      <c r="C262" s="631"/>
      <c r="D262" s="657" t="str">
        <f>VLOOKUP(A262,[33]INDICE!$A$3:$D$334,2,FALSE)</f>
        <v>GAVIÓN DE MALLA DE ALAMBRE DE ACERO ENTRELAZADO  CLASE 3; RECUBRIMIENTO DE ZINC (GALVANIZADO) Y PVC</v>
      </c>
      <c r="E262" s="649" t="str">
        <f>VLOOKUP(A262,[33]INDICE!$A$3:$D$334,3,FALSE)</f>
        <v>m3</v>
      </c>
      <c r="F262" s="663">
        <v>30</v>
      </c>
      <c r="G262" s="688">
        <f>VLOOKUP(A262,[33]INDICE!$A$3:$D$334,4,FALSE)</f>
        <v>430730.76446905878</v>
      </c>
      <c r="H262" s="652">
        <f>F262*G262</f>
        <v>12921922.934071762</v>
      </c>
      <c r="J262" s="658"/>
    </row>
    <row r="263" spans="1:10" s="625" customFormat="1" ht="15" customHeight="1" thickTop="1">
      <c r="A263" s="1234"/>
      <c r="B263" s="637"/>
      <c r="C263" s="637"/>
      <c r="D263" s="638"/>
      <c r="E263" s="659"/>
      <c r="G263" s="639" t="s">
        <v>536</v>
      </c>
      <c r="H263" s="640">
        <f>SUM(H258:H262)</f>
        <v>16928532.932729878</v>
      </c>
    </row>
    <row r="264" spans="1:10" s="625" customFormat="1" ht="15" customHeight="1">
      <c r="A264" s="1235"/>
      <c r="B264" s="641"/>
      <c r="C264" s="641"/>
      <c r="D264" s="642"/>
      <c r="E264" s="621"/>
      <c r="G264" s="643" t="s">
        <v>537</v>
      </c>
      <c r="H264" s="644">
        <f>ROUND((+H263*0.05*0.19)/(1+0.3),0)</f>
        <v>123709</v>
      </c>
    </row>
    <row r="265" spans="1:10" s="625" customFormat="1" ht="15" customHeight="1" thickBot="1">
      <c r="A265" s="1236"/>
      <c r="B265" s="619"/>
      <c r="C265" s="619"/>
      <c r="D265" s="620"/>
      <c r="E265" s="621"/>
      <c r="G265" s="643" t="s">
        <v>538</v>
      </c>
      <c r="H265" s="645">
        <f>+ROUND(H263+H264,0)</f>
        <v>17052242</v>
      </c>
      <c r="I265" s="630"/>
    </row>
    <row r="266" spans="1:10" s="625" customFormat="1" ht="15" customHeight="1" thickTop="1">
      <c r="A266" s="1236"/>
      <c r="B266" s="619"/>
      <c r="C266" s="619"/>
      <c r="D266" s="620"/>
      <c r="E266" s="621"/>
      <c r="F266" s="622"/>
      <c r="G266" s="623"/>
      <c r="H266" s="624"/>
    </row>
    <row r="267" spans="1:10" s="625" customFormat="1" ht="13.5" thickBot="1">
      <c r="A267" s="1237"/>
      <c r="B267" s="627"/>
      <c r="C267" s="626" t="s">
        <v>582</v>
      </c>
      <c r="D267" s="626"/>
      <c r="E267" s="627"/>
      <c r="F267" s="626"/>
      <c r="G267" s="691"/>
      <c r="H267" s="629"/>
      <c r="I267" s="630"/>
    </row>
    <row r="268" spans="1:10" s="625" customFormat="1" ht="15" customHeight="1" thickTop="1">
      <c r="A268" s="1231" t="s">
        <v>552</v>
      </c>
      <c r="B268" s="631" t="str">
        <f>MID(A268,1,3)&amp;"-"&amp;13</f>
        <v>201-13</v>
      </c>
      <c r="C268" s="631"/>
      <c r="D268" s="657" t="str">
        <f>VLOOKUP(A268,[33]INDICE!$A$3:$D$334,2,FALSE)</f>
        <v>DEMOLICIÓN DE ESTRUCTURAS</v>
      </c>
      <c r="E268" s="649" t="str">
        <f>VLOOKUP(A268,[33]INDICE!$A$3:$D$334,3,FALSE)</f>
        <v>m3</v>
      </c>
      <c r="F268" s="650">
        <v>5</v>
      </c>
      <c r="G268" s="688">
        <f>VLOOKUP(A268,[33]INDICE!$A$3:$D$334,4,FALSE)</f>
        <v>240341.82659000819</v>
      </c>
      <c r="H268" s="652">
        <f>F268*G268</f>
        <v>1201709.132950041</v>
      </c>
      <c r="J268" s="625">
        <v>201.7</v>
      </c>
    </row>
    <row r="269" spans="1:10" s="625" customFormat="1" ht="15" customHeight="1">
      <c r="A269" s="1231" t="s">
        <v>558</v>
      </c>
      <c r="B269" s="631" t="str">
        <f>MID(A269,1,3)&amp;"-"&amp;13</f>
        <v>330-13</v>
      </c>
      <c r="C269" s="692"/>
      <c r="D269" s="657" t="str">
        <f>VLOOKUP(A269,[33]INDICE!$A$3:$D$334,2,FALSE)</f>
        <v>BASE GRANULAR CLASE A</v>
      </c>
      <c r="E269" s="649" t="str">
        <f>VLOOKUP(A269,[33]INDICE!$A$3:$D$334,3,FALSE)</f>
        <v>m3</v>
      </c>
      <c r="F269" s="653">
        <v>10</v>
      </c>
      <c r="G269" s="688">
        <f>VLOOKUP(A269,[33]INDICE!$A$3:$D$334,4,FALSE)</f>
        <v>375353.93049818149</v>
      </c>
      <c r="H269" s="636">
        <f>F269*G269</f>
        <v>3753539.3049818147</v>
      </c>
      <c r="J269" s="625">
        <v>330.1</v>
      </c>
    </row>
    <row r="270" spans="1:10" s="625" customFormat="1" ht="15" customHeight="1">
      <c r="A270" s="1231" t="s">
        <v>540</v>
      </c>
      <c r="B270" s="631" t="str">
        <f t="shared" ref="B270:B277" si="32">MID(A270,1,3)&amp;"-"&amp;13</f>
        <v>600-13</v>
      </c>
      <c r="C270" s="631"/>
      <c r="D270" s="657" t="str">
        <f>VLOOKUP(A270,[33]INDICE!$A$3:$D$334,2,FALSE)</f>
        <v>EXCAVACIONES VARIAS SIN CLASIFICAR</v>
      </c>
      <c r="E270" s="649" t="str">
        <f>VLOOKUP(A270,[33]INDICE!$A$3:$D$334,3,FALSE)</f>
        <v>m3</v>
      </c>
      <c r="F270" s="654">
        <f>25*3.5*2</f>
        <v>175</v>
      </c>
      <c r="G270" s="688">
        <f>VLOOKUP(A270,[33]INDICE!$A$3:$D$334,4,FALSE)</f>
        <v>67953.950275344076</v>
      </c>
      <c r="H270" s="652">
        <f t="shared" ref="H270:H277" si="33">F270*G270</f>
        <v>11891941.298185213</v>
      </c>
      <c r="J270" s="625" t="s">
        <v>541</v>
      </c>
    </row>
    <row r="271" spans="1:10" s="625" customFormat="1" ht="15" customHeight="1">
      <c r="A271" s="1231" t="s">
        <v>544</v>
      </c>
      <c r="B271" s="631" t="str">
        <f>MID(A271,1,3)&amp;"-"&amp;13</f>
        <v>610-13</v>
      </c>
      <c r="C271" s="631"/>
      <c r="D271" s="657" t="str">
        <f>VLOOKUP(A271,[33]INDICE!$A$3:$D$334,2,FALSE)</f>
        <v>RELLENOS PARA ESTRUCTURAS CON SUELO.</v>
      </c>
      <c r="E271" s="649" t="str">
        <f>VLOOKUP(A271,[33]INDICE!$A$3:$D$334,3,FALSE)</f>
        <v>m3</v>
      </c>
      <c r="F271" s="655">
        <v>148</v>
      </c>
      <c r="G271" s="688">
        <f>VLOOKUP(A271,[33]INDICE!$A$3:$D$334,4,FALSE)</f>
        <v>164362.8922747685</v>
      </c>
      <c r="H271" s="652">
        <f>F271*G271</f>
        <v>24325708.056665737</v>
      </c>
      <c r="J271" s="625">
        <v>610.1</v>
      </c>
    </row>
    <row r="272" spans="1:10" s="625" customFormat="1" ht="15" customHeight="1">
      <c r="A272" s="1231" t="s">
        <v>553</v>
      </c>
      <c r="B272" s="631" t="str">
        <f t="shared" si="32"/>
        <v>630-13</v>
      </c>
      <c r="C272" s="631"/>
      <c r="D272" s="657" t="str">
        <f>VLOOKUP(A272,[33]INDICE!$A$3:$D$334,2,FALSE)</f>
        <v>CONCRETO RESISTENCIA 21MPA (D)</v>
      </c>
      <c r="E272" s="649" t="str">
        <f>VLOOKUP(A272,[33]INDICE!$A$3:$D$334,3,FALSE)</f>
        <v>m3</v>
      </c>
      <c r="F272" s="655">
        <v>60</v>
      </c>
      <c r="G272" s="688">
        <f>VLOOKUP(A272,[33]INDICE!$A$3:$D$334,4,FALSE)</f>
        <v>871855.23056364793</v>
      </c>
      <c r="H272" s="652">
        <f t="shared" si="33"/>
        <v>52311313.833818875</v>
      </c>
      <c r="J272" s="658">
        <v>630.4</v>
      </c>
    </row>
    <row r="273" spans="1:10" s="625" customFormat="1" ht="15" customHeight="1">
      <c r="A273" s="1231" t="s">
        <v>554</v>
      </c>
      <c r="B273" s="631" t="str">
        <f t="shared" si="32"/>
        <v>640-13</v>
      </c>
      <c r="C273" s="631"/>
      <c r="D273" s="657" t="str">
        <f>VLOOKUP(A273,[33]INDICE!$A$3:$D$334,2,FALSE)</f>
        <v>ACERO DE REFUERZO FY 4200 MPA.</v>
      </c>
      <c r="E273" s="649" t="str">
        <f>VLOOKUP(A273,[33]INDICE!$A$3:$D$334,3,FALSE)</f>
        <v>kg</v>
      </c>
      <c r="F273" s="654">
        <v>2482</v>
      </c>
      <c r="G273" s="688">
        <f>VLOOKUP(A273,[33]INDICE!$A$3:$D$334,4,FALSE)</f>
        <v>6085.8496982034649</v>
      </c>
      <c r="H273" s="652">
        <f t="shared" si="33"/>
        <v>15105078.950941</v>
      </c>
      <c r="J273" s="625">
        <v>640.1</v>
      </c>
    </row>
    <row r="274" spans="1:10" s="625" customFormat="1" ht="26.1" customHeight="1">
      <c r="A274" s="1231" t="s">
        <v>559</v>
      </c>
      <c r="B274" s="631" t="str">
        <f>MID(A274,1,3)&amp;"-"&amp;13</f>
        <v>671-13</v>
      </c>
      <c r="C274" s="631"/>
      <c r="D274" s="657" t="str">
        <f>VLOOKUP(A274,[33]INDICE!$A$3:$D$334,2,FALSE)</f>
        <v>CUNETA DE CONCRETO VACIADA IN SITU; INCLUYE LA CONFORMACION DE LA SUPERFICIE DE APOYO</v>
      </c>
      <c r="E274" s="649" t="str">
        <f>VLOOKUP(A274,[33]INDICE!$A$3:$D$334,3,FALSE)</f>
        <v>m3</v>
      </c>
      <c r="F274" s="655">
        <v>4</v>
      </c>
      <c r="G274" s="688">
        <f>VLOOKUP(A274,[33]INDICE!$A$3:$D$334,4,FALSE)</f>
        <v>841791.75196838728</v>
      </c>
      <c r="H274" s="652">
        <f>F274*G274</f>
        <v>3367167.0078735491</v>
      </c>
      <c r="J274" s="625">
        <v>671.3</v>
      </c>
    </row>
    <row r="275" spans="1:10" s="625" customFormat="1" ht="15" customHeight="1">
      <c r="A275" s="1231" t="s">
        <v>548</v>
      </c>
      <c r="B275" s="631" t="str">
        <f>MID(A275,1,3)&amp;"-"&amp;13</f>
        <v>673-13</v>
      </c>
      <c r="C275" s="683"/>
      <c r="D275" s="657" t="str">
        <f>VLOOKUP(A275,[33]INDICE!$A$3:$D$334,2,FALSE)</f>
        <v>GEOTEXTIL  TIPO T-2400 O SIMILAR TEJIDO</v>
      </c>
      <c r="E275" s="649" t="str">
        <f>VLOOKUP(A275,[33]INDICE!$A$3:$D$334,3,FALSE)</f>
        <v>m2</v>
      </c>
      <c r="F275" s="687">
        <v>72</v>
      </c>
      <c r="G275" s="688">
        <f>VLOOKUP(A275,[33]INDICE!$A$3:$D$334,4,FALSE)</f>
        <v>10983.835173625577</v>
      </c>
      <c r="H275" s="686">
        <f>F275*G275</f>
        <v>790836.13250104152</v>
      </c>
      <c r="J275" s="625">
        <v>673.1</v>
      </c>
    </row>
    <row r="276" spans="1:10" s="625" customFormat="1" ht="15" customHeight="1">
      <c r="A276" s="1231" t="s">
        <v>560</v>
      </c>
      <c r="B276" s="631" t="str">
        <f>MID(A276,1,3)&amp;"-"&amp;13</f>
        <v>673-13</v>
      </c>
      <c r="C276" s="631"/>
      <c r="D276" s="657" t="str">
        <f>VLOOKUP(A276,[33]INDICE!$A$3:$D$334,2,FALSE)</f>
        <v>MATERIAL GRANULAR DRENANTE</v>
      </c>
      <c r="E276" s="649" t="str">
        <f>VLOOKUP(A276,[33]INDICE!$A$3:$D$334,3,FALSE)</f>
        <v>m3</v>
      </c>
      <c r="F276" s="655">
        <f>0.88*25</f>
        <v>22</v>
      </c>
      <c r="G276" s="688">
        <f>VLOOKUP(A276,[33]INDICE!$A$3:$D$334,4,FALSE)</f>
        <v>84364.417561781069</v>
      </c>
      <c r="H276" s="652">
        <f>F276*G276</f>
        <v>1856017.1863591834</v>
      </c>
      <c r="J276" s="625">
        <v>673.2</v>
      </c>
    </row>
    <row r="277" spans="1:10" s="625" customFormat="1" ht="26.1" customHeight="1" thickBot="1">
      <c r="A277" s="1231" t="s">
        <v>549</v>
      </c>
      <c r="B277" s="631" t="str">
        <f t="shared" si="32"/>
        <v>681-13</v>
      </c>
      <c r="C277" s="631"/>
      <c r="D277" s="657" t="str">
        <f>VLOOKUP(A277,[33]INDICE!$A$3:$D$334,2,FALSE)</f>
        <v xml:space="preserve">GAVIÓNES DE MALLA DE ALAMBRE DE ACERO ENTRELAZADO  CLASE 1; RECUBRIMIENTO DE ZINC (GALVANIZADO) </v>
      </c>
      <c r="E277" s="649" t="str">
        <f>VLOOKUP(A277,[33]INDICE!$A$3:$D$334,3,FALSE)</f>
        <v>m3</v>
      </c>
      <c r="F277" s="673">
        <v>8</v>
      </c>
      <c r="G277" s="688">
        <f>VLOOKUP(A277,[33]INDICE!$A$3:$D$334,4,FALSE)</f>
        <v>400986.60185015475</v>
      </c>
      <c r="H277" s="652">
        <f t="shared" si="33"/>
        <v>3207892.814801238</v>
      </c>
      <c r="J277" s="625">
        <v>681.1</v>
      </c>
    </row>
    <row r="278" spans="1:10" s="625" customFormat="1" ht="15" customHeight="1" thickTop="1">
      <c r="A278" s="1234"/>
      <c r="B278" s="637"/>
      <c r="C278" s="637"/>
      <c r="D278" s="638"/>
      <c r="E278" s="659"/>
      <c r="G278" s="639" t="s">
        <v>536</v>
      </c>
      <c r="H278" s="640">
        <f>SUM(H268:H277)</f>
        <v>117811203.71907768</v>
      </c>
    </row>
    <row r="279" spans="1:10" s="625" customFormat="1" ht="15" customHeight="1">
      <c r="A279" s="1235"/>
      <c r="B279" s="641"/>
      <c r="C279" s="641"/>
      <c r="D279" s="642"/>
      <c r="E279" s="621"/>
      <c r="G279" s="643" t="s">
        <v>537</v>
      </c>
      <c r="H279" s="644">
        <f>SUM(H278:H278)*0.05*0.19/1.3</f>
        <v>860928.02717787528</v>
      </c>
    </row>
    <row r="280" spans="1:10" s="625" customFormat="1" ht="15" customHeight="1" thickBot="1">
      <c r="A280" s="1236"/>
      <c r="B280" s="619"/>
      <c r="C280" s="619"/>
      <c r="D280" s="620"/>
      <c r="E280" s="621"/>
      <c r="G280" s="643" t="s">
        <v>538</v>
      </c>
      <c r="H280" s="645">
        <f>+ROUND(H278+H279,0)</f>
        <v>118672132</v>
      </c>
      <c r="I280" s="630"/>
    </row>
    <row r="281" spans="1:10" s="625" customFormat="1" ht="15" customHeight="1" thickTop="1">
      <c r="A281" s="1236"/>
      <c r="B281" s="619"/>
      <c r="C281" s="619"/>
      <c r="D281" s="620"/>
      <c r="E281" s="621"/>
      <c r="G281" s="643"/>
      <c r="H281" s="646"/>
      <c r="I281" s="630"/>
    </row>
    <row r="282" spans="1:10" s="625" customFormat="1" ht="13.5" thickBot="1">
      <c r="A282" s="1237"/>
      <c r="B282" s="627"/>
      <c r="C282" s="626" t="s">
        <v>583</v>
      </c>
      <c r="D282" s="626"/>
      <c r="E282" s="627"/>
      <c r="F282" s="626"/>
      <c r="G282" s="691"/>
      <c r="H282" s="629"/>
      <c r="I282" s="630"/>
    </row>
    <row r="283" spans="1:10" s="625" customFormat="1" ht="15" customHeight="1" thickTop="1">
      <c r="A283" s="1231" t="s">
        <v>540</v>
      </c>
      <c r="B283" s="631" t="str">
        <f>MID(A283,1,3)&amp;"-"&amp;13</f>
        <v>600-13</v>
      </c>
      <c r="C283" s="631"/>
      <c r="D283" s="657" t="str">
        <f>VLOOKUP(A283,[33]INDICE!$A$3:$D$334,2,FALSE)</f>
        <v>EXCAVACIONES VARIAS SIN CLASIFICAR</v>
      </c>
      <c r="E283" s="649" t="str">
        <f>VLOOKUP(A283,[33]INDICE!$A$3:$D$334,3,FALSE)</f>
        <v>m3</v>
      </c>
      <c r="F283" s="650">
        <v>13</v>
      </c>
      <c r="G283" s="688">
        <f>VLOOKUP(A283,[33]INDICE!$A$3:$D$334,4,FALSE)</f>
        <v>67953.950275344076</v>
      </c>
      <c r="H283" s="652">
        <f>F283*G283</f>
        <v>883401.35357947298</v>
      </c>
    </row>
    <row r="284" spans="1:10" s="625" customFormat="1" ht="15" customHeight="1">
      <c r="A284" s="1231" t="s">
        <v>544</v>
      </c>
      <c r="B284" s="631" t="str">
        <f>MID(A284,1,3)&amp;"-"&amp;13</f>
        <v>610-13</v>
      </c>
      <c r="C284" s="692"/>
      <c r="D284" s="657" t="str">
        <f>VLOOKUP(A284,[33]INDICE!$A$3:$D$334,2,FALSE)</f>
        <v>RELLENOS PARA ESTRUCTURAS CON SUELO.</v>
      </c>
      <c r="E284" s="649" t="str">
        <f>VLOOKUP(A284,[33]INDICE!$A$3:$D$334,3,FALSE)</f>
        <v>m3</v>
      </c>
      <c r="F284" s="653">
        <v>16</v>
      </c>
      <c r="G284" s="688">
        <f>VLOOKUP(A284,[33]INDICE!$A$3:$D$334,4,FALSE)</f>
        <v>164362.8922747685</v>
      </c>
      <c r="H284" s="652">
        <f>F284*G284</f>
        <v>2629806.276396296</v>
      </c>
    </row>
    <row r="285" spans="1:10" s="625" customFormat="1" ht="15" customHeight="1">
      <c r="A285" s="1231" t="s">
        <v>553</v>
      </c>
      <c r="B285" s="631" t="str">
        <f>MID(A285,1,3)&amp;"-"&amp;13</f>
        <v>630-13</v>
      </c>
      <c r="C285" s="631"/>
      <c r="D285" s="657" t="str">
        <f>VLOOKUP(A285,[33]INDICE!$A$3:$D$334,2,FALSE)</f>
        <v>CONCRETO RESISTENCIA 21MPA (D)</v>
      </c>
      <c r="E285" s="649" t="str">
        <f>VLOOKUP(A285,[33]INDICE!$A$3:$D$334,3,FALSE)</f>
        <v>m3</v>
      </c>
      <c r="F285" s="654">
        <v>11</v>
      </c>
      <c r="G285" s="688">
        <f>VLOOKUP(A285,[33]INDICE!$A$3:$D$334,4,FALSE)</f>
        <v>871855.23056364793</v>
      </c>
      <c r="H285" s="652">
        <f>F285*G285</f>
        <v>9590407.5362001266</v>
      </c>
    </row>
    <row r="286" spans="1:10" s="625" customFormat="1" ht="15" customHeight="1">
      <c r="A286" s="1231" t="s">
        <v>546</v>
      </c>
      <c r="B286" s="631" t="str">
        <f>MID(A286,1,3)&amp;"-"&amp;13</f>
        <v>630-13</v>
      </c>
      <c r="C286" s="631"/>
      <c r="D286" s="657" t="str">
        <f>VLOOKUP(A286,[33]INDICE!$A$3:$D$334,2,FALSE)</f>
        <v>CONCRETO RESISTENCIA 14MPA (G) (CICLOPEO)</v>
      </c>
      <c r="E286" s="649" t="str">
        <f>VLOOKUP(A286,[33]INDICE!$A$3:$D$334,3,FALSE)</f>
        <v>m3</v>
      </c>
      <c r="F286" s="655">
        <v>8</v>
      </c>
      <c r="G286" s="688">
        <f>VLOOKUP(A286,[33]INDICE!$A$3:$D$334,4,FALSE)</f>
        <v>530138.01220093726</v>
      </c>
      <c r="H286" s="652">
        <f>F286*G286</f>
        <v>4241104.0976074981</v>
      </c>
    </row>
    <row r="287" spans="1:10" s="625" customFormat="1" ht="15" customHeight="1" thickBot="1">
      <c r="A287" s="1231" t="s">
        <v>554</v>
      </c>
      <c r="B287" s="631" t="str">
        <f>MID(A287,1,3)&amp;"-"&amp;13</f>
        <v>640-13</v>
      </c>
      <c r="C287" s="631"/>
      <c r="D287" s="657" t="str">
        <f>VLOOKUP(A287,[33]INDICE!$A$3:$D$334,2,FALSE)</f>
        <v>ACERO DE REFUERZO FY 4200 MPA.</v>
      </c>
      <c r="E287" s="649" t="str">
        <f>VLOOKUP(A287,[33]INDICE!$A$3:$D$334,3,FALSE)</f>
        <v>kg</v>
      </c>
      <c r="F287" s="663">
        <v>407</v>
      </c>
      <c r="G287" s="688">
        <f>VLOOKUP(A287,[33]INDICE!$A$3:$D$334,4,FALSE)</f>
        <v>6085.8496982034649</v>
      </c>
      <c r="H287" s="652">
        <f>F287*G287</f>
        <v>2476940.8271688102</v>
      </c>
      <c r="J287" s="658"/>
    </row>
    <row r="288" spans="1:10" s="625" customFormat="1" ht="15" customHeight="1" thickTop="1">
      <c r="A288" s="1234"/>
      <c r="B288" s="637"/>
      <c r="C288" s="637"/>
      <c r="D288" s="638"/>
      <c r="E288" s="659"/>
      <c r="G288" s="639" t="s">
        <v>536</v>
      </c>
      <c r="H288" s="640">
        <f>SUM(H283:H287)</f>
        <v>19821660.090952203</v>
      </c>
    </row>
    <row r="289" spans="1:10" s="625" customFormat="1" ht="15" customHeight="1">
      <c r="A289" s="1235"/>
      <c r="B289" s="641"/>
      <c r="C289" s="641"/>
      <c r="D289" s="642"/>
      <c r="E289" s="621"/>
      <c r="G289" s="643" t="s">
        <v>537</v>
      </c>
      <c r="H289" s="644">
        <f>ROUND((+H288*0.05*0.19)/(1+0.3),0)</f>
        <v>144851</v>
      </c>
    </row>
    <row r="290" spans="1:10" s="625" customFormat="1" ht="15" customHeight="1" thickBot="1">
      <c r="A290" s="1236"/>
      <c r="B290" s="619"/>
      <c r="C290" s="619"/>
      <c r="D290" s="620"/>
      <c r="E290" s="621"/>
      <c r="G290" s="643" t="s">
        <v>538</v>
      </c>
      <c r="H290" s="645">
        <f>+ROUND(H288+H289,0)</f>
        <v>19966511</v>
      </c>
      <c r="I290" s="630"/>
    </row>
    <row r="291" spans="1:10" s="625" customFormat="1" ht="12.75" customHeight="1" thickTop="1">
      <c r="A291" s="1236"/>
      <c r="B291" s="619"/>
      <c r="C291" s="619"/>
      <c r="D291" s="620"/>
      <c r="E291" s="621"/>
      <c r="F291" s="622"/>
      <c r="G291" s="623"/>
      <c r="H291" s="624"/>
    </row>
    <row r="292" spans="1:10" s="625" customFormat="1" ht="13.5" thickBot="1">
      <c r="A292" s="1237"/>
      <c r="B292" s="627"/>
      <c r="C292" s="626" t="s">
        <v>584</v>
      </c>
      <c r="D292" s="626"/>
      <c r="E292" s="627"/>
      <c r="F292" s="626"/>
      <c r="G292" s="691"/>
      <c r="H292" s="629"/>
    </row>
    <row r="293" spans="1:10" s="625" customFormat="1" ht="15" customHeight="1" thickTop="1">
      <c r="A293" s="1231" t="s">
        <v>552</v>
      </c>
      <c r="B293" s="631" t="str">
        <f>MID(A293,1,3)&amp;"-"&amp;13</f>
        <v>201-13</v>
      </c>
      <c r="C293" s="632"/>
      <c r="D293" s="657" t="str">
        <f>VLOOKUP(A293,[33]INDICE!$A$3:$D$334,2,FALSE)</f>
        <v>DEMOLICIÓN DE ESTRUCTURAS</v>
      </c>
      <c r="E293" s="649" t="str">
        <f>VLOOKUP(A293,[33]INDICE!$A$3:$D$334,3,FALSE)</f>
        <v>m3</v>
      </c>
      <c r="F293" s="662">
        <v>5</v>
      </c>
      <c r="G293" s="688">
        <f>VLOOKUP(A293,[33]INDICE!$A$3:$D$334,4,FALSE)</f>
        <v>240341.82659000819</v>
      </c>
      <c r="H293" s="636">
        <f>F293*G293</f>
        <v>1201709.132950041</v>
      </c>
      <c r="J293" s="625">
        <v>201.7</v>
      </c>
    </row>
    <row r="294" spans="1:10" s="625" customFormat="1" ht="15" customHeight="1">
      <c r="A294" s="1231" t="s">
        <v>540</v>
      </c>
      <c r="B294" s="631" t="str">
        <f t="shared" ref="B294:B301" si="34">MID(A294,1,3)&amp;"-"&amp;13</f>
        <v>600-13</v>
      </c>
      <c r="C294" s="631"/>
      <c r="D294" s="657" t="str">
        <f>VLOOKUP(A294,[33]INDICE!$A$3:$D$334,2,FALSE)</f>
        <v>EXCAVACIONES VARIAS SIN CLASIFICAR</v>
      </c>
      <c r="E294" s="649" t="str">
        <f>VLOOKUP(A294,[33]INDICE!$A$3:$D$334,3,FALSE)</f>
        <v>m3</v>
      </c>
      <c r="F294" s="654">
        <f>8*2*3</f>
        <v>48</v>
      </c>
      <c r="G294" s="688">
        <f>VLOOKUP(A294,[33]INDICE!$A$3:$D$334,4,FALSE)</f>
        <v>67953.950275344076</v>
      </c>
      <c r="H294" s="652">
        <f t="shared" ref="H294:H301" si="35">F294*G294</f>
        <v>3261789.6132165156</v>
      </c>
      <c r="J294" s="625" t="s">
        <v>541</v>
      </c>
    </row>
    <row r="295" spans="1:10" s="625" customFormat="1" ht="15" customHeight="1">
      <c r="A295" s="1231" t="s">
        <v>544</v>
      </c>
      <c r="B295" s="631" t="str">
        <f>MID(A295,1,3)&amp;"-"&amp;13</f>
        <v>610-13</v>
      </c>
      <c r="C295" s="631"/>
      <c r="D295" s="657" t="str">
        <f>VLOOKUP(A295,[33]INDICE!$A$3:$D$334,2,FALSE)</f>
        <v>RELLENOS PARA ESTRUCTURAS CON SUELO.</v>
      </c>
      <c r="E295" s="649" t="str">
        <f>VLOOKUP(A295,[33]INDICE!$A$3:$D$334,3,FALSE)</f>
        <v>m3</v>
      </c>
      <c r="F295" s="655">
        <v>29</v>
      </c>
      <c r="G295" s="688">
        <f>VLOOKUP(A295,[33]INDICE!$A$3:$D$334,4,FALSE)</f>
        <v>164362.8922747685</v>
      </c>
      <c r="H295" s="652">
        <f>F295*G295</f>
        <v>4766523.8759682868</v>
      </c>
      <c r="J295" s="625">
        <v>610.1</v>
      </c>
    </row>
    <row r="296" spans="1:10" s="625" customFormat="1" ht="15" customHeight="1">
      <c r="A296" s="1231" t="s">
        <v>545</v>
      </c>
      <c r="B296" s="631" t="str">
        <f t="shared" si="34"/>
        <v>630-13</v>
      </c>
      <c r="C296" s="631"/>
      <c r="D296" s="657" t="str">
        <f>VLOOKUP(A296,[33]INDICE!$A$3:$D$334,2,FALSE)</f>
        <v>CONCRETO RESISTENCIA 17.5MPA (E )</v>
      </c>
      <c r="E296" s="649" t="str">
        <f>VLOOKUP(A296,[33]INDICE!$A$3:$D$334,3,FALSE)</f>
        <v>m3</v>
      </c>
      <c r="F296" s="655">
        <v>8</v>
      </c>
      <c r="G296" s="688">
        <f>VLOOKUP(A296,[33]INDICE!$A$3:$D$334,4,FALSE)</f>
        <v>735031.04931538599</v>
      </c>
      <c r="H296" s="652">
        <f t="shared" si="35"/>
        <v>5880248.3945230879</v>
      </c>
      <c r="J296" s="625">
        <v>630.5</v>
      </c>
    </row>
    <row r="297" spans="1:10" s="625" customFormat="1" ht="15" customHeight="1">
      <c r="A297" s="1231" t="s">
        <v>546</v>
      </c>
      <c r="B297" s="631" t="str">
        <f t="shared" si="34"/>
        <v>630-13</v>
      </c>
      <c r="C297" s="631"/>
      <c r="D297" s="657" t="str">
        <f>VLOOKUP(A297,[33]INDICE!$A$3:$D$334,2,FALSE)</f>
        <v>CONCRETO RESISTENCIA 14MPA (G) (CICLOPEO)</v>
      </c>
      <c r="E297" s="649" t="str">
        <f>VLOOKUP(A297,[33]INDICE!$A$3:$D$334,3,FALSE)</f>
        <v>m3</v>
      </c>
      <c r="F297" s="668">
        <v>6</v>
      </c>
      <c r="G297" s="688">
        <f>VLOOKUP(A297,[33]INDICE!$A$3:$D$334,4,FALSE)</f>
        <v>530138.01220093726</v>
      </c>
      <c r="H297" s="652">
        <f t="shared" si="35"/>
        <v>3180828.0732056238</v>
      </c>
      <c r="J297" s="625">
        <v>630.70000000000005</v>
      </c>
    </row>
    <row r="298" spans="1:10" s="625" customFormat="1" ht="15" customHeight="1">
      <c r="A298" s="1231" t="s">
        <v>554</v>
      </c>
      <c r="B298" s="631" t="str">
        <f t="shared" si="34"/>
        <v>640-13</v>
      </c>
      <c r="C298" s="631"/>
      <c r="D298" s="657" t="str">
        <f>VLOOKUP(A298,[33]INDICE!$A$3:$D$334,2,FALSE)</f>
        <v>ACERO DE REFUERZO FY 4200 MPA.</v>
      </c>
      <c r="E298" s="649" t="str">
        <f>VLOOKUP(A298,[33]INDICE!$A$3:$D$334,3,FALSE)</f>
        <v>kg</v>
      </c>
      <c r="F298" s="654">
        <f>F296*105</f>
        <v>840</v>
      </c>
      <c r="G298" s="688">
        <f>VLOOKUP(A298,[33]INDICE!$A$3:$D$334,4,FALSE)</f>
        <v>6085.8496982034649</v>
      </c>
      <c r="H298" s="652">
        <f t="shared" si="35"/>
        <v>5112113.7464909106</v>
      </c>
      <c r="J298" s="625">
        <v>640.1</v>
      </c>
    </row>
    <row r="299" spans="1:10" s="625" customFormat="1" ht="26.1" customHeight="1">
      <c r="A299" s="1231" t="s">
        <v>559</v>
      </c>
      <c r="B299" s="631" t="str">
        <f>MID(A299,1,3)&amp;"-"&amp;13</f>
        <v>671-13</v>
      </c>
      <c r="C299" s="631"/>
      <c r="D299" s="657" t="str">
        <f>VLOOKUP(A299,[33]INDICE!$A$3:$D$334,2,FALSE)</f>
        <v>CUNETA DE CONCRETO VACIADA IN SITU; INCLUYE LA CONFORMACION DE LA SUPERFICIE DE APOYO</v>
      </c>
      <c r="E299" s="649" t="str">
        <f>VLOOKUP(A299,[33]INDICE!$A$3:$D$334,3,FALSE)</f>
        <v>m3</v>
      </c>
      <c r="F299" s="655">
        <v>3</v>
      </c>
      <c r="G299" s="688">
        <f>VLOOKUP(A299,[33]INDICE!$A$3:$D$334,4,FALSE)</f>
        <v>841791.75196838728</v>
      </c>
      <c r="H299" s="652">
        <f>F299*G299</f>
        <v>2525375.2559051616</v>
      </c>
      <c r="J299" s="625">
        <v>671.3</v>
      </c>
    </row>
    <row r="300" spans="1:10" s="625" customFormat="1" ht="15" customHeight="1">
      <c r="A300" s="1231" t="s">
        <v>548</v>
      </c>
      <c r="B300" s="631" t="str">
        <f>MID(A300,1,3)&amp;"-"&amp;13</f>
        <v>673-13</v>
      </c>
      <c r="C300" s="683"/>
      <c r="D300" s="657" t="str">
        <f>VLOOKUP(A300,[33]INDICE!$A$3:$D$334,2,FALSE)</f>
        <v>GEOTEXTIL  TIPO T-2400 O SIMILAR TEJIDO</v>
      </c>
      <c r="E300" s="649" t="str">
        <f>VLOOKUP(A300,[33]INDICE!$A$3:$D$334,3,FALSE)</f>
        <v>m2</v>
      </c>
      <c r="F300" s="687">
        <f>(8+2)*4</f>
        <v>40</v>
      </c>
      <c r="G300" s="688">
        <f>VLOOKUP(A300,[33]INDICE!$A$3:$D$334,4,FALSE)</f>
        <v>10983.835173625577</v>
      </c>
      <c r="H300" s="686">
        <f>F300*G300</f>
        <v>439353.4069450231</v>
      </c>
      <c r="J300" s="625">
        <v>673.1</v>
      </c>
    </row>
    <row r="301" spans="1:10" s="625" customFormat="1" ht="26.1" customHeight="1" thickBot="1">
      <c r="A301" s="1231" t="s">
        <v>549</v>
      </c>
      <c r="B301" s="631" t="str">
        <f t="shared" si="34"/>
        <v>681-13</v>
      </c>
      <c r="C301" s="631"/>
      <c r="D301" s="657" t="str">
        <f>VLOOKUP(A301,[33]INDICE!$A$3:$D$334,2,FALSE)</f>
        <v xml:space="preserve">GAVIÓNES DE MALLA DE ALAMBRE DE ACERO ENTRELAZADO  CLASE 1; RECUBRIMIENTO DE ZINC (GALVANIZADO) </v>
      </c>
      <c r="E301" s="649" t="str">
        <f>VLOOKUP(A301,[33]INDICE!$A$3:$D$334,3,FALSE)</f>
        <v>m3</v>
      </c>
      <c r="F301" s="673">
        <f>8*3*(2/3)*3</f>
        <v>48</v>
      </c>
      <c r="G301" s="688">
        <f>VLOOKUP(A301,[33]INDICE!$A$3:$D$334,4,FALSE)</f>
        <v>400986.60185015475</v>
      </c>
      <c r="H301" s="652">
        <f t="shared" si="35"/>
        <v>19247356.888807427</v>
      </c>
      <c r="J301" s="625">
        <v>681.1</v>
      </c>
    </row>
    <row r="302" spans="1:10" s="625" customFormat="1" ht="15" customHeight="1" thickTop="1">
      <c r="A302" s="1234"/>
      <c r="B302" s="637"/>
      <c r="C302" s="637"/>
      <c r="D302" s="638"/>
      <c r="E302" s="659"/>
      <c r="G302" s="639" t="s">
        <v>536</v>
      </c>
      <c r="H302" s="640">
        <f>SUM(H293:H301)</f>
        <v>45615298.388012081</v>
      </c>
    </row>
    <row r="303" spans="1:10" s="625" customFormat="1" ht="15" customHeight="1">
      <c r="A303" s="1235"/>
      <c r="B303" s="641"/>
      <c r="C303" s="641"/>
      <c r="D303" s="642"/>
      <c r="E303" s="621"/>
      <c r="G303" s="643" t="s">
        <v>537</v>
      </c>
      <c r="H303" s="644">
        <f>SUM(H302:H302)*0.05*0.19/1.3</f>
        <v>333342.56514316518</v>
      </c>
    </row>
    <row r="304" spans="1:10" s="625" customFormat="1" ht="15" customHeight="1" thickBot="1">
      <c r="A304" s="1236"/>
      <c r="B304" s="619"/>
      <c r="C304" s="619"/>
      <c r="D304" s="620"/>
      <c r="E304" s="621"/>
      <c r="G304" s="643" t="s">
        <v>538</v>
      </c>
      <c r="H304" s="645">
        <f>+ROUND(H302+H303,0)</f>
        <v>45948641</v>
      </c>
    </row>
    <row r="305" spans="1:8" s="625" customFormat="1" ht="15" customHeight="1" thickTop="1">
      <c r="A305" s="1236"/>
      <c r="B305" s="619"/>
      <c r="C305" s="619"/>
      <c r="D305" s="620"/>
      <c r="E305" s="621"/>
      <c r="G305" s="643"/>
      <c r="H305" s="646"/>
    </row>
    <row r="306" spans="1:8" s="625" customFormat="1" ht="13.5" thickBot="1">
      <c r="A306" s="1237"/>
      <c r="B306" s="627"/>
      <c r="C306" s="626" t="s">
        <v>585</v>
      </c>
      <c r="D306" s="626"/>
      <c r="E306" s="627"/>
      <c r="F306" s="626"/>
      <c r="G306" s="691"/>
      <c r="H306" s="629"/>
    </row>
    <row r="307" spans="1:8" s="625" customFormat="1" ht="15" customHeight="1" thickTop="1">
      <c r="A307" s="1231" t="s">
        <v>540</v>
      </c>
      <c r="B307" s="631" t="str">
        <f t="shared" ref="B307:B313" si="36">MID(A307,1,3)&amp;"-"&amp;13</f>
        <v>600-13</v>
      </c>
      <c r="C307" s="632"/>
      <c r="D307" s="657" t="str">
        <f>VLOOKUP(A307,[33]INDICE!$A$3:$D$334,2,FALSE)</f>
        <v>EXCAVACIONES VARIAS SIN CLASIFICAR</v>
      </c>
      <c r="E307" s="649" t="str">
        <f>VLOOKUP(A307,[33]INDICE!$A$3:$D$334,3,FALSE)</f>
        <v>m3</v>
      </c>
      <c r="F307" s="662">
        <v>8</v>
      </c>
      <c r="G307" s="688">
        <f>VLOOKUP(A307,[33]INDICE!$A$3:$D$334,4,FALSE)</f>
        <v>67953.950275344076</v>
      </c>
      <c r="H307" s="636">
        <f t="shared" ref="H307:H313" si="37">F307*G307</f>
        <v>543631.60220275261</v>
      </c>
    </row>
    <row r="308" spans="1:8" s="625" customFormat="1" ht="15" customHeight="1">
      <c r="A308" s="1231" t="s">
        <v>544</v>
      </c>
      <c r="B308" s="631" t="str">
        <f t="shared" si="36"/>
        <v>610-13</v>
      </c>
      <c r="C308" s="631"/>
      <c r="D308" s="657" t="str">
        <f>VLOOKUP(A308,[33]INDICE!$A$3:$D$334,2,FALSE)</f>
        <v>RELLENOS PARA ESTRUCTURAS CON SUELO.</v>
      </c>
      <c r="E308" s="649" t="str">
        <f>VLOOKUP(A308,[33]INDICE!$A$3:$D$334,3,FALSE)</f>
        <v>m3</v>
      </c>
      <c r="F308" s="654">
        <v>13</v>
      </c>
      <c r="G308" s="688">
        <f>VLOOKUP(A308,[33]INDICE!$A$3:$D$334,4,FALSE)</f>
        <v>164362.8922747685</v>
      </c>
      <c r="H308" s="636">
        <f t="shared" si="37"/>
        <v>2136717.5995719903</v>
      </c>
    </row>
    <row r="309" spans="1:8" s="625" customFormat="1" ht="15" customHeight="1">
      <c r="A309" s="1231" t="s">
        <v>553</v>
      </c>
      <c r="B309" s="631" t="str">
        <f t="shared" si="36"/>
        <v>630-13</v>
      </c>
      <c r="C309" s="631"/>
      <c r="D309" s="657" t="str">
        <f>VLOOKUP(A309,[33]INDICE!$A$3:$D$334,2,FALSE)</f>
        <v>CONCRETO RESISTENCIA 21MPA (D)</v>
      </c>
      <c r="E309" s="649" t="str">
        <f>VLOOKUP(A309,[33]INDICE!$A$3:$D$334,3,FALSE)</f>
        <v>m3</v>
      </c>
      <c r="F309" s="655">
        <v>9</v>
      </c>
      <c r="G309" s="688">
        <f>VLOOKUP(A309,[33]INDICE!$A$3:$D$334,4,FALSE)</f>
        <v>871855.23056364793</v>
      </c>
      <c r="H309" s="636">
        <f t="shared" si="37"/>
        <v>7846697.0750728315</v>
      </c>
    </row>
    <row r="310" spans="1:8" s="625" customFormat="1" ht="15" customHeight="1">
      <c r="A310" s="1231" t="s">
        <v>556</v>
      </c>
      <c r="B310" s="631" t="str">
        <f t="shared" si="36"/>
        <v>630-13</v>
      </c>
      <c r="C310" s="631"/>
      <c r="D310" s="657" t="str">
        <f>VLOOKUP(A310,[33]INDICE!$A$3:$D$334,2,FALSE)</f>
        <v>CONCRETO RESISTENCIA 14MPA  (F)</v>
      </c>
      <c r="E310" s="649" t="str">
        <f>VLOOKUP(A310,[33]INDICE!$A$3:$D$334,3,FALSE)</f>
        <v>m3</v>
      </c>
      <c r="F310" s="655">
        <v>2</v>
      </c>
      <c r="G310" s="688">
        <f>VLOOKUP(A310,[33]INDICE!$A$3:$D$334,4,FALSE)</f>
        <v>674387.0151947831</v>
      </c>
      <c r="H310" s="636">
        <f t="shared" si="37"/>
        <v>1348774.0303895662</v>
      </c>
    </row>
    <row r="311" spans="1:8" s="625" customFormat="1" ht="15" customHeight="1">
      <c r="A311" s="1231" t="s">
        <v>554</v>
      </c>
      <c r="B311" s="631" t="str">
        <f t="shared" si="36"/>
        <v>640-13</v>
      </c>
      <c r="C311" s="631"/>
      <c r="D311" s="657" t="str">
        <f>VLOOKUP(A311,[33]INDICE!$A$3:$D$334,2,FALSE)</f>
        <v>ACERO DE REFUERZO FY 4200 MPA.</v>
      </c>
      <c r="E311" s="649" t="str">
        <f>VLOOKUP(A311,[33]INDICE!$A$3:$D$334,3,FALSE)</f>
        <v>kg</v>
      </c>
      <c r="F311" s="668">
        <v>238</v>
      </c>
      <c r="G311" s="688">
        <f>VLOOKUP(A311,[33]INDICE!$A$3:$D$334,4,FALSE)</f>
        <v>6085.8496982034649</v>
      </c>
      <c r="H311" s="636">
        <f t="shared" si="37"/>
        <v>1448432.2281724247</v>
      </c>
    </row>
    <row r="312" spans="1:8" s="625" customFormat="1" ht="15" customHeight="1">
      <c r="A312" s="1231" t="s">
        <v>548</v>
      </c>
      <c r="B312" s="631" t="str">
        <f t="shared" si="36"/>
        <v>673-13</v>
      </c>
      <c r="C312" s="631"/>
      <c r="D312" s="657" t="str">
        <f>VLOOKUP(A312,[33]INDICE!$A$3:$D$334,2,FALSE)</f>
        <v>GEOTEXTIL  TIPO T-2400 O SIMILAR TEJIDO</v>
      </c>
      <c r="E312" s="649" t="str">
        <f>VLOOKUP(A312,[33]INDICE!$A$3:$D$334,3,FALSE)</f>
        <v>m2</v>
      </c>
      <c r="F312" s="654">
        <v>8</v>
      </c>
      <c r="G312" s="688">
        <f>VLOOKUP(A312,[33]INDICE!$A$3:$D$334,4,FALSE)</f>
        <v>10983.835173625577</v>
      </c>
      <c r="H312" s="636">
        <f t="shared" si="37"/>
        <v>87870.681389004618</v>
      </c>
    </row>
    <row r="313" spans="1:8" s="625" customFormat="1" ht="26.1" customHeight="1" thickBot="1">
      <c r="A313" s="1231" t="s">
        <v>562</v>
      </c>
      <c r="B313" s="631" t="str">
        <f t="shared" si="36"/>
        <v>681-13</v>
      </c>
      <c r="C313" s="631"/>
      <c r="D313" s="657" t="str">
        <f>VLOOKUP(A313,[33]INDICE!$A$3:$D$334,2,FALSE)</f>
        <v>GAVIÓN DE MALLA DE ALAMBRE DE ACERO ENTRELAZADO  CLASE 3; RECUBRIMIENTO DE ZINC (GALVANIZADO) Y PVC</v>
      </c>
      <c r="E313" s="649" t="str">
        <f>VLOOKUP(A313,[33]INDICE!$A$3:$D$334,3,FALSE)</f>
        <v>m3</v>
      </c>
      <c r="F313" s="663">
        <v>12</v>
      </c>
      <c r="G313" s="688">
        <f>VLOOKUP(A313,[33]INDICE!$A$3:$D$334,4,FALSE)</f>
        <v>430730.76446905878</v>
      </c>
      <c r="H313" s="636">
        <f t="shared" si="37"/>
        <v>5168769.1736287056</v>
      </c>
    </row>
    <row r="314" spans="1:8" s="625" customFormat="1" ht="15" customHeight="1" thickTop="1">
      <c r="A314" s="1234"/>
      <c r="B314" s="637"/>
      <c r="C314" s="637"/>
      <c r="D314" s="638"/>
      <c r="E314" s="659"/>
      <c r="G314" s="639" t="s">
        <v>536</v>
      </c>
      <c r="H314" s="640">
        <f>SUM(H307:H313)</f>
        <v>18580892.390427276</v>
      </c>
    </row>
    <row r="315" spans="1:8" s="625" customFormat="1" ht="15" customHeight="1">
      <c r="A315" s="1235"/>
      <c r="B315" s="641"/>
      <c r="C315" s="641"/>
      <c r="D315" s="642"/>
      <c r="E315" s="621"/>
      <c r="G315" s="643" t="s">
        <v>537</v>
      </c>
      <c r="H315" s="644">
        <f>ROUND((+H314*0.05*0.19)/(1+0.3),0)</f>
        <v>135783</v>
      </c>
    </row>
    <row r="316" spans="1:8" s="625" customFormat="1" ht="15" customHeight="1" thickBot="1">
      <c r="A316" s="1236"/>
      <c r="B316" s="619"/>
      <c r="C316" s="619"/>
      <c r="D316" s="620"/>
      <c r="E316" s="621"/>
      <c r="G316" s="643" t="s">
        <v>538</v>
      </c>
      <c r="H316" s="645">
        <f>+ROUND(H314+H315,0)</f>
        <v>18716675</v>
      </c>
    </row>
    <row r="317" spans="1:8" s="625" customFormat="1" ht="15" customHeight="1" thickTop="1">
      <c r="A317" s="1236"/>
      <c r="B317" s="619"/>
      <c r="C317" s="619"/>
      <c r="D317" s="620"/>
      <c r="E317" s="621"/>
      <c r="G317" s="643"/>
      <c r="H317" s="646"/>
    </row>
    <row r="318" spans="1:8" s="625" customFormat="1" ht="13.5" thickBot="1">
      <c r="A318" s="1237"/>
      <c r="B318" s="627"/>
      <c r="C318" s="626" t="s">
        <v>586</v>
      </c>
      <c r="D318" s="626"/>
      <c r="E318" s="627"/>
      <c r="F318" s="626"/>
      <c r="G318" s="691"/>
      <c r="H318" s="629"/>
    </row>
    <row r="319" spans="1:8" s="625" customFormat="1" ht="15" customHeight="1" thickTop="1">
      <c r="A319" s="1231" t="s">
        <v>540</v>
      </c>
      <c r="B319" s="631" t="str">
        <f>MID(A319,1,3)&amp;"-"&amp;13</f>
        <v>600-13</v>
      </c>
      <c r="C319" s="632"/>
      <c r="D319" s="657" t="str">
        <f>VLOOKUP(A319,[33]INDICE!$A$3:$D$334,2,FALSE)</f>
        <v>EXCAVACIONES VARIAS SIN CLASIFICAR</v>
      </c>
      <c r="E319" s="649" t="str">
        <f>VLOOKUP(A319,[33]INDICE!$A$3:$D$334,3,FALSE)</f>
        <v>m3</v>
      </c>
      <c r="F319" s="662">
        <v>7</v>
      </c>
      <c r="G319" s="688">
        <f>VLOOKUP(A319,[33]INDICE!$A$3:$D$334,4,FALSE)</f>
        <v>67953.950275344076</v>
      </c>
      <c r="H319" s="636">
        <f>F319*G319</f>
        <v>475677.65192740853</v>
      </c>
    </row>
    <row r="320" spans="1:8" s="625" customFormat="1" ht="15" customHeight="1">
      <c r="A320" s="1231" t="s">
        <v>544</v>
      </c>
      <c r="B320" s="631" t="str">
        <f>MID(A320,1,3)&amp;"-"&amp;13</f>
        <v>610-13</v>
      </c>
      <c r="C320" s="631"/>
      <c r="D320" s="657" t="str">
        <f>VLOOKUP(A320,[33]INDICE!$A$3:$D$334,2,FALSE)</f>
        <v>RELLENOS PARA ESTRUCTURAS CON SUELO.</v>
      </c>
      <c r="E320" s="649" t="str">
        <f>VLOOKUP(A320,[33]INDICE!$A$3:$D$334,3,FALSE)</f>
        <v>m3</v>
      </c>
      <c r="F320" s="653">
        <v>23</v>
      </c>
      <c r="G320" s="688">
        <f>VLOOKUP(A320,[33]INDICE!$A$3:$D$334,4,FALSE)</f>
        <v>164362.8922747685</v>
      </c>
      <c r="H320" s="636">
        <f>F320*G320</f>
        <v>3780346.5223196754</v>
      </c>
    </row>
    <row r="321" spans="1:10" s="625" customFormat="1" ht="15" customHeight="1">
      <c r="A321" s="1231" t="s">
        <v>553</v>
      </c>
      <c r="B321" s="631" t="str">
        <f>MID(A321,1,3)&amp;"-"&amp;13</f>
        <v>630-13</v>
      </c>
      <c r="C321" s="631"/>
      <c r="D321" s="657" t="str">
        <f>VLOOKUP(A321,[33]INDICE!$A$3:$D$334,2,FALSE)</f>
        <v>CONCRETO RESISTENCIA 21MPA (D)</v>
      </c>
      <c r="E321" s="649" t="str">
        <f>VLOOKUP(A321,[33]INDICE!$A$3:$D$334,3,FALSE)</f>
        <v>m3</v>
      </c>
      <c r="F321" s="655">
        <v>15</v>
      </c>
      <c r="G321" s="688">
        <f>VLOOKUP(A321,[33]INDICE!$A$3:$D$334,4,FALSE)</f>
        <v>871855.23056364793</v>
      </c>
      <c r="H321" s="636">
        <f>F321*G321</f>
        <v>13077828.458454719</v>
      </c>
    </row>
    <row r="322" spans="1:10" s="625" customFormat="1" ht="15" customHeight="1">
      <c r="A322" s="1231" t="s">
        <v>545</v>
      </c>
      <c r="B322" s="631" t="str">
        <f>MID(A322,1,3)&amp;"-"&amp;13</f>
        <v>630-13</v>
      </c>
      <c r="C322" s="631"/>
      <c r="D322" s="657" t="str">
        <f>VLOOKUP(A322,[33]INDICE!$A$3:$D$334,2,FALSE)</f>
        <v>CONCRETO RESISTENCIA 17.5MPA (E )</v>
      </c>
      <c r="E322" s="649" t="str">
        <f>VLOOKUP(A322,[33]INDICE!$A$3:$D$334,3,FALSE)</f>
        <v>m3</v>
      </c>
      <c r="F322" s="668">
        <v>1</v>
      </c>
      <c r="G322" s="688">
        <f>VLOOKUP(A322,[33]INDICE!$A$3:$D$334,4,FALSE)</f>
        <v>735031.04931538599</v>
      </c>
      <c r="H322" s="636">
        <f>F322*G322</f>
        <v>735031.04931538599</v>
      </c>
    </row>
    <row r="323" spans="1:10" s="625" customFormat="1" ht="15" customHeight="1" thickBot="1">
      <c r="A323" s="1231" t="s">
        <v>554</v>
      </c>
      <c r="B323" s="631" t="str">
        <f>MID(A323,1,3)&amp;"-"&amp;13</f>
        <v>640-13</v>
      </c>
      <c r="C323" s="631"/>
      <c r="D323" s="657" t="str">
        <f>VLOOKUP(A323,[33]INDICE!$A$3:$D$334,2,FALSE)</f>
        <v>ACERO DE REFUERZO FY 4200 MPA.</v>
      </c>
      <c r="E323" s="649" t="str">
        <f>VLOOKUP(A323,[33]INDICE!$A$3:$D$334,3,FALSE)</f>
        <v>kg</v>
      </c>
      <c r="F323" s="654">
        <v>5796</v>
      </c>
      <c r="G323" s="688">
        <f>VLOOKUP(A323,[33]INDICE!$A$3:$D$334,4,FALSE)</f>
        <v>6085.8496982034649</v>
      </c>
      <c r="H323" s="636">
        <f>F323*G323</f>
        <v>35273584.850787282</v>
      </c>
    </row>
    <row r="324" spans="1:10" s="625" customFormat="1" ht="15" customHeight="1" thickTop="1">
      <c r="A324" s="637"/>
      <c r="B324" s="637"/>
      <c r="C324" s="637"/>
      <c r="D324" s="638"/>
      <c r="E324" s="659"/>
      <c r="F324" s="660"/>
      <c r="G324" s="639" t="s">
        <v>536</v>
      </c>
      <c r="H324" s="640">
        <f>SUM(H319:H323)</f>
        <v>53342468.532804474</v>
      </c>
    </row>
    <row r="325" spans="1:10" s="625" customFormat="1" ht="15" customHeight="1">
      <c r="A325" s="641"/>
      <c r="B325" s="641"/>
      <c r="C325" s="641"/>
      <c r="D325" s="642"/>
      <c r="E325" s="621"/>
      <c r="F325" s="647"/>
      <c r="G325" s="643" t="s">
        <v>537</v>
      </c>
      <c r="H325" s="644">
        <f>ROUND((+H324*0.05*0.19)/(1+0.3),0)</f>
        <v>389810</v>
      </c>
    </row>
    <row r="326" spans="1:10" s="625" customFormat="1" ht="15" customHeight="1" thickBot="1">
      <c r="A326" s="620"/>
      <c r="B326" s="619"/>
      <c r="C326" s="619"/>
      <c r="D326" s="620"/>
      <c r="E326" s="621"/>
      <c r="F326" s="647"/>
      <c r="G326" s="647" t="s">
        <v>538</v>
      </c>
      <c r="H326" s="645">
        <f>+ROUND(H324+H325,0)</f>
        <v>53732279</v>
      </c>
    </row>
    <row r="327" spans="1:10" s="625" customFormat="1" ht="15" customHeight="1" thickTop="1">
      <c r="A327" s="620"/>
      <c r="B327" s="619"/>
      <c r="C327" s="619"/>
      <c r="D327" s="620"/>
      <c r="E327" s="621"/>
      <c r="F327" s="622"/>
      <c r="G327" s="693"/>
      <c r="H327" s="624"/>
    </row>
    <row r="328" spans="1:10" s="625" customFormat="1" ht="13.5" thickBot="1">
      <c r="A328" s="626"/>
      <c r="B328" s="627"/>
      <c r="C328" s="626" t="s">
        <v>587</v>
      </c>
      <c r="D328" s="626"/>
      <c r="E328" s="627"/>
      <c r="F328" s="626"/>
      <c r="G328" s="691"/>
      <c r="H328" s="629"/>
    </row>
    <row r="329" spans="1:10" s="625" customFormat="1" ht="15" customHeight="1" thickTop="1">
      <c r="A329" s="1231" t="s">
        <v>540</v>
      </c>
      <c r="B329" s="631" t="str">
        <f>MID(A329,1,3)&amp;"-"&amp;13</f>
        <v>600-13</v>
      </c>
      <c r="C329" s="665"/>
      <c r="D329" s="657" t="str">
        <f>VLOOKUP(A329,[33]INDICE!$A$3:$D$334,2,FALSE)</f>
        <v>EXCAVACIONES VARIAS SIN CLASIFICAR</v>
      </c>
      <c r="E329" s="649" t="str">
        <f>VLOOKUP(A329,[33]INDICE!$A$3:$D$334,3,FALSE)</f>
        <v>m3</v>
      </c>
      <c r="F329" s="666">
        <f>20*2*1.5</f>
        <v>60</v>
      </c>
      <c r="G329" s="688">
        <f>VLOOKUP(A329,[33]INDICE!$A$3:$D$334,4,FALSE)</f>
        <v>67953.950275344076</v>
      </c>
      <c r="H329" s="667">
        <f>F329*G329</f>
        <v>4077237.0165206445</v>
      </c>
      <c r="J329" s="625" t="s">
        <v>541</v>
      </c>
    </row>
    <row r="330" spans="1:10" s="625" customFormat="1" ht="15" customHeight="1">
      <c r="A330" s="1231" t="s">
        <v>542</v>
      </c>
      <c r="B330" s="631" t="str">
        <f>MID(A330,1,3)&amp;"-"&amp;13</f>
        <v>600-13</v>
      </c>
      <c r="C330" s="631"/>
      <c r="D330" s="657" t="str">
        <f>VLOOKUP(A330,[33]INDICE!$A$3:$D$334,2,FALSE)</f>
        <v>EXCAVACIONES VARIAS EN MATERIAL COMÚN BAJO AGUA.</v>
      </c>
      <c r="E330" s="649" t="str">
        <f>VLOOKUP(A330,[33]INDICE!$A$3:$D$334,3,FALSE)</f>
        <v>m3</v>
      </c>
      <c r="F330" s="655">
        <f>F329*0.8</f>
        <v>48</v>
      </c>
      <c r="G330" s="688">
        <f>VLOOKUP(A330,[33]INDICE!$A$3:$D$334,4,FALSE)</f>
        <v>84833.800787215107</v>
      </c>
      <c r="H330" s="652">
        <f>F330*G330</f>
        <v>4072022.4377863249</v>
      </c>
      <c r="J330" s="625" t="s">
        <v>543</v>
      </c>
    </row>
    <row r="331" spans="1:10" s="625" customFormat="1" ht="15" customHeight="1" thickBot="1">
      <c r="A331" s="1231" t="s">
        <v>547</v>
      </c>
      <c r="B331" s="631" t="str">
        <f>MID(A331,1,3)&amp;"-"&amp;13</f>
        <v>630-13</v>
      </c>
      <c r="C331" s="631"/>
      <c r="D331" s="657" t="str">
        <f>VLOOKUP(A331,[33]INDICE!$A$3:$D$334,2,FALSE)</f>
        <v>BOLSACRETO 1M3(21MPA)</v>
      </c>
      <c r="E331" s="649" t="str">
        <f>VLOOKUP(A331,[33]INDICE!$A$3:$D$334,3,FALSE)</f>
        <v>M3</v>
      </c>
      <c r="F331" s="694">
        <f>20*5</f>
        <v>100</v>
      </c>
      <c r="G331" s="688">
        <f>VLOOKUP(A331,[33]INDICE!$A$3:$D$334,4,FALSE)</f>
        <v>1058308.5970719282</v>
      </c>
      <c r="H331" s="652">
        <f>F331*G331</f>
        <v>105830859.70719282</v>
      </c>
      <c r="J331" s="625" t="s">
        <v>547</v>
      </c>
    </row>
    <row r="332" spans="1:10" s="625" customFormat="1" ht="15" customHeight="1" thickTop="1">
      <c r="A332" s="637"/>
      <c r="B332" s="637"/>
      <c r="C332" s="637"/>
      <c r="D332" s="638"/>
      <c r="E332" s="659"/>
      <c r="F332" s="660"/>
      <c r="G332" s="639" t="s">
        <v>536</v>
      </c>
      <c r="H332" s="640">
        <f>SUM(H329:H331)</f>
        <v>113980119.1614998</v>
      </c>
    </row>
    <row r="333" spans="1:10" s="625" customFormat="1" ht="15" customHeight="1">
      <c r="A333" s="641"/>
      <c r="B333" s="641"/>
      <c r="C333" s="641"/>
      <c r="D333" s="642"/>
      <c r="E333" s="621"/>
      <c r="F333" s="647"/>
      <c r="G333" s="643" t="s">
        <v>537</v>
      </c>
      <c r="H333" s="644">
        <f>SUM(H332:H332)*0.05*0.19/1.3</f>
        <v>832931.6400263448</v>
      </c>
    </row>
    <row r="334" spans="1:10" s="625" customFormat="1" ht="15" customHeight="1" thickBot="1">
      <c r="A334" s="1236"/>
      <c r="B334" s="619"/>
      <c r="C334" s="619"/>
      <c r="D334" s="620"/>
      <c r="E334" s="621"/>
      <c r="F334" s="647"/>
      <c r="G334" s="643" t="s">
        <v>538</v>
      </c>
      <c r="H334" s="645">
        <f>+ROUND(H332+H333,0)</f>
        <v>114813051</v>
      </c>
    </row>
    <row r="335" spans="1:10" s="625" customFormat="1" ht="15" customHeight="1" thickTop="1">
      <c r="A335" s="1236"/>
      <c r="B335" s="619"/>
      <c r="C335" s="619"/>
      <c r="D335" s="620"/>
      <c r="E335" s="621"/>
      <c r="F335" s="647"/>
      <c r="G335" s="643"/>
      <c r="H335" s="646"/>
    </row>
    <row r="336" spans="1:10" s="625" customFormat="1" ht="13.5" thickBot="1">
      <c r="A336" s="1237"/>
      <c r="B336" s="627"/>
      <c r="C336" s="626" t="s">
        <v>588</v>
      </c>
      <c r="D336" s="626"/>
      <c r="E336" s="627"/>
      <c r="F336" s="626"/>
      <c r="G336" s="691"/>
      <c r="H336" s="629"/>
    </row>
    <row r="337" spans="1:10" s="625" customFormat="1" ht="15" customHeight="1" thickTop="1" thickBot="1">
      <c r="A337" s="1231" t="s">
        <v>540</v>
      </c>
      <c r="B337" s="631" t="str">
        <f>MID(A337,1,3)&amp;"-"&amp;13</f>
        <v>600-13</v>
      </c>
      <c r="C337" s="665"/>
      <c r="D337" s="657" t="str">
        <f>VLOOKUP(A337,[33]INDICE!$A$3:$D$334,2,FALSE)</f>
        <v>EXCAVACIONES VARIAS SIN CLASIFICAR</v>
      </c>
      <c r="E337" s="649" t="str">
        <f>VLOOKUP(A337,[33]INDICE!$A$3:$D$334,3,FALSE)</f>
        <v>m3</v>
      </c>
      <c r="F337" s="666">
        <v>36</v>
      </c>
      <c r="G337" s="688">
        <f>VLOOKUP(A337,[33]INDICE!$A$3:$D$334,4,FALSE)</f>
        <v>67953.950275344076</v>
      </c>
      <c r="H337" s="667">
        <f>F337*G337</f>
        <v>2446342.2099123867</v>
      </c>
    </row>
    <row r="338" spans="1:10" s="625" customFormat="1" ht="15" customHeight="1" thickTop="1" thickBot="1">
      <c r="A338" s="1231" t="s">
        <v>544</v>
      </c>
      <c r="B338" s="631" t="str">
        <f>MID(A338,1,3)&amp;"-"&amp;13</f>
        <v>610-13</v>
      </c>
      <c r="C338" s="683"/>
      <c r="D338" s="657" t="str">
        <f>VLOOKUP(A338,[33]INDICE!$A$3:$D$334,2,FALSE)</f>
        <v>RELLENOS PARA ESTRUCTURAS CON SUELO.</v>
      </c>
      <c r="E338" s="649" t="str">
        <f>VLOOKUP(A338,[33]INDICE!$A$3:$D$334,3,FALSE)</f>
        <v>m3</v>
      </c>
      <c r="F338" s="687">
        <v>29</v>
      </c>
      <c r="G338" s="688">
        <f>VLOOKUP(A338,[33]INDICE!$A$3:$D$334,4,FALSE)</f>
        <v>164362.8922747685</v>
      </c>
      <c r="H338" s="667">
        <f>F338*G338</f>
        <v>4766523.8759682868</v>
      </c>
    </row>
    <row r="339" spans="1:10" s="625" customFormat="1" ht="15" customHeight="1" thickTop="1" thickBot="1">
      <c r="A339" s="1231" t="s">
        <v>548</v>
      </c>
      <c r="B339" s="631" t="str">
        <f>MID(A339,1,3)&amp;"-"&amp;13</f>
        <v>673-13</v>
      </c>
      <c r="C339" s="631"/>
      <c r="D339" s="657" t="str">
        <f>VLOOKUP(A339,[33]INDICE!$A$3:$D$334,2,FALSE)</f>
        <v>GEOTEXTIL  TIPO T-2400 O SIMILAR TEJIDO</v>
      </c>
      <c r="E339" s="649" t="str">
        <f>VLOOKUP(A339,[33]INDICE!$A$3:$D$334,3,FALSE)</f>
        <v>m2</v>
      </c>
      <c r="F339" s="655">
        <v>36</v>
      </c>
      <c r="G339" s="688">
        <f>VLOOKUP(A339,[33]INDICE!$A$3:$D$334,4,FALSE)</f>
        <v>10983.835173625577</v>
      </c>
      <c r="H339" s="667">
        <f>F339*G339</f>
        <v>395418.06625052076</v>
      </c>
    </row>
    <row r="340" spans="1:10" s="625" customFormat="1" ht="15" customHeight="1" thickTop="1" thickBot="1">
      <c r="A340" s="1231" t="s">
        <v>562</v>
      </c>
      <c r="B340" s="631" t="str">
        <f>MID(A340,1,3)&amp;"-"&amp;13</f>
        <v>681-13</v>
      </c>
      <c r="C340" s="631"/>
      <c r="D340" s="657" t="str">
        <f>VLOOKUP(A340,[33]INDICE!$A$3:$D$334,2,FALSE)</f>
        <v>GAVIÓN DE MALLA DE ALAMBRE DE ACERO ENTRELAZADO  CLASE 3; RECUBRIMIENTO DE ZINC (GALVANIZADO) Y PVC</v>
      </c>
      <c r="E340" s="649" t="str">
        <f>VLOOKUP(A340,[33]INDICE!$A$3:$D$334,3,FALSE)</f>
        <v>m3</v>
      </c>
      <c r="F340" s="694">
        <v>36</v>
      </c>
      <c r="G340" s="688">
        <f>VLOOKUP(A340,[33]INDICE!$A$3:$D$334,4,FALSE)</f>
        <v>430730.76446905878</v>
      </c>
      <c r="H340" s="667">
        <f>F340*G340</f>
        <v>15506307.520886116</v>
      </c>
    </row>
    <row r="341" spans="1:10" s="625" customFormat="1" ht="15" customHeight="1" thickTop="1">
      <c r="A341" s="1234"/>
      <c r="B341" s="637"/>
      <c r="C341" s="637"/>
      <c r="D341" s="638"/>
      <c r="E341" s="659"/>
      <c r="F341" s="660"/>
      <c r="G341" s="639" t="s">
        <v>536</v>
      </c>
      <c r="H341" s="640">
        <f>SUM(H337:H340)</f>
        <v>23114591.673017308</v>
      </c>
    </row>
    <row r="342" spans="1:10" s="625" customFormat="1" ht="15" customHeight="1">
      <c r="A342" s="1235"/>
      <c r="B342" s="641"/>
      <c r="C342" s="641"/>
      <c r="D342" s="642"/>
      <c r="E342" s="621"/>
      <c r="F342" s="647"/>
      <c r="G342" s="643" t="s">
        <v>537</v>
      </c>
      <c r="H342" s="644">
        <f>ROUND((+H341*0.05*0.19)/(1+0.3),0)</f>
        <v>168914</v>
      </c>
    </row>
    <row r="343" spans="1:10" s="625" customFormat="1" ht="15" customHeight="1" thickBot="1">
      <c r="A343" s="1236"/>
      <c r="B343" s="619"/>
      <c r="C343" s="619"/>
      <c r="D343" s="620"/>
      <c r="E343" s="621"/>
      <c r="F343" s="647"/>
      <c r="G343" s="643" t="s">
        <v>538</v>
      </c>
      <c r="H343" s="645">
        <f>+ROUND(H341+H342,0)</f>
        <v>23283506</v>
      </c>
    </row>
    <row r="344" spans="1:10" s="625" customFormat="1" ht="15" customHeight="1" thickTop="1">
      <c r="A344" s="1236"/>
      <c r="B344" s="619"/>
      <c r="C344" s="619"/>
      <c r="D344" s="620"/>
      <c r="E344" s="621"/>
      <c r="F344" s="647"/>
      <c r="G344" s="643"/>
      <c r="H344" s="646"/>
    </row>
    <row r="345" spans="1:10" s="625" customFormat="1" ht="12.75" customHeight="1" thickBot="1">
      <c r="A345" s="1237"/>
      <c r="B345" s="627"/>
      <c r="C345" s="626" t="s">
        <v>589</v>
      </c>
      <c r="D345" s="626"/>
      <c r="E345" s="627"/>
      <c r="F345" s="626"/>
      <c r="G345" s="691"/>
      <c r="H345" s="629"/>
      <c r="I345" s="630"/>
    </row>
    <row r="346" spans="1:10" s="625" customFormat="1" ht="15" customHeight="1" thickTop="1">
      <c r="A346" s="1232" t="s">
        <v>552</v>
      </c>
      <c r="B346" s="632" t="str">
        <f>MID(A346,1,3)&amp;"-"&amp;13</f>
        <v>201-13</v>
      </c>
      <c r="C346" s="632"/>
      <c r="D346" s="657" t="str">
        <f>VLOOKUP(A346,[33]INDICE!$A$3:$D$334,2,FALSE)</f>
        <v>DEMOLICIÓN DE ESTRUCTURAS</v>
      </c>
      <c r="E346" s="649" t="str">
        <f>VLOOKUP(A346,[33]INDICE!$A$3:$D$334,3,FALSE)</f>
        <v>m3</v>
      </c>
      <c r="F346" s="662">
        <v>3</v>
      </c>
      <c r="G346" s="688">
        <f>VLOOKUP(A346,[33]INDICE!$A$3:$D$334,4,FALSE)</f>
        <v>240341.82659000819</v>
      </c>
      <c r="H346" s="636">
        <f>F346*G346</f>
        <v>721025.47977002454</v>
      </c>
      <c r="J346" s="625">
        <v>201.7</v>
      </c>
    </row>
    <row r="347" spans="1:10" s="625" customFormat="1" ht="15" customHeight="1">
      <c r="A347" s="1231" t="s">
        <v>540</v>
      </c>
      <c r="B347" s="631" t="str">
        <f t="shared" ref="B347:B353" si="38">MID(A347,1,3)&amp;"-"&amp;13</f>
        <v>600-13</v>
      </c>
      <c r="C347" s="631"/>
      <c r="D347" s="657" t="str">
        <f>VLOOKUP(A347,[33]INDICE!$A$3:$D$334,2,FALSE)</f>
        <v>EXCAVACIONES VARIAS SIN CLASIFICAR</v>
      </c>
      <c r="E347" s="649" t="str">
        <f>VLOOKUP(A347,[33]INDICE!$A$3:$D$334,3,FALSE)</f>
        <v>m3</v>
      </c>
      <c r="F347" s="654">
        <v>20</v>
      </c>
      <c r="G347" s="688">
        <f>VLOOKUP(A347,[33]INDICE!$A$3:$D$334,4,FALSE)</f>
        <v>67953.950275344076</v>
      </c>
      <c r="H347" s="652">
        <f t="shared" ref="H347:H353" si="39">F347*G347</f>
        <v>1359079.0055068815</v>
      </c>
      <c r="J347" s="625" t="s">
        <v>541</v>
      </c>
    </row>
    <row r="348" spans="1:10" s="625" customFormat="1" ht="15" customHeight="1">
      <c r="A348" s="1231" t="s">
        <v>544</v>
      </c>
      <c r="B348" s="631" t="str">
        <f>MID(A348,1,3)&amp;"-"&amp;13</f>
        <v>610-13</v>
      </c>
      <c r="C348" s="631"/>
      <c r="D348" s="657" t="str">
        <f>VLOOKUP(A348,[33]INDICE!$A$3:$D$334,2,FALSE)</f>
        <v>RELLENOS PARA ESTRUCTURAS CON SUELO.</v>
      </c>
      <c r="E348" s="649" t="str">
        <f>VLOOKUP(A348,[33]INDICE!$A$3:$D$334,3,FALSE)</f>
        <v>m3</v>
      </c>
      <c r="F348" s="655">
        <f>+F347*0.6</f>
        <v>12</v>
      </c>
      <c r="G348" s="688">
        <f>VLOOKUP(A348,[33]INDICE!$A$3:$D$334,4,FALSE)</f>
        <v>164362.8922747685</v>
      </c>
      <c r="H348" s="652">
        <f>F348*G348</f>
        <v>1972354.707297222</v>
      </c>
      <c r="J348" s="625">
        <v>610.1</v>
      </c>
    </row>
    <row r="349" spans="1:10" s="625" customFormat="1" ht="15" customHeight="1">
      <c r="A349" s="1231" t="s">
        <v>545</v>
      </c>
      <c r="B349" s="631" t="str">
        <f t="shared" si="38"/>
        <v>630-13</v>
      </c>
      <c r="C349" s="631"/>
      <c r="D349" s="657" t="str">
        <f>VLOOKUP(A349,[33]INDICE!$A$3:$D$334,2,FALSE)</f>
        <v>CONCRETO RESISTENCIA 17.5MPA (E )</v>
      </c>
      <c r="E349" s="649" t="str">
        <f>VLOOKUP(A349,[33]INDICE!$A$3:$D$334,3,FALSE)</f>
        <v>m3</v>
      </c>
      <c r="F349" s="655">
        <v>9</v>
      </c>
      <c r="G349" s="688">
        <f>VLOOKUP(A349,[33]INDICE!$A$3:$D$334,4,FALSE)</f>
        <v>735031.04931538599</v>
      </c>
      <c r="H349" s="652">
        <f t="shared" si="39"/>
        <v>6615279.4438384734</v>
      </c>
      <c r="J349" s="625">
        <v>630.5</v>
      </c>
    </row>
    <row r="350" spans="1:10" s="625" customFormat="1" ht="15" customHeight="1">
      <c r="A350" s="1231" t="s">
        <v>546</v>
      </c>
      <c r="B350" s="631" t="str">
        <f t="shared" si="38"/>
        <v>630-13</v>
      </c>
      <c r="C350" s="631"/>
      <c r="D350" s="657" t="str">
        <f>VLOOKUP(A350,[33]INDICE!$A$3:$D$334,2,FALSE)</f>
        <v>CONCRETO RESISTENCIA 14MPA (G) (CICLOPEO)</v>
      </c>
      <c r="E350" s="649" t="str">
        <f>VLOOKUP(A350,[33]INDICE!$A$3:$D$334,3,FALSE)</f>
        <v>m3</v>
      </c>
      <c r="F350" s="668">
        <v>5</v>
      </c>
      <c r="G350" s="688">
        <f>VLOOKUP(A350,[33]INDICE!$A$3:$D$334,4,FALSE)</f>
        <v>530138.01220093726</v>
      </c>
      <c r="H350" s="652">
        <f t="shared" si="39"/>
        <v>2650690.0610046862</v>
      </c>
      <c r="J350" s="625">
        <v>630.70000000000005</v>
      </c>
    </row>
    <row r="351" spans="1:10" s="625" customFormat="1" ht="26.1" customHeight="1">
      <c r="A351" s="1231" t="s">
        <v>559</v>
      </c>
      <c r="B351" s="631" t="str">
        <f>MID(A351,1,3)&amp;"-"&amp;13</f>
        <v>671-13</v>
      </c>
      <c r="C351" s="631"/>
      <c r="D351" s="657" t="str">
        <f>VLOOKUP(A351,[33]INDICE!$A$3:$D$334,2,FALSE)</f>
        <v>CUNETA DE CONCRETO VACIADA IN SITU; INCLUYE LA CONFORMACION DE LA SUPERFICIE DE APOYO</v>
      </c>
      <c r="E351" s="649" t="str">
        <f>VLOOKUP(A351,[33]INDICE!$A$3:$D$334,3,FALSE)</f>
        <v>m3</v>
      </c>
      <c r="F351" s="655">
        <f>26*0.138</f>
        <v>3.5880000000000001</v>
      </c>
      <c r="G351" s="688">
        <f>VLOOKUP(A351,[33]INDICE!$A$3:$D$334,4,FALSE)</f>
        <v>841791.75196838728</v>
      </c>
      <c r="H351" s="652">
        <f>F351*G351</f>
        <v>3020348.8060625736</v>
      </c>
      <c r="J351" s="625">
        <v>671.3</v>
      </c>
    </row>
    <row r="352" spans="1:10" s="625" customFormat="1" ht="15" customHeight="1">
      <c r="A352" s="1233" t="s">
        <v>548</v>
      </c>
      <c r="B352" s="683" t="str">
        <f>MID(A352,1,3)&amp;"-"&amp;13</f>
        <v>673-13</v>
      </c>
      <c r="C352" s="683"/>
      <c r="D352" s="657" t="str">
        <f>VLOOKUP(A352,[33]INDICE!$A$3:$D$334,2,FALSE)</f>
        <v>GEOTEXTIL  TIPO T-2400 O SIMILAR TEJIDO</v>
      </c>
      <c r="E352" s="649" t="str">
        <f>VLOOKUP(A352,[33]INDICE!$A$3:$D$334,3,FALSE)</f>
        <v>m2</v>
      </c>
      <c r="F352" s="687">
        <f>(26+2)*6</f>
        <v>168</v>
      </c>
      <c r="G352" s="688">
        <f>VLOOKUP(A352,[33]INDICE!$A$3:$D$334,4,FALSE)</f>
        <v>10983.835173625577</v>
      </c>
      <c r="H352" s="686">
        <f>F352*G352</f>
        <v>1845284.3091690969</v>
      </c>
      <c r="J352" s="625">
        <v>673.1</v>
      </c>
    </row>
    <row r="353" spans="1:10" s="625" customFormat="1" ht="26.1" customHeight="1" thickBot="1">
      <c r="A353" s="1231" t="s">
        <v>549</v>
      </c>
      <c r="B353" s="631" t="str">
        <f t="shared" si="38"/>
        <v>681-13</v>
      </c>
      <c r="C353" s="631"/>
      <c r="D353" s="657" t="str">
        <f>VLOOKUP(A353,[33]INDICE!$A$3:$D$334,2,FALSE)</f>
        <v xml:space="preserve">GAVIÓNES DE MALLA DE ALAMBRE DE ACERO ENTRELAZADO  CLASE 1; RECUBRIMIENTO DE ZINC (GALVANIZADO) </v>
      </c>
      <c r="E353" s="649" t="str">
        <f>VLOOKUP(A353,[33]INDICE!$A$3:$D$334,3,FALSE)</f>
        <v>m3</v>
      </c>
      <c r="F353" s="654">
        <f>26*15</f>
        <v>390</v>
      </c>
      <c r="G353" s="688">
        <f>VLOOKUP(A353,[33]INDICE!$A$3:$D$334,4,FALSE)</f>
        <v>400986.60185015475</v>
      </c>
      <c r="H353" s="652">
        <f t="shared" si="39"/>
        <v>156384774.72156036</v>
      </c>
      <c r="J353" s="625">
        <v>681.1</v>
      </c>
    </row>
    <row r="354" spans="1:10" s="625" customFormat="1" ht="15" customHeight="1" thickTop="1">
      <c r="A354" s="1234"/>
      <c r="B354" s="637"/>
      <c r="C354" s="637"/>
      <c r="D354" s="638"/>
      <c r="E354" s="659"/>
      <c r="F354" s="660"/>
      <c r="G354" s="639" t="s">
        <v>536</v>
      </c>
      <c r="H354" s="640">
        <f>SUM(H346:H353)</f>
        <v>174568836.53420931</v>
      </c>
    </row>
    <row r="355" spans="1:10" s="625" customFormat="1" ht="15" customHeight="1">
      <c r="A355" s="1235"/>
      <c r="B355" s="641"/>
      <c r="C355" s="641"/>
      <c r="D355" s="642"/>
      <c r="E355" s="621"/>
      <c r="F355" s="647"/>
      <c r="G355" s="643" t="s">
        <v>537</v>
      </c>
      <c r="H355" s="644">
        <f>SUM(H354:H354)*0.05*0.19/1.3</f>
        <v>1275695.3439038373</v>
      </c>
    </row>
    <row r="356" spans="1:10" s="625" customFormat="1" ht="15" customHeight="1" thickBot="1">
      <c r="A356" s="1236"/>
      <c r="B356" s="619"/>
      <c r="C356" s="619"/>
      <c r="D356" s="620"/>
      <c r="E356" s="621"/>
      <c r="F356" s="647"/>
      <c r="G356" s="643" t="s">
        <v>538</v>
      </c>
      <c r="H356" s="645">
        <f>+ROUND(H354+H355,0)</f>
        <v>175844532</v>
      </c>
      <c r="I356" s="630"/>
    </row>
    <row r="357" spans="1:10" s="625" customFormat="1" ht="15" customHeight="1" thickTop="1">
      <c r="A357" s="1236"/>
      <c r="B357" s="619"/>
      <c r="C357" s="619"/>
      <c r="D357" s="620"/>
      <c r="E357" s="621"/>
      <c r="F357" s="622"/>
      <c r="G357" s="693"/>
      <c r="H357" s="624"/>
    </row>
    <row r="358" spans="1:10" s="625" customFormat="1" ht="12.75" customHeight="1" thickBot="1">
      <c r="A358" s="1237"/>
      <c r="B358" s="627"/>
      <c r="C358" s="626" t="s">
        <v>590</v>
      </c>
      <c r="D358" s="626"/>
      <c r="E358" s="627"/>
      <c r="F358" s="626"/>
      <c r="G358" s="691"/>
      <c r="H358" s="629"/>
      <c r="I358" s="630"/>
    </row>
    <row r="359" spans="1:10" s="625" customFormat="1" ht="15" customHeight="1" thickTop="1">
      <c r="A359" s="1232" t="s">
        <v>540</v>
      </c>
      <c r="B359" s="632" t="str">
        <f t="shared" ref="B359:B365" si="40">MID(A359,1,3)&amp;"-"&amp;13</f>
        <v>600-13</v>
      </c>
      <c r="C359" s="632"/>
      <c r="D359" s="657" t="str">
        <f>VLOOKUP(A359,[33]INDICE!$A$3:$D$334,2,FALSE)</f>
        <v>EXCAVACIONES VARIAS SIN CLASIFICAR</v>
      </c>
      <c r="E359" s="649" t="str">
        <f>VLOOKUP(A359,[33]INDICE!$A$3:$D$334,3,FALSE)</f>
        <v>m3</v>
      </c>
      <c r="F359" s="662">
        <v>12</v>
      </c>
      <c r="G359" s="688">
        <f>VLOOKUP(A359,[33]INDICE!$A$3:$D$334,4,FALSE)</f>
        <v>67953.950275344076</v>
      </c>
      <c r="H359" s="636">
        <f t="shared" ref="H359:H365" si="41">F359*G359</f>
        <v>815447.40330412891</v>
      </c>
    </row>
    <row r="360" spans="1:10" s="625" customFormat="1" ht="15" customHeight="1">
      <c r="A360" s="1231" t="s">
        <v>544</v>
      </c>
      <c r="B360" s="632" t="str">
        <f t="shared" si="40"/>
        <v>610-13</v>
      </c>
      <c r="C360" s="631"/>
      <c r="D360" s="657" t="str">
        <f>VLOOKUP(A360,[33]INDICE!$A$3:$D$334,2,FALSE)</f>
        <v>RELLENOS PARA ESTRUCTURAS CON SUELO.</v>
      </c>
      <c r="E360" s="649" t="str">
        <f>VLOOKUP(A360,[33]INDICE!$A$3:$D$334,3,FALSE)</f>
        <v>m3</v>
      </c>
      <c r="F360" s="654">
        <v>24</v>
      </c>
      <c r="G360" s="688">
        <f>VLOOKUP(A360,[33]INDICE!$A$3:$D$334,4,FALSE)</f>
        <v>164362.8922747685</v>
      </c>
      <c r="H360" s="636">
        <f t="shared" si="41"/>
        <v>3944709.414594444</v>
      </c>
    </row>
    <row r="361" spans="1:10" s="625" customFormat="1" ht="15" customHeight="1">
      <c r="A361" s="1231" t="s">
        <v>591</v>
      </c>
      <c r="B361" s="632" t="str">
        <f t="shared" si="40"/>
        <v>610-13</v>
      </c>
      <c r="C361" s="631"/>
      <c r="D361" s="657" t="str">
        <f>VLOOKUP(A361,[33]INDICE!$A$3:$D$334,2,FALSE)</f>
        <v>RELLENOS CON MATERIAL FILTRANTE</v>
      </c>
      <c r="E361" s="649" t="str">
        <f>VLOOKUP(A361,[33]INDICE!$A$3:$D$334,3,FALSE)</f>
        <v>m3</v>
      </c>
      <c r="F361" s="655">
        <v>5</v>
      </c>
      <c r="G361" s="688">
        <f>VLOOKUP(A361,[33]INDICE!$A$3:$D$334,4,FALSE)</f>
        <v>356963.71048533591</v>
      </c>
      <c r="H361" s="636">
        <f t="shared" si="41"/>
        <v>1784818.5524266795</v>
      </c>
    </row>
    <row r="362" spans="1:10" s="625" customFormat="1" ht="15" customHeight="1">
      <c r="A362" s="1231" t="s">
        <v>553</v>
      </c>
      <c r="B362" s="632" t="str">
        <f t="shared" si="40"/>
        <v>630-13</v>
      </c>
      <c r="C362" s="631"/>
      <c r="D362" s="657" t="str">
        <f>VLOOKUP(A362,[33]INDICE!$A$3:$D$334,2,FALSE)</f>
        <v>CONCRETO RESISTENCIA 21MPA (D)</v>
      </c>
      <c r="E362" s="649" t="str">
        <f>VLOOKUP(A362,[33]INDICE!$A$3:$D$334,3,FALSE)</f>
        <v>m3</v>
      </c>
      <c r="F362" s="655">
        <v>9</v>
      </c>
      <c r="G362" s="688">
        <f>VLOOKUP(A362,[33]INDICE!$A$3:$D$334,4,FALSE)</f>
        <v>871855.23056364793</v>
      </c>
      <c r="H362" s="636">
        <f t="shared" si="41"/>
        <v>7846697.0750728315</v>
      </c>
    </row>
    <row r="363" spans="1:10" s="625" customFormat="1" ht="15" customHeight="1">
      <c r="A363" s="1231" t="s">
        <v>556</v>
      </c>
      <c r="B363" s="632" t="str">
        <f t="shared" si="40"/>
        <v>630-13</v>
      </c>
      <c r="C363" s="631"/>
      <c r="D363" s="657" t="str">
        <f>VLOOKUP(A363,[33]INDICE!$A$3:$D$334,2,FALSE)</f>
        <v>CONCRETO RESISTENCIA 14MPA  (F)</v>
      </c>
      <c r="E363" s="649" t="str">
        <f>VLOOKUP(A363,[33]INDICE!$A$3:$D$334,3,FALSE)</f>
        <v>m3</v>
      </c>
      <c r="F363" s="655">
        <v>1</v>
      </c>
      <c r="G363" s="688">
        <f>VLOOKUP(A363,[33]INDICE!$A$3:$D$334,4,FALSE)</f>
        <v>674387.0151947831</v>
      </c>
      <c r="H363" s="636">
        <f t="shared" si="41"/>
        <v>674387.0151947831</v>
      </c>
    </row>
    <row r="364" spans="1:10" s="625" customFormat="1" ht="26.1" customHeight="1">
      <c r="A364" s="1231" t="s">
        <v>554</v>
      </c>
      <c r="B364" s="632" t="str">
        <f t="shared" si="40"/>
        <v>640-13</v>
      </c>
      <c r="C364" s="631"/>
      <c r="D364" s="657" t="str">
        <f>VLOOKUP(A364,[33]INDICE!$A$3:$D$334,2,FALSE)</f>
        <v>ACERO DE REFUERZO FY 4200 MPA.</v>
      </c>
      <c r="E364" s="649" t="str">
        <f>VLOOKUP(A364,[33]INDICE!$A$3:$D$334,3,FALSE)</f>
        <v>kg</v>
      </c>
      <c r="F364" s="655">
        <v>426</v>
      </c>
      <c r="G364" s="688">
        <f>VLOOKUP(A364,[33]INDICE!$A$3:$D$334,4,FALSE)</f>
        <v>6085.8496982034649</v>
      </c>
      <c r="H364" s="636">
        <f t="shared" si="41"/>
        <v>2592571.9714346761</v>
      </c>
    </row>
    <row r="365" spans="1:10" s="625" customFormat="1" ht="15" customHeight="1" thickBot="1">
      <c r="A365" s="1233" t="s">
        <v>548</v>
      </c>
      <c r="B365" s="632" t="str">
        <f t="shared" si="40"/>
        <v>673-13</v>
      </c>
      <c r="C365" s="683"/>
      <c r="D365" s="657" t="str">
        <f>VLOOKUP(A365,[33]INDICE!$A$3:$D$334,2,FALSE)</f>
        <v>GEOTEXTIL  TIPO T-2400 O SIMILAR TEJIDO</v>
      </c>
      <c r="E365" s="649" t="str">
        <f>VLOOKUP(A365,[33]INDICE!$A$3:$D$334,3,FALSE)</f>
        <v>m2</v>
      </c>
      <c r="F365" s="687">
        <v>14</v>
      </c>
      <c r="G365" s="688">
        <f>VLOOKUP(A365,[33]INDICE!$A$3:$D$334,4,FALSE)</f>
        <v>10983.835173625577</v>
      </c>
      <c r="H365" s="636">
        <f t="shared" si="41"/>
        <v>153773.69243075809</v>
      </c>
    </row>
    <row r="366" spans="1:10" s="625" customFormat="1" ht="15" customHeight="1" thickTop="1">
      <c r="A366" s="637"/>
      <c r="B366" s="637"/>
      <c r="C366" s="637"/>
      <c r="D366" s="638"/>
      <c r="E366" s="659"/>
      <c r="F366" s="660"/>
      <c r="G366" s="639" t="s">
        <v>536</v>
      </c>
      <c r="H366" s="640">
        <f>SUM(H359:H365)</f>
        <v>17812405.124458302</v>
      </c>
    </row>
    <row r="367" spans="1:10" s="625" customFormat="1" ht="15" customHeight="1">
      <c r="A367" s="641"/>
      <c r="B367" s="641"/>
      <c r="C367" s="641"/>
      <c r="D367" s="642"/>
      <c r="E367" s="621"/>
      <c r="F367" s="647"/>
      <c r="G367" s="643" t="s">
        <v>537</v>
      </c>
      <c r="H367" s="644">
        <f>ROUND((+H366*0.05*0.19)/(1+0.3),0)</f>
        <v>130168</v>
      </c>
    </row>
    <row r="368" spans="1:10" s="625" customFormat="1" ht="15" customHeight="1" thickBot="1">
      <c r="A368" s="620"/>
      <c r="B368" s="619"/>
      <c r="C368" s="619"/>
      <c r="D368" s="620"/>
      <c r="E368" s="621"/>
      <c r="F368" s="647"/>
      <c r="G368" s="643" t="s">
        <v>538</v>
      </c>
      <c r="H368" s="645">
        <f>+ROUND(H366+H367,0)</f>
        <v>17942573</v>
      </c>
      <c r="I368" s="630"/>
    </row>
    <row r="369" spans="1:10" s="625" customFormat="1" ht="12.75" customHeight="1" thickTop="1">
      <c r="A369" s="1236"/>
      <c r="B369" s="619"/>
      <c r="C369" s="619"/>
      <c r="D369" s="620"/>
      <c r="E369" s="621"/>
      <c r="F369" s="622"/>
      <c r="G369" s="693"/>
      <c r="H369" s="624"/>
    </row>
    <row r="370" spans="1:10" s="625" customFormat="1" ht="13.5" thickBot="1">
      <c r="A370" s="1237"/>
      <c r="B370" s="627"/>
      <c r="C370" s="626" t="s">
        <v>592</v>
      </c>
      <c r="D370" s="626"/>
      <c r="E370" s="627"/>
      <c r="F370" s="626"/>
      <c r="G370" s="691"/>
      <c r="H370" s="629"/>
      <c r="I370" s="630"/>
    </row>
    <row r="371" spans="1:10" s="625" customFormat="1" ht="15" customHeight="1" thickTop="1">
      <c r="A371" s="1232" t="s">
        <v>552</v>
      </c>
      <c r="B371" s="632" t="str">
        <f>MID(A371,1,3)&amp;"-"&amp;13</f>
        <v>201-13</v>
      </c>
      <c r="C371" s="632"/>
      <c r="D371" s="657" t="str">
        <f>VLOOKUP(A371,[33]INDICE!$A$3:$D$334,2,FALSE)</f>
        <v>DEMOLICIÓN DE ESTRUCTURAS</v>
      </c>
      <c r="E371" s="649" t="str">
        <f>VLOOKUP(A371,[33]INDICE!$A$3:$D$334,3,FALSE)</f>
        <v>m3</v>
      </c>
      <c r="F371" s="662">
        <v>11</v>
      </c>
      <c r="G371" s="688">
        <f>VLOOKUP(A371,[33]INDICE!$A$3:$D$334,4,FALSE)</f>
        <v>240341.82659000819</v>
      </c>
      <c r="H371" s="636">
        <f>F371*G371</f>
        <v>2643760.0924900901</v>
      </c>
      <c r="J371" s="625">
        <v>201.7</v>
      </c>
    </row>
    <row r="372" spans="1:10" s="625" customFormat="1" ht="15" customHeight="1">
      <c r="A372" s="1231" t="s">
        <v>540</v>
      </c>
      <c r="B372" s="631" t="str">
        <f t="shared" ref="B372:B380" si="42">MID(A372,1,3)&amp;"-"&amp;13</f>
        <v>600-13</v>
      </c>
      <c r="C372" s="631"/>
      <c r="D372" s="657" t="str">
        <f>VLOOKUP(A372,[33]INDICE!$A$3:$D$334,2,FALSE)</f>
        <v>EXCAVACIONES VARIAS SIN CLASIFICAR</v>
      </c>
      <c r="E372" s="649" t="str">
        <f>VLOOKUP(A372,[33]INDICE!$A$3:$D$334,3,FALSE)</f>
        <v>m3</v>
      </c>
      <c r="F372" s="654">
        <v>227</v>
      </c>
      <c r="G372" s="688">
        <f>VLOOKUP(A372,[33]INDICE!$A$3:$D$334,4,FALSE)</f>
        <v>67953.950275344076</v>
      </c>
      <c r="H372" s="652">
        <f t="shared" ref="H372:H380" si="43">F372*G372</f>
        <v>15425546.712503105</v>
      </c>
      <c r="J372" s="625" t="s">
        <v>541</v>
      </c>
    </row>
    <row r="373" spans="1:10" s="625" customFormat="1" ht="15" customHeight="1">
      <c r="A373" s="1231" t="s">
        <v>544</v>
      </c>
      <c r="B373" s="631" t="str">
        <f>MID(A373,1,3)&amp;"-"&amp;13</f>
        <v>610-13</v>
      </c>
      <c r="C373" s="631"/>
      <c r="D373" s="657" t="str">
        <f>VLOOKUP(A373,[33]INDICE!$A$3:$D$334,2,FALSE)</f>
        <v>RELLENOS PARA ESTRUCTURAS CON SUELO.</v>
      </c>
      <c r="E373" s="649" t="str">
        <f>VLOOKUP(A373,[33]INDICE!$A$3:$D$334,3,FALSE)</f>
        <v>m3</v>
      </c>
      <c r="F373" s="655">
        <v>137</v>
      </c>
      <c r="G373" s="688">
        <f>VLOOKUP(A373,[33]INDICE!$A$3:$D$334,4,FALSE)</f>
        <v>164362.8922747685</v>
      </c>
      <c r="H373" s="652">
        <f>F373*G373</f>
        <v>22517716.241643284</v>
      </c>
      <c r="J373" s="625">
        <v>610.1</v>
      </c>
    </row>
    <row r="374" spans="1:10" s="625" customFormat="1" ht="26.1" customHeight="1">
      <c r="A374" s="1231" t="s">
        <v>593</v>
      </c>
      <c r="B374" s="631" t="str">
        <f t="shared" si="42"/>
        <v>621-13</v>
      </c>
      <c r="C374" s="656" t="s">
        <v>557</v>
      </c>
      <c r="D374" s="657" t="str">
        <f>VLOOKUP(A374,[33]INDICE!$A$3:$D$334,2,FALSE)</f>
        <v>PILOTE DE CONCRETO VACIADO IN SITU, DE DIÁMETRO 1 M_</v>
      </c>
      <c r="E374" s="649" t="str">
        <f>VLOOKUP(A374,[33]INDICE!$A$3:$D$334,3,FALSE)</f>
        <v>m</v>
      </c>
      <c r="F374" s="654">
        <f>(25/3)*15</f>
        <v>125.00000000000001</v>
      </c>
      <c r="G374" s="688">
        <f>VLOOKUP(A374,[33]INDICE!$A$3:$D$334,4,FALSE)</f>
        <v>2541005.3171792314</v>
      </c>
      <c r="H374" s="652">
        <f t="shared" si="43"/>
        <v>317625664.64740396</v>
      </c>
      <c r="J374" s="625">
        <v>621.1</v>
      </c>
    </row>
    <row r="375" spans="1:10" s="625" customFormat="1" ht="15" customHeight="1">
      <c r="A375" s="1231" t="s">
        <v>553</v>
      </c>
      <c r="B375" s="631" t="str">
        <f t="shared" si="42"/>
        <v>630-13</v>
      </c>
      <c r="C375" s="631"/>
      <c r="D375" s="657" t="str">
        <f>VLOOKUP(A375,[33]INDICE!$A$3:$D$334,2,FALSE)</f>
        <v>CONCRETO RESISTENCIA 21MPA (D)</v>
      </c>
      <c r="E375" s="649" t="str">
        <f>VLOOKUP(A375,[33]INDICE!$A$3:$D$334,3,FALSE)</f>
        <v>m3</v>
      </c>
      <c r="F375" s="655">
        <f>25*(1.2*1*1+4*0.35*1)</f>
        <v>64.999999999999986</v>
      </c>
      <c r="G375" s="688">
        <f>VLOOKUP(A375,[33]INDICE!$A$3:$D$334,4,FALSE)</f>
        <v>871855.23056364793</v>
      </c>
      <c r="H375" s="652">
        <f t="shared" si="43"/>
        <v>56670589.986637101</v>
      </c>
      <c r="J375" s="658">
        <v>630.4</v>
      </c>
    </row>
    <row r="376" spans="1:10" s="625" customFormat="1" ht="15" customHeight="1">
      <c r="A376" s="1231" t="s">
        <v>554</v>
      </c>
      <c r="B376" s="631" t="str">
        <f t="shared" si="42"/>
        <v>640-13</v>
      </c>
      <c r="C376" s="631"/>
      <c r="D376" s="657" t="str">
        <f>VLOOKUP(A376,[33]INDICE!$A$3:$D$334,2,FALSE)</f>
        <v>ACERO DE REFUERZO FY 4200 MPA.</v>
      </c>
      <c r="E376" s="649" t="str">
        <f>VLOOKUP(A376,[33]INDICE!$A$3:$D$334,3,FALSE)</f>
        <v>kg</v>
      </c>
      <c r="F376" s="654">
        <f>F375*105</f>
        <v>6824.9999999999982</v>
      </c>
      <c r="G376" s="688">
        <f>VLOOKUP(A376,[33]INDICE!$A$3:$D$334,4,FALSE)</f>
        <v>6085.8496982034649</v>
      </c>
      <c r="H376" s="652">
        <f t="shared" si="43"/>
        <v>41535924.19023864</v>
      </c>
      <c r="J376" s="625">
        <v>640.1</v>
      </c>
    </row>
    <row r="377" spans="1:10" s="625" customFormat="1" ht="26.1" customHeight="1">
      <c r="A377" s="1231" t="s">
        <v>559</v>
      </c>
      <c r="B377" s="631" t="str">
        <f>MID(A377,1,3)&amp;"-"&amp;13</f>
        <v>671-13</v>
      </c>
      <c r="C377" s="631"/>
      <c r="D377" s="657" t="str">
        <f>VLOOKUP(A377,[33]INDICE!$A$3:$D$334,2,FALSE)</f>
        <v>CUNETA DE CONCRETO VACIADA IN SITU; INCLUYE LA CONFORMACION DE LA SUPERFICIE DE APOYO</v>
      </c>
      <c r="E377" s="649" t="str">
        <f>VLOOKUP(A377,[33]INDICE!$A$3:$D$334,3,FALSE)</f>
        <v>m3</v>
      </c>
      <c r="F377" s="655">
        <v>4</v>
      </c>
      <c r="G377" s="688">
        <f>VLOOKUP(A377,[33]INDICE!$A$3:$D$334,4,FALSE)</f>
        <v>841791.75196838728</v>
      </c>
      <c r="H377" s="652">
        <f>F377*G377</f>
        <v>3367167.0078735491</v>
      </c>
      <c r="J377" s="625">
        <v>671.3</v>
      </c>
    </row>
    <row r="378" spans="1:10" s="625" customFormat="1" ht="15" customHeight="1">
      <c r="A378" s="1231" t="s">
        <v>548</v>
      </c>
      <c r="B378" s="631" t="str">
        <f>MID(A378,1,3)&amp;"-"&amp;13</f>
        <v>673-13</v>
      </c>
      <c r="C378" s="631"/>
      <c r="D378" s="657" t="str">
        <f>VLOOKUP(A378,[33]INDICE!$A$3:$D$334,2,FALSE)</f>
        <v>GEOTEXTIL  TIPO T-2400 O SIMILAR TEJIDO</v>
      </c>
      <c r="E378" s="649" t="str">
        <f>VLOOKUP(A378,[33]INDICE!$A$3:$D$334,3,FALSE)</f>
        <v>m2</v>
      </c>
      <c r="F378" s="654">
        <f>(25+6)*4</f>
        <v>124</v>
      </c>
      <c r="G378" s="688">
        <f>VLOOKUP(A378,[33]INDICE!$A$3:$D$334,4,FALSE)</f>
        <v>10983.835173625577</v>
      </c>
      <c r="H378" s="652">
        <f>F378*G378</f>
        <v>1361995.5615295717</v>
      </c>
      <c r="J378" s="625">
        <v>673.1</v>
      </c>
    </row>
    <row r="379" spans="1:10" s="625" customFormat="1" ht="15" customHeight="1">
      <c r="A379" s="1231" t="s">
        <v>560</v>
      </c>
      <c r="B379" s="631" t="str">
        <f>MID(A379,1,3)&amp;"-"&amp;13</f>
        <v>673-13</v>
      </c>
      <c r="C379" s="631"/>
      <c r="D379" s="657" t="str">
        <f>VLOOKUP(A379,[33]INDICE!$A$3:$D$334,2,FALSE)</f>
        <v>MATERIAL GRANULAR DRENANTE</v>
      </c>
      <c r="E379" s="649" t="str">
        <f>VLOOKUP(A379,[33]INDICE!$A$3:$D$334,3,FALSE)</f>
        <v>m3</v>
      </c>
      <c r="F379" s="655">
        <v>53</v>
      </c>
      <c r="G379" s="688">
        <f>VLOOKUP(A379,[33]INDICE!$A$3:$D$334,4,FALSE)</f>
        <v>84364.417561781069</v>
      </c>
      <c r="H379" s="652">
        <f>F379*G379</f>
        <v>4471314.1307743965</v>
      </c>
      <c r="J379" s="625">
        <v>673.2</v>
      </c>
    </row>
    <row r="380" spans="1:10" s="625" customFormat="1" ht="26.1" customHeight="1" thickBot="1">
      <c r="A380" s="1231" t="s">
        <v>549</v>
      </c>
      <c r="B380" s="631" t="str">
        <f t="shared" si="42"/>
        <v>681-13</v>
      </c>
      <c r="C380" s="631"/>
      <c r="D380" s="657" t="str">
        <f>VLOOKUP(A380,[33]INDICE!$A$3:$D$334,2,FALSE)</f>
        <v xml:space="preserve">GAVIÓNES DE MALLA DE ALAMBRE DE ACERO ENTRELAZADO  CLASE 1; RECUBRIMIENTO DE ZINC (GALVANIZADO) </v>
      </c>
      <c r="E380" s="649" t="str">
        <f>VLOOKUP(A380,[33]INDICE!$A$3:$D$334,3,FALSE)</f>
        <v>m3</v>
      </c>
      <c r="F380" s="654">
        <v>28</v>
      </c>
      <c r="G380" s="688">
        <f>VLOOKUP(A380,[33]INDICE!$A$3:$D$334,4,FALSE)</f>
        <v>400986.60185015475</v>
      </c>
      <c r="H380" s="652">
        <f t="shared" si="43"/>
        <v>11227624.851804333</v>
      </c>
      <c r="J380" s="625">
        <v>681.1</v>
      </c>
    </row>
    <row r="381" spans="1:10" s="625" customFormat="1" ht="15" customHeight="1" thickTop="1">
      <c r="A381" s="1234"/>
      <c r="B381" s="637"/>
      <c r="C381" s="637"/>
      <c r="D381" s="638"/>
      <c r="E381" s="659"/>
      <c r="F381" s="660"/>
      <c r="G381" s="670" t="s">
        <v>536</v>
      </c>
      <c r="H381" s="640">
        <f>SUM(H371:H380)</f>
        <v>476847303.42289799</v>
      </c>
    </row>
    <row r="382" spans="1:10" s="625" customFormat="1" ht="15" customHeight="1">
      <c r="A382" s="1235"/>
      <c r="B382" s="641"/>
      <c r="C382" s="641"/>
      <c r="D382" s="642"/>
      <c r="E382" s="621"/>
      <c r="F382" s="647"/>
      <c r="G382" s="671" t="s">
        <v>537</v>
      </c>
      <c r="H382" s="644">
        <f>SUM(H381:H381)*0.05*0.19/1.3</f>
        <v>3484653.3711673319</v>
      </c>
    </row>
    <row r="383" spans="1:10" s="625" customFormat="1" ht="15" customHeight="1" thickBot="1">
      <c r="A383" s="1236"/>
      <c r="B383" s="619"/>
      <c r="C383" s="619"/>
      <c r="D383" s="620"/>
      <c r="E383" s="621"/>
      <c r="F383" s="647"/>
      <c r="G383" s="671" t="s">
        <v>538</v>
      </c>
      <c r="H383" s="645">
        <f>+ROUND(H381+H382,0)</f>
        <v>480331957</v>
      </c>
      <c r="I383" s="630"/>
    </row>
    <row r="384" spans="1:10" s="625" customFormat="1" ht="15" customHeight="1" thickTop="1">
      <c r="A384" s="1236"/>
      <c r="B384" s="619"/>
      <c r="C384" s="619"/>
      <c r="D384" s="620"/>
      <c r="E384" s="621"/>
      <c r="F384" s="647"/>
      <c r="G384" s="643"/>
      <c r="H384" s="646"/>
      <c r="I384" s="630"/>
    </row>
    <row r="385" spans="1:10" s="625" customFormat="1" ht="13.5" thickBot="1">
      <c r="A385" s="1237"/>
      <c r="B385" s="627"/>
      <c r="C385" s="626" t="s">
        <v>594</v>
      </c>
      <c r="D385" s="626"/>
      <c r="E385" s="627"/>
      <c r="F385" s="626"/>
      <c r="G385" s="691"/>
      <c r="H385" s="629"/>
      <c r="I385" s="630"/>
    </row>
    <row r="386" spans="1:10" s="625" customFormat="1" ht="15" customHeight="1" thickTop="1">
      <c r="A386" s="1232" t="s">
        <v>540</v>
      </c>
      <c r="B386" s="632" t="str">
        <f t="shared" ref="B386:B393" si="44">MID(A386,1,3)&amp;"-"&amp;13</f>
        <v>600-13</v>
      </c>
      <c r="C386" s="632"/>
      <c r="D386" s="657" t="str">
        <f>VLOOKUP(A386,[33]INDICE!$A$3:$D$334,2,FALSE)</f>
        <v>EXCAVACIONES VARIAS SIN CLASIFICAR</v>
      </c>
      <c r="E386" s="649" t="str">
        <f>VLOOKUP(A386,[33]INDICE!$A$3:$D$334,3,FALSE)</f>
        <v>m3</v>
      </c>
      <c r="F386" s="662">
        <v>23</v>
      </c>
      <c r="G386" s="688">
        <f>VLOOKUP(A386,[33]INDICE!$A$3:$D$334,4,FALSE)</f>
        <v>67953.950275344076</v>
      </c>
      <c r="H386" s="636">
        <f t="shared" ref="H386:H393" si="45">F386*G386</f>
        <v>1562940.8563329137</v>
      </c>
    </row>
    <row r="387" spans="1:10" s="625" customFormat="1" ht="15" customHeight="1">
      <c r="A387" s="1231" t="s">
        <v>544</v>
      </c>
      <c r="B387" s="632" t="str">
        <f t="shared" si="44"/>
        <v>610-13</v>
      </c>
      <c r="C387" s="631"/>
      <c r="D387" s="657" t="str">
        <f>VLOOKUP(A387,[33]INDICE!$A$3:$D$334,2,FALSE)</f>
        <v>RELLENOS PARA ESTRUCTURAS CON SUELO.</v>
      </c>
      <c r="E387" s="649" t="str">
        <f>VLOOKUP(A387,[33]INDICE!$A$3:$D$334,3,FALSE)</f>
        <v>m3</v>
      </c>
      <c r="F387" s="654">
        <v>85</v>
      </c>
      <c r="G387" s="688">
        <f>VLOOKUP(A387,[33]INDICE!$A$3:$D$334,4,FALSE)</f>
        <v>164362.8922747685</v>
      </c>
      <c r="H387" s="636">
        <f t="shared" si="45"/>
        <v>13970845.843355322</v>
      </c>
    </row>
    <row r="388" spans="1:10" s="625" customFormat="1" ht="15" customHeight="1">
      <c r="A388" s="1231" t="s">
        <v>553</v>
      </c>
      <c r="B388" s="632" t="str">
        <f t="shared" si="44"/>
        <v>630-13</v>
      </c>
      <c r="C388" s="631"/>
      <c r="D388" s="657" t="str">
        <f>VLOOKUP(A388,[33]INDICE!$A$3:$D$334,2,FALSE)</f>
        <v>CONCRETO RESISTENCIA 21MPA (D)</v>
      </c>
      <c r="E388" s="649" t="str">
        <f>VLOOKUP(A388,[33]INDICE!$A$3:$D$334,3,FALSE)</f>
        <v>m3</v>
      </c>
      <c r="F388" s="655">
        <v>4</v>
      </c>
      <c r="G388" s="688">
        <f>VLOOKUP(A388,[33]INDICE!$A$3:$D$334,4,FALSE)</f>
        <v>871855.23056364793</v>
      </c>
      <c r="H388" s="636">
        <f t="shared" si="45"/>
        <v>3487420.9222545917</v>
      </c>
    </row>
    <row r="389" spans="1:10" s="625" customFormat="1" ht="26.1" customHeight="1">
      <c r="A389" s="1231" t="s">
        <v>556</v>
      </c>
      <c r="B389" s="632" t="str">
        <f t="shared" si="44"/>
        <v>630-13</v>
      </c>
      <c r="C389" s="656"/>
      <c r="D389" s="657" t="str">
        <f>VLOOKUP(A389,[33]INDICE!$A$3:$D$334,2,FALSE)</f>
        <v>CONCRETO RESISTENCIA 14MPA  (F)</v>
      </c>
      <c r="E389" s="649" t="str">
        <f>VLOOKUP(A389,[33]INDICE!$A$3:$D$334,3,FALSE)</f>
        <v>m3</v>
      </c>
      <c r="F389" s="654">
        <v>2</v>
      </c>
      <c r="G389" s="688">
        <f>VLOOKUP(A389,[33]INDICE!$A$3:$D$334,4,FALSE)</f>
        <v>674387.0151947831</v>
      </c>
      <c r="H389" s="636">
        <f t="shared" si="45"/>
        <v>1348774.0303895662</v>
      </c>
    </row>
    <row r="390" spans="1:10" s="625" customFormat="1" ht="15" customHeight="1">
      <c r="A390" s="1231" t="s">
        <v>554</v>
      </c>
      <c r="B390" s="632" t="str">
        <f t="shared" si="44"/>
        <v>640-13</v>
      </c>
      <c r="C390" s="631"/>
      <c r="D390" s="657" t="str">
        <f>VLOOKUP(A390,[33]INDICE!$A$3:$D$334,2,FALSE)</f>
        <v>ACERO DE REFUERZO FY 4200 MPA.</v>
      </c>
      <c r="E390" s="649" t="str">
        <f>VLOOKUP(A390,[33]INDICE!$A$3:$D$334,3,FALSE)</f>
        <v>kg</v>
      </c>
      <c r="F390" s="655">
        <v>73</v>
      </c>
      <c r="G390" s="688">
        <f>VLOOKUP(A390,[33]INDICE!$A$3:$D$334,4,FALSE)</f>
        <v>6085.8496982034649</v>
      </c>
      <c r="H390" s="636">
        <f t="shared" si="45"/>
        <v>444267.02796885296</v>
      </c>
      <c r="J390" s="658"/>
    </row>
    <row r="391" spans="1:10" s="625" customFormat="1" ht="15" customHeight="1">
      <c r="A391" s="1231" t="s">
        <v>559</v>
      </c>
      <c r="B391" s="632" t="str">
        <f t="shared" si="44"/>
        <v>671-13</v>
      </c>
      <c r="C391" s="631"/>
      <c r="D391" s="657" t="str">
        <f>VLOOKUP(A391,[33]INDICE!$A$3:$D$334,2,FALSE)</f>
        <v>CUNETA DE CONCRETO VACIADA IN SITU; INCLUYE LA CONFORMACION DE LA SUPERFICIE DE APOYO</v>
      </c>
      <c r="E391" s="649" t="str">
        <f>VLOOKUP(A391,[33]INDICE!$A$3:$D$334,3,FALSE)</f>
        <v>m3</v>
      </c>
      <c r="F391" s="654">
        <v>4</v>
      </c>
      <c r="G391" s="688">
        <f>VLOOKUP(A391,[33]INDICE!$A$3:$D$334,4,FALSE)</f>
        <v>841791.75196838728</v>
      </c>
      <c r="H391" s="636">
        <f t="shared" si="45"/>
        <v>3367167.0078735491</v>
      </c>
    </row>
    <row r="392" spans="1:10" s="625" customFormat="1" ht="26.1" customHeight="1">
      <c r="A392" s="1231" t="s">
        <v>548</v>
      </c>
      <c r="B392" s="632" t="str">
        <f t="shared" si="44"/>
        <v>673-13</v>
      </c>
      <c r="C392" s="631"/>
      <c r="D392" s="657" t="str">
        <f>VLOOKUP(A392,[33]INDICE!$A$3:$D$334,2,FALSE)</f>
        <v>GEOTEXTIL  TIPO T-2400 O SIMILAR TEJIDO</v>
      </c>
      <c r="E392" s="649" t="str">
        <f>VLOOKUP(A392,[33]INDICE!$A$3:$D$334,3,FALSE)</f>
        <v>m2</v>
      </c>
      <c r="F392" s="655">
        <v>136</v>
      </c>
      <c r="G392" s="688">
        <f>VLOOKUP(A392,[33]INDICE!$A$3:$D$334,4,FALSE)</f>
        <v>10983.835173625577</v>
      </c>
      <c r="H392" s="636">
        <f t="shared" si="45"/>
        <v>1493801.5836130786</v>
      </c>
    </row>
    <row r="393" spans="1:10" s="625" customFormat="1" ht="36.75" thickBot="1">
      <c r="A393" s="1231" t="s">
        <v>562</v>
      </c>
      <c r="B393" s="632" t="str">
        <f t="shared" si="44"/>
        <v>681-13</v>
      </c>
      <c r="C393" s="631"/>
      <c r="D393" s="657" t="str">
        <f>VLOOKUP(A393,[33]INDICE!$A$3:$D$334,2,FALSE)</f>
        <v>GAVIÓN DE MALLA DE ALAMBRE DE ACERO ENTRELAZADO  CLASE 3; RECUBRIMIENTO DE ZINC (GALVANIZADO) Y PVC</v>
      </c>
      <c r="E393" s="649" t="str">
        <f>VLOOKUP(A393,[33]INDICE!$A$3:$D$334,3,FALSE)</f>
        <v>m3</v>
      </c>
      <c r="F393" s="654">
        <v>102</v>
      </c>
      <c r="G393" s="688">
        <f>VLOOKUP(A393,[33]INDICE!$A$3:$D$334,4,FALSE)</f>
        <v>430730.76446905878</v>
      </c>
      <c r="H393" s="636">
        <f t="shared" si="45"/>
        <v>43934537.975843996</v>
      </c>
    </row>
    <row r="394" spans="1:10" s="625" customFormat="1" ht="15" customHeight="1" thickTop="1">
      <c r="A394" s="1234"/>
      <c r="B394" s="637"/>
      <c r="C394" s="637"/>
      <c r="D394" s="638"/>
      <c r="E394" s="659"/>
      <c r="F394" s="660"/>
      <c r="G394" s="670" t="s">
        <v>536</v>
      </c>
      <c r="H394" s="640">
        <f>SUM(H386:H393)</f>
        <v>69609755.247631878</v>
      </c>
    </row>
    <row r="395" spans="1:10" s="625" customFormat="1" ht="15" customHeight="1">
      <c r="A395" s="1235"/>
      <c r="B395" s="641"/>
      <c r="C395" s="641"/>
      <c r="D395" s="642"/>
      <c r="E395" s="621"/>
      <c r="F395" s="647"/>
      <c r="G395" s="671" t="s">
        <v>537</v>
      </c>
      <c r="H395" s="644">
        <f>ROUND((+H394*0.05*0.19)/(1+0.3),0)</f>
        <v>508687</v>
      </c>
    </row>
    <row r="396" spans="1:10" s="625" customFormat="1" ht="15" customHeight="1" thickBot="1">
      <c r="A396" s="1236"/>
      <c r="B396" s="619"/>
      <c r="C396" s="619"/>
      <c r="D396" s="620"/>
      <c r="E396" s="621"/>
      <c r="F396" s="647"/>
      <c r="G396" s="671" t="s">
        <v>538</v>
      </c>
      <c r="H396" s="645">
        <f>+ROUND(H394+H395,0)</f>
        <v>70118442</v>
      </c>
      <c r="I396" s="630"/>
    </row>
    <row r="397" spans="1:10" s="625" customFormat="1" ht="15" customHeight="1" thickTop="1">
      <c r="A397" s="1236"/>
      <c r="B397" s="619"/>
      <c r="C397" s="619"/>
      <c r="D397" s="620"/>
      <c r="E397" s="621"/>
      <c r="F397" s="647"/>
      <c r="G397" s="643"/>
      <c r="H397" s="646"/>
      <c r="I397" s="630"/>
    </row>
    <row r="398" spans="1:10" s="625" customFormat="1" ht="12.75" customHeight="1" thickBot="1">
      <c r="A398" s="1237"/>
      <c r="B398" s="627"/>
      <c r="C398" s="626" t="s">
        <v>595</v>
      </c>
      <c r="D398" s="626"/>
      <c r="E398" s="627"/>
      <c r="F398" s="626"/>
      <c r="G398" s="691"/>
      <c r="H398" s="629"/>
    </row>
    <row r="399" spans="1:10" s="625" customFormat="1" ht="15" customHeight="1" thickTop="1">
      <c r="A399" s="1232" t="s">
        <v>552</v>
      </c>
      <c r="B399" s="632" t="str">
        <f>MID(A399,1,3)&amp;"-"&amp;13</f>
        <v>201-13</v>
      </c>
      <c r="C399" s="632"/>
      <c r="D399" s="657" t="str">
        <f>VLOOKUP(A399,[33]INDICE!$A$3:$D$334,2,FALSE)</f>
        <v>DEMOLICIÓN DE ESTRUCTURAS</v>
      </c>
      <c r="E399" s="649" t="str">
        <f>VLOOKUP(A399,[33]INDICE!$A$3:$D$334,3,FALSE)</f>
        <v>m3</v>
      </c>
      <c r="F399" s="662">
        <v>2</v>
      </c>
      <c r="G399" s="688">
        <f>VLOOKUP(A399,[33]INDICE!$A$3:$D$334,4,FALSE)</f>
        <v>240341.82659000819</v>
      </c>
      <c r="H399" s="636">
        <f>F399*G399</f>
        <v>480683.65318001638</v>
      </c>
      <c r="J399" s="625">
        <v>201.7</v>
      </c>
    </row>
    <row r="400" spans="1:10" s="625" customFormat="1" ht="15" customHeight="1">
      <c r="A400" s="1231" t="s">
        <v>540</v>
      </c>
      <c r="B400" s="631" t="str">
        <f t="shared" ref="B400:B406" si="46">MID(A400,1,3)&amp;"-"&amp;13</f>
        <v>600-13</v>
      </c>
      <c r="C400" s="631"/>
      <c r="D400" s="657" t="str">
        <f>VLOOKUP(A400,[33]INDICE!$A$3:$D$334,2,FALSE)</f>
        <v>EXCAVACIONES VARIAS SIN CLASIFICAR</v>
      </c>
      <c r="E400" s="649" t="str">
        <f>VLOOKUP(A400,[33]INDICE!$A$3:$D$334,3,FALSE)</f>
        <v>m3</v>
      </c>
      <c r="F400" s="654">
        <f>20</f>
        <v>20</v>
      </c>
      <c r="G400" s="688">
        <f>VLOOKUP(A400,[33]INDICE!$A$3:$D$334,4,FALSE)</f>
        <v>67953.950275344076</v>
      </c>
      <c r="H400" s="652">
        <f t="shared" ref="H400:H406" si="47">F400*G400</f>
        <v>1359079.0055068815</v>
      </c>
      <c r="J400" s="625" t="s">
        <v>541</v>
      </c>
    </row>
    <row r="401" spans="1:10" s="625" customFormat="1" ht="15" customHeight="1">
      <c r="A401" s="1231" t="s">
        <v>544</v>
      </c>
      <c r="B401" s="631" t="str">
        <f>MID(A401,1,3)&amp;"-"&amp;13</f>
        <v>610-13</v>
      </c>
      <c r="C401" s="631"/>
      <c r="D401" s="657" t="str">
        <f>VLOOKUP(A401,[33]INDICE!$A$3:$D$334,2,FALSE)</f>
        <v>RELLENOS PARA ESTRUCTURAS CON SUELO.</v>
      </c>
      <c r="E401" s="649" t="str">
        <f>VLOOKUP(A401,[33]INDICE!$A$3:$D$334,3,FALSE)</f>
        <v>m3</v>
      </c>
      <c r="F401" s="655">
        <f>+F400*0.6</f>
        <v>12</v>
      </c>
      <c r="G401" s="688">
        <f>VLOOKUP(A401,[33]INDICE!$A$3:$D$334,4,FALSE)</f>
        <v>164362.8922747685</v>
      </c>
      <c r="H401" s="652">
        <f>F401*G401</f>
        <v>1972354.707297222</v>
      </c>
      <c r="J401" s="625">
        <v>610.1</v>
      </c>
    </row>
    <row r="402" spans="1:10" s="625" customFormat="1" ht="15" customHeight="1">
      <c r="A402" s="1231" t="s">
        <v>545</v>
      </c>
      <c r="B402" s="631" t="str">
        <f t="shared" si="46"/>
        <v>630-13</v>
      </c>
      <c r="C402" s="631"/>
      <c r="D402" s="657" t="str">
        <f>VLOOKUP(A402,[33]INDICE!$A$3:$D$334,2,FALSE)</f>
        <v>CONCRETO RESISTENCIA 17.5MPA (E )</v>
      </c>
      <c r="E402" s="649" t="str">
        <f>VLOOKUP(A402,[33]INDICE!$A$3:$D$334,3,FALSE)</f>
        <v>m3</v>
      </c>
      <c r="F402" s="655">
        <f>5</f>
        <v>5</v>
      </c>
      <c r="G402" s="688">
        <f>VLOOKUP(A402,[33]INDICE!$A$3:$D$334,4,FALSE)</f>
        <v>735031.04931538599</v>
      </c>
      <c r="H402" s="652">
        <f t="shared" si="47"/>
        <v>3675155.2465769299</v>
      </c>
      <c r="J402" s="625">
        <v>630.5</v>
      </c>
    </row>
    <row r="403" spans="1:10" s="625" customFormat="1" ht="15" customHeight="1">
      <c r="A403" s="1231" t="s">
        <v>546</v>
      </c>
      <c r="B403" s="631" t="str">
        <f t="shared" si="46"/>
        <v>630-13</v>
      </c>
      <c r="C403" s="631"/>
      <c r="D403" s="657" t="str">
        <f>VLOOKUP(A403,[33]INDICE!$A$3:$D$334,2,FALSE)</f>
        <v>CONCRETO RESISTENCIA 14MPA (G) (CICLOPEO)</v>
      </c>
      <c r="E403" s="649" t="str">
        <f>VLOOKUP(A403,[33]INDICE!$A$3:$D$334,3,FALSE)</f>
        <v>m3</v>
      </c>
      <c r="F403" s="668">
        <v>6</v>
      </c>
      <c r="G403" s="688">
        <f>VLOOKUP(A403,[33]INDICE!$A$3:$D$334,4,FALSE)</f>
        <v>530138.01220093726</v>
      </c>
      <c r="H403" s="652">
        <f t="shared" si="47"/>
        <v>3180828.0732056238</v>
      </c>
      <c r="J403" s="625">
        <v>630.70000000000005</v>
      </c>
    </row>
    <row r="404" spans="1:10" s="625" customFormat="1" ht="26.1" customHeight="1">
      <c r="A404" s="1231" t="s">
        <v>559</v>
      </c>
      <c r="B404" s="631" t="str">
        <f>MID(A404,1,3)&amp;"-"&amp;13</f>
        <v>671-13</v>
      </c>
      <c r="C404" s="631"/>
      <c r="D404" s="657" t="str">
        <f>VLOOKUP(A404,[33]INDICE!$A$3:$D$334,2,FALSE)</f>
        <v>CUNETA DE CONCRETO VACIADA IN SITU; INCLUYE LA CONFORMACION DE LA SUPERFICIE DE APOYO</v>
      </c>
      <c r="E404" s="649" t="str">
        <f>VLOOKUP(A404,[33]INDICE!$A$3:$D$334,3,FALSE)</f>
        <v>m3</v>
      </c>
      <c r="F404" s="655">
        <f>20*0.138</f>
        <v>2.7600000000000002</v>
      </c>
      <c r="G404" s="688">
        <f>VLOOKUP(A404,[33]INDICE!$A$3:$D$334,4,FALSE)</f>
        <v>841791.75196838728</v>
      </c>
      <c r="H404" s="652">
        <f>F404*G404</f>
        <v>2323345.2354327491</v>
      </c>
      <c r="J404" s="625">
        <v>671.3</v>
      </c>
    </row>
    <row r="405" spans="1:10" s="625" customFormat="1" ht="15" customHeight="1">
      <c r="A405" s="1231" t="s">
        <v>548</v>
      </c>
      <c r="B405" s="631" t="str">
        <f>MID(A405,1,3)&amp;"-"&amp;13</f>
        <v>673-13</v>
      </c>
      <c r="C405" s="631"/>
      <c r="D405" s="657" t="str">
        <f>VLOOKUP(A405,[33]INDICE!$A$3:$D$334,2,FALSE)</f>
        <v>GEOTEXTIL  TIPO T-2400 O SIMILAR TEJIDO</v>
      </c>
      <c r="E405" s="649" t="str">
        <f>VLOOKUP(A405,[33]INDICE!$A$3:$D$334,3,FALSE)</f>
        <v>m2</v>
      </c>
      <c r="F405" s="654">
        <f>(20+2)*2</f>
        <v>44</v>
      </c>
      <c r="G405" s="688">
        <f>VLOOKUP(A405,[33]INDICE!$A$3:$D$334,4,FALSE)</f>
        <v>10983.835173625577</v>
      </c>
      <c r="H405" s="652">
        <f>F405*G405</f>
        <v>483288.74763952539</v>
      </c>
      <c r="J405" s="625">
        <v>673.1</v>
      </c>
    </row>
    <row r="406" spans="1:10" s="625" customFormat="1" ht="26.1" customHeight="1" thickBot="1">
      <c r="A406" s="1231" t="s">
        <v>549</v>
      </c>
      <c r="B406" s="631" t="str">
        <f t="shared" si="46"/>
        <v>681-13</v>
      </c>
      <c r="C406" s="631"/>
      <c r="D406" s="657" t="str">
        <f>VLOOKUP(A406,[33]INDICE!$A$3:$D$334,2,FALSE)</f>
        <v xml:space="preserve">GAVIÓNES DE MALLA DE ALAMBRE DE ACERO ENTRELAZADO  CLASE 1; RECUBRIMIENTO DE ZINC (GALVANIZADO) </v>
      </c>
      <c r="E406" s="649" t="str">
        <f>VLOOKUP(A406,[33]INDICE!$A$3:$D$334,3,FALSE)</f>
        <v>m3</v>
      </c>
      <c r="F406" s="654">
        <v>20</v>
      </c>
      <c r="G406" s="688">
        <f>VLOOKUP(A406,[33]INDICE!$A$3:$D$334,4,FALSE)</f>
        <v>400986.60185015475</v>
      </c>
      <c r="H406" s="652">
        <f t="shared" si="47"/>
        <v>8019732.0370030953</v>
      </c>
      <c r="J406" s="625">
        <v>681.1</v>
      </c>
    </row>
    <row r="407" spans="1:10" s="625" customFormat="1" ht="15" customHeight="1" thickTop="1">
      <c r="A407" s="1234"/>
      <c r="B407" s="637"/>
      <c r="C407" s="637"/>
      <c r="D407" s="638"/>
      <c r="E407" s="659"/>
      <c r="F407" s="660"/>
      <c r="G407" s="670" t="s">
        <v>536</v>
      </c>
      <c r="H407" s="640">
        <f>SUM(H399:H406)</f>
        <v>21494466.705842044</v>
      </c>
    </row>
    <row r="408" spans="1:10" s="625" customFormat="1" ht="15" customHeight="1">
      <c r="A408" s="1235"/>
      <c r="B408" s="641"/>
      <c r="C408" s="641"/>
      <c r="D408" s="642"/>
      <c r="E408" s="621"/>
      <c r="F408" s="647"/>
      <c r="G408" s="671" t="s">
        <v>537</v>
      </c>
      <c r="H408" s="644">
        <f>SUM(H407:H407)*0.05*0.19/1.3</f>
        <v>157074.94900423035</v>
      </c>
    </row>
    <row r="409" spans="1:10" s="625" customFormat="1" ht="15" customHeight="1" thickBot="1">
      <c r="A409" s="1236"/>
      <c r="B409" s="619"/>
      <c r="C409" s="619"/>
      <c r="D409" s="620"/>
      <c r="E409" s="621"/>
      <c r="F409" s="647"/>
      <c r="G409" s="671" t="s">
        <v>538</v>
      </c>
      <c r="H409" s="645">
        <f>+ROUND(H407+H408,0)</f>
        <v>21651542</v>
      </c>
    </row>
    <row r="410" spans="1:10" s="625" customFormat="1" ht="15" customHeight="1" thickTop="1">
      <c r="A410" s="1236"/>
      <c r="B410" s="619"/>
      <c r="C410" s="619"/>
      <c r="D410" s="620"/>
      <c r="E410" s="621"/>
      <c r="F410" s="647"/>
      <c r="G410" s="643"/>
      <c r="H410" s="646"/>
      <c r="I410" s="630"/>
    </row>
    <row r="411" spans="1:10" s="625" customFormat="1" ht="15" customHeight="1" thickBot="1">
      <c r="A411" s="1237"/>
      <c r="B411" s="1068"/>
      <c r="C411" s="1069" t="s">
        <v>596</v>
      </c>
      <c r="D411" s="1069"/>
      <c r="E411" s="1068"/>
      <c r="F411" s="1069"/>
      <c r="G411" s="1070"/>
      <c r="H411" s="1071"/>
    </row>
    <row r="412" spans="1:10" s="625" customFormat="1" ht="15" customHeight="1" thickTop="1">
      <c r="A412" s="1231" t="s">
        <v>552</v>
      </c>
      <c r="B412" s="1072" t="str">
        <f t="shared" ref="B412:B417" si="48">MID(A412,1,3)&amp;"-"&amp;13</f>
        <v>201-13</v>
      </c>
      <c r="C412" s="1072"/>
      <c r="D412" s="657" t="str">
        <f>VLOOKUP(A412,[33]INDICE!$A$3:$D$334,2,FALSE)</f>
        <v>DEMOLICIÓN DE ESTRUCTURAS</v>
      </c>
      <c r="E412" s="649" t="str">
        <f>VLOOKUP(A412,[33]INDICE!$A$3:$D$334,3,FALSE)</f>
        <v>m3</v>
      </c>
      <c r="F412" s="1073">
        <f>20*0.4*1</f>
        <v>8</v>
      </c>
      <c r="G412" s="688">
        <f>VLOOKUP(A412,[33]INDICE!$A$3:$D$334,4,FALSE)</f>
        <v>240341.82659000819</v>
      </c>
      <c r="H412" s="1074">
        <f t="shared" ref="H412:H417" si="49">F412*G412</f>
        <v>1922734.6127200655</v>
      </c>
      <c r="J412" s="625">
        <v>201.7</v>
      </c>
    </row>
    <row r="413" spans="1:10" s="625" customFormat="1" ht="15" customHeight="1">
      <c r="A413" s="1231" t="s">
        <v>540</v>
      </c>
      <c r="B413" s="1072" t="str">
        <f t="shared" si="48"/>
        <v>600-13</v>
      </c>
      <c r="C413" s="1072"/>
      <c r="D413" s="657" t="str">
        <f>VLOOKUP(A413,[33]INDICE!$A$3:$D$334,2,FALSE)</f>
        <v>EXCAVACIONES VARIAS SIN CLASIFICAR</v>
      </c>
      <c r="E413" s="649" t="str">
        <f>VLOOKUP(A413,[33]INDICE!$A$3:$D$334,3,FALSE)</f>
        <v>m3</v>
      </c>
      <c r="F413" s="1075">
        <f>20*2.5*4</f>
        <v>200</v>
      </c>
      <c r="G413" s="688">
        <f>VLOOKUP(A413,[33]INDICE!$A$3:$D$334,4,FALSE)</f>
        <v>67953.950275344076</v>
      </c>
      <c r="H413" s="1074">
        <f t="shared" si="49"/>
        <v>13590790.055068815</v>
      </c>
      <c r="J413" s="625" t="s">
        <v>541</v>
      </c>
    </row>
    <row r="414" spans="1:10" s="625" customFormat="1" ht="15" customHeight="1">
      <c r="A414" s="1232" t="s">
        <v>544</v>
      </c>
      <c r="B414" s="1076" t="str">
        <f>MID(A414,1,3)&amp;"-"&amp;13</f>
        <v>610-13</v>
      </c>
      <c r="C414" s="1076"/>
      <c r="D414" s="657" t="str">
        <f>VLOOKUP(A414,[33]INDICE!$A$3:$D$334,2,FALSE)</f>
        <v>RELLENOS PARA ESTRUCTURAS CON SUELO.</v>
      </c>
      <c r="E414" s="649" t="str">
        <f>VLOOKUP(A414,[33]INDICE!$A$3:$D$334,3,FALSE)</f>
        <v>m3</v>
      </c>
      <c r="F414" s="1077">
        <f>F413*0.3</f>
        <v>60</v>
      </c>
      <c r="G414" s="688">
        <f>VLOOKUP(A414,[33]INDICE!$A$3:$D$334,4,FALSE)</f>
        <v>164362.8922747685</v>
      </c>
      <c r="H414" s="1078">
        <f>F414*G414</f>
        <v>9861773.5364861097</v>
      </c>
      <c r="J414" s="625">
        <v>610.1</v>
      </c>
    </row>
    <row r="415" spans="1:10" s="625" customFormat="1" ht="15" customHeight="1">
      <c r="A415" s="1231" t="s">
        <v>546</v>
      </c>
      <c r="B415" s="1072" t="str">
        <f t="shared" si="48"/>
        <v>630-13</v>
      </c>
      <c r="C415" s="1072"/>
      <c r="D415" s="657" t="str">
        <f>VLOOKUP(A415,[33]INDICE!$A$3:$D$334,2,FALSE)</f>
        <v>CONCRETO RESISTENCIA 14MPA (G) (CICLOPEO)</v>
      </c>
      <c r="E415" s="649" t="str">
        <f>VLOOKUP(A415,[33]INDICE!$A$3:$D$334,3,FALSE)</f>
        <v>m3</v>
      </c>
      <c r="F415" s="1079">
        <f>15</f>
        <v>15</v>
      </c>
      <c r="G415" s="688">
        <f>VLOOKUP(A415,[33]INDICE!$A$3:$D$334,4,FALSE)</f>
        <v>530138.01220093726</v>
      </c>
      <c r="H415" s="1074">
        <f t="shared" si="49"/>
        <v>7952070.1830140585</v>
      </c>
      <c r="J415" s="625">
        <v>630.70000000000005</v>
      </c>
    </row>
    <row r="416" spans="1:10" s="625" customFormat="1" ht="15" customHeight="1">
      <c r="A416" s="1231" t="s">
        <v>548</v>
      </c>
      <c r="B416" s="1072" t="str">
        <f>MID(A416,1,3)&amp;"-"&amp;13</f>
        <v>673-13</v>
      </c>
      <c r="C416" s="1072"/>
      <c r="D416" s="657" t="str">
        <f>VLOOKUP(A416,[33]INDICE!$A$3:$D$334,2,FALSE)</f>
        <v>GEOTEXTIL  TIPO T-2400 O SIMILAR TEJIDO</v>
      </c>
      <c r="E416" s="649" t="str">
        <f>VLOOKUP(A416,[33]INDICE!$A$3:$D$334,3,FALSE)</f>
        <v>m2</v>
      </c>
      <c r="F416" s="1075">
        <v>130</v>
      </c>
      <c r="G416" s="688">
        <f>VLOOKUP(A416,[33]INDICE!$A$3:$D$334,4,FALSE)</f>
        <v>10983.835173625577</v>
      </c>
      <c r="H416" s="1074">
        <f>F416*G416</f>
        <v>1427898.5725713251</v>
      </c>
      <c r="J416" s="625">
        <v>673.1</v>
      </c>
    </row>
    <row r="417" spans="1:12" s="625" customFormat="1" ht="26.1" customHeight="1" thickBot="1">
      <c r="A417" s="1231" t="s">
        <v>549</v>
      </c>
      <c r="B417" s="1072" t="str">
        <f t="shared" si="48"/>
        <v>681-13</v>
      </c>
      <c r="C417" s="1072"/>
      <c r="D417" s="657" t="str">
        <f>VLOOKUP(A417,[33]INDICE!$A$3:$D$334,2,FALSE)</f>
        <v xml:space="preserve">GAVIÓNES DE MALLA DE ALAMBRE DE ACERO ENTRELAZADO  CLASE 1; RECUBRIMIENTO DE ZINC (GALVANIZADO) </v>
      </c>
      <c r="E417" s="649" t="str">
        <f>VLOOKUP(A417,[33]INDICE!$A$3:$D$334,3,FALSE)</f>
        <v>m3</v>
      </c>
      <c r="F417" s="1075">
        <f>20*8</f>
        <v>160</v>
      </c>
      <c r="G417" s="688">
        <f>VLOOKUP(A417,[33]INDICE!$A$3:$D$334,4,FALSE)</f>
        <v>400986.60185015475</v>
      </c>
      <c r="H417" s="1074">
        <f t="shared" si="49"/>
        <v>64157856.296024762</v>
      </c>
      <c r="J417" s="625">
        <v>681.1</v>
      </c>
    </row>
    <row r="418" spans="1:12" s="625" customFormat="1" ht="15" customHeight="1" thickTop="1">
      <c r="A418" s="1234"/>
      <c r="B418" s="1080"/>
      <c r="C418" s="1080"/>
      <c r="D418" s="1081"/>
      <c r="E418" s="1082"/>
      <c r="F418" s="1083"/>
      <c r="G418" s="1084" t="s">
        <v>536</v>
      </c>
      <c r="H418" s="1085">
        <f>SUM(H412:H417)</f>
        <v>98913123.255885124</v>
      </c>
    </row>
    <row r="419" spans="1:12" s="625" customFormat="1" ht="15" customHeight="1">
      <c r="A419" s="1235"/>
      <c r="B419" s="1086"/>
      <c r="C419" s="1086"/>
      <c r="D419" s="1087"/>
      <c r="E419" s="1088"/>
      <c r="F419" s="1089"/>
      <c r="G419" s="1090" t="s">
        <v>537</v>
      </c>
      <c r="H419" s="1091">
        <f>SUM(H418:H418)*0.05*0.19/1.3</f>
        <v>722826.66994685284</v>
      </c>
    </row>
    <row r="420" spans="1:12" s="625" customFormat="1" ht="15" customHeight="1" thickBot="1">
      <c r="A420" s="1236"/>
      <c r="B420" s="1092"/>
      <c r="C420" s="1092"/>
      <c r="D420" s="1093"/>
      <c r="E420" s="1088"/>
      <c r="F420" s="1089"/>
      <c r="G420" s="1090" t="s">
        <v>538</v>
      </c>
      <c r="H420" s="645">
        <f>+ROUND(H418+H419,0)</f>
        <v>99635950</v>
      </c>
    </row>
    <row r="421" spans="1:12" s="625" customFormat="1" ht="15" customHeight="1" thickTop="1">
      <c r="A421" s="1236"/>
      <c r="B421" s="1092"/>
      <c r="C421" s="1092"/>
      <c r="D421" s="1093"/>
      <c r="E421" s="1088"/>
      <c r="F421" s="1089"/>
      <c r="G421" s="1094"/>
      <c r="H421" s="646"/>
    </row>
    <row r="422" spans="1:12" s="625" customFormat="1" ht="13.5" thickBot="1">
      <c r="A422" s="1237"/>
      <c r="B422" s="627"/>
      <c r="C422" s="626" t="s">
        <v>597</v>
      </c>
      <c r="D422" s="626"/>
      <c r="E422" s="627"/>
      <c r="F422" s="626"/>
      <c r="G422" s="691"/>
      <c r="H422" s="629"/>
    </row>
    <row r="423" spans="1:12" s="625" customFormat="1" ht="15" customHeight="1" thickTop="1">
      <c r="A423" s="1238" t="s">
        <v>540</v>
      </c>
      <c r="B423" s="632" t="str">
        <f>MID(A423,1,3)&amp;"-"&amp;13</f>
        <v>600-13</v>
      </c>
      <c r="C423" s="632"/>
      <c r="D423" s="657" t="str">
        <f>VLOOKUP(A423,[33]INDICE!$A$3:$D$334,2,FALSE)</f>
        <v>EXCAVACIONES VARIAS SIN CLASIFICAR</v>
      </c>
      <c r="E423" s="649" t="str">
        <f>VLOOKUP(A423,[33]INDICE!$A$3:$D$334,3,FALSE)</f>
        <v>m3</v>
      </c>
      <c r="F423" s="653">
        <v>3</v>
      </c>
      <c r="G423" s="688">
        <f>VLOOKUP(A423,[33]INDICE!$A$3:$D$334,4,FALSE)</f>
        <v>67953.950275344076</v>
      </c>
      <c r="H423" s="636">
        <f>F423*G423</f>
        <v>203861.85082603223</v>
      </c>
      <c r="J423" s="696"/>
      <c r="K423" s="696"/>
      <c r="L423" s="696"/>
    </row>
    <row r="424" spans="1:12" s="625" customFormat="1" ht="15" customHeight="1">
      <c r="A424" s="1231" t="s">
        <v>544</v>
      </c>
      <c r="B424" s="632" t="str">
        <f>MID(A424,1,3)&amp;"-"&amp;13</f>
        <v>610-13</v>
      </c>
      <c r="C424" s="631"/>
      <c r="D424" s="657" t="str">
        <f>VLOOKUP(A424,[33]INDICE!$A$3:$D$334,2,FALSE)</f>
        <v>RELLENOS PARA ESTRUCTURAS CON SUELO.</v>
      </c>
      <c r="E424" s="649" t="str">
        <f>VLOOKUP(A424,[33]INDICE!$A$3:$D$334,3,FALSE)</f>
        <v>m3</v>
      </c>
      <c r="F424" s="654">
        <v>12</v>
      </c>
      <c r="G424" s="688">
        <f>VLOOKUP(A424,[33]INDICE!$A$3:$D$334,4,FALSE)</f>
        <v>164362.8922747685</v>
      </c>
      <c r="H424" s="636">
        <f>F424*G424</f>
        <v>1972354.707297222</v>
      </c>
    </row>
    <row r="425" spans="1:12" s="625" customFormat="1" ht="15" customHeight="1">
      <c r="A425" s="1231" t="s">
        <v>553</v>
      </c>
      <c r="B425" s="632" t="str">
        <f>MID(A425,1,3)&amp;"-"&amp;13</f>
        <v>630-13</v>
      </c>
      <c r="C425" s="631"/>
      <c r="D425" s="657" t="str">
        <f>VLOOKUP(A425,[33]INDICE!$A$3:$D$334,2,FALSE)</f>
        <v>CONCRETO RESISTENCIA 21MPA (D)</v>
      </c>
      <c r="E425" s="649" t="str">
        <f>VLOOKUP(A425,[33]INDICE!$A$3:$D$334,3,FALSE)</f>
        <v>m3</v>
      </c>
      <c r="F425" s="655">
        <v>6</v>
      </c>
      <c r="G425" s="688">
        <f>VLOOKUP(A425,[33]INDICE!$A$3:$D$334,4,FALSE)</f>
        <v>871855.23056364793</v>
      </c>
      <c r="H425" s="636">
        <f>F425*G425</f>
        <v>5231131.3833818873</v>
      </c>
    </row>
    <row r="426" spans="1:12" s="625" customFormat="1" ht="15" customHeight="1">
      <c r="A426" s="1231" t="s">
        <v>554</v>
      </c>
      <c r="B426" s="632" t="str">
        <f>MID(A426,1,3)&amp;"-"&amp;13</f>
        <v>640-13</v>
      </c>
      <c r="C426" s="631"/>
      <c r="D426" s="657" t="str">
        <f>VLOOKUP(A426,[33]INDICE!$A$3:$D$334,2,FALSE)</f>
        <v>ACERO DE REFUERZO FY 4200 MPA.</v>
      </c>
      <c r="E426" s="649" t="str">
        <f>VLOOKUP(A426,[33]INDICE!$A$3:$D$334,3,FALSE)</f>
        <v>kg</v>
      </c>
      <c r="F426" s="655">
        <v>159</v>
      </c>
      <c r="G426" s="688">
        <f>VLOOKUP(A426,[33]INDICE!$A$3:$D$334,4,FALSE)</f>
        <v>6085.8496982034649</v>
      </c>
      <c r="H426" s="636">
        <f>F426*G426</f>
        <v>967650.10201435094</v>
      </c>
    </row>
    <row r="427" spans="1:12" s="625" customFormat="1" ht="28.5" customHeight="1" thickBot="1">
      <c r="A427" s="1231" t="s">
        <v>559</v>
      </c>
      <c r="B427" s="632" t="str">
        <f>MID(A427,1,3)&amp;"-"&amp;13</f>
        <v>671-13</v>
      </c>
      <c r="C427" s="631"/>
      <c r="D427" s="657" t="str">
        <f>VLOOKUP(A427,[33]INDICE!$A$3:$D$334,2,FALSE)</f>
        <v>CUNETA DE CONCRETO VACIADA IN SITU; INCLUYE LA CONFORMACION DE LA SUPERFICIE DE APOYO</v>
      </c>
      <c r="E427" s="649" t="str">
        <f>VLOOKUP(A427,[33]INDICE!$A$3:$D$334,3,FALSE)</f>
        <v>m3</v>
      </c>
      <c r="F427" s="655">
        <v>1</v>
      </c>
      <c r="G427" s="688">
        <f>VLOOKUP(A427,[33]INDICE!$A$3:$D$334,4,FALSE)</f>
        <v>841791.75196838728</v>
      </c>
      <c r="H427" s="636">
        <f>F427*G427</f>
        <v>841791.75196838728</v>
      </c>
    </row>
    <row r="428" spans="1:12" s="625" customFormat="1" ht="15" customHeight="1" thickTop="1">
      <c r="A428" s="1234"/>
      <c r="B428" s="637"/>
      <c r="C428" s="637"/>
      <c r="D428" s="638"/>
      <c r="E428" s="659"/>
      <c r="F428" s="660"/>
      <c r="G428" s="670" t="s">
        <v>536</v>
      </c>
      <c r="H428" s="640">
        <f>SUM(H423:H427)</f>
        <v>9216789.7954878788</v>
      </c>
    </row>
    <row r="429" spans="1:12" s="625" customFormat="1" ht="15" customHeight="1">
      <c r="A429" s="1235"/>
      <c r="B429" s="641"/>
      <c r="C429" s="641"/>
      <c r="D429" s="642"/>
      <c r="E429" s="621"/>
      <c r="F429" s="647"/>
      <c r="G429" s="671" t="s">
        <v>537</v>
      </c>
      <c r="H429" s="644">
        <f>ROUND((+H428*0.05*0.19)/(1+0.3),0)</f>
        <v>67353</v>
      </c>
    </row>
    <row r="430" spans="1:12" s="625" customFormat="1" ht="15" customHeight="1" thickBot="1">
      <c r="A430" s="1236"/>
      <c r="B430" s="619"/>
      <c r="C430" s="619"/>
      <c r="D430" s="620"/>
      <c r="E430" s="621"/>
      <c r="F430" s="647"/>
      <c r="G430" s="671" t="s">
        <v>538</v>
      </c>
      <c r="H430" s="645">
        <f>+ROUND(H428+H429,0)</f>
        <v>9284143</v>
      </c>
    </row>
    <row r="431" spans="1:12" s="625" customFormat="1" ht="15" customHeight="1" thickTop="1">
      <c r="A431" s="1236"/>
      <c r="B431" s="619"/>
      <c r="C431" s="619"/>
      <c r="D431" s="620"/>
      <c r="E431" s="621"/>
      <c r="F431" s="647"/>
      <c r="G431" s="643"/>
      <c r="H431" s="646"/>
    </row>
    <row r="432" spans="1:12" s="625" customFormat="1" ht="13.5" thickBot="1">
      <c r="A432" s="1237"/>
      <c r="B432" s="627"/>
      <c r="C432" s="626" t="s">
        <v>598</v>
      </c>
      <c r="D432" s="626"/>
      <c r="E432" s="627"/>
      <c r="F432" s="626"/>
      <c r="G432" s="691"/>
      <c r="H432" s="629"/>
    </row>
    <row r="433" spans="1:10" s="625" customFormat="1" ht="15" customHeight="1" thickTop="1">
      <c r="A433" s="1231" t="s">
        <v>540</v>
      </c>
      <c r="B433" s="631" t="str">
        <f t="shared" ref="B433:B439" si="50">MID(A433,1,3)&amp;"-"&amp;13</f>
        <v>600-13</v>
      </c>
      <c r="C433" s="631"/>
      <c r="D433" s="657" t="str">
        <f>VLOOKUP(A433,[33]INDICE!$A$3:$D$334,2,FALSE)</f>
        <v>EXCAVACIONES VARIAS SIN CLASIFICAR</v>
      </c>
      <c r="E433" s="649" t="str">
        <f>VLOOKUP(A433,[33]INDICE!$A$3:$D$334,3,FALSE)</f>
        <v>m3</v>
      </c>
      <c r="F433" s="694">
        <v>92</v>
      </c>
      <c r="G433" s="688">
        <f>VLOOKUP(A433,[33]INDICE!$A$3:$D$334,4,FALSE)</f>
        <v>67953.950275344076</v>
      </c>
      <c r="H433" s="652">
        <f t="shared" ref="H433:H439" si="51">F433*G433</f>
        <v>6251763.425331655</v>
      </c>
    </row>
    <row r="434" spans="1:10" s="625" customFormat="1" ht="26.1" customHeight="1">
      <c r="A434" s="1231" t="s">
        <v>544</v>
      </c>
      <c r="B434" s="631" t="str">
        <f t="shared" si="50"/>
        <v>610-13</v>
      </c>
      <c r="C434" s="631"/>
      <c r="D434" s="657" t="str">
        <f>VLOOKUP(A434,[33]INDICE!$A$3:$D$334,2,FALSE)</f>
        <v>RELLENOS PARA ESTRUCTURAS CON SUELO.</v>
      </c>
      <c r="E434" s="649" t="str">
        <f>VLOOKUP(A434,[33]INDICE!$A$3:$D$334,3,FALSE)</f>
        <v>m3</v>
      </c>
      <c r="F434" s="694">
        <v>156</v>
      </c>
      <c r="G434" s="688">
        <f>VLOOKUP(A434,[33]INDICE!$A$3:$D$334,4,FALSE)</f>
        <v>164362.8922747685</v>
      </c>
      <c r="H434" s="652">
        <f t="shared" si="51"/>
        <v>25640611.194863886</v>
      </c>
    </row>
    <row r="435" spans="1:10" s="625" customFormat="1" ht="48.95" customHeight="1">
      <c r="A435" s="1231" t="s">
        <v>553</v>
      </c>
      <c r="B435" s="631" t="str">
        <f t="shared" si="50"/>
        <v>630-13</v>
      </c>
      <c r="C435" s="631"/>
      <c r="D435" s="657" t="str">
        <f>VLOOKUP(A435,[33]INDICE!$A$3:$D$334,2,FALSE)</f>
        <v>CONCRETO RESISTENCIA 21MPA (D)</v>
      </c>
      <c r="E435" s="649" t="str">
        <f>VLOOKUP(A435,[33]INDICE!$A$3:$D$334,3,FALSE)</f>
        <v>m3</v>
      </c>
      <c r="F435" s="694">
        <v>15</v>
      </c>
      <c r="G435" s="688">
        <f>VLOOKUP(A435,[33]INDICE!$A$3:$D$334,4,FALSE)</f>
        <v>871855.23056364793</v>
      </c>
      <c r="H435" s="652">
        <f t="shared" si="51"/>
        <v>13077828.458454719</v>
      </c>
    </row>
    <row r="436" spans="1:10" s="625" customFormat="1" ht="15" customHeight="1">
      <c r="A436" s="1231" t="s">
        <v>556</v>
      </c>
      <c r="B436" s="631" t="str">
        <f t="shared" si="50"/>
        <v>630-13</v>
      </c>
      <c r="C436" s="631"/>
      <c r="D436" s="657" t="str">
        <f>VLOOKUP(A436,[33]INDICE!$A$3:$D$334,2,FALSE)</f>
        <v>CONCRETO RESISTENCIA 14MPA  (F)</v>
      </c>
      <c r="E436" s="649" t="str">
        <f>VLOOKUP(A436,[33]INDICE!$A$3:$D$334,3,FALSE)</f>
        <v>m3</v>
      </c>
      <c r="F436" s="654">
        <v>5</v>
      </c>
      <c r="G436" s="688">
        <f>VLOOKUP(A436,[33]INDICE!$A$3:$D$334,4,FALSE)</f>
        <v>674387.0151947831</v>
      </c>
      <c r="H436" s="652">
        <f t="shared" si="51"/>
        <v>3371935.0759739154</v>
      </c>
    </row>
    <row r="437" spans="1:10" s="625" customFormat="1" ht="15" customHeight="1">
      <c r="A437" s="1231" t="s">
        <v>554</v>
      </c>
      <c r="B437" s="631" t="str">
        <f t="shared" si="50"/>
        <v>640-13</v>
      </c>
      <c r="C437" s="631"/>
      <c r="D437" s="657" t="str">
        <f>VLOOKUP(A437,[33]INDICE!$A$3:$D$334,2,FALSE)</f>
        <v>ACERO DE REFUERZO FY 4200 MPA.</v>
      </c>
      <c r="E437" s="649" t="str">
        <f>VLOOKUP(A437,[33]INDICE!$A$3:$D$334,3,FALSE)</f>
        <v>kg</v>
      </c>
      <c r="F437" s="655">
        <v>317</v>
      </c>
      <c r="G437" s="688">
        <f>VLOOKUP(A437,[33]INDICE!$A$3:$D$334,4,FALSE)</f>
        <v>6085.8496982034649</v>
      </c>
      <c r="H437" s="652">
        <f t="shared" si="51"/>
        <v>1929214.3543304983</v>
      </c>
    </row>
    <row r="438" spans="1:10" s="625" customFormat="1" ht="25.5" customHeight="1">
      <c r="A438" s="1231" t="s">
        <v>548</v>
      </c>
      <c r="B438" s="631" t="str">
        <f t="shared" si="50"/>
        <v>673-13</v>
      </c>
      <c r="C438" s="656"/>
      <c r="D438" s="657" t="str">
        <f>VLOOKUP(A438,[33]INDICE!$A$3:$D$334,2,FALSE)</f>
        <v>GEOTEXTIL  TIPO T-2400 O SIMILAR TEJIDO</v>
      </c>
      <c r="E438" s="649" t="str">
        <f>VLOOKUP(A438,[33]INDICE!$A$3:$D$334,3,FALSE)</f>
        <v>m2</v>
      </c>
      <c r="F438" s="654">
        <v>156</v>
      </c>
      <c r="G438" s="688">
        <f>VLOOKUP(A438,[33]INDICE!$A$3:$D$334,4,FALSE)</f>
        <v>10983.835173625577</v>
      </c>
      <c r="H438" s="652">
        <f t="shared" si="51"/>
        <v>1713478.28708559</v>
      </c>
    </row>
    <row r="439" spans="1:10" s="625" customFormat="1" ht="36.75" thickBot="1">
      <c r="A439" s="1231" t="s">
        <v>562</v>
      </c>
      <c r="B439" s="631" t="str">
        <f t="shared" si="50"/>
        <v>681-13</v>
      </c>
      <c r="C439" s="631"/>
      <c r="D439" s="657" t="str">
        <f>VLOOKUP(A439,[33]INDICE!$A$3:$D$334,2,FALSE)</f>
        <v>GAVIÓN DE MALLA DE ALAMBRE DE ACERO ENTRELAZADO  CLASE 3; RECUBRIMIENTO DE ZINC (GALVANIZADO) Y PVC</v>
      </c>
      <c r="E439" s="649" t="str">
        <f>VLOOKUP(A439,[33]INDICE!$A$3:$D$334,3,FALSE)</f>
        <v>m3</v>
      </c>
      <c r="F439" s="655">
        <v>136</v>
      </c>
      <c r="G439" s="688">
        <f>VLOOKUP(A439,[33]INDICE!$A$3:$D$334,4,FALSE)</f>
        <v>430730.76446905878</v>
      </c>
      <c r="H439" s="652">
        <f t="shared" si="51"/>
        <v>58579383.967791997</v>
      </c>
      <c r="J439" s="658"/>
    </row>
    <row r="440" spans="1:10" s="625" customFormat="1" ht="15" customHeight="1" thickTop="1">
      <c r="A440" s="1234"/>
      <c r="B440" s="637"/>
      <c r="C440" s="637"/>
      <c r="D440" s="638"/>
      <c r="E440" s="659"/>
      <c r="F440" s="660"/>
      <c r="G440" s="670" t="s">
        <v>536</v>
      </c>
      <c r="H440" s="640">
        <f>SUM(H433:H439)</f>
        <v>110564214.76383226</v>
      </c>
    </row>
    <row r="441" spans="1:10" s="625" customFormat="1" ht="15" customHeight="1">
      <c r="A441" s="1235"/>
      <c r="B441" s="641"/>
      <c r="C441" s="641"/>
      <c r="D441" s="642"/>
      <c r="E441" s="621"/>
      <c r="F441" s="647"/>
      <c r="G441" s="671" t="s">
        <v>537</v>
      </c>
      <c r="H441" s="644">
        <f>ROUND((+H440*0.05*0.19)/(1+0.3),0)</f>
        <v>807969</v>
      </c>
    </row>
    <row r="442" spans="1:10" s="625" customFormat="1" ht="15" customHeight="1" thickBot="1">
      <c r="A442" s="1236"/>
      <c r="B442" s="619"/>
      <c r="C442" s="619"/>
      <c r="D442" s="620"/>
      <c r="E442" s="621"/>
      <c r="F442" s="647"/>
      <c r="G442" s="671" t="s">
        <v>538</v>
      </c>
      <c r="H442" s="645">
        <f>+ROUND(H440+H441,0)</f>
        <v>111372184</v>
      </c>
    </row>
    <row r="443" spans="1:10" s="625" customFormat="1" ht="15" customHeight="1" thickTop="1">
      <c r="A443" s="1236"/>
      <c r="B443" s="619"/>
      <c r="C443" s="619"/>
      <c r="D443" s="620"/>
      <c r="E443" s="621"/>
      <c r="F443" s="622"/>
      <c r="G443" s="693"/>
      <c r="H443" s="624"/>
    </row>
    <row r="444" spans="1:10" s="625" customFormat="1" ht="13.5" thickBot="1">
      <c r="A444" s="1237"/>
      <c r="B444" s="627"/>
      <c r="C444" s="626" t="s">
        <v>599</v>
      </c>
      <c r="D444" s="626"/>
      <c r="E444" s="627"/>
      <c r="F444" s="626"/>
      <c r="G444" s="691"/>
      <c r="H444" s="629"/>
    </row>
    <row r="445" spans="1:10" s="625" customFormat="1" ht="15" customHeight="1" thickTop="1">
      <c r="A445" s="1231" t="s">
        <v>540</v>
      </c>
      <c r="B445" s="631" t="str">
        <f>MID(A445,1,3)&amp;"-"&amp;13</f>
        <v>600-13</v>
      </c>
      <c r="C445" s="631"/>
      <c r="D445" s="657" t="str">
        <f>VLOOKUP(A445,[33]INDICE!$A$3:$D$334,2,FALSE)</f>
        <v>EXCAVACIONES VARIAS SIN CLASIFICAR</v>
      </c>
      <c r="E445" s="649" t="str">
        <f>VLOOKUP(A445,[33]INDICE!$A$3:$D$334,3,FALSE)</f>
        <v>m3</v>
      </c>
      <c r="F445" s="694">
        <v>96</v>
      </c>
      <c r="G445" s="688">
        <f>VLOOKUP(A445,[33]INDICE!$A$3:$D$334,4,FALSE)</f>
        <v>67953.950275344076</v>
      </c>
      <c r="H445" s="652">
        <f>F445*G445</f>
        <v>6523579.2264330313</v>
      </c>
    </row>
    <row r="446" spans="1:10" s="625" customFormat="1" ht="26.1" customHeight="1">
      <c r="A446" s="1231" t="s">
        <v>544</v>
      </c>
      <c r="B446" s="631" t="str">
        <f>MID(A446,1,3)&amp;"-"&amp;13</f>
        <v>610-13</v>
      </c>
      <c r="C446" s="631"/>
      <c r="D446" s="657" t="str">
        <f>VLOOKUP(A446,[33]INDICE!$A$3:$D$334,2,FALSE)</f>
        <v>RELLENOS PARA ESTRUCTURAS CON SUELO.</v>
      </c>
      <c r="E446" s="649" t="str">
        <f>VLOOKUP(A446,[33]INDICE!$A$3:$D$334,3,FALSE)</f>
        <v>m3</v>
      </c>
      <c r="F446" s="694">
        <v>77</v>
      </c>
      <c r="G446" s="688">
        <f>VLOOKUP(A446,[33]INDICE!$A$3:$D$334,4,FALSE)</f>
        <v>164362.8922747685</v>
      </c>
      <c r="H446" s="652">
        <f>F446*G446</f>
        <v>12655942.705157174</v>
      </c>
    </row>
    <row r="447" spans="1:10" s="625" customFormat="1" ht="27" customHeight="1">
      <c r="A447" s="1231" t="s">
        <v>548</v>
      </c>
      <c r="B447" s="631" t="str">
        <f>MID(A447,1,3)&amp;"-"&amp;13</f>
        <v>673-13</v>
      </c>
      <c r="C447" s="631"/>
      <c r="D447" s="657" t="str">
        <f>VLOOKUP(A447,[33]INDICE!$A$3:$D$334,2,FALSE)</f>
        <v>GEOTEXTIL  TIPO T-2400 O SIMILAR TEJIDO</v>
      </c>
      <c r="E447" s="649" t="str">
        <f>VLOOKUP(A447,[33]INDICE!$A$3:$D$334,3,FALSE)</f>
        <v>m2</v>
      </c>
      <c r="F447" s="694">
        <v>144</v>
      </c>
      <c r="G447" s="688">
        <f>VLOOKUP(A447,[33]INDICE!$A$3:$D$334,4,FALSE)</f>
        <v>10983.835173625577</v>
      </c>
      <c r="H447" s="652">
        <f>F447*G447</f>
        <v>1581672.265002083</v>
      </c>
    </row>
    <row r="448" spans="1:10" s="625" customFormat="1" ht="36.75" thickBot="1">
      <c r="A448" s="1231" t="s">
        <v>562</v>
      </c>
      <c r="B448" s="631" t="str">
        <f>MID(A448,1,3)&amp;"-"&amp;13</f>
        <v>681-13</v>
      </c>
      <c r="C448" s="631"/>
      <c r="D448" s="657" t="str">
        <f>VLOOKUP(A448,[33]INDICE!$A$3:$D$334,2,FALSE)</f>
        <v>GAVIÓN DE MALLA DE ALAMBRE DE ACERO ENTRELAZADO  CLASE 3; RECUBRIMIENTO DE ZINC (GALVANIZADO) Y PVC</v>
      </c>
      <c r="E448" s="649" t="str">
        <f>VLOOKUP(A448,[33]INDICE!$A$3:$D$334,3,FALSE)</f>
        <v>m3</v>
      </c>
      <c r="F448" s="654">
        <v>72</v>
      </c>
      <c r="G448" s="688">
        <f>VLOOKUP(A448,[33]INDICE!$A$3:$D$334,4,FALSE)</f>
        <v>430730.76446905878</v>
      </c>
      <c r="H448" s="652">
        <f>F448*G448</f>
        <v>31012615.041772231</v>
      </c>
    </row>
    <row r="449" spans="1:10" s="625" customFormat="1" ht="15" customHeight="1" thickTop="1">
      <c r="A449" s="1234"/>
      <c r="B449" s="637"/>
      <c r="C449" s="637"/>
      <c r="D449" s="638"/>
      <c r="E449" s="659"/>
      <c r="F449" s="660"/>
      <c r="G449" s="670" t="s">
        <v>536</v>
      </c>
      <c r="H449" s="640">
        <f>SUM(H445:H448)</f>
        <v>51773809.238364518</v>
      </c>
    </row>
    <row r="450" spans="1:10" s="625" customFormat="1" ht="15" customHeight="1">
      <c r="A450" s="1235"/>
      <c r="B450" s="641"/>
      <c r="C450" s="641"/>
      <c r="D450" s="642"/>
      <c r="E450" s="621"/>
      <c r="F450" s="647"/>
      <c r="G450" s="671" t="s">
        <v>537</v>
      </c>
      <c r="H450" s="644">
        <f>ROUND((+H449*0.05*0.19)/(1+0.3),0)</f>
        <v>378347</v>
      </c>
    </row>
    <row r="451" spans="1:10" s="625" customFormat="1" ht="15" customHeight="1" thickBot="1">
      <c r="A451" s="1236"/>
      <c r="B451" s="619"/>
      <c r="C451" s="619"/>
      <c r="D451" s="620"/>
      <c r="E451" s="621"/>
      <c r="F451" s="647"/>
      <c r="G451" s="671" t="s">
        <v>538</v>
      </c>
      <c r="H451" s="645">
        <f>+ROUND(H449+H450,0)</f>
        <v>52152156</v>
      </c>
    </row>
    <row r="452" spans="1:10" s="625" customFormat="1" ht="12.75" customHeight="1" thickTop="1">
      <c r="A452" s="1236"/>
      <c r="B452" s="619"/>
      <c r="C452" s="619"/>
      <c r="D452" s="620"/>
      <c r="E452" s="621"/>
      <c r="F452" s="622"/>
      <c r="G452" s="623"/>
      <c r="H452" s="624"/>
    </row>
    <row r="453" spans="1:10" s="625" customFormat="1" ht="12.75" customHeight="1">
      <c r="A453" s="1236"/>
      <c r="B453" s="619"/>
      <c r="C453" s="619"/>
      <c r="D453" s="620"/>
      <c r="E453" s="621"/>
      <c r="F453" s="622"/>
      <c r="G453" s="623"/>
      <c r="H453" s="624"/>
    </row>
    <row r="454" spans="1:10" s="625" customFormat="1" ht="15" customHeight="1" thickBot="1">
      <c r="A454" s="1237"/>
      <c r="B454" s="627"/>
      <c r="C454" s="626" t="s">
        <v>600</v>
      </c>
      <c r="D454" s="626"/>
      <c r="E454" s="627"/>
      <c r="F454" s="626"/>
      <c r="G454" s="628"/>
      <c r="H454" s="629"/>
      <c r="I454" s="630"/>
    </row>
    <row r="455" spans="1:10" s="625" customFormat="1" ht="15" customHeight="1" thickTop="1">
      <c r="A455" s="1240" t="s">
        <v>540</v>
      </c>
      <c r="B455" s="665" t="str">
        <f>MID(A455,1,3)&amp;"-"&amp;13</f>
        <v>600-13</v>
      </c>
      <c r="C455" s="665"/>
      <c r="D455" s="657" t="str">
        <f>VLOOKUP(A455,[33]INDICE!$A$3:$D$334,2,FALSE)</f>
        <v>EXCAVACIONES VARIAS SIN CLASIFICAR</v>
      </c>
      <c r="E455" s="649" t="str">
        <f>VLOOKUP(A455,[33]INDICE!$A$3:$D$334,3,FALSE)</f>
        <v>m3</v>
      </c>
      <c r="F455" s="666">
        <v>6</v>
      </c>
      <c r="G455" s="688">
        <f>VLOOKUP(A455,[33]INDICE!$A$3:$D$334,4,FALSE)</f>
        <v>67953.950275344076</v>
      </c>
      <c r="H455" s="667">
        <f>F455*G455</f>
        <v>407723.70165206445</v>
      </c>
      <c r="J455" s="625" t="s">
        <v>541</v>
      </c>
    </row>
    <row r="456" spans="1:10" s="625" customFormat="1" ht="15" customHeight="1">
      <c r="A456" s="1231" t="s">
        <v>544</v>
      </c>
      <c r="B456" s="631" t="str">
        <f>MID(A456,1,3)&amp;"-"&amp;13</f>
        <v>610-13</v>
      </c>
      <c r="C456" s="631"/>
      <c r="D456" s="657" t="str">
        <f>VLOOKUP(A456,[33]INDICE!$A$3:$D$334,2,FALSE)</f>
        <v>RELLENOS PARA ESTRUCTURAS CON SUELO.</v>
      </c>
      <c r="E456" s="649" t="str">
        <f>VLOOKUP(A456,[33]INDICE!$A$3:$D$334,3,FALSE)</f>
        <v>m3</v>
      </c>
      <c r="F456" s="655">
        <f>10*0.6</f>
        <v>6</v>
      </c>
      <c r="G456" s="688">
        <f>VLOOKUP(A456,[33]INDICE!$A$3:$D$334,4,FALSE)</f>
        <v>164362.8922747685</v>
      </c>
      <c r="H456" s="652">
        <f>F456*G456</f>
        <v>986177.353648611</v>
      </c>
      <c r="J456" s="625">
        <v>610.1</v>
      </c>
    </row>
    <row r="457" spans="1:10" s="625" customFormat="1" ht="15" customHeight="1">
      <c r="A457" s="1231" t="s">
        <v>546</v>
      </c>
      <c r="B457" s="631" t="str">
        <f>MID(A457,1,3)&amp;"-"&amp;13</f>
        <v>630-13</v>
      </c>
      <c r="C457" s="631"/>
      <c r="D457" s="657" t="str">
        <f>VLOOKUP(A457,[33]INDICE!$A$3:$D$334,2,FALSE)</f>
        <v>CONCRETO RESISTENCIA 14MPA (G) (CICLOPEO)</v>
      </c>
      <c r="E457" s="649" t="str">
        <f>VLOOKUP(A457,[33]INDICE!$A$3:$D$334,3,FALSE)</f>
        <v>m3</v>
      </c>
      <c r="F457" s="668">
        <v>2</v>
      </c>
      <c r="G457" s="688">
        <f>VLOOKUP(A457,[33]INDICE!$A$3:$D$334,4,FALSE)</f>
        <v>530138.01220093726</v>
      </c>
      <c r="H457" s="652">
        <f>F457*G457</f>
        <v>1060276.0244018745</v>
      </c>
      <c r="J457" s="625">
        <v>630.70000000000005</v>
      </c>
    </row>
    <row r="458" spans="1:10" s="625" customFormat="1" ht="15" customHeight="1">
      <c r="A458" s="1231" t="s">
        <v>548</v>
      </c>
      <c r="B458" s="631" t="str">
        <f>MID(A458,1,3)&amp;"-"&amp;13</f>
        <v>673-13</v>
      </c>
      <c r="C458" s="631"/>
      <c r="D458" s="657" t="str">
        <f>VLOOKUP(A458,[33]INDICE!$A$3:$D$334,2,FALSE)</f>
        <v>GEOTEXTIL  TIPO T-2400 O SIMILAR TEJIDO</v>
      </c>
      <c r="E458" s="649" t="str">
        <f>VLOOKUP(A458,[33]INDICE!$A$3:$D$334,3,FALSE)</f>
        <v>m2</v>
      </c>
      <c r="F458" s="654">
        <v>12</v>
      </c>
      <c r="G458" s="688">
        <f>VLOOKUP(A458,[33]INDICE!$A$3:$D$334,4,FALSE)</f>
        <v>10983.835173625577</v>
      </c>
      <c r="H458" s="652">
        <f>F458*G458</f>
        <v>131806.02208350692</v>
      </c>
      <c r="J458" s="625">
        <v>673.1</v>
      </c>
    </row>
    <row r="459" spans="1:10" s="625" customFormat="1" ht="26.1" customHeight="1" thickBot="1">
      <c r="A459" s="1231" t="s">
        <v>549</v>
      </c>
      <c r="B459" s="631" t="str">
        <f>MID(A459,1,3)&amp;"-"&amp;13</f>
        <v>681-13</v>
      </c>
      <c r="C459" s="631"/>
      <c r="D459" s="657" t="str">
        <f>VLOOKUP(A459,[33]INDICE!$A$3:$D$334,2,FALSE)</f>
        <v xml:space="preserve">GAVIÓNES DE MALLA DE ALAMBRE DE ACERO ENTRELAZADO  CLASE 1; RECUBRIMIENTO DE ZINC (GALVANIZADO) </v>
      </c>
      <c r="E459" s="649" t="str">
        <f>VLOOKUP(A459,[33]INDICE!$A$3:$D$334,3,FALSE)</f>
        <v>m3</v>
      </c>
      <c r="F459" s="654">
        <v>8</v>
      </c>
      <c r="G459" s="688">
        <f>VLOOKUP(A459,[33]INDICE!$A$3:$D$334,4,FALSE)</f>
        <v>400986.60185015475</v>
      </c>
      <c r="H459" s="652">
        <f>F459*G459</f>
        <v>3207892.814801238</v>
      </c>
      <c r="J459" s="625">
        <v>681.1</v>
      </c>
    </row>
    <row r="460" spans="1:10" s="625" customFormat="1" ht="15" customHeight="1" thickTop="1">
      <c r="A460" s="1234"/>
      <c r="B460" s="637"/>
      <c r="C460" s="637"/>
      <c r="D460" s="638"/>
      <c r="E460" s="659"/>
      <c r="F460" s="660"/>
      <c r="G460" s="670" t="s">
        <v>536</v>
      </c>
      <c r="H460" s="640">
        <f>SUM(H455:H459)</f>
        <v>5793875.916587295</v>
      </c>
    </row>
    <row r="461" spans="1:10" s="625" customFormat="1" ht="15" customHeight="1">
      <c r="A461" s="1235"/>
      <c r="B461" s="641"/>
      <c r="C461" s="641"/>
      <c r="D461" s="642"/>
      <c r="E461" s="621"/>
      <c r="F461" s="647"/>
      <c r="G461" s="671" t="s">
        <v>537</v>
      </c>
      <c r="H461" s="644">
        <f>SUM(H460:H460)*0.05*0.19/1.3</f>
        <v>42339.862467368686</v>
      </c>
    </row>
    <row r="462" spans="1:10" s="625" customFormat="1" ht="15" customHeight="1" thickBot="1">
      <c r="A462" s="1236"/>
      <c r="B462" s="619"/>
      <c r="C462" s="619"/>
      <c r="D462" s="620"/>
      <c r="E462" s="621"/>
      <c r="F462" s="647"/>
      <c r="G462" s="671" t="s">
        <v>538</v>
      </c>
      <c r="H462" s="645">
        <f>+ROUND(H460+H461,0)</f>
        <v>5836216</v>
      </c>
      <c r="I462" s="630"/>
    </row>
    <row r="463" spans="1:10" s="625" customFormat="1" ht="15" customHeight="1" thickTop="1">
      <c r="A463" s="1236"/>
      <c r="B463" s="619"/>
      <c r="C463" s="619"/>
      <c r="D463" s="620"/>
      <c r="E463" s="621"/>
      <c r="F463" s="622"/>
      <c r="G463" s="693"/>
      <c r="H463" s="624"/>
    </row>
    <row r="464" spans="1:10" s="625" customFormat="1" ht="15" customHeight="1">
      <c r="A464" s="1236"/>
      <c r="B464" s="619"/>
      <c r="C464" s="619"/>
      <c r="D464" s="620"/>
      <c r="E464" s="621"/>
      <c r="F464" s="622"/>
      <c r="G464" s="693"/>
      <c r="H464" s="624"/>
    </row>
    <row r="465" spans="1:10" s="625" customFormat="1" ht="13.5" thickBot="1">
      <c r="A465" s="1237"/>
      <c r="B465" s="627"/>
      <c r="C465" s="626" t="s">
        <v>601</v>
      </c>
      <c r="D465" s="626"/>
      <c r="E465" s="627"/>
      <c r="F465" s="626"/>
      <c r="G465" s="691"/>
      <c r="H465" s="629"/>
    </row>
    <row r="466" spans="1:10" s="625" customFormat="1" ht="15" customHeight="1" thickTop="1">
      <c r="A466" s="1240" t="s">
        <v>552</v>
      </c>
      <c r="B466" s="631" t="str">
        <f>MID(A466,1,3)&amp;"-"&amp;13</f>
        <v>201-13</v>
      </c>
      <c r="C466" s="665"/>
      <c r="D466" s="657" t="str">
        <f>VLOOKUP(A466,[33]INDICE!$A$3:$D$334,2,FALSE)</f>
        <v>DEMOLICIÓN DE ESTRUCTURAS</v>
      </c>
      <c r="E466" s="649" t="str">
        <f>VLOOKUP(A466,[33]INDICE!$A$3:$D$334,3,FALSE)</f>
        <v>m3</v>
      </c>
      <c r="F466" s="682">
        <v>36</v>
      </c>
      <c r="G466" s="688">
        <f>VLOOKUP(A466,[33]INDICE!$A$3:$D$334,4,FALSE)</f>
        <v>240341.82659000819</v>
      </c>
      <c r="H466" s="667">
        <f>F466*G466</f>
        <v>8652305.7572402954</v>
      </c>
      <c r="J466" s="625" t="s">
        <v>602</v>
      </c>
    </row>
    <row r="467" spans="1:10" s="625" customFormat="1" ht="15" customHeight="1">
      <c r="A467" s="1231" t="s">
        <v>603</v>
      </c>
      <c r="B467" s="631" t="str">
        <f t="shared" ref="B467:B481" si="52">MID(A467,1,3)&amp;"-"&amp;13</f>
        <v>330-13</v>
      </c>
      <c r="C467" s="631"/>
      <c r="D467" s="657" t="str">
        <f>VLOOKUP(A467,[33]INDICE!$A$3:$D$334,2,FALSE)</f>
        <v>BASE GRANULAR PARA BACHEO CLASE A</v>
      </c>
      <c r="E467" s="649" t="str">
        <f>VLOOKUP(A467,[33]INDICE!$A$3:$D$334,3,FALSE)</f>
        <v>m3</v>
      </c>
      <c r="F467" s="694">
        <v>307</v>
      </c>
      <c r="G467" s="688">
        <f>VLOOKUP(A467,[33]INDICE!$A$3:$D$334,4,FALSE)</f>
        <v>388123.88712339668</v>
      </c>
      <c r="H467" s="652">
        <f t="shared" ref="H467:H481" si="53">F467*G467</f>
        <v>119154033.34688278</v>
      </c>
    </row>
    <row r="468" spans="1:10" s="625" customFormat="1" ht="26.1" customHeight="1">
      <c r="A468" s="1231" t="s">
        <v>574</v>
      </c>
      <c r="B468" s="631" t="str">
        <f t="shared" si="52"/>
        <v>450-13</v>
      </c>
      <c r="C468" s="631"/>
      <c r="D468" s="657" t="str">
        <f>VLOOKUP(A468,[33]INDICE!$A$3:$D$334,2,FALSE)</f>
        <v>Mezcla Densa en Caliente tipo MDC-19 INCLUYE TRANSPORTE</v>
      </c>
      <c r="E468" s="649" t="str">
        <f>VLOOKUP(A468,[33]INDICE!$A$3:$D$334,3,FALSE)</f>
        <v>M3</v>
      </c>
      <c r="F468" s="694">
        <v>90</v>
      </c>
      <c r="G468" s="688">
        <f>VLOOKUP(A468,[33]INDICE!$A$3:$D$334,4,FALSE)</f>
        <v>1299990.5178796239</v>
      </c>
      <c r="H468" s="652">
        <f t="shared" si="53"/>
        <v>116999146.60916615</v>
      </c>
    </row>
    <row r="469" spans="1:10" s="625" customFormat="1" ht="41.25" customHeight="1">
      <c r="A469" s="1231" t="s">
        <v>604</v>
      </c>
      <c r="B469" s="631" t="str">
        <f t="shared" si="52"/>
        <v>465-13</v>
      </c>
      <c r="C469" s="631"/>
      <c r="D469" s="657" t="str">
        <f>VLOOKUP(A469,[33]INDICE!$A$3:$D$334,2,FALSE)</f>
        <v>EXCAVACIÓN PARA REPARACIÓN DE PAVIMENTO ASFÁLTICO EXISTENTE INCLUYENDO EL CORTE Y LA REMOCIÒN DE LAS CAPAS ASFALTICAS SUBYACENTES</v>
      </c>
      <c r="E469" s="649" t="str">
        <f>VLOOKUP(A469,[33]INDICE!$A$3:$D$334,3,FALSE)</f>
        <v>m3</v>
      </c>
      <c r="F469" s="694">
        <v>40</v>
      </c>
      <c r="G469" s="688">
        <f>VLOOKUP(A469,[33]INDICE!$A$3:$D$334,4,FALSE)</f>
        <v>152185.3287895511</v>
      </c>
      <c r="H469" s="652">
        <f t="shared" si="53"/>
        <v>6087413.1515820436</v>
      </c>
    </row>
    <row r="470" spans="1:10" s="625" customFormat="1" ht="15" customHeight="1">
      <c r="A470" s="1231" t="s">
        <v>540</v>
      </c>
      <c r="B470" s="631" t="str">
        <f t="shared" si="52"/>
        <v>600-13</v>
      </c>
      <c r="C470" s="631"/>
      <c r="D470" s="657" t="str">
        <f>VLOOKUP(A470,[33]INDICE!$A$3:$D$334,2,FALSE)</f>
        <v>EXCAVACIONES VARIAS SIN CLASIFICAR</v>
      </c>
      <c r="E470" s="649" t="str">
        <f>VLOOKUP(A470,[33]INDICE!$A$3:$D$334,3,FALSE)</f>
        <v>m3</v>
      </c>
      <c r="F470" s="654">
        <v>420</v>
      </c>
      <c r="G470" s="688">
        <f>VLOOKUP(A470,[33]INDICE!$A$3:$D$334,4,FALSE)</f>
        <v>67953.950275344076</v>
      </c>
      <c r="H470" s="652">
        <f t="shared" si="53"/>
        <v>28540659.115644511</v>
      </c>
    </row>
    <row r="471" spans="1:10" s="625" customFormat="1" ht="15" customHeight="1">
      <c r="A471" s="1231" t="s">
        <v>544</v>
      </c>
      <c r="B471" s="631" t="str">
        <f t="shared" si="52"/>
        <v>610-13</v>
      </c>
      <c r="C471" s="631"/>
      <c r="D471" s="657" t="str">
        <f>VLOOKUP(A471,[33]INDICE!$A$3:$D$334,2,FALSE)</f>
        <v>RELLENOS PARA ESTRUCTURAS CON SUELO.</v>
      </c>
      <c r="E471" s="649" t="str">
        <f>VLOOKUP(A471,[33]INDICE!$A$3:$D$334,3,FALSE)</f>
        <v>m3</v>
      </c>
      <c r="F471" s="655">
        <f>F470*0.4</f>
        <v>168</v>
      </c>
      <c r="G471" s="688">
        <f>VLOOKUP(A471,[33]INDICE!$A$3:$D$334,4,FALSE)</f>
        <v>164362.8922747685</v>
      </c>
      <c r="H471" s="652">
        <f t="shared" si="53"/>
        <v>27612965.902161106</v>
      </c>
    </row>
    <row r="472" spans="1:10" s="625" customFormat="1" ht="15" customHeight="1">
      <c r="A472" s="1231" t="s">
        <v>553</v>
      </c>
      <c r="B472" s="631" t="str">
        <f>MID(A472,1,3)&amp;"-"&amp;13</f>
        <v>630-13</v>
      </c>
      <c r="C472" s="631"/>
      <c r="D472" s="657" t="str">
        <f>VLOOKUP(A472,[33]INDICE!$A$3:$D$334,2,FALSE)</f>
        <v>CONCRETO RESISTENCIA 21MPA (D)</v>
      </c>
      <c r="E472" s="649" t="str">
        <f>VLOOKUP(A472,[33]INDICE!$A$3:$D$334,3,FALSE)</f>
        <v>m3</v>
      </c>
      <c r="F472" s="655">
        <v>65</v>
      </c>
      <c r="G472" s="688">
        <f>VLOOKUP(A472,[33]INDICE!$A$3:$D$334,4,FALSE)</f>
        <v>871855.23056364793</v>
      </c>
      <c r="H472" s="652">
        <f>F472*G472</f>
        <v>56670589.986637115</v>
      </c>
      <c r="J472" s="658"/>
    </row>
    <row r="473" spans="1:10" s="625" customFormat="1" ht="15" customHeight="1">
      <c r="A473" s="1231" t="s">
        <v>545</v>
      </c>
      <c r="B473" s="631" t="str">
        <f>MID(A473,1,3)&amp;"-"&amp;13</f>
        <v>630-13</v>
      </c>
      <c r="C473" s="631"/>
      <c r="D473" s="657" t="str">
        <f>VLOOKUP(A473,[33]INDICE!$A$3:$D$334,2,FALSE)</f>
        <v>CONCRETO RESISTENCIA 17.5MPA (E )</v>
      </c>
      <c r="E473" s="649" t="str">
        <f>VLOOKUP(A473,[33]INDICE!$A$3:$D$334,3,FALSE)</f>
        <v>m3</v>
      </c>
      <c r="F473" s="655">
        <v>30</v>
      </c>
      <c r="G473" s="688">
        <f>VLOOKUP(A473,[33]INDICE!$A$3:$D$334,4,FALSE)</f>
        <v>735031.04931538599</v>
      </c>
      <c r="H473" s="652">
        <f>F473*G473</f>
        <v>22050931.479461581</v>
      </c>
    </row>
    <row r="474" spans="1:10" s="625" customFormat="1" ht="15" customHeight="1">
      <c r="A474" s="1231" t="s">
        <v>554</v>
      </c>
      <c r="B474" s="631" t="str">
        <f>MID(A474,1,3)&amp;"-"&amp;13</f>
        <v>640-13</v>
      </c>
      <c r="C474" s="631"/>
      <c r="D474" s="657" t="str">
        <f>VLOOKUP(A474,[33]INDICE!$A$3:$D$334,2,FALSE)</f>
        <v>ACERO DE REFUERZO FY 4200 MPA.</v>
      </c>
      <c r="E474" s="649" t="str">
        <f>VLOOKUP(A474,[33]INDICE!$A$3:$D$334,3,FALSE)</f>
        <v>kg</v>
      </c>
      <c r="F474" s="654">
        <f>(F472+F473)*105*0.5</f>
        <v>4987.5</v>
      </c>
      <c r="G474" s="688">
        <f>VLOOKUP(A474,[33]INDICE!$A$3:$D$334,4,FALSE)</f>
        <v>6085.8496982034649</v>
      </c>
      <c r="H474" s="652">
        <f>F474*G474</f>
        <v>30353175.369789779</v>
      </c>
    </row>
    <row r="475" spans="1:10" s="625" customFormat="1" ht="26.1" customHeight="1">
      <c r="A475" s="1231" t="s">
        <v>605</v>
      </c>
      <c r="B475" s="631" t="str">
        <f t="shared" si="52"/>
        <v>661-13</v>
      </c>
      <c r="C475" s="631"/>
      <c r="D475" s="657" t="str">
        <f>VLOOKUP(A475,[33]INDICE!$A$3:$D$334,2,FALSE)</f>
        <v>TUBERÍA DE CONCRETO REFORZADO  21 MPA DE 900 MM DE DIAMETRO INTERIOR</v>
      </c>
      <c r="E475" s="649" t="str">
        <f>VLOOKUP(A475,[33]INDICE!$A$3:$D$334,3,FALSE)</f>
        <v>m</v>
      </c>
      <c r="F475" s="697">
        <v>11</v>
      </c>
      <c r="G475" s="688">
        <f>VLOOKUP(A475,[33]INDICE!$A$3:$D$334,4,FALSE)</f>
        <v>689897.64607454219</v>
      </c>
      <c r="H475" s="686">
        <f t="shared" si="53"/>
        <v>7588874.106819964</v>
      </c>
    </row>
    <row r="476" spans="1:10" s="625" customFormat="1" ht="26.1" customHeight="1">
      <c r="A476" s="1231" t="s">
        <v>559</v>
      </c>
      <c r="B476" s="631" t="str">
        <f t="shared" si="52"/>
        <v>671-13</v>
      </c>
      <c r="C476" s="631"/>
      <c r="D476" s="657" t="str">
        <f>VLOOKUP(A476,[33]INDICE!$A$3:$D$334,2,FALSE)</f>
        <v>CUNETA DE CONCRETO VACIADA IN SITU; INCLUYE LA CONFORMACION DE LA SUPERFICIE DE APOYO</v>
      </c>
      <c r="E476" s="649" t="str">
        <f>VLOOKUP(A476,[33]INDICE!$A$3:$D$334,3,FALSE)</f>
        <v>m3</v>
      </c>
      <c r="F476" s="655">
        <v>40</v>
      </c>
      <c r="G476" s="688">
        <f>VLOOKUP(A476,[33]INDICE!$A$3:$D$334,4,FALSE)</f>
        <v>841791.75196838728</v>
      </c>
      <c r="H476" s="652">
        <f t="shared" si="53"/>
        <v>33671670.078735493</v>
      </c>
    </row>
    <row r="477" spans="1:10" s="625" customFormat="1" ht="15" customHeight="1">
      <c r="A477" s="1231" t="s">
        <v>548</v>
      </c>
      <c r="B477" s="631" t="str">
        <f>MID(A477,1,3)&amp;"-"&amp;13</f>
        <v>673-13</v>
      </c>
      <c r="C477" s="631"/>
      <c r="D477" s="657" t="str">
        <f>VLOOKUP(A477,[33]INDICE!$A$3:$D$334,2,FALSE)</f>
        <v>GEOTEXTIL  TIPO T-2400 O SIMILAR TEJIDO</v>
      </c>
      <c r="E477" s="649" t="str">
        <f>VLOOKUP(A477,[33]INDICE!$A$3:$D$334,3,FALSE)</f>
        <v>m2</v>
      </c>
      <c r="F477" s="654">
        <v>1500</v>
      </c>
      <c r="G477" s="688">
        <f>VLOOKUP(A477,[33]INDICE!$A$3:$D$334,4,FALSE)</f>
        <v>10983.835173625577</v>
      </c>
      <c r="H477" s="652">
        <f>F477*G477</f>
        <v>16475752.760438366</v>
      </c>
    </row>
    <row r="478" spans="1:10" s="625" customFormat="1" ht="15" customHeight="1">
      <c r="A478" s="1231" t="s">
        <v>560</v>
      </c>
      <c r="B478" s="631" t="str">
        <f t="shared" si="52"/>
        <v>673-13</v>
      </c>
      <c r="C478" s="631"/>
      <c r="D478" s="657" t="str">
        <f>VLOOKUP(A478,[33]INDICE!$A$3:$D$334,2,FALSE)</f>
        <v>MATERIAL GRANULAR DRENANTE</v>
      </c>
      <c r="E478" s="649" t="str">
        <f>VLOOKUP(A478,[33]INDICE!$A$3:$D$334,3,FALSE)</f>
        <v>m3</v>
      </c>
      <c r="F478" s="655">
        <v>330</v>
      </c>
      <c r="G478" s="688">
        <f>VLOOKUP(A478,[33]INDICE!$A$3:$D$334,4,FALSE)</f>
        <v>84364.417561781069</v>
      </c>
      <c r="H478" s="652">
        <f t="shared" si="53"/>
        <v>27840257.795387752</v>
      </c>
    </row>
    <row r="479" spans="1:10" s="625" customFormat="1" ht="26.1" customHeight="1">
      <c r="A479" s="1231" t="s">
        <v>606</v>
      </c>
      <c r="B479" s="631" t="str">
        <f t="shared" si="52"/>
        <v>674-13</v>
      </c>
      <c r="C479" s="689"/>
      <c r="D479" s="657" t="str">
        <f>VLOOKUP(A479,[33]INDICE!$A$3:$D$334,2,FALSE)</f>
        <v>DREN HORIZONTAL DE LONGITUD MENOR O IGUAL A DIEZ (10) METROS.</v>
      </c>
      <c r="E479" s="649" t="str">
        <f>VLOOKUP(A479,[33]INDICE!$A$3:$D$334,3,FALSE)</f>
        <v>m</v>
      </c>
      <c r="F479" s="694">
        <f>0.3*6400/(4*4)*10</f>
        <v>1200</v>
      </c>
      <c r="G479" s="688">
        <f>VLOOKUP(A479,[33]INDICE!$A$3:$D$334,4,FALSE)</f>
        <v>122421.15517513713</v>
      </c>
      <c r="H479" s="652">
        <f t="shared" si="53"/>
        <v>146905386.21016455</v>
      </c>
    </row>
    <row r="480" spans="1:10" s="625" customFormat="1" ht="24">
      <c r="A480" s="1231" t="s">
        <v>607</v>
      </c>
      <c r="B480" s="631" t="str">
        <f t="shared" si="52"/>
        <v>674-13</v>
      </c>
      <c r="C480" s="689"/>
      <c r="D480" s="657" t="str">
        <f>VLOOKUP(A480,[33]INDICE!$A$3:$D$334,2,FALSE)</f>
        <v>DREN HORIZONTAL DE LONGITUD MAYOR A DIEZ (10) METROS.</v>
      </c>
      <c r="E480" s="649" t="str">
        <f>VLOOKUP(A480,[33]INDICE!$A$3:$D$334,3,FALSE)</f>
        <v>m</v>
      </c>
      <c r="F480" s="694">
        <f>0.3*6400/(4*4)*15</f>
        <v>1800</v>
      </c>
      <c r="G480" s="688">
        <f>VLOOKUP(A480,[33]INDICE!$A$3:$D$334,4,FALSE)</f>
        <v>227176.68957116379</v>
      </c>
      <c r="H480" s="652">
        <f t="shared" si="53"/>
        <v>408918041.22809482</v>
      </c>
    </row>
    <row r="481" spans="1:10" s="625" customFormat="1" ht="36.75" thickBot="1">
      <c r="A481" s="1239" t="s">
        <v>549</v>
      </c>
      <c r="B481" s="631" t="str">
        <f t="shared" si="52"/>
        <v>681-13</v>
      </c>
      <c r="C481" s="672"/>
      <c r="D481" s="657" t="str">
        <f>VLOOKUP(A481,[33]INDICE!$A$3:$D$334,2,FALSE)</f>
        <v xml:space="preserve">GAVIÓNES DE MALLA DE ALAMBRE DE ACERO ENTRELAZADO  CLASE 1; RECUBRIMIENTO DE ZINC (GALVANIZADO) </v>
      </c>
      <c r="E481" s="649" t="str">
        <f>VLOOKUP(A481,[33]INDICE!$A$3:$D$334,3,FALSE)</f>
        <v>m3</v>
      </c>
      <c r="F481" s="673">
        <v>300</v>
      </c>
      <c r="G481" s="688">
        <f>VLOOKUP(A481,[33]INDICE!$A$3:$D$334,4,FALSE)</f>
        <v>400986.60185015475</v>
      </c>
      <c r="H481" s="679">
        <f t="shared" si="53"/>
        <v>120295980.55504642</v>
      </c>
    </row>
    <row r="482" spans="1:10" s="625" customFormat="1" ht="15" customHeight="1" thickTop="1">
      <c r="A482" s="1234"/>
      <c r="B482" s="637"/>
      <c r="C482" s="637"/>
      <c r="D482" s="638"/>
      <c r="E482" s="659"/>
      <c r="F482" s="660"/>
      <c r="G482" s="670" t="s">
        <v>536</v>
      </c>
      <c r="H482" s="640">
        <f>SUM(H466:H481)</f>
        <v>1177817183.4532526</v>
      </c>
    </row>
    <row r="483" spans="1:10" s="625" customFormat="1" ht="15" customHeight="1">
      <c r="A483" s="1235"/>
      <c r="B483" s="641"/>
      <c r="C483" s="641"/>
      <c r="D483" s="642"/>
      <c r="E483" s="621"/>
      <c r="F483" s="647"/>
      <c r="G483" s="671" t="s">
        <v>537</v>
      </c>
      <c r="H483" s="644">
        <f>ROUND((+H482*0.05*0.19)/(1+0.3),0)</f>
        <v>8607126</v>
      </c>
    </row>
    <row r="484" spans="1:10" s="625" customFormat="1" ht="15" customHeight="1" thickBot="1">
      <c r="A484" s="1236"/>
      <c r="B484" s="619"/>
      <c r="C484" s="619"/>
      <c r="D484" s="620"/>
      <c r="E484" s="621"/>
      <c r="F484" s="647"/>
      <c r="G484" s="671" t="s">
        <v>538</v>
      </c>
      <c r="H484" s="645">
        <f>+ROUND(H482+H483,0)</f>
        <v>1186424309</v>
      </c>
    </row>
    <row r="485" spans="1:10" s="625" customFormat="1" ht="15" customHeight="1" thickTop="1">
      <c r="A485" s="1236"/>
      <c r="B485" s="619"/>
      <c r="C485" s="619"/>
      <c r="D485" s="620"/>
      <c r="E485" s="621"/>
      <c r="F485" s="647"/>
      <c r="G485" s="643"/>
      <c r="H485" s="646"/>
    </row>
    <row r="486" spans="1:10" s="625" customFormat="1" ht="15" customHeight="1" thickBot="1">
      <c r="A486" s="1237"/>
      <c r="B486" s="627"/>
      <c r="C486" s="626" t="s">
        <v>608</v>
      </c>
      <c r="D486" s="626"/>
      <c r="E486" s="627"/>
      <c r="F486" s="626"/>
      <c r="G486" s="628"/>
      <c r="H486" s="629"/>
      <c r="I486" s="630"/>
    </row>
    <row r="487" spans="1:10" s="625" customFormat="1" ht="15" customHeight="1" thickTop="1">
      <c r="A487" s="1231" t="s">
        <v>540</v>
      </c>
      <c r="B487" s="631" t="str">
        <f t="shared" ref="B487:B492" si="54">MID(A487,1,3)&amp;"-"&amp;13</f>
        <v>600-13</v>
      </c>
      <c r="C487" s="631"/>
      <c r="D487" s="657" t="str">
        <f>VLOOKUP(A487,[33]INDICE!$A$3:$D$334,2,FALSE)</f>
        <v>EXCAVACIONES VARIAS SIN CLASIFICAR</v>
      </c>
      <c r="E487" s="649" t="str">
        <f>VLOOKUP(A487,[33]INDICE!$A$3:$D$334,3,FALSE)</f>
        <v>m3</v>
      </c>
      <c r="F487" s="654">
        <f>100*0.5*0.6</f>
        <v>30</v>
      </c>
      <c r="G487" s="688">
        <f>VLOOKUP(A487,[33]INDICE!$A$3:$D$334,4,FALSE)</f>
        <v>67953.950275344076</v>
      </c>
      <c r="H487" s="652">
        <f t="shared" ref="H487:H492" si="55">F487*G487</f>
        <v>2038618.5082603223</v>
      </c>
    </row>
    <row r="488" spans="1:10" s="625" customFormat="1" ht="15" customHeight="1">
      <c r="A488" s="1231" t="s">
        <v>544</v>
      </c>
      <c r="B488" s="631" t="str">
        <f t="shared" si="54"/>
        <v>610-13</v>
      </c>
      <c r="C488" s="631"/>
      <c r="D488" s="657" t="str">
        <f>VLOOKUP(A488,[33]INDICE!$A$3:$D$334,2,FALSE)</f>
        <v>RELLENOS PARA ESTRUCTURAS CON SUELO.</v>
      </c>
      <c r="E488" s="649" t="str">
        <f>VLOOKUP(A488,[33]INDICE!$A$3:$D$334,3,FALSE)</f>
        <v>m3</v>
      </c>
      <c r="F488" s="655">
        <f>50*5*5</f>
        <v>1250</v>
      </c>
      <c r="G488" s="688">
        <f>VLOOKUP(A488,[33]INDICE!$A$3:$D$334,4,FALSE)</f>
        <v>164362.8922747685</v>
      </c>
      <c r="H488" s="652">
        <f t="shared" si="55"/>
        <v>205453615.34346062</v>
      </c>
    </row>
    <row r="489" spans="1:10" s="625" customFormat="1" ht="15" customHeight="1">
      <c r="A489" s="1231" t="s">
        <v>553</v>
      </c>
      <c r="B489" s="631" t="str">
        <f t="shared" si="54"/>
        <v>630-13</v>
      </c>
      <c r="C489" s="631"/>
      <c r="D489" s="657" t="str">
        <f>VLOOKUP(A489,[33]INDICE!$A$3:$D$334,2,FALSE)</f>
        <v>CONCRETO RESISTENCIA 21MPA (D)</v>
      </c>
      <c r="E489" s="649" t="str">
        <f>VLOOKUP(A489,[33]INDICE!$A$3:$D$334,3,FALSE)</f>
        <v>m3</v>
      </c>
      <c r="F489" s="655">
        <f>+(100*0.15*1)+(100*2*0.6*0.15)</f>
        <v>33</v>
      </c>
      <c r="G489" s="688">
        <f>VLOOKUP(A489,[33]INDICE!$A$3:$D$334,4,FALSE)</f>
        <v>871855.23056364793</v>
      </c>
      <c r="H489" s="652">
        <f t="shared" si="55"/>
        <v>28771222.608600382</v>
      </c>
      <c r="J489" s="658"/>
    </row>
    <row r="490" spans="1:10" s="625" customFormat="1" ht="15" customHeight="1">
      <c r="A490" s="1231" t="s">
        <v>546</v>
      </c>
      <c r="B490" s="631" t="str">
        <f t="shared" si="54"/>
        <v>630-13</v>
      </c>
      <c r="C490" s="631"/>
      <c r="D490" s="657" t="str">
        <f>VLOOKUP(A490,[33]INDICE!$A$3:$D$334,2,FALSE)</f>
        <v>CONCRETO RESISTENCIA 14MPA (G) (CICLOPEO)</v>
      </c>
      <c r="E490" s="649" t="str">
        <f>VLOOKUP(A490,[33]INDICE!$A$3:$D$334,3,FALSE)</f>
        <v>m3</v>
      </c>
      <c r="F490" s="655">
        <f>2*10*10</f>
        <v>200</v>
      </c>
      <c r="G490" s="688">
        <f>VLOOKUP(A490,[33]INDICE!$A$3:$D$334,4,FALSE)</f>
        <v>530138.01220093726</v>
      </c>
      <c r="H490" s="652">
        <f t="shared" si="55"/>
        <v>106027602.44018745</v>
      </c>
      <c r="J490" s="658"/>
    </row>
    <row r="491" spans="1:10" s="625" customFormat="1" ht="15" customHeight="1">
      <c r="A491" s="1231" t="s">
        <v>545</v>
      </c>
      <c r="B491" s="631" t="str">
        <f t="shared" si="54"/>
        <v>630-13</v>
      </c>
      <c r="C491" s="631"/>
      <c r="D491" s="657" t="str">
        <f>VLOOKUP(A491,[33]INDICE!$A$3:$D$334,2,FALSE)</f>
        <v>CONCRETO RESISTENCIA 17.5MPA (E )</v>
      </c>
      <c r="E491" s="649" t="str">
        <f>VLOOKUP(A491,[33]INDICE!$A$3:$D$334,3,FALSE)</f>
        <v>m3</v>
      </c>
      <c r="F491" s="655">
        <f>100*0.02*1</f>
        <v>2</v>
      </c>
      <c r="G491" s="688">
        <f>VLOOKUP(A491,[33]INDICE!$A$3:$D$334,4,FALSE)</f>
        <v>735031.04931538599</v>
      </c>
      <c r="H491" s="652">
        <f t="shared" si="55"/>
        <v>1470062.098630772</v>
      </c>
    </row>
    <row r="492" spans="1:10" s="625" customFormat="1" ht="26.1" customHeight="1">
      <c r="A492" s="1231" t="s">
        <v>554</v>
      </c>
      <c r="B492" s="631" t="str">
        <f t="shared" si="54"/>
        <v>640-13</v>
      </c>
      <c r="C492" s="631"/>
      <c r="D492" s="657" t="str">
        <f>VLOOKUP(A492,[33]INDICE!$A$3:$D$334,2,FALSE)</f>
        <v>ACERO DE REFUERZO FY 4200 MPA.</v>
      </c>
      <c r="E492" s="649" t="str">
        <f>VLOOKUP(A492,[33]INDICE!$A$3:$D$334,3,FALSE)</f>
        <v>kg</v>
      </c>
      <c r="F492" s="655">
        <v>1038</v>
      </c>
      <c r="G492" s="688">
        <f>VLOOKUP(A492,[33]INDICE!$A$3:$D$334,4,FALSE)</f>
        <v>6085.8496982034649</v>
      </c>
      <c r="H492" s="652">
        <f t="shared" si="55"/>
        <v>6317111.9867351968</v>
      </c>
    </row>
    <row r="493" spans="1:10" s="625" customFormat="1">
      <c r="A493" s="1231" t="s">
        <v>548</v>
      </c>
      <c r="B493" s="631" t="str">
        <f>MID(A493,1,3)&amp;"-"&amp;13</f>
        <v>673-13</v>
      </c>
      <c r="C493" s="631"/>
      <c r="D493" s="657" t="str">
        <f>VLOOKUP(A493,[33]INDICE!$A$3:$D$334,2,FALSE)</f>
        <v>GEOTEXTIL  TIPO T-2400 O SIMILAR TEJIDO</v>
      </c>
      <c r="E493" s="649" t="str">
        <f>VLOOKUP(A493,[33]INDICE!$A$3:$D$334,3,FALSE)</f>
        <v>m2</v>
      </c>
      <c r="F493" s="654">
        <f>10*10</f>
        <v>100</v>
      </c>
      <c r="G493" s="688">
        <f>VLOOKUP(A493,[33]INDICE!$A$3:$D$334,4,FALSE)</f>
        <v>10983.835173625577</v>
      </c>
      <c r="H493" s="652">
        <f>F493*G493</f>
        <v>1098383.5173625578</v>
      </c>
    </row>
    <row r="494" spans="1:10" s="625" customFormat="1" ht="72.75" thickBot="1">
      <c r="A494" s="1231" t="s">
        <v>609</v>
      </c>
      <c r="B494" s="631" t="str">
        <f>MID(A494,1,3)&amp;"-"&amp;13</f>
        <v>811-13</v>
      </c>
      <c r="C494" s="631"/>
      <c r="D494" s="657" t="str">
        <f>VLOOKUP(A494,[33]INDICE!$A$3:$D$334,2,FALSE)</f>
        <v>PROTECCION DE TALUDES CON PRODUCTO ENROLLADO PARA CONTROL DE EROSION. DE TIPO MANTO PERMANENTE. SE DEBERA ELABORAR UN ITEM DE PAGO PARA CADA PRODUCTO ENROLLADO QUE SE ESPECIFIQUE EN EL PROYECTO.</v>
      </c>
      <c r="E494" s="649" t="str">
        <f>VLOOKUP(A494,[33]INDICE!$A$3:$D$334,3,FALSE)</f>
        <v>m2</v>
      </c>
      <c r="F494" s="655">
        <f>100*1.2*0.5</f>
        <v>60</v>
      </c>
      <c r="G494" s="688">
        <f>VLOOKUP(A494,[33]INDICE!$A$3:$D$334,4,FALSE)</f>
        <v>41281.752897939492</v>
      </c>
      <c r="H494" s="652">
        <f>F494*G494</f>
        <v>2476905.1738763694</v>
      </c>
    </row>
    <row r="495" spans="1:10" s="625" customFormat="1" ht="15" customHeight="1" thickTop="1">
      <c r="A495" s="1234"/>
      <c r="B495" s="637"/>
      <c r="C495" s="637"/>
      <c r="D495" s="638"/>
      <c r="E495" s="659"/>
      <c r="F495" s="660"/>
      <c r="G495" s="670" t="s">
        <v>536</v>
      </c>
      <c r="H495" s="640">
        <f>SUM(H487:H494)</f>
        <v>353653521.67711365</v>
      </c>
    </row>
    <row r="496" spans="1:10" s="625" customFormat="1" ht="15" customHeight="1">
      <c r="A496" s="1235"/>
      <c r="B496" s="641"/>
      <c r="C496" s="641"/>
      <c r="D496" s="642"/>
      <c r="E496" s="621"/>
      <c r="F496" s="647"/>
      <c r="G496" s="671" t="s">
        <v>537</v>
      </c>
      <c r="H496" s="644">
        <f>ROUND((+H495*0.05*0.19)/(1+0.3),0)</f>
        <v>2584391</v>
      </c>
    </row>
    <row r="497" spans="1:10" s="625" customFormat="1" ht="15" customHeight="1" thickBot="1">
      <c r="A497" s="1236"/>
      <c r="B497" s="619"/>
      <c r="C497" s="619"/>
      <c r="D497" s="620"/>
      <c r="E497" s="621"/>
      <c r="F497" s="647"/>
      <c r="G497" s="671" t="s">
        <v>538</v>
      </c>
      <c r="H497" s="645">
        <f>+ROUND(H495+H496,0)</f>
        <v>356237913</v>
      </c>
      <c r="I497" s="630"/>
    </row>
    <row r="498" spans="1:10" s="625" customFormat="1" ht="15" customHeight="1" thickTop="1">
      <c r="A498" s="1236"/>
      <c r="B498" s="619"/>
      <c r="C498" s="619"/>
      <c r="D498" s="620"/>
      <c r="E498" s="621"/>
      <c r="F498" s="647"/>
      <c r="G498" s="643"/>
      <c r="H498" s="624"/>
      <c r="I498" s="630"/>
    </row>
    <row r="499" spans="1:10" s="625" customFormat="1" ht="15" customHeight="1" thickBot="1">
      <c r="A499" s="1237"/>
      <c r="B499" s="627"/>
      <c r="C499" s="626" t="s">
        <v>610</v>
      </c>
      <c r="D499" s="626"/>
      <c r="E499" s="627"/>
      <c r="F499" s="626"/>
      <c r="G499" s="628"/>
      <c r="H499" s="629"/>
      <c r="I499" s="630"/>
    </row>
    <row r="500" spans="1:10" s="625" customFormat="1" ht="15" customHeight="1" thickTop="1">
      <c r="A500" s="1240" t="s">
        <v>552</v>
      </c>
      <c r="B500" s="665" t="str">
        <f>MID(A500,1,3)&amp;"-"&amp;13</f>
        <v>201-13</v>
      </c>
      <c r="C500" s="665"/>
      <c r="D500" s="657" t="str">
        <f>VLOOKUP(A500,[33]INDICE!$A$3:$D$334,2,FALSE)</f>
        <v>DEMOLICIÓN DE ESTRUCTURAS</v>
      </c>
      <c r="E500" s="649" t="str">
        <f>VLOOKUP(A500,[33]INDICE!$A$3:$D$334,3,FALSE)</f>
        <v>m3</v>
      </c>
      <c r="F500" s="682">
        <v>5</v>
      </c>
      <c r="G500" s="688">
        <f>VLOOKUP(A500,[33]INDICE!$A$3:$D$334,4,FALSE)</f>
        <v>240341.82659000819</v>
      </c>
      <c r="H500" s="667">
        <f>F500*G500</f>
        <v>1201709.132950041</v>
      </c>
      <c r="J500" s="625" t="s">
        <v>602</v>
      </c>
    </row>
    <row r="501" spans="1:10" s="625" customFormat="1" ht="26.1" customHeight="1">
      <c r="A501" s="1231" t="s">
        <v>574</v>
      </c>
      <c r="B501" s="631" t="str">
        <f t="shared" ref="B501:B509" si="56">MID(A501,1,3)&amp;"-"&amp;13</f>
        <v>450-13</v>
      </c>
      <c r="C501" s="631"/>
      <c r="D501" s="657" t="str">
        <f>VLOOKUP(A501,[33]INDICE!$A$3:$D$334,2,FALSE)</f>
        <v>Mezcla Densa en Caliente tipo MDC-19 INCLUYE TRANSPORTE</v>
      </c>
      <c r="E501" s="649" t="str">
        <f>VLOOKUP(A501,[33]INDICE!$A$3:$D$334,3,FALSE)</f>
        <v>M3</v>
      </c>
      <c r="F501" s="694">
        <f>(2)*7*0.08*5</f>
        <v>5.6000000000000005</v>
      </c>
      <c r="G501" s="688">
        <f>VLOOKUP(A501,[33]INDICE!$A$3:$D$334,4,FALSE)</f>
        <v>1299990.5178796239</v>
      </c>
      <c r="H501" s="652">
        <f t="shared" ref="H501:H509" si="57">F501*G501</f>
        <v>7279946.9001258947</v>
      </c>
    </row>
    <row r="502" spans="1:10" s="625" customFormat="1" ht="15" customHeight="1">
      <c r="A502" s="1231" t="s">
        <v>540</v>
      </c>
      <c r="B502" s="631" t="str">
        <f t="shared" si="56"/>
        <v>600-13</v>
      </c>
      <c r="C502" s="631"/>
      <c r="D502" s="657" t="str">
        <f>VLOOKUP(A502,[33]INDICE!$A$3:$D$334,2,FALSE)</f>
        <v>EXCAVACIONES VARIAS SIN CLASIFICAR</v>
      </c>
      <c r="E502" s="649" t="str">
        <f>VLOOKUP(A502,[33]INDICE!$A$3:$D$334,3,FALSE)</f>
        <v>m3</v>
      </c>
      <c r="F502" s="654">
        <f>(60+2)*2+100*1.2*0.5</f>
        <v>184</v>
      </c>
      <c r="G502" s="688">
        <f>VLOOKUP(A502,[33]INDICE!$A$3:$D$334,4,FALSE)</f>
        <v>67953.950275344076</v>
      </c>
      <c r="H502" s="652">
        <f t="shared" si="57"/>
        <v>12503526.85066331</v>
      </c>
    </row>
    <row r="503" spans="1:10" s="625" customFormat="1" ht="15" customHeight="1">
      <c r="A503" s="1231" t="s">
        <v>544</v>
      </c>
      <c r="B503" s="631" t="str">
        <f t="shared" si="56"/>
        <v>610-13</v>
      </c>
      <c r="C503" s="631"/>
      <c r="D503" s="657" t="str">
        <f>VLOOKUP(A503,[33]INDICE!$A$3:$D$334,2,FALSE)</f>
        <v>RELLENOS PARA ESTRUCTURAS CON SUELO.</v>
      </c>
      <c r="E503" s="649" t="str">
        <f>VLOOKUP(A503,[33]INDICE!$A$3:$D$334,3,FALSE)</f>
        <v>m3</v>
      </c>
      <c r="F503" s="655">
        <f>60*0.5</f>
        <v>30</v>
      </c>
      <c r="G503" s="688">
        <f>VLOOKUP(A503,[33]INDICE!$A$3:$D$334,4,FALSE)</f>
        <v>164362.8922747685</v>
      </c>
      <c r="H503" s="652">
        <f t="shared" si="57"/>
        <v>4930886.7682430549</v>
      </c>
    </row>
    <row r="504" spans="1:10" s="625" customFormat="1" ht="15" customHeight="1">
      <c r="A504" s="1231" t="s">
        <v>553</v>
      </c>
      <c r="B504" s="631" t="str">
        <f t="shared" si="56"/>
        <v>630-13</v>
      </c>
      <c r="C504" s="631"/>
      <c r="D504" s="657" t="str">
        <f>VLOOKUP(A504,[33]INDICE!$A$3:$D$334,2,FALSE)</f>
        <v>CONCRETO RESISTENCIA 21MPA (D)</v>
      </c>
      <c r="E504" s="649" t="str">
        <f>VLOOKUP(A504,[33]INDICE!$A$3:$D$334,3,FALSE)</f>
        <v>m3</v>
      </c>
      <c r="F504" s="655">
        <v>10</v>
      </c>
      <c r="G504" s="688">
        <f>VLOOKUP(A504,[33]INDICE!$A$3:$D$334,4,FALSE)</f>
        <v>871855.23056364793</v>
      </c>
      <c r="H504" s="652">
        <f t="shared" si="57"/>
        <v>8718552.3056364786</v>
      </c>
      <c r="J504" s="658"/>
    </row>
    <row r="505" spans="1:10" s="625" customFormat="1" ht="15" customHeight="1">
      <c r="A505" s="1231" t="s">
        <v>545</v>
      </c>
      <c r="B505" s="631" t="str">
        <f t="shared" si="56"/>
        <v>630-13</v>
      </c>
      <c r="C505" s="631"/>
      <c r="D505" s="657" t="str">
        <f>VLOOKUP(A505,[33]INDICE!$A$3:$D$334,2,FALSE)</f>
        <v>CONCRETO RESISTENCIA 17.5MPA (E )</v>
      </c>
      <c r="E505" s="649" t="str">
        <f>VLOOKUP(A505,[33]INDICE!$A$3:$D$334,3,FALSE)</f>
        <v>m3</v>
      </c>
      <c r="F505" s="655">
        <v>8</v>
      </c>
      <c r="G505" s="688">
        <f>VLOOKUP(A505,[33]INDICE!$A$3:$D$334,4,FALSE)</f>
        <v>735031.04931538599</v>
      </c>
      <c r="H505" s="652">
        <f t="shared" si="57"/>
        <v>5880248.3945230879</v>
      </c>
    </row>
    <row r="506" spans="1:10" s="625" customFormat="1" ht="26.1" customHeight="1">
      <c r="A506" s="1231" t="s">
        <v>559</v>
      </c>
      <c r="B506" s="631" t="str">
        <f t="shared" si="56"/>
        <v>671-13</v>
      </c>
      <c r="C506" s="631"/>
      <c r="D506" s="657" t="str">
        <f>VLOOKUP(A506,[33]INDICE!$A$3:$D$334,2,FALSE)</f>
        <v>CUNETA DE CONCRETO VACIADA IN SITU; INCLUYE LA CONFORMACION DE LA SUPERFICIE DE APOYO</v>
      </c>
      <c r="E506" s="649" t="str">
        <f>VLOOKUP(A506,[33]INDICE!$A$3:$D$334,3,FALSE)</f>
        <v>m3</v>
      </c>
      <c r="F506" s="655">
        <f>2*60*0.138</f>
        <v>16.560000000000002</v>
      </c>
      <c r="G506" s="688">
        <f>VLOOKUP(A506,[33]INDICE!$A$3:$D$334,4,FALSE)</f>
        <v>841791.75196838728</v>
      </c>
      <c r="H506" s="652">
        <f t="shared" si="57"/>
        <v>13940071.412596496</v>
      </c>
    </row>
    <row r="507" spans="1:10" s="625" customFormat="1" ht="15" customHeight="1">
      <c r="A507" s="1231" t="s">
        <v>548</v>
      </c>
      <c r="B507" s="631" t="str">
        <f>MID(A507,1,3)&amp;"-"&amp;13</f>
        <v>673-13</v>
      </c>
      <c r="C507" s="631"/>
      <c r="D507" s="657" t="str">
        <f>VLOOKUP(A507,[33]INDICE!$A$3:$D$334,2,FALSE)</f>
        <v>GEOTEXTIL  TIPO T-2400 O SIMILAR TEJIDO</v>
      </c>
      <c r="E507" s="649" t="str">
        <f>VLOOKUP(A507,[33]INDICE!$A$3:$D$334,3,FALSE)</f>
        <v>m2</v>
      </c>
      <c r="F507" s="654">
        <f>(60+2)*4.5</f>
        <v>279</v>
      </c>
      <c r="G507" s="688">
        <f>VLOOKUP(A507,[33]INDICE!$A$3:$D$334,4,FALSE)</f>
        <v>10983.835173625577</v>
      </c>
      <c r="H507" s="652">
        <f>F507*G507</f>
        <v>3064490.0134415361</v>
      </c>
    </row>
    <row r="508" spans="1:10" s="625" customFormat="1" ht="15" customHeight="1">
      <c r="A508" s="1231" t="s">
        <v>560</v>
      </c>
      <c r="B508" s="631" t="str">
        <f t="shared" si="56"/>
        <v>673-13</v>
      </c>
      <c r="C508" s="631"/>
      <c r="D508" s="657" t="str">
        <f>VLOOKUP(A508,[33]INDICE!$A$3:$D$334,2,FALSE)</f>
        <v>MATERIAL GRANULAR DRENANTE</v>
      </c>
      <c r="E508" s="649" t="str">
        <f>VLOOKUP(A508,[33]INDICE!$A$3:$D$334,3,FALSE)</f>
        <v>m3</v>
      </c>
      <c r="F508" s="655">
        <f>100*1.2*0.5</f>
        <v>60</v>
      </c>
      <c r="G508" s="688">
        <f>VLOOKUP(A508,[33]INDICE!$A$3:$D$334,4,FALSE)</f>
        <v>84364.417561781069</v>
      </c>
      <c r="H508" s="652">
        <f t="shared" si="57"/>
        <v>5061865.0537068639</v>
      </c>
    </row>
    <row r="509" spans="1:10" s="625" customFormat="1" ht="26.1" customHeight="1" thickBot="1">
      <c r="A509" s="1239" t="s">
        <v>549</v>
      </c>
      <c r="B509" s="672" t="str">
        <f t="shared" si="56"/>
        <v>681-13</v>
      </c>
      <c r="C509" s="672"/>
      <c r="D509" s="657" t="str">
        <f>VLOOKUP(A509,[33]INDICE!$A$3:$D$334,2,FALSE)</f>
        <v xml:space="preserve">GAVIÓNES DE MALLA DE ALAMBRE DE ACERO ENTRELAZADO  CLASE 1; RECUBRIMIENTO DE ZINC (GALVANIZADO) </v>
      </c>
      <c r="E509" s="649" t="str">
        <f>VLOOKUP(A509,[33]INDICE!$A$3:$D$334,3,FALSE)</f>
        <v>m3</v>
      </c>
      <c r="F509" s="673">
        <f>60*5</f>
        <v>300</v>
      </c>
      <c r="G509" s="688">
        <f>VLOOKUP(A509,[33]INDICE!$A$3:$D$334,4,FALSE)</f>
        <v>400986.60185015475</v>
      </c>
      <c r="H509" s="679">
        <f t="shared" si="57"/>
        <v>120295980.55504642</v>
      </c>
    </row>
    <row r="510" spans="1:10" s="625" customFormat="1" ht="15" customHeight="1" thickTop="1">
      <c r="A510" s="1234"/>
      <c r="B510" s="637"/>
      <c r="C510" s="637"/>
      <c r="D510" s="638"/>
      <c r="E510" s="659"/>
      <c r="F510" s="660"/>
      <c r="G510" s="670" t="s">
        <v>536</v>
      </c>
      <c r="H510" s="640">
        <f>SUM(H500:H509)</f>
        <v>182877277.38693318</v>
      </c>
    </row>
    <row r="511" spans="1:10" s="625" customFormat="1" ht="15" customHeight="1">
      <c r="A511" s="1235"/>
      <c r="B511" s="641"/>
      <c r="C511" s="641"/>
      <c r="D511" s="642"/>
      <c r="E511" s="621"/>
      <c r="F511" s="647"/>
      <c r="G511" s="671" t="s">
        <v>537</v>
      </c>
      <c r="H511" s="644">
        <f>ROUND((+H510*0.05*0.19)/(1+0.3),0)</f>
        <v>1336411</v>
      </c>
    </row>
    <row r="512" spans="1:10" s="625" customFormat="1" ht="15" customHeight="1" thickBot="1">
      <c r="A512" s="1236"/>
      <c r="B512" s="619"/>
      <c r="C512" s="619"/>
      <c r="D512" s="620"/>
      <c r="E512" s="621"/>
      <c r="F512" s="647"/>
      <c r="G512" s="671" t="s">
        <v>538</v>
      </c>
      <c r="H512" s="645">
        <f>+ROUND(H510+H511,0)</f>
        <v>184213688</v>
      </c>
      <c r="I512" s="630"/>
    </row>
    <row r="513" spans="1:14" s="625" customFormat="1" ht="12.75" customHeight="1" thickTop="1">
      <c r="A513" s="1236"/>
      <c r="B513" s="619"/>
      <c r="C513" s="619"/>
      <c r="D513" s="620"/>
      <c r="E513" s="621"/>
      <c r="F513" s="622"/>
      <c r="G513" s="623"/>
      <c r="H513" s="624"/>
    </row>
    <row r="514" spans="1:14" s="625" customFormat="1" ht="13.5" thickBot="1">
      <c r="A514" s="1237"/>
      <c r="B514" s="627"/>
      <c r="C514" s="626" t="s">
        <v>611</v>
      </c>
      <c r="D514" s="626"/>
      <c r="E514" s="627"/>
      <c r="F514" s="626"/>
      <c r="G514" s="628"/>
      <c r="H514" s="629"/>
      <c r="I514" s="630"/>
      <c r="J514" s="630"/>
    </row>
    <row r="515" spans="1:14" s="625" customFormat="1" ht="13.5" thickTop="1">
      <c r="A515" s="1240" t="s">
        <v>552</v>
      </c>
      <c r="B515" s="631" t="str">
        <f>MID(A515,1,3)&amp;"-"&amp;13</f>
        <v>201-13</v>
      </c>
      <c r="C515" s="665"/>
      <c r="D515" s="657" t="str">
        <f>VLOOKUP(A515,[33]INDICE!$A$3:$D$334,2,FALSE)</f>
        <v>DEMOLICIÓN DE ESTRUCTURAS</v>
      </c>
      <c r="E515" s="649" t="str">
        <f>VLOOKUP(A515,[33]INDICE!$A$3:$D$334,3,FALSE)</f>
        <v>m3</v>
      </c>
      <c r="F515" s="682">
        <v>6</v>
      </c>
      <c r="G515" s="688">
        <f>VLOOKUP(A515,[33]INDICE!$A$3:$D$334,4,FALSE)</f>
        <v>240341.82659000819</v>
      </c>
      <c r="H515" s="667">
        <f>F515*G515</f>
        <v>1442050.9595400491</v>
      </c>
      <c r="J515" s="630" t="s">
        <v>612</v>
      </c>
      <c r="N515" s="625">
        <v>201.7</v>
      </c>
    </row>
    <row r="516" spans="1:14" s="625" customFormat="1" ht="15" customHeight="1">
      <c r="A516" s="1231" t="s">
        <v>603</v>
      </c>
      <c r="B516" s="631" t="str">
        <f t="shared" ref="B516:B527" si="58">MID(A516,1,3)&amp;"-"&amp;13</f>
        <v>330-13</v>
      </c>
      <c r="C516" s="631"/>
      <c r="D516" s="657" t="str">
        <f>VLOOKUP(A516,[33]INDICE!$A$3:$D$334,2,FALSE)</f>
        <v>BASE GRANULAR PARA BACHEO CLASE A</v>
      </c>
      <c r="E516" s="649" t="str">
        <f>VLOOKUP(A516,[33]INDICE!$A$3:$D$334,3,FALSE)</f>
        <v>m3</v>
      </c>
      <c r="F516" s="694">
        <f>(50+10)*0.5*1.8</f>
        <v>54</v>
      </c>
      <c r="G516" s="688">
        <f>VLOOKUP(A516,[33]INDICE!$A$3:$D$334,4,FALSE)</f>
        <v>388123.88712339668</v>
      </c>
      <c r="H516" s="652">
        <f t="shared" ref="H516:H527" si="59">F516*G516</f>
        <v>20958689.904663421</v>
      </c>
      <c r="N516" s="625">
        <v>330.4</v>
      </c>
    </row>
    <row r="517" spans="1:14" s="625" customFormat="1" ht="26.1" customHeight="1">
      <c r="A517" s="1231" t="s">
        <v>574</v>
      </c>
      <c r="B517" s="631" t="str">
        <f t="shared" si="58"/>
        <v>450-13</v>
      </c>
      <c r="C517" s="631"/>
      <c r="D517" s="657" t="str">
        <f>VLOOKUP(A517,[33]INDICE!$A$3:$D$334,2,FALSE)</f>
        <v>Mezcla Densa en Caliente tipo MDC-19 INCLUYE TRANSPORTE</v>
      </c>
      <c r="E517" s="649" t="str">
        <f>VLOOKUP(A517,[33]INDICE!$A$3:$D$334,3,FALSE)</f>
        <v>M3</v>
      </c>
      <c r="F517" s="694">
        <f>(50+10)*0.15*1.8</f>
        <v>16.2</v>
      </c>
      <c r="G517" s="688">
        <f>VLOOKUP(A517,[33]INDICE!$A$3:$D$334,4,FALSE)</f>
        <v>1299990.5178796239</v>
      </c>
      <c r="H517" s="652">
        <f t="shared" si="59"/>
        <v>21059846.389649905</v>
      </c>
      <c r="N517" s="625" t="s">
        <v>575</v>
      </c>
    </row>
    <row r="518" spans="1:14" s="625" customFormat="1" ht="38.1" customHeight="1">
      <c r="A518" s="1231" t="s">
        <v>604</v>
      </c>
      <c r="B518" s="631" t="str">
        <f t="shared" si="58"/>
        <v>465-13</v>
      </c>
      <c r="C518" s="631"/>
      <c r="D518" s="657" t="str">
        <f>VLOOKUP(A518,[33]INDICE!$A$3:$D$334,2,FALSE)</f>
        <v>EXCAVACIÓN PARA REPARACIÓN DE PAVIMENTO ASFÁLTICO EXISTENTE INCLUYENDO EL CORTE Y LA REMOCIÒN DE LAS CAPAS ASFALTICAS SUBYACENTES</v>
      </c>
      <c r="E518" s="649" t="str">
        <f>VLOOKUP(A518,[33]INDICE!$A$3:$D$334,3,FALSE)</f>
        <v>m3</v>
      </c>
      <c r="F518" s="694">
        <f>F517</f>
        <v>16.2</v>
      </c>
      <c r="G518" s="688">
        <f>VLOOKUP(A518,[33]INDICE!$A$3:$D$334,4,FALSE)</f>
        <v>152185.3287895511</v>
      </c>
      <c r="H518" s="652">
        <f t="shared" si="59"/>
        <v>2465402.3263907279</v>
      </c>
      <c r="N518" s="625">
        <v>465.1</v>
      </c>
    </row>
    <row r="519" spans="1:14" s="625" customFormat="1" ht="15" customHeight="1">
      <c r="A519" s="1231" t="s">
        <v>540</v>
      </c>
      <c r="B519" s="631" t="str">
        <f t="shared" si="58"/>
        <v>600-13</v>
      </c>
      <c r="C519" s="631"/>
      <c r="D519" s="657" t="str">
        <f>VLOOKUP(A519,[33]INDICE!$A$3:$D$334,2,FALSE)</f>
        <v>EXCAVACIONES VARIAS SIN CLASIFICAR</v>
      </c>
      <c r="E519" s="649" t="str">
        <f>VLOOKUP(A519,[33]INDICE!$A$3:$D$334,3,FALSE)</f>
        <v>m3</v>
      </c>
      <c r="F519" s="654">
        <f>(50+2)*1.8*4.5</f>
        <v>421.20000000000005</v>
      </c>
      <c r="G519" s="688">
        <f>VLOOKUP(A519,[33]INDICE!$A$3:$D$334,4,FALSE)</f>
        <v>67953.950275344076</v>
      </c>
      <c r="H519" s="652">
        <f>F519*G519</f>
        <v>28622203.855974928</v>
      </c>
      <c r="N519" s="625" t="s">
        <v>541</v>
      </c>
    </row>
    <row r="520" spans="1:14" s="625" customFormat="1" ht="15" customHeight="1">
      <c r="A520" s="1231" t="s">
        <v>544</v>
      </c>
      <c r="B520" s="631" t="str">
        <f t="shared" si="58"/>
        <v>610-13</v>
      </c>
      <c r="C520" s="631"/>
      <c r="D520" s="657" t="str">
        <f>VLOOKUP(A520,[33]INDICE!$A$3:$D$334,2,FALSE)</f>
        <v>RELLENOS PARA ESTRUCTURAS CON SUELO.</v>
      </c>
      <c r="E520" s="649" t="str">
        <f>VLOOKUP(A520,[33]INDICE!$A$3:$D$334,3,FALSE)</f>
        <v>m3</v>
      </c>
      <c r="F520" s="655">
        <v>120</v>
      </c>
      <c r="G520" s="688">
        <f>VLOOKUP(A520,[33]INDICE!$A$3:$D$334,4,FALSE)</f>
        <v>164362.8922747685</v>
      </c>
      <c r="H520" s="652">
        <f t="shared" si="59"/>
        <v>19723547.072972219</v>
      </c>
      <c r="N520" s="625">
        <v>610.1</v>
      </c>
    </row>
    <row r="521" spans="1:14" s="625" customFormat="1" ht="15" customHeight="1">
      <c r="A521" s="1231" t="s">
        <v>553</v>
      </c>
      <c r="B521" s="631" t="str">
        <f t="shared" si="58"/>
        <v>630-13</v>
      </c>
      <c r="C521" s="631"/>
      <c r="D521" s="657" t="str">
        <f>VLOOKUP(A521,[33]INDICE!$A$3:$D$334,2,FALSE)</f>
        <v>CONCRETO RESISTENCIA 21MPA (D)</v>
      </c>
      <c r="E521" s="649" t="str">
        <f>VLOOKUP(A521,[33]INDICE!$A$3:$D$334,3,FALSE)</f>
        <v>m3</v>
      </c>
      <c r="F521" s="685">
        <f>50*(4.3*0.4+2.9*0.4)</f>
        <v>144</v>
      </c>
      <c r="G521" s="688">
        <f>VLOOKUP(A521,[33]INDICE!$A$3:$D$334,4,FALSE)</f>
        <v>871855.23056364793</v>
      </c>
      <c r="H521" s="686">
        <f t="shared" si="59"/>
        <v>125547153.2011653</v>
      </c>
      <c r="J521" s="658"/>
      <c r="N521" s="625">
        <v>630.4</v>
      </c>
    </row>
    <row r="522" spans="1:14" s="625" customFormat="1" ht="15" customHeight="1">
      <c r="A522" s="1231" t="s">
        <v>545</v>
      </c>
      <c r="B522" s="631" t="str">
        <f t="shared" si="58"/>
        <v>630-13</v>
      </c>
      <c r="C522" s="631"/>
      <c r="D522" s="657" t="str">
        <f>VLOOKUP(A522,[33]INDICE!$A$3:$D$334,2,FALSE)</f>
        <v>CONCRETO RESISTENCIA 17.5MPA (E )</v>
      </c>
      <c r="E522" s="649" t="str">
        <f>VLOOKUP(A522,[33]INDICE!$A$3:$D$334,3,FALSE)</f>
        <v>m3</v>
      </c>
      <c r="F522" s="655">
        <v>20</v>
      </c>
      <c r="G522" s="688">
        <f>VLOOKUP(A522,[33]INDICE!$A$3:$D$334,4,FALSE)</f>
        <v>735031.04931538599</v>
      </c>
      <c r="H522" s="652">
        <f t="shared" si="59"/>
        <v>14700620.98630772</v>
      </c>
      <c r="N522" s="625">
        <v>630.5</v>
      </c>
    </row>
    <row r="523" spans="1:14" s="625" customFormat="1" ht="15" customHeight="1">
      <c r="A523" s="1231" t="s">
        <v>554</v>
      </c>
      <c r="B523" s="631" t="str">
        <f t="shared" si="58"/>
        <v>640-13</v>
      </c>
      <c r="C523" s="631"/>
      <c r="D523" s="657" t="str">
        <f>VLOOKUP(A523,[33]INDICE!$A$3:$D$334,2,FALSE)</f>
        <v>ACERO DE REFUERZO FY 4200 MPA.</v>
      </c>
      <c r="E523" s="649" t="str">
        <f>VLOOKUP(A523,[33]INDICE!$A$3:$D$334,3,FALSE)</f>
        <v>kg</v>
      </c>
      <c r="F523" s="654">
        <f>(F521)*105</f>
        <v>15120</v>
      </c>
      <c r="G523" s="688">
        <f>VLOOKUP(A523,[33]INDICE!$A$3:$D$334,4,FALSE)</f>
        <v>6085.8496982034649</v>
      </c>
      <c r="H523" s="652">
        <f t="shared" si="59"/>
        <v>92018047.436836392</v>
      </c>
      <c r="N523" s="625">
        <v>640.1</v>
      </c>
    </row>
    <row r="524" spans="1:14" s="625" customFormat="1" ht="26.1" customHeight="1">
      <c r="A524" s="1231" t="s">
        <v>559</v>
      </c>
      <c r="B524" s="631" t="str">
        <f t="shared" si="58"/>
        <v>671-13</v>
      </c>
      <c r="C524" s="631"/>
      <c r="D524" s="657" t="str">
        <f>VLOOKUP(A524,[33]INDICE!$A$3:$D$334,2,FALSE)</f>
        <v>CUNETA DE CONCRETO VACIADA IN SITU; INCLUYE LA CONFORMACION DE LA SUPERFICIE DE APOYO</v>
      </c>
      <c r="E524" s="649" t="str">
        <f>VLOOKUP(A524,[33]INDICE!$A$3:$D$334,3,FALSE)</f>
        <v>m3</v>
      </c>
      <c r="F524" s="655">
        <f>2*60*0.138</f>
        <v>16.560000000000002</v>
      </c>
      <c r="G524" s="688">
        <f>VLOOKUP(A524,[33]INDICE!$A$3:$D$334,4,FALSE)</f>
        <v>841791.75196838728</v>
      </c>
      <c r="H524" s="652">
        <f t="shared" si="59"/>
        <v>13940071.412596496</v>
      </c>
      <c r="N524" s="625">
        <v>671.3</v>
      </c>
    </row>
    <row r="525" spans="1:14" s="625" customFormat="1" ht="15" customHeight="1">
      <c r="A525" s="1231" t="s">
        <v>548</v>
      </c>
      <c r="B525" s="631" t="str">
        <f>MID(A525,1,3)&amp;"-"&amp;13</f>
        <v>673-13</v>
      </c>
      <c r="C525" s="631"/>
      <c r="D525" s="657" t="str">
        <f>VLOOKUP(A525,[33]INDICE!$A$3:$D$334,2,FALSE)</f>
        <v>GEOTEXTIL  TIPO T-2400 O SIMILAR TEJIDO</v>
      </c>
      <c r="E525" s="649" t="str">
        <f>VLOOKUP(A525,[33]INDICE!$A$3:$D$334,3,FALSE)</f>
        <v>m2</v>
      </c>
      <c r="F525" s="654">
        <f>(50+2)*4.3</f>
        <v>223.6</v>
      </c>
      <c r="G525" s="688">
        <f>VLOOKUP(A525,[33]INDICE!$A$3:$D$334,4,FALSE)</f>
        <v>10983.835173625577</v>
      </c>
      <c r="H525" s="652">
        <f>F525*G525</f>
        <v>2455985.5448226789</v>
      </c>
      <c r="N525" s="625">
        <v>673.1</v>
      </c>
    </row>
    <row r="526" spans="1:14" s="625" customFormat="1" ht="15" customHeight="1">
      <c r="A526" s="1231" t="s">
        <v>560</v>
      </c>
      <c r="B526" s="631" t="str">
        <f t="shared" si="58"/>
        <v>673-13</v>
      </c>
      <c r="C526" s="631"/>
      <c r="D526" s="657" t="str">
        <f>VLOOKUP(A526,[33]INDICE!$A$3:$D$334,2,FALSE)</f>
        <v>MATERIAL GRANULAR DRENANTE</v>
      </c>
      <c r="E526" s="649" t="str">
        <f>VLOOKUP(A526,[33]INDICE!$A$3:$D$334,3,FALSE)</f>
        <v>m3</v>
      </c>
      <c r="F526" s="655">
        <f>50*4.1*0.6</f>
        <v>122.99999999999997</v>
      </c>
      <c r="G526" s="688">
        <f>VLOOKUP(A526,[33]INDICE!$A$3:$D$334,4,FALSE)</f>
        <v>84364.417561781069</v>
      </c>
      <c r="H526" s="652">
        <f t="shared" si="59"/>
        <v>10376823.36009907</v>
      </c>
      <c r="N526" s="625">
        <v>673.2</v>
      </c>
    </row>
    <row r="527" spans="1:14" s="625" customFormat="1" ht="36.75" thickBot="1">
      <c r="A527" s="1239" t="s">
        <v>549</v>
      </c>
      <c r="B527" s="631" t="str">
        <f t="shared" si="58"/>
        <v>681-13</v>
      </c>
      <c r="C527" s="672"/>
      <c r="D527" s="657" t="str">
        <f>VLOOKUP(A527,[33]INDICE!$A$3:$D$334,2,FALSE)</f>
        <v xml:space="preserve">GAVIÓNES DE MALLA DE ALAMBRE DE ACERO ENTRELAZADO  CLASE 1; RECUBRIMIENTO DE ZINC (GALVANIZADO) </v>
      </c>
      <c r="E527" s="649" t="str">
        <f>VLOOKUP(A527,[33]INDICE!$A$3:$D$334,3,FALSE)</f>
        <v>m3</v>
      </c>
      <c r="F527" s="673">
        <v>20</v>
      </c>
      <c r="G527" s="688">
        <f>VLOOKUP(A527,[33]INDICE!$A$3:$D$334,4,FALSE)</f>
        <v>400986.60185015475</v>
      </c>
      <c r="H527" s="679">
        <f t="shared" si="59"/>
        <v>8019732.0370030953</v>
      </c>
      <c r="N527" s="625">
        <v>681.1</v>
      </c>
    </row>
    <row r="528" spans="1:14" s="625" customFormat="1" ht="15" customHeight="1" thickTop="1">
      <c r="A528" s="1234"/>
      <c r="B528" s="637"/>
      <c r="C528" s="637"/>
      <c r="D528" s="638"/>
      <c r="E528" s="659"/>
      <c r="F528" s="660"/>
      <c r="G528" s="670" t="s">
        <v>536</v>
      </c>
      <c r="H528" s="640">
        <f>SUM(H515:H527)</f>
        <v>361330174.48802209</v>
      </c>
      <c r="N528" s="625">
        <v>269974526</v>
      </c>
    </row>
    <row r="529" spans="1:10" s="625" customFormat="1" ht="15" customHeight="1">
      <c r="A529" s="1235"/>
      <c r="B529" s="641"/>
      <c r="C529" s="641"/>
      <c r="D529" s="642"/>
      <c r="E529" s="621"/>
      <c r="F529" s="647"/>
      <c r="G529" s="671" t="s">
        <v>537</v>
      </c>
      <c r="H529" s="644">
        <f>ROUND((+H528*0.05*0.19)/(1+0.3),0)</f>
        <v>2640490</v>
      </c>
    </row>
    <row r="530" spans="1:10" s="625" customFormat="1" ht="15" customHeight="1" thickBot="1">
      <c r="A530" s="1236"/>
      <c r="B530" s="619"/>
      <c r="C530" s="619"/>
      <c r="D530" s="620"/>
      <c r="E530" s="621"/>
      <c r="F530" s="647"/>
      <c r="G530" s="671" t="s">
        <v>538</v>
      </c>
      <c r="H530" s="645">
        <f>+ROUND(H528+H529,0)</f>
        <v>363970664</v>
      </c>
      <c r="I530" s="630"/>
    </row>
    <row r="531" spans="1:10" s="625" customFormat="1" ht="15" customHeight="1" thickTop="1">
      <c r="A531" s="1236"/>
      <c r="B531" s="619"/>
      <c r="C531" s="619"/>
      <c r="D531" s="620"/>
      <c r="E531" s="621"/>
      <c r="F531" s="647"/>
      <c r="G531" s="643"/>
      <c r="H531" s="646"/>
      <c r="I531" s="630"/>
    </row>
    <row r="532" spans="1:10" s="625" customFormat="1" ht="13.5" thickBot="1">
      <c r="A532" s="1237"/>
      <c r="B532" s="627"/>
      <c r="C532" s="626" t="s">
        <v>613</v>
      </c>
      <c r="D532" s="626"/>
      <c r="E532" s="627"/>
      <c r="F532" s="626"/>
      <c r="G532" s="628"/>
      <c r="H532" s="629"/>
    </row>
    <row r="533" spans="1:10" s="625" customFormat="1" ht="15" customHeight="1" thickTop="1">
      <c r="A533" s="1231" t="s">
        <v>552</v>
      </c>
      <c r="B533" s="631" t="str">
        <f>MID(A533,1,3)&amp;"-"&amp;13</f>
        <v>201-13</v>
      </c>
      <c r="C533" s="631"/>
      <c r="D533" s="657" t="str">
        <f>VLOOKUP(A533,[33]INDICE!$A$3:$D$334,2,FALSE)</f>
        <v>DEMOLICIÓN DE ESTRUCTURAS</v>
      </c>
      <c r="E533" s="649" t="str">
        <f>VLOOKUP(A533,[33]INDICE!$A$3:$D$334,3,FALSE)</f>
        <v>m3</v>
      </c>
      <c r="F533" s="650">
        <f>5</f>
        <v>5</v>
      </c>
      <c r="G533" s="688">
        <f>VLOOKUP(A533,[33]INDICE!$A$3:$D$334,4,FALSE)</f>
        <v>240341.82659000819</v>
      </c>
      <c r="H533" s="652">
        <f>F533*G533</f>
        <v>1201709.132950041</v>
      </c>
      <c r="J533" s="625">
        <v>201.7</v>
      </c>
    </row>
    <row r="534" spans="1:10" s="625" customFormat="1" ht="15" customHeight="1">
      <c r="A534" s="1231" t="s">
        <v>603</v>
      </c>
      <c r="B534" s="631" t="str">
        <f>MID(A534,1,3)&amp;"-"&amp;13</f>
        <v>330-13</v>
      </c>
      <c r="C534" s="631"/>
      <c r="D534" s="657" t="str">
        <f>VLOOKUP(A534,[33]INDICE!$A$3:$D$334,2,FALSE)</f>
        <v>BASE GRANULAR PARA BACHEO CLASE A</v>
      </c>
      <c r="E534" s="649" t="str">
        <f>VLOOKUP(A534,[33]INDICE!$A$3:$D$334,3,FALSE)</f>
        <v>m3</v>
      </c>
      <c r="F534" s="694">
        <f>F536*0.5</f>
        <v>3</v>
      </c>
      <c r="G534" s="688">
        <f>VLOOKUP(A534,[33]INDICE!$A$3:$D$334,4,FALSE)</f>
        <v>388123.88712339668</v>
      </c>
      <c r="H534" s="652">
        <f>F534*G534</f>
        <v>1164371.6613701901</v>
      </c>
      <c r="J534" s="625">
        <v>330.4</v>
      </c>
    </row>
    <row r="535" spans="1:10" s="625" customFormat="1" ht="26.1" customHeight="1">
      <c r="A535" s="1231" t="s">
        <v>574</v>
      </c>
      <c r="B535" s="631" t="str">
        <f>MID(A535,1,3)&amp;"-"&amp;13</f>
        <v>450-13</v>
      </c>
      <c r="C535" s="631"/>
      <c r="D535" s="657" t="str">
        <f>VLOOKUP(A535,[33]INDICE!$A$3:$D$334,2,FALSE)</f>
        <v>Mezcla Densa en Caliente tipo MDC-19 INCLUYE TRANSPORTE</v>
      </c>
      <c r="E535" s="649" t="str">
        <f>VLOOKUP(A535,[33]INDICE!$A$3:$D$334,3,FALSE)</f>
        <v>M3</v>
      </c>
      <c r="F535" s="694">
        <f>F536</f>
        <v>6</v>
      </c>
      <c r="G535" s="688">
        <f>VLOOKUP(A535,[33]INDICE!$A$3:$D$334,4,FALSE)</f>
        <v>1299990.5178796239</v>
      </c>
      <c r="H535" s="652">
        <f>F535*G535</f>
        <v>7799943.1072777435</v>
      </c>
      <c r="J535" s="625" t="s">
        <v>575</v>
      </c>
    </row>
    <row r="536" spans="1:10" s="625" customFormat="1" ht="38.1" customHeight="1">
      <c r="A536" s="1231" t="s">
        <v>604</v>
      </c>
      <c r="B536" s="631" t="str">
        <f>MID(A536,1,3)&amp;"-"&amp;13</f>
        <v>465-13</v>
      </c>
      <c r="C536" s="631"/>
      <c r="D536" s="657" t="str">
        <f>VLOOKUP(A536,[33]INDICE!$A$3:$D$334,2,FALSE)</f>
        <v>EXCAVACIÓN PARA REPARACIÓN DE PAVIMENTO ASFÁLTICO EXISTENTE INCLUYENDO EL CORTE Y LA REMOCIÒN DE LAS CAPAS ASFALTICAS SUBYACENTES</v>
      </c>
      <c r="E536" s="649" t="str">
        <f>VLOOKUP(A536,[33]INDICE!$A$3:$D$334,3,FALSE)</f>
        <v>m3</v>
      </c>
      <c r="F536" s="694">
        <f>40*0.15*1</f>
        <v>6</v>
      </c>
      <c r="G536" s="688">
        <f>VLOOKUP(A536,[33]INDICE!$A$3:$D$334,4,FALSE)</f>
        <v>152185.3287895511</v>
      </c>
      <c r="H536" s="652">
        <f>F536*G536</f>
        <v>913111.97273730661</v>
      </c>
      <c r="J536" s="625">
        <v>465.1</v>
      </c>
    </row>
    <row r="537" spans="1:10" s="625" customFormat="1" ht="15" customHeight="1">
      <c r="A537" s="1231" t="s">
        <v>540</v>
      </c>
      <c r="B537" s="631" t="str">
        <f t="shared" ref="B537:B545" si="60">MID(A537,1,3)&amp;"-"&amp;13</f>
        <v>600-13</v>
      </c>
      <c r="C537" s="631"/>
      <c r="D537" s="657" t="str">
        <f>VLOOKUP(A537,[33]INDICE!$A$3:$D$334,2,FALSE)</f>
        <v>EXCAVACIONES VARIAS SIN CLASIFICAR</v>
      </c>
      <c r="E537" s="649" t="str">
        <f>VLOOKUP(A537,[33]INDICE!$A$3:$D$334,3,FALSE)</f>
        <v>m3</v>
      </c>
      <c r="F537" s="654">
        <f>40*5.5*1.5+70*0.5</f>
        <v>365</v>
      </c>
      <c r="G537" s="688">
        <f>VLOOKUP(A537,[33]INDICE!$A$3:$D$334,4,FALSE)</f>
        <v>67953.950275344076</v>
      </c>
      <c r="H537" s="652">
        <f t="shared" ref="H537:H545" si="61">F537*G537</f>
        <v>24803191.850500587</v>
      </c>
      <c r="J537" s="625" t="s">
        <v>541</v>
      </c>
    </row>
    <row r="538" spans="1:10" s="625" customFormat="1" ht="15" customHeight="1">
      <c r="A538" s="1231" t="s">
        <v>544</v>
      </c>
      <c r="B538" s="631" t="str">
        <f>MID(A538,1,3)&amp;"-"&amp;13</f>
        <v>610-13</v>
      </c>
      <c r="C538" s="631"/>
      <c r="D538" s="657" t="str">
        <f>VLOOKUP(A538,[33]INDICE!$A$3:$D$334,2,FALSE)</f>
        <v>RELLENOS PARA ESTRUCTURAS CON SUELO.</v>
      </c>
      <c r="E538" s="649" t="str">
        <f>VLOOKUP(A538,[33]INDICE!$A$3:$D$334,3,FALSE)</f>
        <v>m3</v>
      </c>
      <c r="F538" s="655">
        <f>+F537*0.6+0.4*70</f>
        <v>247</v>
      </c>
      <c r="G538" s="688">
        <f>VLOOKUP(A538,[33]INDICE!$A$3:$D$334,4,FALSE)</f>
        <v>164362.8922747685</v>
      </c>
      <c r="H538" s="652">
        <f>F538*G538</f>
        <v>40597634.391867816</v>
      </c>
      <c r="J538" s="625">
        <v>610.1</v>
      </c>
    </row>
    <row r="539" spans="1:10" s="625" customFormat="1" ht="24.75" customHeight="1">
      <c r="A539" s="1231" t="s">
        <v>593</v>
      </c>
      <c r="B539" s="631" t="str">
        <f t="shared" si="60"/>
        <v>621-13</v>
      </c>
      <c r="C539" s="656" t="s">
        <v>557</v>
      </c>
      <c r="D539" s="657" t="str">
        <f>VLOOKUP(A539,[33]INDICE!$A$3:$D$334,2,FALSE)</f>
        <v>PILOTE DE CONCRETO VACIADO IN SITU, DE DIÁMETRO 1 M_</v>
      </c>
      <c r="E539" s="649" t="str">
        <f>VLOOKUP(A539,[33]INDICE!$A$3:$D$334,3,FALSE)</f>
        <v>m</v>
      </c>
      <c r="F539" s="654">
        <v>107</v>
      </c>
      <c r="G539" s="688">
        <f>VLOOKUP(A539,[33]INDICE!$A$3:$D$334,4,FALSE)</f>
        <v>2541005.3171792314</v>
      </c>
      <c r="H539" s="652">
        <f t="shared" si="61"/>
        <v>271887568.93817776</v>
      </c>
      <c r="J539" s="625">
        <v>621.1</v>
      </c>
    </row>
    <row r="540" spans="1:10" s="625" customFormat="1" ht="15" customHeight="1">
      <c r="A540" s="1231" t="s">
        <v>553</v>
      </c>
      <c r="B540" s="631" t="str">
        <f t="shared" si="60"/>
        <v>630-13</v>
      </c>
      <c r="C540" s="631"/>
      <c r="D540" s="657" t="str">
        <f>VLOOKUP(A540,[33]INDICE!$A$3:$D$334,2,FALSE)</f>
        <v>CONCRETO RESISTENCIA 21MPA (D)</v>
      </c>
      <c r="E540" s="649" t="str">
        <f>VLOOKUP(A540,[33]INDICE!$A$3:$D$334,3,FALSE)</f>
        <v>m3</v>
      </c>
      <c r="F540" s="655">
        <v>142</v>
      </c>
      <c r="G540" s="688">
        <f>VLOOKUP(A540,[33]INDICE!$A$3:$D$334,4,FALSE)</f>
        <v>871855.23056364793</v>
      </c>
      <c r="H540" s="652">
        <f t="shared" si="61"/>
        <v>123803442.74003801</v>
      </c>
      <c r="J540" s="658">
        <v>630.4</v>
      </c>
    </row>
    <row r="541" spans="1:10" s="625" customFormat="1" ht="15" customHeight="1">
      <c r="A541" s="1231" t="s">
        <v>554</v>
      </c>
      <c r="B541" s="631" t="str">
        <f t="shared" si="60"/>
        <v>640-13</v>
      </c>
      <c r="C541" s="631"/>
      <c r="D541" s="657" t="str">
        <f>VLOOKUP(A541,[33]INDICE!$A$3:$D$334,2,FALSE)</f>
        <v>ACERO DE REFUERZO FY 4200 MPA.</v>
      </c>
      <c r="E541" s="649" t="str">
        <f>VLOOKUP(A541,[33]INDICE!$A$3:$D$334,3,FALSE)</f>
        <v>kg</v>
      </c>
      <c r="F541" s="654">
        <f>F540*105</f>
        <v>14910</v>
      </c>
      <c r="G541" s="688">
        <f>VLOOKUP(A541,[33]INDICE!$A$3:$D$334,4,FALSE)</f>
        <v>6085.8496982034649</v>
      </c>
      <c r="H541" s="652">
        <f t="shared" si="61"/>
        <v>90740019.000213668</v>
      </c>
      <c r="J541" s="625">
        <v>640.1</v>
      </c>
    </row>
    <row r="542" spans="1:10" s="625" customFormat="1" ht="26.1" customHeight="1">
      <c r="A542" s="1231" t="s">
        <v>559</v>
      </c>
      <c r="B542" s="631" t="str">
        <f>MID(A542,1,3)&amp;"-"&amp;13</f>
        <v>671-13</v>
      </c>
      <c r="C542" s="631"/>
      <c r="D542" s="657" t="str">
        <f>VLOOKUP(A542,[33]INDICE!$A$3:$D$334,2,FALSE)</f>
        <v>CUNETA DE CONCRETO VACIADA IN SITU; INCLUYE LA CONFORMACION DE LA SUPERFICIE DE APOYO</v>
      </c>
      <c r="E542" s="649" t="str">
        <f>VLOOKUP(A542,[33]INDICE!$A$3:$D$334,3,FALSE)</f>
        <v>m3</v>
      </c>
      <c r="F542" s="655">
        <v>5</v>
      </c>
      <c r="G542" s="688">
        <f>VLOOKUP(A542,[33]INDICE!$A$3:$D$334,4,FALSE)</f>
        <v>841791.75196838728</v>
      </c>
      <c r="H542" s="652">
        <f>F542*G542</f>
        <v>4208958.7598419366</v>
      </c>
      <c r="J542" s="625">
        <v>671.3</v>
      </c>
    </row>
    <row r="543" spans="1:10" s="625" customFormat="1" ht="15" customHeight="1">
      <c r="A543" s="1233" t="s">
        <v>548</v>
      </c>
      <c r="B543" s="683" t="str">
        <f>MID(A543,1,3)&amp;"-"&amp;13</f>
        <v>673-13</v>
      </c>
      <c r="C543" s="683"/>
      <c r="D543" s="657" t="str">
        <f>VLOOKUP(A543,[33]INDICE!$A$3:$D$334,2,FALSE)</f>
        <v>GEOTEXTIL  TIPO T-2400 O SIMILAR TEJIDO</v>
      </c>
      <c r="E543" s="649" t="str">
        <f>VLOOKUP(A543,[33]INDICE!$A$3:$D$334,3,FALSE)</f>
        <v>m2</v>
      </c>
      <c r="F543" s="687">
        <f>(40+2)*4</f>
        <v>168</v>
      </c>
      <c r="G543" s="688">
        <f>VLOOKUP(A543,[33]INDICE!$A$3:$D$334,4,FALSE)</f>
        <v>10983.835173625577</v>
      </c>
      <c r="H543" s="686">
        <f>F543*G543</f>
        <v>1845284.3091690969</v>
      </c>
      <c r="J543" s="625">
        <v>673.1</v>
      </c>
    </row>
    <row r="544" spans="1:10" s="625" customFormat="1" ht="15" customHeight="1">
      <c r="A544" s="1231" t="s">
        <v>560</v>
      </c>
      <c r="B544" s="631" t="str">
        <f>MID(A544,1,3)&amp;"-"&amp;13</f>
        <v>673-13</v>
      </c>
      <c r="C544" s="631"/>
      <c r="D544" s="657" t="str">
        <f>VLOOKUP(A544,[33]INDICE!$A$3:$D$334,2,FALSE)</f>
        <v>MATERIAL GRANULAR DRENANTE</v>
      </c>
      <c r="E544" s="649" t="str">
        <f>VLOOKUP(A544,[33]INDICE!$A$3:$D$334,3,FALSE)</f>
        <v>m3</v>
      </c>
      <c r="F544" s="655">
        <f>40*0.6*3.5</f>
        <v>84</v>
      </c>
      <c r="G544" s="688">
        <f>VLOOKUP(A544,[33]INDICE!$A$3:$D$334,4,FALSE)</f>
        <v>84364.417561781069</v>
      </c>
      <c r="H544" s="652">
        <f>F544*G544</f>
        <v>7086611.07518961</v>
      </c>
      <c r="J544" s="625">
        <v>673.2</v>
      </c>
    </row>
    <row r="545" spans="1:10" s="625" customFormat="1" ht="26.1" customHeight="1" thickBot="1">
      <c r="A545" s="1231" t="s">
        <v>549</v>
      </c>
      <c r="B545" s="631" t="str">
        <f t="shared" si="60"/>
        <v>681-13</v>
      </c>
      <c r="C545" s="631"/>
      <c r="D545" s="657" t="str">
        <f>VLOOKUP(A545,[33]INDICE!$A$3:$D$334,2,FALSE)</f>
        <v xml:space="preserve">GAVIÓNES DE MALLA DE ALAMBRE DE ACERO ENTRELAZADO  CLASE 1; RECUBRIMIENTO DE ZINC (GALVANIZADO) </v>
      </c>
      <c r="E545" s="649" t="str">
        <f>VLOOKUP(A545,[33]INDICE!$A$3:$D$334,3,FALSE)</f>
        <v>m3</v>
      </c>
      <c r="F545" s="654">
        <v>40</v>
      </c>
      <c r="G545" s="688">
        <f>VLOOKUP(A545,[33]INDICE!$A$3:$D$334,4,FALSE)</f>
        <v>400986.60185015475</v>
      </c>
      <c r="H545" s="652">
        <f t="shared" si="61"/>
        <v>16039464.074006191</v>
      </c>
      <c r="J545" s="625">
        <v>681.1</v>
      </c>
    </row>
    <row r="546" spans="1:10" s="625" customFormat="1" ht="15" customHeight="1" thickTop="1">
      <c r="A546" s="1234"/>
      <c r="B546" s="637"/>
      <c r="C546" s="637"/>
      <c r="D546" s="638"/>
      <c r="E546" s="659"/>
      <c r="F546" s="660"/>
      <c r="G546" s="670" t="s">
        <v>536</v>
      </c>
      <c r="H546" s="640">
        <f>SUM(H533:H545)</f>
        <v>592091311.01333988</v>
      </c>
    </row>
    <row r="547" spans="1:10" s="625" customFormat="1" ht="15" customHeight="1">
      <c r="A547" s="1235"/>
      <c r="B547" s="641"/>
      <c r="C547" s="641"/>
      <c r="D547" s="642"/>
      <c r="E547" s="621"/>
      <c r="F547" s="647"/>
      <c r="G547" s="671" t="s">
        <v>537</v>
      </c>
      <c r="H547" s="644">
        <f>SUM(H546:H546)*0.05*0.19/1.3</f>
        <v>4326821.1189436372</v>
      </c>
    </row>
    <row r="548" spans="1:10" s="625" customFormat="1" ht="15" customHeight="1" thickBot="1">
      <c r="A548" s="1236"/>
      <c r="B548" s="619"/>
      <c r="C548" s="619"/>
      <c r="D548" s="620"/>
      <c r="E548" s="621"/>
      <c r="F548" s="647"/>
      <c r="G548" s="671" t="s">
        <v>538</v>
      </c>
      <c r="H548" s="645">
        <f>+ROUND(H546+H547,0)</f>
        <v>596418132</v>
      </c>
    </row>
    <row r="549" spans="1:10" s="625" customFormat="1" ht="15" customHeight="1" thickTop="1">
      <c r="A549" s="1236"/>
      <c r="B549" s="619"/>
      <c r="C549" s="619"/>
      <c r="D549" s="620"/>
      <c r="E549" s="621"/>
      <c r="F549" s="622"/>
      <c r="G549" s="693"/>
      <c r="H549" s="624"/>
    </row>
    <row r="550" spans="1:10" s="625" customFormat="1" ht="13.5" thickBot="1">
      <c r="A550" s="1237"/>
      <c r="B550" s="627"/>
      <c r="C550" s="626" t="s">
        <v>614</v>
      </c>
      <c r="D550" s="626"/>
      <c r="E550" s="627"/>
      <c r="F550" s="626"/>
      <c r="G550" s="628"/>
      <c r="H550" s="629"/>
    </row>
    <row r="551" spans="1:10" s="625" customFormat="1" ht="15" customHeight="1" thickTop="1">
      <c r="A551" s="1231" t="s">
        <v>603</v>
      </c>
      <c r="B551" s="631" t="str">
        <f>MID(A551,1,3)&amp;"-"&amp;13</f>
        <v>330-13</v>
      </c>
      <c r="C551" s="631"/>
      <c r="D551" s="657" t="str">
        <f>VLOOKUP(A551,[33]INDICE!$A$3:$D$334,2,FALSE)</f>
        <v>BASE GRANULAR PARA BACHEO CLASE A</v>
      </c>
      <c r="E551" s="649" t="str">
        <f>VLOOKUP(A551,[33]INDICE!$A$3:$D$334,3,FALSE)</f>
        <v>m3</v>
      </c>
      <c r="F551" s="694">
        <v>29</v>
      </c>
      <c r="G551" s="688">
        <f>VLOOKUP(A551,[33]INDICE!$A$3:$D$334,4,FALSE)</f>
        <v>388123.88712339668</v>
      </c>
      <c r="H551" s="652">
        <f>F551*G551</f>
        <v>11255592.726578504</v>
      </c>
      <c r="J551" s="625">
        <v>330.4</v>
      </c>
    </row>
    <row r="552" spans="1:10" s="625" customFormat="1" ht="26.1" customHeight="1">
      <c r="A552" s="1231" t="s">
        <v>574</v>
      </c>
      <c r="B552" s="631" t="str">
        <f>MID(A552,1,3)&amp;"-"&amp;13</f>
        <v>450-13</v>
      </c>
      <c r="C552" s="631"/>
      <c r="D552" s="657" t="str">
        <f>VLOOKUP(A552,[33]INDICE!$A$3:$D$334,2,FALSE)</f>
        <v>Mezcla Densa en Caliente tipo MDC-19 INCLUYE TRANSPORTE</v>
      </c>
      <c r="E552" s="649" t="str">
        <f>VLOOKUP(A552,[33]INDICE!$A$3:$D$334,3,FALSE)</f>
        <v>M3</v>
      </c>
      <c r="F552" s="694">
        <v>9</v>
      </c>
      <c r="G552" s="688">
        <f>VLOOKUP(A552,[33]INDICE!$A$3:$D$334,4,FALSE)</f>
        <v>1299990.5178796239</v>
      </c>
      <c r="H552" s="652">
        <f>F552*G552</f>
        <v>11699914.660916615</v>
      </c>
      <c r="J552" s="625" t="s">
        <v>575</v>
      </c>
    </row>
    <row r="553" spans="1:10" s="625" customFormat="1" ht="38.1" customHeight="1">
      <c r="A553" s="1231" t="s">
        <v>604</v>
      </c>
      <c r="B553" s="631" t="str">
        <f>MID(A553,1,3)&amp;"-"&amp;13</f>
        <v>465-13</v>
      </c>
      <c r="C553" s="631"/>
      <c r="D553" s="657" t="str">
        <f>VLOOKUP(A553,[33]INDICE!$A$3:$D$334,2,FALSE)</f>
        <v>EXCAVACIÓN PARA REPARACIÓN DE PAVIMENTO ASFÁLTICO EXISTENTE INCLUYENDO EL CORTE Y LA REMOCIÒN DE LAS CAPAS ASFALTICAS SUBYACENTES</v>
      </c>
      <c r="E553" s="649" t="str">
        <f>VLOOKUP(A553,[33]INDICE!$A$3:$D$334,3,FALSE)</f>
        <v>m3</v>
      </c>
      <c r="F553" s="694">
        <v>9</v>
      </c>
      <c r="G553" s="688">
        <f>VLOOKUP(A553,[33]INDICE!$A$3:$D$334,4,FALSE)</f>
        <v>152185.3287895511</v>
      </c>
      <c r="H553" s="652">
        <f>F553*G553</f>
        <v>1369667.9591059599</v>
      </c>
      <c r="J553" s="625">
        <v>465.1</v>
      </c>
    </row>
    <row r="554" spans="1:10" s="625" customFormat="1" ht="15" customHeight="1">
      <c r="A554" s="1231" t="s">
        <v>540</v>
      </c>
      <c r="B554" s="631" t="str">
        <f t="shared" ref="B554:B560" si="62">MID(A554,1,3)&amp;"-"&amp;13</f>
        <v>600-13</v>
      </c>
      <c r="C554" s="631"/>
      <c r="D554" s="657" t="str">
        <f>VLOOKUP(A554,[33]INDICE!$A$3:$D$334,2,FALSE)</f>
        <v>EXCAVACIONES VARIAS SIN CLASIFICAR</v>
      </c>
      <c r="E554" s="649" t="str">
        <f>VLOOKUP(A554,[33]INDICE!$A$3:$D$334,3,FALSE)</f>
        <v>m3</v>
      </c>
      <c r="F554" s="654">
        <f>25*2.6*4</f>
        <v>260</v>
      </c>
      <c r="G554" s="688">
        <f>VLOOKUP(A554,[33]INDICE!$A$3:$D$334,4,FALSE)</f>
        <v>67953.950275344076</v>
      </c>
      <c r="H554" s="652">
        <f t="shared" ref="H554:H560" si="63">F554*G554</f>
        <v>17668027.071589459</v>
      </c>
      <c r="J554" s="625" t="s">
        <v>541</v>
      </c>
    </row>
    <row r="555" spans="1:10" s="625" customFormat="1" ht="15" customHeight="1">
      <c r="A555" s="1231" t="s">
        <v>544</v>
      </c>
      <c r="B555" s="631" t="str">
        <f>MID(A555,1,3)&amp;"-"&amp;13</f>
        <v>610-13</v>
      </c>
      <c r="C555" s="631"/>
      <c r="D555" s="657" t="str">
        <f>VLOOKUP(A555,[33]INDICE!$A$3:$D$334,2,FALSE)</f>
        <v>RELLENOS PARA ESTRUCTURAS CON SUELO.</v>
      </c>
      <c r="E555" s="649" t="str">
        <f>VLOOKUP(A555,[33]INDICE!$A$3:$D$334,3,FALSE)</f>
        <v>m3</v>
      </c>
      <c r="F555" s="655">
        <f>25*1.6*3.2</f>
        <v>128</v>
      </c>
      <c r="G555" s="688">
        <f>VLOOKUP(A555,[33]INDICE!$A$3:$D$334,4,FALSE)</f>
        <v>164362.8922747685</v>
      </c>
      <c r="H555" s="652">
        <f>F555*G555</f>
        <v>21038450.211170368</v>
      </c>
      <c r="J555" s="625">
        <v>610.1</v>
      </c>
    </row>
    <row r="556" spans="1:10" s="625" customFormat="1" ht="15" customHeight="1">
      <c r="A556" s="1231" t="s">
        <v>553</v>
      </c>
      <c r="B556" s="631" t="str">
        <f t="shared" si="62"/>
        <v>630-13</v>
      </c>
      <c r="C556" s="631"/>
      <c r="D556" s="657" t="str">
        <f>VLOOKUP(A556,[33]INDICE!$A$3:$D$334,2,FALSE)</f>
        <v>CONCRETO RESISTENCIA 21MPA (D)</v>
      </c>
      <c r="E556" s="649" t="str">
        <f>VLOOKUP(A556,[33]INDICE!$A$3:$D$334,3,FALSE)</f>
        <v>m3</v>
      </c>
      <c r="F556" s="655">
        <v>74</v>
      </c>
      <c r="G556" s="688">
        <f>VLOOKUP(A556,[33]INDICE!$A$3:$D$334,4,FALSE)</f>
        <v>871855.23056364793</v>
      </c>
      <c r="H556" s="652">
        <f t="shared" si="63"/>
        <v>64517287.061709948</v>
      </c>
      <c r="J556" s="658">
        <v>630.4</v>
      </c>
    </row>
    <row r="557" spans="1:10" s="625" customFormat="1" ht="15" customHeight="1">
      <c r="A557" s="1231" t="s">
        <v>554</v>
      </c>
      <c r="B557" s="631" t="str">
        <f t="shared" si="62"/>
        <v>640-13</v>
      </c>
      <c r="C557" s="631"/>
      <c r="D557" s="657" t="str">
        <f>VLOOKUP(A557,[33]INDICE!$A$3:$D$334,2,FALSE)</f>
        <v>ACERO DE REFUERZO FY 4200 MPA.</v>
      </c>
      <c r="E557" s="649" t="str">
        <f>VLOOKUP(A557,[33]INDICE!$A$3:$D$334,3,FALSE)</f>
        <v>kg</v>
      </c>
      <c r="F557" s="654">
        <f>F556*105</f>
        <v>7770</v>
      </c>
      <c r="G557" s="688">
        <f>VLOOKUP(A557,[33]INDICE!$A$3:$D$334,4,FALSE)</f>
        <v>6085.8496982034649</v>
      </c>
      <c r="H557" s="652">
        <f t="shared" si="63"/>
        <v>47287052.15504092</v>
      </c>
      <c r="J557" s="625">
        <v>640.1</v>
      </c>
    </row>
    <row r="558" spans="1:10" s="625" customFormat="1" ht="26.1" customHeight="1">
      <c r="A558" s="1231" t="s">
        <v>559</v>
      </c>
      <c r="B558" s="631" t="str">
        <f>MID(A558,1,3)&amp;"-"&amp;13</f>
        <v>671-13</v>
      </c>
      <c r="C558" s="631"/>
      <c r="D558" s="657" t="str">
        <f>VLOOKUP(A558,[33]INDICE!$A$3:$D$334,2,FALSE)</f>
        <v>CUNETA DE CONCRETO VACIADA IN SITU; INCLUYE LA CONFORMACION DE LA SUPERFICIE DE APOYO</v>
      </c>
      <c r="E558" s="649" t="str">
        <f>VLOOKUP(A558,[33]INDICE!$A$3:$D$334,3,FALSE)</f>
        <v>m3</v>
      </c>
      <c r="F558" s="655">
        <v>5</v>
      </c>
      <c r="G558" s="688">
        <f>VLOOKUP(A558,[33]INDICE!$A$3:$D$334,4,FALSE)</f>
        <v>841791.75196838728</v>
      </c>
      <c r="H558" s="652">
        <f>F558*G558</f>
        <v>4208958.7598419366</v>
      </c>
      <c r="J558" s="625">
        <v>671.3</v>
      </c>
    </row>
    <row r="559" spans="1:10" s="625" customFormat="1" ht="15" customHeight="1">
      <c r="A559" s="1231" t="s">
        <v>548</v>
      </c>
      <c r="B559" s="631" t="str">
        <f t="shared" si="62"/>
        <v>673-13</v>
      </c>
      <c r="C559" s="631"/>
      <c r="D559" s="657" t="str">
        <f>VLOOKUP(A559,[33]INDICE!$A$3:$D$334,2,FALSE)</f>
        <v>GEOTEXTIL  TIPO T-2400 O SIMILAR TEJIDO</v>
      </c>
      <c r="E559" s="649" t="str">
        <f>VLOOKUP(A559,[33]INDICE!$A$3:$D$334,3,FALSE)</f>
        <v>m2</v>
      </c>
      <c r="F559" s="654">
        <f>(25+2)*4</f>
        <v>108</v>
      </c>
      <c r="G559" s="688">
        <f>VLOOKUP(A559,[33]INDICE!$A$3:$D$334,4,FALSE)</f>
        <v>10983.835173625577</v>
      </c>
      <c r="H559" s="652">
        <f t="shared" si="63"/>
        <v>1186254.1987515623</v>
      </c>
      <c r="J559" s="625">
        <v>673.1</v>
      </c>
    </row>
    <row r="560" spans="1:10" s="625" customFormat="1" ht="15" customHeight="1" thickBot="1">
      <c r="A560" s="1231" t="s">
        <v>560</v>
      </c>
      <c r="B560" s="631" t="str">
        <f t="shared" si="62"/>
        <v>673-13</v>
      </c>
      <c r="C560" s="631"/>
      <c r="D560" s="657" t="str">
        <f>VLOOKUP(A560,[33]INDICE!$A$3:$D$334,2,FALSE)</f>
        <v>MATERIAL GRANULAR DRENANTE</v>
      </c>
      <c r="E560" s="649" t="str">
        <f>VLOOKUP(A560,[33]INDICE!$A$3:$D$334,3,FALSE)</f>
        <v>m3</v>
      </c>
      <c r="F560" s="655">
        <v>55</v>
      </c>
      <c r="G560" s="688">
        <f>VLOOKUP(A560,[33]INDICE!$A$3:$D$334,4,FALSE)</f>
        <v>84364.417561781069</v>
      </c>
      <c r="H560" s="652">
        <f t="shared" si="63"/>
        <v>4640042.9658979587</v>
      </c>
      <c r="J560" s="625">
        <v>673.2</v>
      </c>
    </row>
    <row r="561" spans="1:10" s="625" customFormat="1" ht="15" customHeight="1" thickTop="1">
      <c r="A561" s="1234"/>
      <c r="B561" s="637"/>
      <c r="C561" s="637"/>
      <c r="D561" s="638"/>
      <c r="E561" s="659"/>
      <c r="F561" s="660"/>
      <c r="G561" s="670" t="s">
        <v>536</v>
      </c>
      <c r="H561" s="640">
        <f>SUM(H551:H560)</f>
        <v>184871247.77060324</v>
      </c>
    </row>
    <row r="562" spans="1:10" s="625" customFormat="1" ht="15" customHeight="1">
      <c r="A562" s="1235"/>
      <c r="B562" s="641"/>
      <c r="C562" s="641"/>
      <c r="D562" s="642"/>
      <c r="E562" s="621"/>
      <c r="F562" s="647"/>
      <c r="G562" s="671" t="s">
        <v>537</v>
      </c>
      <c r="H562" s="644">
        <f>SUM(H561:H561)*0.05*0.19/1.3</f>
        <v>1350982.195246716</v>
      </c>
    </row>
    <row r="563" spans="1:10" s="625" customFormat="1" ht="15" customHeight="1" thickBot="1">
      <c r="A563" s="1236"/>
      <c r="B563" s="619"/>
      <c r="C563" s="619"/>
      <c r="D563" s="620"/>
      <c r="E563" s="621"/>
      <c r="F563" s="647"/>
      <c r="G563" s="671" t="s">
        <v>538</v>
      </c>
      <c r="H563" s="645">
        <f>+ROUND(H561+H562,0)</f>
        <v>186222230</v>
      </c>
    </row>
    <row r="564" spans="1:10" s="625" customFormat="1" ht="15" customHeight="1" thickTop="1">
      <c r="A564" s="1236"/>
      <c r="B564" s="619"/>
      <c r="C564" s="619"/>
      <c r="D564" s="620"/>
      <c r="E564" s="621"/>
      <c r="F564" s="647"/>
      <c r="G564" s="643"/>
      <c r="H564" s="646"/>
    </row>
    <row r="565" spans="1:10" s="625" customFormat="1" ht="13.5" thickBot="1">
      <c r="A565" s="1237"/>
      <c r="B565" s="627"/>
      <c r="C565" s="626" t="s">
        <v>615</v>
      </c>
      <c r="D565" s="626"/>
      <c r="E565" s="627"/>
      <c r="F565" s="626"/>
      <c r="G565" s="628"/>
      <c r="H565" s="629"/>
    </row>
    <row r="566" spans="1:10" s="625" customFormat="1" ht="15" customHeight="1" thickTop="1">
      <c r="A566" s="1231" t="s">
        <v>552</v>
      </c>
      <c r="B566" s="632" t="s">
        <v>616</v>
      </c>
      <c r="C566" s="632"/>
      <c r="D566" s="657" t="str">
        <f>VLOOKUP(A566,[33]INDICE!$A$3:$D$334,2,FALSE)</f>
        <v>DEMOLICIÓN DE ESTRUCTURAS</v>
      </c>
      <c r="E566" s="649" t="str">
        <f>VLOOKUP(A566,[33]INDICE!$A$3:$D$334,3,FALSE)</f>
        <v>m3</v>
      </c>
      <c r="F566" s="662">
        <v>2</v>
      </c>
      <c r="G566" s="688">
        <f>VLOOKUP(A566,[33]INDICE!$A$3:$D$334,4,FALSE)</f>
        <v>240341.82659000819</v>
      </c>
      <c r="H566" s="636">
        <f t="shared" ref="H566:H571" si="64">+F566*G566</f>
        <v>480683.65318001638</v>
      </c>
      <c r="J566" s="658">
        <v>201.7</v>
      </c>
    </row>
    <row r="567" spans="1:10" s="625" customFormat="1" ht="15" customHeight="1">
      <c r="A567" s="1231" t="s">
        <v>540</v>
      </c>
      <c r="B567" s="631" t="s">
        <v>617</v>
      </c>
      <c r="C567" s="631"/>
      <c r="D567" s="657" t="str">
        <f>VLOOKUP(A567,[33]INDICE!$A$3:$D$334,2,FALSE)</f>
        <v>EXCAVACIONES VARIAS SIN CLASIFICAR</v>
      </c>
      <c r="E567" s="649" t="str">
        <f>VLOOKUP(A567,[33]INDICE!$A$3:$D$334,3,FALSE)</f>
        <v>m3</v>
      </c>
      <c r="F567" s="654">
        <v>10</v>
      </c>
      <c r="G567" s="688">
        <f>VLOOKUP(A567,[33]INDICE!$A$3:$D$334,4,FALSE)</f>
        <v>67953.950275344076</v>
      </c>
      <c r="H567" s="636">
        <f t="shared" si="64"/>
        <v>679539.50275344076</v>
      </c>
      <c r="J567" s="625" t="s">
        <v>541</v>
      </c>
    </row>
    <row r="568" spans="1:10" s="625" customFormat="1" ht="15" customHeight="1">
      <c r="A568" s="1231" t="s">
        <v>544</v>
      </c>
      <c r="B568" s="631" t="s">
        <v>618</v>
      </c>
      <c r="C568" s="631"/>
      <c r="D568" s="657" t="str">
        <f>VLOOKUP(A568,[33]INDICE!$A$3:$D$334,2,FALSE)</f>
        <v>RELLENOS PARA ESTRUCTURAS CON SUELO.</v>
      </c>
      <c r="E568" s="649" t="str">
        <f>VLOOKUP(A568,[33]INDICE!$A$3:$D$334,3,FALSE)</f>
        <v>m3</v>
      </c>
      <c r="F568" s="655">
        <v>6</v>
      </c>
      <c r="G568" s="688">
        <f>VLOOKUP(A568,[33]INDICE!$A$3:$D$334,4,FALSE)</f>
        <v>164362.8922747685</v>
      </c>
      <c r="H568" s="636">
        <f t="shared" si="64"/>
        <v>986177.353648611</v>
      </c>
      <c r="J568" s="625">
        <v>610.1</v>
      </c>
    </row>
    <row r="569" spans="1:10" s="625" customFormat="1" ht="15" customHeight="1">
      <c r="A569" s="1231" t="s">
        <v>546</v>
      </c>
      <c r="B569" s="631" t="s">
        <v>619</v>
      </c>
      <c r="C569" s="631"/>
      <c r="D569" s="657" t="str">
        <f>VLOOKUP(A569,[33]INDICE!$A$3:$D$334,2,FALSE)</f>
        <v>CONCRETO RESISTENCIA 14MPA (G) (CICLOPEO)</v>
      </c>
      <c r="E569" s="649" t="str">
        <f>VLOOKUP(A569,[33]INDICE!$A$3:$D$334,3,FALSE)</f>
        <v>m3</v>
      </c>
      <c r="F569" s="668">
        <v>3</v>
      </c>
      <c r="G569" s="688">
        <f>VLOOKUP(A569,[33]INDICE!$A$3:$D$334,4,FALSE)</f>
        <v>530138.01220093726</v>
      </c>
      <c r="H569" s="636">
        <f t="shared" si="64"/>
        <v>1590414.0366028119</v>
      </c>
      <c r="J569" s="625">
        <v>630.70000000000005</v>
      </c>
    </row>
    <row r="570" spans="1:10" s="625" customFormat="1" ht="14.25" customHeight="1">
      <c r="A570" s="1231" t="s">
        <v>548</v>
      </c>
      <c r="B570" s="631" t="s">
        <v>620</v>
      </c>
      <c r="C570" s="631"/>
      <c r="D570" s="657" t="str">
        <f>VLOOKUP(A570,[33]INDICE!$A$3:$D$334,2,FALSE)</f>
        <v>GEOTEXTIL  TIPO T-2400 O SIMILAR TEJIDO</v>
      </c>
      <c r="E570" s="649" t="str">
        <f>VLOOKUP(A570,[33]INDICE!$A$3:$D$334,3,FALSE)</f>
        <v>m2</v>
      </c>
      <c r="F570" s="654">
        <v>24</v>
      </c>
      <c r="G570" s="688">
        <f>VLOOKUP(A570,[33]INDICE!$A$3:$D$334,4,FALSE)</f>
        <v>10983.835173625577</v>
      </c>
      <c r="H570" s="636">
        <f t="shared" si="64"/>
        <v>263612.04416701384</v>
      </c>
      <c r="J570" s="625">
        <v>673.1</v>
      </c>
    </row>
    <row r="571" spans="1:10" s="625" customFormat="1" ht="15" customHeight="1" thickBot="1">
      <c r="A571" s="1231" t="s">
        <v>549</v>
      </c>
      <c r="B571" s="631" t="s">
        <v>621</v>
      </c>
      <c r="C571" s="631"/>
      <c r="D571" s="657" t="str">
        <f>VLOOKUP(A571,[33]INDICE!$A$3:$D$334,2,FALSE)</f>
        <v xml:space="preserve">GAVIÓNES DE MALLA DE ALAMBRE DE ACERO ENTRELAZADO  CLASE 1; RECUBRIMIENTO DE ZINC (GALVANIZADO) </v>
      </c>
      <c r="E571" s="649" t="str">
        <f>VLOOKUP(A571,[33]INDICE!$A$3:$D$334,3,FALSE)</f>
        <v>m3</v>
      </c>
      <c r="F571" s="654">
        <v>20</v>
      </c>
      <c r="G571" s="688">
        <f>VLOOKUP(A571,[33]INDICE!$A$3:$D$334,4,FALSE)</f>
        <v>400986.60185015475</v>
      </c>
      <c r="H571" s="636">
        <f t="shared" si="64"/>
        <v>8019732.0370030953</v>
      </c>
      <c r="J571" s="625">
        <v>681.1</v>
      </c>
    </row>
    <row r="572" spans="1:10" s="625" customFormat="1" ht="15" customHeight="1" thickTop="1">
      <c r="A572" s="1234"/>
      <c r="B572" s="637"/>
      <c r="C572" s="637"/>
      <c r="D572" s="638"/>
      <c r="E572" s="659"/>
      <c r="F572" s="660"/>
      <c r="G572" s="670" t="s">
        <v>536</v>
      </c>
      <c r="H572" s="640">
        <f>SUM(H566:H571)</f>
        <v>12020158.627354989</v>
      </c>
    </row>
    <row r="573" spans="1:10" s="625" customFormat="1" ht="15" customHeight="1">
      <c r="A573" s="1235"/>
      <c r="B573" s="641"/>
      <c r="C573" s="641"/>
      <c r="D573" s="642"/>
      <c r="E573" s="621"/>
      <c r="F573" s="647"/>
      <c r="G573" s="671" t="s">
        <v>537</v>
      </c>
      <c r="H573" s="975">
        <f>SUM(H572:H572)*0.05*0.19/1.3</f>
        <v>87839.620738363374</v>
      </c>
    </row>
    <row r="574" spans="1:10" s="625" customFormat="1" ht="15" customHeight="1" thickBot="1">
      <c r="A574" s="1236"/>
      <c r="B574" s="619"/>
      <c r="C574" s="619"/>
      <c r="D574" s="620"/>
      <c r="E574" s="621"/>
      <c r="F574" s="647"/>
      <c r="G574" s="671" t="s">
        <v>538</v>
      </c>
      <c r="H574" s="645">
        <f>+ROUND(H572+H573,0)</f>
        <v>12107998</v>
      </c>
    </row>
    <row r="575" spans="1:10" s="625" customFormat="1" ht="15" customHeight="1" thickTop="1">
      <c r="A575" s="1236"/>
      <c r="B575" s="619"/>
      <c r="C575" s="619"/>
      <c r="D575" s="620"/>
      <c r="E575" s="621"/>
      <c r="F575" s="622"/>
      <c r="G575" s="623"/>
      <c r="H575" s="624"/>
    </row>
    <row r="576" spans="1:10" s="625" customFormat="1" ht="15" customHeight="1">
      <c r="A576" s="1236" t="s">
        <v>622</v>
      </c>
      <c r="B576" s="619"/>
      <c r="C576" s="619"/>
      <c r="D576" s="620"/>
      <c r="E576" s="621"/>
      <c r="F576" s="622"/>
      <c r="G576" s="622"/>
      <c r="H576" s="624"/>
    </row>
    <row r="577" spans="1:12" s="625" customFormat="1" ht="15" customHeight="1">
      <c r="A577" s="1236"/>
      <c r="B577" s="619"/>
      <c r="C577" s="619"/>
      <c r="D577" s="620"/>
      <c r="E577" s="621"/>
      <c r="F577" s="622"/>
      <c r="G577" s="622"/>
      <c r="H577" s="624"/>
    </row>
    <row r="578" spans="1:12" s="625" customFormat="1" ht="12.75" customHeight="1" thickBot="1">
      <c r="A578" s="1237"/>
      <c r="B578" s="627"/>
      <c r="C578" s="626" t="s">
        <v>623</v>
      </c>
      <c r="D578" s="626"/>
      <c r="E578" s="627"/>
      <c r="F578" s="626"/>
      <c r="G578" s="628"/>
      <c r="H578" s="629"/>
      <c r="L578" s="625" t="s">
        <v>624</v>
      </c>
    </row>
    <row r="579" spans="1:12" s="625" customFormat="1" ht="15" customHeight="1" thickTop="1">
      <c r="A579" s="1231" t="s">
        <v>625</v>
      </c>
      <c r="B579" s="631" t="str">
        <f>MID(A579,1,3)&amp;"-"&amp;13</f>
        <v>210-13</v>
      </c>
      <c r="C579" s="631"/>
      <c r="D579" s="657" t="str">
        <f>VLOOKUP(A579,[33]INDICE!$A$3:$D$334,2,FALSE)</f>
        <v>EXCAVACIÓN EN ROCA DE LA EXPLANACIÓN Y CANALES</v>
      </c>
      <c r="E579" s="649" t="str">
        <f>VLOOKUP(A579,[33]INDICE!$A$3:$D$334,3,FALSE)</f>
        <v>m3</v>
      </c>
      <c r="F579" s="655">
        <v>96</v>
      </c>
      <c r="G579" s="688">
        <f>VLOOKUP(A579,[33]INDICE!$A$3:$D$334,4,FALSE)</f>
        <v>32527.010232987719</v>
      </c>
      <c r="H579" s="652">
        <f>F579*G579</f>
        <v>3122592.9823668208</v>
      </c>
    </row>
    <row r="580" spans="1:12" s="625" customFormat="1" ht="26.1" customHeight="1">
      <c r="A580" s="1231" t="s">
        <v>626</v>
      </c>
      <c r="B580" s="631" t="str">
        <f t="shared" ref="B580:B594" si="65">MID(A580,1,3)&amp;"-"&amp;13</f>
        <v>210-13</v>
      </c>
      <c r="C580" s="631"/>
      <c r="D580" s="657" t="str">
        <f>VLOOKUP(A580,[33]INDICE!$A$3:$D$334,2,FALSE)</f>
        <v>EXCAVACIÓN EN MATERIAL COMÚN DE LA EXPLANACIÓN Y CANALES</v>
      </c>
      <c r="E580" s="649" t="str">
        <f>VLOOKUP(A580,[33]INDICE!$A$3:$D$334,3,FALSE)</f>
        <v>m3</v>
      </c>
      <c r="F580" s="655">
        <f>L581*2*3*2*(0.2)</f>
        <v>960</v>
      </c>
      <c r="G580" s="688">
        <f>VLOOKUP(A580,[33]INDICE!$A$3:$D$334,4,FALSE)</f>
        <v>14574.267664026014</v>
      </c>
      <c r="H580" s="652">
        <f t="shared" ref="H580:H590" si="66">F580*G580</f>
        <v>13991296.957464974</v>
      </c>
    </row>
    <row r="581" spans="1:12" s="625" customFormat="1" ht="17.100000000000001" customHeight="1">
      <c r="A581" s="1231" t="s">
        <v>627</v>
      </c>
      <c r="B581" s="631" t="str">
        <f t="shared" si="65"/>
        <v>234-13</v>
      </c>
      <c r="C581" s="631"/>
      <c r="D581" s="657" t="str">
        <f>VLOOKUP(A581,[33]INDICE!$A$3:$D$334,2,FALSE)</f>
        <v>CONFORMACIÓN DE TALUDES EXISTENTES</v>
      </c>
      <c r="E581" s="649" t="str">
        <f>VLOOKUP(A581,[33]INDICE!$A$3:$D$334,3,FALSE)</f>
        <v>m2</v>
      </c>
      <c r="F581" s="655">
        <f>+J581</f>
        <v>7440</v>
      </c>
      <c r="G581" s="688">
        <f>VLOOKUP(A581,[33]INDICE!$A$3:$D$334,4,FALSE)</f>
        <v>1239.6180969160873</v>
      </c>
      <c r="H581" s="652">
        <f t="shared" si="66"/>
        <v>9222758.6410556901</v>
      </c>
      <c r="J581" s="698">
        <f>+K581*L581-70*8</f>
        <v>7440</v>
      </c>
      <c r="K581" s="699">
        <v>20</v>
      </c>
      <c r="L581" s="700">
        <v>400</v>
      </c>
    </row>
    <row r="582" spans="1:12" s="625" customFormat="1" ht="15" customHeight="1">
      <c r="A582" s="1231" t="s">
        <v>540</v>
      </c>
      <c r="B582" s="631" t="str">
        <f t="shared" si="65"/>
        <v>600-13</v>
      </c>
      <c r="C582" s="631"/>
      <c r="D582" s="657" t="str">
        <f>VLOOKUP(A582,[33]INDICE!$A$3:$D$334,2,FALSE)</f>
        <v>EXCAVACIONES VARIAS SIN CLASIFICAR</v>
      </c>
      <c r="E582" s="649" t="str">
        <f>VLOOKUP(A582,[33]INDICE!$A$3:$D$334,3,FALSE)</f>
        <v>m3</v>
      </c>
      <c r="F582" s="654">
        <f>L581/2*2*0.5+L581/2*3*11.3</f>
        <v>6980</v>
      </c>
      <c r="G582" s="688">
        <f>VLOOKUP(A582,[33]INDICE!$A$3:$D$334,4,FALSE)</f>
        <v>67953.950275344076</v>
      </c>
      <c r="H582" s="652">
        <f t="shared" si="66"/>
        <v>474318572.92190164</v>
      </c>
    </row>
    <row r="583" spans="1:12" s="625" customFormat="1" ht="15" customHeight="1">
      <c r="A583" s="1231" t="s">
        <v>544</v>
      </c>
      <c r="B583" s="631" t="str">
        <f>MID(A583,1,3)&amp;"-"&amp;13</f>
        <v>610-13</v>
      </c>
      <c r="C583" s="631"/>
      <c r="D583" s="657" t="str">
        <f>VLOOKUP(A583,[33]INDICE!$A$3:$D$334,2,FALSE)</f>
        <v>RELLENOS PARA ESTRUCTURAS CON SUELO.</v>
      </c>
      <c r="E583" s="649" t="str">
        <f>VLOOKUP(A583,[33]INDICE!$A$3:$D$334,3,FALSE)</f>
        <v>m3</v>
      </c>
      <c r="F583" s="655">
        <f>0.3*F582</f>
        <v>2094</v>
      </c>
      <c r="G583" s="688">
        <f>VLOOKUP(A583,[33]INDICE!$A$3:$D$334,4,FALSE)</f>
        <v>164362.8922747685</v>
      </c>
      <c r="H583" s="652">
        <f>F583*G583</f>
        <v>344175896.42336524</v>
      </c>
    </row>
    <row r="584" spans="1:12" s="625" customFormat="1" ht="15" customHeight="1">
      <c r="A584" s="1231" t="s">
        <v>535</v>
      </c>
      <c r="B584" s="631" t="str">
        <f t="shared" si="65"/>
        <v>623-13</v>
      </c>
      <c r="C584" s="689"/>
      <c r="D584" s="657" t="str">
        <f>VLOOKUP(A584,[33]INDICE!$A$3:$D$334,2,FALSE)</f>
        <v>ANCLAJE TIPO _____ (ROCA)</v>
      </c>
      <c r="E584" s="649" t="str">
        <f>VLOOKUP(A584,[33]INDICE!$A$3:$D$334,3,FALSE)</f>
        <v>m</v>
      </c>
      <c r="F584" s="694">
        <f>J581/4*(0.2)</f>
        <v>372</v>
      </c>
      <c r="G584" s="688">
        <f>VLOOKUP(A584,[33]INDICE!$A$3:$D$334,4,FALSE)</f>
        <v>492666.1589690086</v>
      </c>
      <c r="H584" s="652">
        <f t="shared" si="66"/>
        <v>183271811.13647121</v>
      </c>
    </row>
    <row r="585" spans="1:12" s="625" customFormat="1" ht="15.75" customHeight="1">
      <c r="A585" s="1231" t="s">
        <v>545</v>
      </c>
      <c r="B585" s="631" t="str">
        <f t="shared" si="65"/>
        <v>630-13</v>
      </c>
      <c r="C585" s="631"/>
      <c r="D585" s="657" t="str">
        <f>VLOOKUP(A585,[33]INDICE!$A$3:$D$334,2,FALSE)</f>
        <v>CONCRETO RESISTENCIA 17.5MPA (E )</v>
      </c>
      <c r="E585" s="649" t="str">
        <f>VLOOKUP(A585,[33]INDICE!$A$3:$D$334,3,FALSE)</f>
        <v>m3</v>
      </c>
      <c r="F585" s="655">
        <f>L581*3*0.428</f>
        <v>513.6</v>
      </c>
      <c r="G585" s="688">
        <f>VLOOKUP(A585,[33]INDICE!$A$3:$D$334,4,FALSE)</f>
        <v>735031.04931538599</v>
      </c>
      <c r="H585" s="652">
        <f t="shared" si="66"/>
        <v>377511946.92838228</v>
      </c>
    </row>
    <row r="586" spans="1:12" s="625" customFormat="1" ht="15" customHeight="1">
      <c r="A586" s="1231" t="s">
        <v>554</v>
      </c>
      <c r="B586" s="631" t="str">
        <f t="shared" si="65"/>
        <v>640-13</v>
      </c>
      <c r="C586" s="631"/>
      <c r="D586" s="657" t="str">
        <f>VLOOKUP(A586,[33]INDICE!$A$3:$D$334,2,FALSE)</f>
        <v>ACERO DE REFUERZO FY 4200 MPA.</v>
      </c>
      <c r="E586" s="649" t="str">
        <f>VLOOKUP(A586,[33]INDICE!$A$3:$D$334,3,FALSE)</f>
        <v>kg</v>
      </c>
      <c r="F586" s="654">
        <f>L581*3*52.5</f>
        <v>63000</v>
      </c>
      <c r="G586" s="688">
        <f>VLOOKUP(A586,[33]INDICE!$A$3:$D$334,4,FALSE)</f>
        <v>6085.8496982034649</v>
      </c>
      <c r="H586" s="652">
        <f t="shared" si="66"/>
        <v>383408530.98681831</v>
      </c>
    </row>
    <row r="587" spans="1:12" s="625" customFormat="1" ht="15" customHeight="1">
      <c r="A587" s="1231" t="s">
        <v>548</v>
      </c>
      <c r="B587" s="631" t="str">
        <f t="shared" si="65"/>
        <v>673-13</v>
      </c>
      <c r="C587" s="631"/>
      <c r="D587" s="657" t="str">
        <f>VLOOKUP(A587,[33]INDICE!$A$3:$D$334,2,FALSE)</f>
        <v>GEOTEXTIL  TIPO T-2400 O SIMILAR TEJIDO</v>
      </c>
      <c r="E587" s="649" t="str">
        <f>VLOOKUP(A587,[33]INDICE!$A$3:$D$334,3,FALSE)</f>
        <v>m2</v>
      </c>
      <c r="F587" s="654">
        <f>F591/3</f>
        <v>400</v>
      </c>
      <c r="G587" s="688">
        <f>VLOOKUP(A587,[33]INDICE!$A$3:$D$334,4,FALSE)</f>
        <v>10983.835173625577</v>
      </c>
      <c r="H587" s="652">
        <f t="shared" si="66"/>
        <v>4393534.0694502313</v>
      </c>
    </row>
    <row r="588" spans="1:12" s="625" customFormat="1" ht="15" customHeight="1">
      <c r="A588" s="1231" t="s">
        <v>560</v>
      </c>
      <c r="B588" s="631" t="str">
        <f t="shared" si="65"/>
        <v>673-13</v>
      </c>
      <c r="C588" s="631"/>
      <c r="D588" s="657" t="str">
        <f>VLOOKUP(A588,[33]INDICE!$A$3:$D$334,2,FALSE)</f>
        <v>MATERIAL GRANULAR DRENANTE</v>
      </c>
      <c r="E588" s="649" t="str">
        <f>VLOOKUP(A588,[33]INDICE!$A$3:$D$334,3,FALSE)</f>
        <v>m3</v>
      </c>
      <c r="F588" s="655">
        <f>L581*1*0.5</f>
        <v>200</v>
      </c>
      <c r="G588" s="688">
        <f>VLOOKUP(A588,[33]INDICE!$A$3:$D$334,4,FALSE)</f>
        <v>84364.417561781069</v>
      </c>
      <c r="H588" s="652">
        <f t="shared" si="66"/>
        <v>16872883.512356214</v>
      </c>
    </row>
    <row r="589" spans="1:12" s="625" customFormat="1" ht="26.1" customHeight="1">
      <c r="A589" s="1231" t="s">
        <v>606</v>
      </c>
      <c r="B589" s="631" t="str">
        <f t="shared" si="65"/>
        <v>674-13</v>
      </c>
      <c r="C589" s="689"/>
      <c r="D589" s="657" t="str">
        <f>VLOOKUP(A589,[33]INDICE!$A$3:$D$334,2,FALSE)</f>
        <v>DREN HORIZONTAL DE LONGITUD MENOR O IGUAL A DIEZ (10) METROS.</v>
      </c>
      <c r="E589" s="649" t="str">
        <f>VLOOKUP(A589,[33]INDICE!$A$3:$D$334,3,FALSE)</f>
        <v>m</v>
      </c>
      <c r="F589" s="694">
        <f>J581/8*5*(0.2)</f>
        <v>930</v>
      </c>
      <c r="G589" s="688">
        <f>VLOOKUP(A589,[33]INDICE!$A$3:$D$334,4,FALSE)</f>
        <v>122421.15517513713</v>
      </c>
      <c r="H589" s="652">
        <f t="shared" si="66"/>
        <v>113851674.31287754</v>
      </c>
    </row>
    <row r="590" spans="1:12" s="625" customFormat="1" ht="15" customHeight="1">
      <c r="A590" s="1231" t="s">
        <v>607</v>
      </c>
      <c r="B590" s="631" t="str">
        <f t="shared" si="65"/>
        <v>674-13</v>
      </c>
      <c r="C590" s="689"/>
      <c r="D590" s="657" t="str">
        <f>VLOOKUP(A590,[33]INDICE!$A$3:$D$334,2,FALSE)</f>
        <v>DREN HORIZONTAL DE LONGITUD MAYOR A DIEZ (10) METROS.</v>
      </c>
      <c r="E590" s="649" t="str">
        <f>VLOOKUP(A590,[33]INDICE!$A$3:$D$334,3,FALSE)</f>
        <v>m</v>
      </c>
      <c r="F590" s="694">
        <f>J581/8*12*(0.1)</f>
        <v>1116</v>
      </c>
      <c r="G590" s="688">
        <f>VLOOKUP(A590,[33]INDICE!$A$3:$D$334,4,FALSE)</f>
        <v>227176.68957116379</v>
      </c>
      <c r="H590" s="652">
        <f t="shared" si="66"/>
        <v>253529185.5614188</v>
      </c>
    </row>
    <row r="591" spans="1:12" s="625" customFormat="1" ht="36">
      <c r="A591" s="1231" t="s">
        <v>549</v>
      </c>
      <c r="B591" s="631" t="str">
        <f>MID(A591,1,3)&amp;"-"&amp;13</f>
        <v>681-13</v>
      </c>
      <c r="C591" s="631"/>
      <c r="D591" s="657" t="str">
        <f>VLOOKUP(A591,[33]INDICE!$A$3:$D$334,2,FALSE)</f>
        <v xml:space="preserve">GAVIÓNES DE MALLA DE ALAMBRE DE ACERO ENTRELAZADO  CLASE 1; RECUBRIMIENTO DE ZINC (GALVANIZADO) </v>
      </c>
      <c r="E591" s="649" t="str">
        <f>VLOOKUP(A591,[33]INDICE!$A$3:$D$334,3,FALSE)</f>
        <v>m3</v>
      </c>
      <c r="F591" s="701">
        <f>L581*3</f>
        <v>1200</v>
      </c>
      <c r="G591" s="688">
        <f>VLOOKUP(A591,[33]INDICE!$A$3:$D$334,4,FALSE)</f>
        <v>400986.60185015475</v>
      </c>
      <c r="H591" s="652">
        <f>F591*G591</f>
        <v>481183922.2201857</v>
      </c>
    </row>
    <row r="592" spans="1:12" s="625" customFormat="1" ht="30" customHeight="1">
      <c r="A592" s="1231" t="s">
        <v>628</v>
      </c>
      <c r="B592" s="631" t="str">
        <f>MID(A592,1,3)&amp;"-"&amp;13</f>
        <v>812-13</v>
      </c>
      <c r="C592" s="631"/>
      <c r="D592" s="657" t="str">
        <f>VLOOKUP(A592,[33]INDICE!$A$3:$D$334,2,FALSE)</f>
        <v>RECUBRIMIENTO DE TALUDES CON MALLA Y MORTERO 1:4 DE E= 10 CM</v>
      </c>
      <c r="E592" s="649" t="str">
        <f>VLOOKUP(A592,[33]INDICE!$A$3:$D$334,3,FALSE)</f>
        <v>m2</v>
      </c>
      <c r="F592" s="655">
        <f>+F581</f>
        <v>7440</v>
      </c>
      <c r="G592" s="688">
        <f>VLOOKUP(A592,[33]INDICE!$A$3:$D$334,4,FALSE)</f>
        <v>69428.570623610838</v>
      </c>
      <c r="H592" s="652">
        <f>F592*G592</f>
        <v>516548565.43966466</v>
      </c>
    </row>
    <row r="593" spans="1:13" s="625" customFormat="1" ht="50.1" customHeight="1">
      <c r="A593" s="1231" t="s">
        <v>629</v>
      </c>
      <c r="B593" s="631" t="str">
        <f t="shared" si="65"/>
        <v>900-13</v>
      </c>
      <c r="C593" s="689"/>
      <c r="D593" s="657" t="str">
        <f>VLOOKUP(A593,[33]INDICE!$A$3:$D$334,2,FALSE)</f>
        <v>TRANSPORTE DE MATERIALES PROVENIENTES DE LA EXCAVACION DE LA EXPLANACION, CANALES Y PRESTAMOS, ENTRE  CIEN METROS (100 M) Y MIL METROS (1000 M) DE DISTANCIA</v>
      </c>
      <c r="E593" s="649" t="str">
        <f>VLOOKUP(A593,[33]INDICE!$A$3:$D$334,3,FALSE)</f>
        <v>m3/e</v>
      </c>
      <c r="F593" s="694">
        <f>F594*0.1</f>
        <v>1056</v>
      </c>
      <c r="G593" s="688">
        <f>VLOOKUP(A593,[33]INDICE!$A$3:$D$334,4,FALSE)</f>
        <v>1435.8541733216543</v>
      </c>
      <c r="H593" s="652">
        <f>F593*G593</f>
        <v>1516262.007027667</v>
      </c>
    </row>
    <row r="594" spans="1:13" s="625" customFormat="1" ht="50.1" customHeight="1" thickBot="1">
      <c r="A594" s="1231" t="s">
        <v>630</v>
      </c>
      <c r="B594" s="631" t="str">
        <f t="shared" si="65"/>
        <v>900-13</v>
      </c>
      <c r="C594" s="689"/>
      <c r="D594" s="657" t="str">
        <f>VLOOKUP(A594,[33]INDICE!$A$3:$D$334,2,FALSE)</f>
        <v>TRANSPORTE DE MATERIALES PROVENIENTES DE LA EXCAVACIÓN DE LA EXPLANACIÓN, CANALES Y PRÉSTAMOS PARA DISTANCIAS MAYORES DE MIL METROS (1.000 M) MEDIDO A PARTIR DE CIEN METROS (100 M).</v>
      </c>
      <c r="E594" s="649" t="str">
        <f>VLOOKUP(A594,[33]INDICE!$A$3:$D$334,3,FALSE)</f>
        <v>m3/km</v>
      </c>
      <c r="F594" s="694">
        <f>(F580+F579)*10</f>
        <v>10560</v>
      </c>
      <c r="G594" s="688">
        <f>VLOOKUP(A594,[33]INDICE!$A$3:$D$334,4,FALSE)</f>
        <v>1762.1846672583943</v>
      </c>
      <c r="H594" s="652">
        <f>F594*G594</f>
        <v>18608670.086248644</v>
      </c>
    </row>
    <row r="595" spans="1:13" s="625" customFormat="1" ht="15" customHeight="1" thickTop="1">
      <c r="A595" s="1234"/>
      <c r="B595" s="637"/>
      <c r="C595" s="638"/>
      <c r="D595" s="638"/>
      <c r="E595" s="659"/>
      <c r="F595" s="660"/>
      <c r="G595" s="670" t="s">
        <v>536</v>
      </c>
      <c r="H595" s="702">
        <f>SUM(H579:H594)</f>
        <v>3195528104.1870561</v>
      </c>
    </row>
    <row r="596" spans="1:13" s="625" customFormat="1" ht="15" customHeight="1">
      <c r="A596" s="1235"/>
      <c r="B596" s="641"/>
      <c r="C596" s="642"/>
      <c r="D596" s="642"/>
      <c r="E596" s="621"/>
      <c r="F596" s="647"/>
      <c r="G596" s="671" t="s">
        <v>537</v>
      </c>
      <c r="H596" s="644">
        <f>ROUND((+H595*0.05*0.19)/(1+0.3),0)</f>
        <v>23351936</v>
      </c>
    </row>
    <row r="597" spans="1:13" s="625" customFormat="1" ht="15" customHeight="1" thickBot="1">
      <c r="A597" s="1241"/>
      <c r="B597" s="641"/>
      <c r="C597" s="642"/>
      <c r="D597" s="703"/>
      <c r="E597" s="621"/>
      <c r="F597" s="647"/>
      <c r="G597" s="671" t="s">
        <v>538</v>
      </c>
      <c r="H597" s="645">
        <f>+ROUND(H595+H596,0)</f>
        <v>3218880040</v>
      </c>
    </row>
    <row r="598" spans="1:13" s="625" customFormat="1" ht="15" customHeight="1" thickTop="1">
      <c r="A598" s="1241"/>
      <c r="B598" s="641"/>
      <c r="C598" s="642"/>
      <c r="D598" s="703"/>
      <c r="E598" s="621"/>
      <c r="F598" s="647"/>
      <c r="G598" s="643"/>
      <c r="H598" s="646"/>
    </row>
    <row r="599" spans="1:13" s="625" customFormat="1" ht="12.75" customHeight="1" thickBot="1">
      <c r="A599" s="1237"/>
      <c r="B599" s="627"/>
      <c r="C599" s="626" t="s">
        <v>631</v>
      </c>
      <c r="D599" s="626"/>
      <c r="E599" s="627"/>
      <c r="F599" s="626"/>
      <c r="G599" s="691"/>
      <c r="H599" s="629"/>
    </row>
    <row r="600" spans="1:13" s="625" customFormat="1" ht="15" customHeight="1" thickTop="1">
      <c r="A600" s="1240" t="s">
        <v>627</v>
      </c>
      <c r="B600" s="631" t="str">
        <f>MID(A600,1,3)&amp;"-"&amp;13</f>
        <v>234-13</v>
      </c>
      <c r="C600" s="665"/>
      <c r="D600" s="657" t="str">
        <f>VLOOKUP(A600,[33]INDICE!$A$3:$D$334,2,FALSE)</f>
        <v>CONFORMACIÓN DE TALUDES EXISTENTES</v>
      </c>
      <c r="E600" s="649" t="str">
        <f>VLOOKUP(A600,[33]INDICE!$A$3:$D$334,3,FALSE)</f>
        <v>m2</v>
      </c>
      <c r="F600" s="704">
        <f>J601</f>
        <v>1500</v>
      </c>
      <c r="G600" s="688">
        <f>VLOOKUP(A600,[33]INDICE!$A$3:$D$334,4,FALSE)</f>
        <v>1239.6180969160873</v>
      </c>
      <c r="H600" s="667">
        <f>F600*G600</f>
        <v>1859427.1453741309</v>
      </c>
      <c r="J600" s="625">
        <v>2014</v>
      </c>
      <c r="K600" s="625" t="s">
        <v>632</v>
      </c>
      <c r="L600" s="625" t="s">
        <v>624</v>
      </c>
      <c r="M600" s="625" t="s">
        <v>627</v>
      </c>
    </row>
    <row r="601" spans="1:13" s="625" customFormat="1" ht="29.25" customHeight="1" thickBot="1">
      <c r="A601" s="1231" t="s">
        <v>628</v>
      </c>
      <c r="B601" s="631" t="str">
        <f>MID(A601,1,3)&amp;"-"&amp;13</f>
        <v>812-13</v>
      </c>
      <c r="C601" s="631"/>
      <c r="D601" s="657" t="str">
        <f>VLOOKUP(A601,[33]INDICE!$A$3:$D$334,2,FALSE)</f>
        <v>RECUBRIMIENTO DE TALUDES CON MALLA Y MORTERO 1:4 DE E= 10 CM</v>
      </c>
      <c r="E601" s="649" t="str">
        <f>VLOOKUP(A601,[33]INDICE!$A$3:$D$334,3,FALSE)</f>
        <v>m2</v>
      </c>
      <c r="F601" s="663">
        <f>J601</f>
        <v>1500</v>
      </c>
      <c r="G601" s="688">
        <f>VLOOKUP(A601,[33]INDICE!$A$3:$D$334,4,FALSE)</f>
        <v>69428.570623610838</v>
      </c>
      <c r="H601" s="652">
        <f>F601*G601</f>
        <v>104142855.93541625</v>
      </c>
      <c r="J601" s="698">
        <f>K601*L601</f>
        <v>1500</v>
      </c>
      <c r="K601" s="699">
        <v>30</v>
      </c>
      <c r="L601" s="700">
        <v>50</v>
      </c>
      <c r="M601" s="625" t="s">
        <v>628</v>
      </c>
    </row>
    <row r="602" spans="1:13" s="625" customFormat="1" ht="15" customHeight="1" thickTop="1">
      <c r="A602" s="1234"/>
      <c r="B602" s="637"/>
      <c r="C602" s="637"/>
      <c r="D602" s="638"/>
      <c r="E602" s="659"/>
      <c r="G602" s="639" t="s">
        <v>536</v>
      </c>
      <c r="H602" s="640">
        <f>SUM(H600:H601)</f>
        <v>106002283.08079039</v>
      </c>
      <c r="M602" s="625">
        <v>90114000</v>
      </c>
    </row>
    <row r="603" spans="1:13" s="625" customFormat="1" ht="15" customHeight="1">
      <c r="A603" s="1235"/>
      <c r="B603" s="641"/>
      <c r="C603" s="641"/>
      <c r="D603" s="642"/>
      <c r="E603" s="621"/>
      <c r="G603" s="643" t="s">
        <v>537</v>
      </c>
      <c r="H603" s="644">
        <f>ROUND((+H602*0.05*0.19)/(1+0.3),0)</f>
        <v>774632</v>
      </c>
    </row>
    <row r="604" spans="1:13" s="625" customFormat="1" ht="15" customHeight="1" thickBot="1">
      <c r="A604" s="1236"/>
      <c r="B604" s="619"/>
      <c r="C604" s="619"/>
      <c r="D604" s="620"/>
      <c r="E604" s="621"/>
      <c r="G604" s="643" t="s">
        <v>538</v>
      </c>
      <c r="H604" s="645">
        <f>+ROUND(H602+H603,0)</f>
        <v>106776915</v>
      </c>
    </row>
    <row r="605" spans="1:13" s="625" customFormat="1" ht="15" customHeight="1" thickTop="1">
      <c r="A605" s="1236"/>
      <c r="B605" s="619"/>
      <c r="C605" s="619"/>
      <c r="D605" s="620"/>
      <c r="E605" s="621"/>
      <c r="G605" s="643"/>
      <c r="H605" s="646"/>
    </row>
    <row r="606" spans="1:13" s="625" customFormat="1" ht="15" customHeight="1">
      <c r="A606" s="1236"/>
      <c r="B606" s="619"/>
      <c r="C606" s="619"/>
      <c r="D606" s="620"/>
      <c r="E606" s="621"/>
      <c r="G606" s="643"/>
      <c r="H606" s="624"/>
    </row>
    <row r="607" spans="1:13" s="625" customFormat="1" ht="13.5" thickBot="1">
      <c r="A607" s="1237"/>
      <c r="B607" s="627"/>
      <c r="C607" s="626" t="s">
        <v>633</v>
      </c>
      <c r="D607" s="626"/>
      <c r="E607" s="627"/>
      <c r="F607" s="626"/>
      <c r="G607" s="691"/>
      <c r="H607" s="629"/>
    </row>
    <row r="608" spans="1:13" s="625" customFormat="1" ht="15" customHeight="1" thickTop="1">
      <c r="A608" s="1240" t="s">
        <v>552</v>
      </c>
      <c r="B608" s="631" t="str">
        <f t="shared" ref="B608:B619" si="67">MID(A608,1,3)&amp;"-"&amp;13</f>
        <v>201-13</v>
      </c>
      <c r="C608" s="665"/>
      <c r="D608" s="657" t="str">
        <f>VLOOKUP(A608,[33]INDICE!$A$3:$D$334,2,FALSE)</f>
        <v>DEMOLICIÓN DE ESTRUCTURAS</v>
      </c>
      <c r="E608" s="649" t="str">
        <f>VLOOKUP(A608,[33]INDICE!$A$3:$D$334,3,FALSE)</f>
        <v>m3</v>
      </c>
      <c r="F608" s="682">
        <v>6</v>
      </c>
      <c r="G608" s="688">
        <f>VLOOKUP(A608,[33]INDICE!$A$3:$D$334,4,FALSE)</f>
        <v>240341.82659000819</v>
      </c>
      <c r="H608" s="667">
        <f t="shared" ref="H608:H619" si="68">F608*G608</f>
        <v>1442050.9595400491</v>
      </c>
      <c r="J608" s="625">
        <v>201.7</v>
      </c>
    </row>
    <row r="609" spans="1:10" s="625" customFormat="1" ht="15" customHeight="1">
      <c r="A609" s="1231" t="s">
        <v>540</v>
      </c>
      <c r="B609" s="631" t="str">
        <f t="shared" si="67"/>
        <v>600-13</v>
      </c>
      <c r="C609" s="631"/>
      <c r="D609" s="657" t="str">
        <f>VLOOKUP(A609,[33]INDICE!$A$3:$D$334,2,FALSE)</f>
        <v>EXCAVACIONES VARIAS SIN CLASIFICAR</v>
      </c>
      <c r="E609" s="649" t="str">
        <f>VLOOKUP(A609,[33]INDICE!$A$3:$D$334,3,FALSE)</f>
        <v>m3</v>
      </c>
      <c r="F609" s="654">
        <v>52</v>
      </c>
      <c r="G609" s="688">
        <f>VLOOKUP(A609,[33]INDICE!$A$3:$D$334,4,FALSE)</f>
        <v>67953.950275344076</v>
      </c>
      <c r="H609" s="652">
        <f t="shared" si="68"/>
        <v>3533605.4143178919</v>
      </c>
      <c r="J609" s="625" t="s">
        <v>541</v>
      </c>
    </row>
    <row r="610" spans="1:10" s="625" customFormat="1" ht="15" customHeight="1">
      <c r="A610" s="1231" t="s">
        <v>544</v>
      </c>
      <c r="B610" s="631" t="str">
        <f t="shared" si="67"/>
        <v>610-13</v>
      </c>
      <c r="C610" s="631"/>
      <c r="D610" s="657" t="str">
        <f>VLOOKUP(A610,[33]INDICE!$A$3:$D$334,2,FALSE)</f>
        <v>RELLENOS PARA ESTRUCTURAS CON SUELO.</v>
      </c>
      <c r="E610" s="649" t="str">
        <f>VLOOKUP(A610,[33]INDICE!$A$3:$D$334,3,FALSE)</f>
        <v>m3</v>
      </c>
      <c r="F610" s="655">
        <f>30*0.5</f>
        <v>15</v>
      </c>
      <c r="G610" s="688">
        <f>VLOOKUP(A610,[33]INDICE!$A$3:$D$334,4,FALSE)</f>
        <v>164362.8922747685</v>
      </c>
      <c r="H610" s="652">
        <f t="shared" si="68"/>
        <v>2465443.3841215274</v>
      </c>
      <c r="J610" s="625">
        <v>610.1</v>
      </c>
    </row>
    <row r="611" spans="1:10" s="625" customFormat="1" ht="15" customHeight="1">
      <c r="A611" s="1231" t="s">
        <v>553</v>
      </c>
      <c r="B611" s="631" t="str">
        <f t="shared" si="67"/>
        <v>630-13</v>
      </c>
      <c r="C611" s="631"/>
      <c r="D611" s="657" t="str">
        <f>VLOOKUP(A611,[33]INDICE!$A$3:$D$334,2,FALSE)</f>
        <v>CONCRETO RESISTENCIA 21MPA (D)</v>
      </c>
      <c r="E611" s="649" t="str">
        <f>VLOOKUP(A611,[33]INDICE!$A$3:$D$334,3,FALSE)</f>
        <v>m3</v>
      </c>
      <c r="F611" s="655">
        <v>35</v>
      </c>
      <c r="G611" s="688">
        <f>VLOOKUP(A611,[33]INDICE!$A$3:$D$334,4,FALSE)</f>
        <v>871855.23056364793</v>
      </c>
      <c r="H611" s="652">
        <f t="shared" si="68"/>
        <v>30514933.069727678</v>
      </c>
      <c r="J611" s="658">
        <v>630.4</v>
      </c>
    </row>
    <row r="612" spans="1:10" s="625" customFormat="1" ht="15" customHeight="1">
      <c r="A612" s="1231" t="s">
        <v>545</v>
      </c>
      <c r="B612" s="631" t="str">
        <f t="shared" si="67"/>
        <v>630-13</v>
      </c>
      <c r="C612" s="631"/>
      <c r="D612" s="657" t="str">
        <f>VLOOKUP(A612,[33]INDICE!$A$3:$D$334,2,FALSE)</f>
        <v>CONCRETO RESISTENCIA 17.5MPA (E )</v>
      </c>
      <c r="E612" s="649" t="str">
        <f>VLOOKUP(A612,[33]INDICE!$A$3:$D$334,3,FALSE)</f>
        <v>m3</v>
      </c>
      <c r="F612" s="655">
        <v>10</v>
      </c>
      <c r="G612" s="688">
        <f>VLOOKUP(A612,[33]INDICE!$A$3:$D$334,4,FALSE)</f>
        <v>735031.04931538599</v>
      </c>
      <c r="H612" s="652">
        <f t="shared" si="68"/>
        <v>7350310.4931538599</v>
      </c>
      <c r="J612" s="625">
        <v>630.5</v>
      </c>
    </row>
    <row r="613" spans="1:10" s="625" customFormat="1" ht="15" customHeight="1">
      <c r="A613" s="1231" t="s">
        <v>554</v>
      </c>
      <c r="B613" s="631" t="str">
        <f t="shared" si="67"/>
        <v>640-13</v>
      </c>
      <c r="C613" s="631"/>
      <c r="D613" s="657" t="str">
        <f>VLOOKUP(A613,[33]INDICE!$A$3:$D$334,2,FALSE)</f>
        <v>ACERO DE REFUERZO FY 4200 MPA.</v>
      </c>
      <c r="E613" s="649" t="str">
        <f>VLOOKUP(A613,[33]INDICE!$A$3:$D$334,3,FALSE)</f>
        <v>kg</v>
      </c>
      <c r="F613" s="654">
        <f>(F611)*105</f>
        <v>3675</v>
      </c>
      <c r="G613" s="688">
        <f>VLOOKUP(A613,[33]INDICE!$A$3:$D$334,4,FALSE)</f>
        <v>6085.8496982034649</v>
      </c>
      <c r="H613" s="652">
        <f t="shared" si="68"/>
        <v>22365497.640897732</v>
      </c>
      <c r="J613" s="625">
        <v>640.1</v>
      </c>
    </row>
    <row r="614" spans="1:10" s="625" customFormat="1" ht="26.1" customHeight="1">
      <c r="A614" s="1231" t="s">
        <v>559</v>
      </c>
      <c r="B614" s="631" t="str">
        <f t="shared" si="67"/>
        <v>671-13</v>
      </c>
      <c r="C614" s="631"/>
      <c r="D614" s="657" t="str">
        <f>VLOOKUP(A614,[33]INDICE!$A$3:$D$334,2,FALSE)</f>
        <v>CUNETA DE CONCRETO VACIADA IN SITU; INCLUYE LA CONFORMACION DE LA SUPERFICIE DE APOYO</v>
      </c>
      <c r="E614" s="649" t="str">
        <f>VLOOKUP(A614,[33]INDICE!$A$3:$D$334,3,FALSE)</f>
        <v>m3</v>
      </c>
      <c r="F614" s="655">
        <v>5</v>
      </c>
      <c r="G614" s="688">
        <f>VLOOKUP(A614,[33]INDICE!$A$3:$D$334,4,FALSE)</f>
        <v>841791.75196838728</v>
      </c>
      <c r="H614" s="652">
        <f t="shared" si="68"/>
        <v>4208958.7598419366</v>
      </c>
      <c r="J614" s="625">
        <v>671.3</v>
      </c>
    </row>
    <row r="615" spans="1:10" s="625" customFormat="1" ht="15" customHeight="1">
      <c r="A615" s="1231" t="s">
        <v>548</v>
      </c>
      <c r="B615" s="631" t="str">
        <f>MID(A615,1,3)&amp;"-"&amp;13</f>
        <v>673-13</v>
      </c>
      <c r="C615" s="631"/>
      <c r="D615" s="657" t="str">
        <f>VLOOKUP(A615,[33]INDICE!$A$3:$D$334,2,FALSE)</f>
        <v>GEOTEXTIL  TIPO T-2400 O SIMILAR TEJIDO</v>
      </c>
      <c r="E615" s="649" t="str">
        <f>VLOOKUP(A615,[33]INDICE!$A$3:$D$334,3,FALSE)</f>
        <v>m2</v>
      </c>
      <c r="F615" s="654">
        <f>(30+2)*2</f>
        <v>64</v>
      </c>
      <c r="G615" s="688">
        <f>VLOOKUP(A615,[33]INDICE!$A$3:$D$334,4,FALSE)</f>
        <v>10983.835173625577</v>
      </c>
      <c r="H615" s="652">
        <f>F615*G615</f>
        <v>702965.45111203694</v>
      </c>
      <c r="J615" s="625">
        <v>673.1</v>
      </c>
    </row>
    <row r="616" spans="1:10" s="625" customFormat="1" ht="15" customHeight="1">
      <c r="A616" s="1231" t="s">
        <v>560</v>
      </c>
      <c r="B616" s="631" t="str">
        <f t="shared" si="67"/>
        <v>673-13</v>
      </c>
      <c r="C616" s="631"/>
      <c r="D616" s="657" t="str">
        <f>VLOOKUP(A616,[33]INDICE!$A$3:$D$334,2,FALSE)</f>
        <v>MATERIAL GRANULAR DRENANTE</v>
      </c>
      <c r="E616" s="649" t="str">
        <f>VLOOKUP(A616,[33]INDICE!$A$3:$D$334,3,FALSE)</f>
        <v>m3</v>
      </c>
      <c r="F616" s="655">
        <v>33</v>
      </c>
      <c r="G616" s="688">
        <f>VLOOKUP(A616,[33]INDICE!$A$3:$D$334,4,FALSE)</f>
        <v>84364.417561781069</v>
      </c>
      <c r="H616" s="652">
        <f t="shared" si="68"/>
        <v>2784025.7795387753</v>
      </c>
      <c r="J616" s="625">
        <v>673.2</v>
      </c>
    </row>
    <row r="617" spans="1:10" s="625" customFormat="1" ht="26.1" customHeight="1">
      <c r="A617" s="1231" t="s">
        <v>606</v>
      </c>
      <c r="B617" s="631" t="str">
        <f t="shared" si="67"/>
        <v>674-13</v>
      </c>
      <c r="C617" s="689"/>
      <c r="D617" s="657" t="str">
        <f>VLOOKUP(A617,[33]INDICE!$A$3:$D$334,2,FALSE)</f>
        <v>DREN HORIZONTAL DE LONGITUD MENOR O IGUAL A DIEZ (10) METROS.</v>
      </c>
      <c r="E617" s="649" t="str">
        <f>VLOOKUP(A617,[33]INDICE!$A$3:$D$334,3,FALSE)</f>
        <v>m</v>
      </c>
      <c r="F617" s="694">
        <v>400</v>
      </c>
      <c r="G617" s="688">
        <f>VLOOKUP(A617,[33]INDICE!$A$3:$D$334,4,FALSE)</f>
        <v>122421.15517513713</v>
      </c>
      <c r="H617" s="652">
        <f t="shared" si="68"/>
        <v>48968462.070054851</v>
      </c>
      <c r="J617" s="625">
        <v>674.1</v>
      </c>
    </row>
    <row r="618" spans="1:10" s="625" customFormat="1" ht="15" customHeight="1">
      <c r="A618" s="1231" t="s">
        <v>607</v>
      </c>
      <c r="B618" s="631" t="str">
        <f t="shared" si="67"/>
        <v>674-13</v>
      </c>
      <c r="C618" s="689"/>
      <c r="D618" s="657" t="str">
        <f>VLOOKUP(A618,[33]INDICE!$A$3:$D$334,2,FALSE)</f>
        <v>DREN HORIZONTAL DE LONGITUD MAYOR A DIEZ (10) METROS.</v>
      </c>
      <c r="E618" s="649" t="str">
        <f>VLOOKUP(A618,[33]INDICE!$A$3:$D$334,3,FALSE)</f>
        <v>m</v>
      </c>
      <c r="F618" s="694">
        <v>400</v>
      </c>
      <c r="G618" s="688">
        <f>VLOOKUP(A618,[33]INDICE!$A$3:$D$334,4,FALSE)</f>
        <v>227176.68957116379</v>
      </c>
      <c r="H618" s="652">
        <f t="shared" si="68"/>
        <v>90870675.828465521</v>
      </c>
      <c r="J618" s="625">
        <v>674.2</v>
      </c>
    </row>
    <row r="619" spans="1:10" s="625" customFormat="1" ht="26.1" customHeight="1" thickBot="1">
      <c r="A619" s="1239" t="s">
        <v>549</v>
      </c>
      <c r="B619" s="631" t="str">
        <f t="shared" si="67"/>
        <v>681-13</v>
      </c>
      <c r="C619" s="672"/>
      <c r="D619" s="657" t="str">
        <f>VLOOKUP(A619,[33]INDICE!$A$3:$D$334,2,FALSE)</f>
        <v xml:space="preserve">GAVIÓNES DE MALLA DE ALAMBRE DE ACERO ENTRELAZADO  CLASE 1; RECUBRIMIENTO DE ZINC (GALVANIZADO) </v>
      </c>
      <c r="E619" s="649" t="str">
        <f>VLOOKUP(A619,[33]INDICE!$A$3:$D$334,3,FALSE)</f>
        <v>m3</v>
      </c>
      <c r="F619" s="673">
        <v>20</v>
      </c>
      <c r="G619" s="688">
        <f>VLOOKUP(A619,[33]INDICE!$A$3:$D$334,4,FALSE)</f>
        <v>400986.60185015475</v>
      </c>
      <c r="H619" s="679">
        <f t="shared" si="68"/>
        <v>8019732.0370030953</v>
      </c>
      <c r="J619" s="625">
        <v>681.1</v>
      </c>
    </row>
    <row r="620" spans="1:10" s="625" customFormat="1" ht="15" customHeight="1" thickTop="1">
      <c r="A620" s="1234"/>
      <c r="B620" s="637"/>
      <c r="C620" s="637"/>
      <c r="D620" s="638"/>
      <c r="E620" s="659"/>
      <c r="F620" s="660"/>
      <c r="G620" s="639" t="s">
        <v>536</v>
      </c>
      <c r="H620" s="640">
        <f>SUM(H608:H619)</f>
        <v>223226660.88777497</v>
      </c>
    </row>
    <row r="621" spans="1:10" s="625" customFormat="1" ht="15" customHeight="1">
      <c r="A621" s="1235"/>
      <c r="B621" s="641"/>
      <c r="C621" s="641"/>
      <c r="D621" s="642"/>
      <c r="E621" s="621"/>
      <c r="F621" s="647"/>
      <c r="G621" s="643" t="s">
        <v>537</v>
      </c>
      <c r="H621" s="644">
        <f>SUM(H620:H620)*0.05*0.19/1.3</f>
        <v>1631271.7526414325</v>
      </c>
    </row>
    <row r="622" spans="1:10" s="625" customFormat="1" ht="15" customHeight="1" thickBot="1">
      <c r="A622" s="1236"/>
      <c r="B622" s="619"/>
      <c r="C622" s="619"/>
      <c r="D622" s="620"/>
      <c r="E622" s="621"/>
      <c r="F622" s="647"/>
      <c r="G622" s="643" t="s">
        <v>538</v>
      </c>
      <c r="H622" s="645">
        <f>+ROUND(H620+H621,0)</f>
        <v>224857933</v>
      </c>
    </row>
    <row r="623" spans="1:10" s="625" customFormat="1" ht="15" customHeight="1" thickTop="1">
      <c r="A623" s="1236"/>
      <c r="B623" s="619"/>
      <c r="C623" s="619"/>
      <c r="D623" s="620"/>
      <c r="E623" s="621"/>
      <c r="F623" s="647"/>
      <c r="G623" s="643"/>
      <c r="H623" s="624"/>
    </row>
    <row r="624" spans="1:10" s="625" customFormat="1" ht="13.5" thickBot="1">
      <c r="A624" s="1237"/>
      <c r="B624" s="627"/>
      <c r="C624" s="626" t="s">
        <v>634</v>
      </c>
      <c r="D624" s="626"/>
      <c r="E624" s="627"/>
      <c r="F624" s="626"/>
      <c r="G624" s="691"/>
      <c r="H624" s="629"/>
    </row>
    <row r="625" spans="1:12" s="625" customFormat="1" ht="15" customHeight="1" thickTop="1">
      <c r="A625" s="1238" t="s">
        <v>627</v>
      </c>
      <c r="B625" s="632" t="str">
        <f>MID(A625,1,3)&amp;"-"&amp;13</f>
        <v>234-13</v>
      </c>
      <c r="C625" s="632"/>
      <c r="D625" s="657" t="str">
        <f>VLOOKUP(A625,[33]INDICE!$A$3:$D$334,2,FALSE)</f>
        <v>CONFORMACIÓN DE TALUDES EXISTENTES</v>
      </c>
      <c r="E625" s="649" t="str">
        <f>VLOOKUP(A625,[33]INDICE!$A$3:$D$334,3,FALSE)</f>
        <v>m2</v>
      </c>
      <c r="F625" s="653">
        <f>+J634</f>
        <v>1750</v>
      </c>
      <c r="G625" s="688">
        <f>VLOOKUP(A625,[33]INDICE!$A$3:$D$334,4,FALSE)</f>
        <v>1239.6180969160873</v>
      </c>
      <c r="H625" s="636">
        <f>F625*G625</f>
        <v>2169331.6696031527</v>
      </c>
      <c r="I625" s="625">
        <v>234.1</v>
      </c>
      <c r="J625" s="696"/>
      <c r="K625" s="696"/>
      <c r="L625" s="696"/>
    </row>
    <row r="626" spans="1:12" s="625" customFormat="1" ht="15" customHeight="1">
      <c r="A626" s="1231" t="s">
        <v>540</v>
      </c>
      <c r="B626" s="631" t="str">
        <f t="shared" ref="B626:B636" si="69">MID(A626,1,3)&amp;"-"&amp;13</f>
        <v>600-13</v>
      </c>
      <c r="C626" s="631"/>
      <c r="D626" s="657" t="str">
        <f>VLOOKUP(A626,[33]INDICE!$A$3:$D$334,2,FALSE)</f>
        <v>EXCAVACIONES VARIAS SIN CLASIFICAR</v>
      </c>
      <c r="E626" s="649" t="str">
        <f>VLOOKUP(A626,[33]INDICE!$A$3:$D$334,3,FALSE)</f>
        <v>m3</v>
      </c>
      <c r="F626" s="654">
        <f>80*0.5+200</f>
        <v>240</v>
      </c>
      <c r="G626" s="688">
        <f>VLOOKUP(A626,[33]INDICE!$A$3:$D$334,4,FALSE)</f>
        <v>67953.950275344076</v>
      </c>
      <c r="H626" s="652">
        <f t="shared" ref="H626:H635" si="70">F626*G626</f>
        <v>16308948.066082578</v>
      </c>
      <c r="I626" s="625" t="s">
        <v>541</v>
      </c>
    </row>
    <row r="627" spans="1:12" s="625" customFormat="1" ht="15" customHeight="1">
      <c r="A627" s="1231" t="s">
        <v>544</v>
      </c>
      <c r="B627" s="631" t="str">
        <f>MID(A627,1,3)&amp;"-"&amp;13</f>
        <v>610-13</v>
      </c>
      <c r="C627" s="631"/>
      <c r="D627" s="657" t="str">
        <f>VLOOKUP(A627,[33]INDICE!$A$3:$D$334,2,FALSE)</f>
        <v>RELLENOS PARA ESTRUCTURAS CON SUELO.</v>
      </c>
      <c r="E627" s="649" t="str">
        <f>VLOOKUP(A627,[33]INDICE!$A$3:$D$334,3,FALSE)</f>
        <v>m3</v>
      </c>
      <c r="F627" s="655">
        <f>80*0.4</f>
        <v>32</v>
      </c>
      <c r="G627" s="688">
        <f>VLOOKUP(A627,[33]INDICE!$A$3:$D$334,4,FALSE)</f>
        <v>164362.8922747685</v>
      </c>
      <c r="H627" s="652">
        <f>F627*G627</f>
        <v>5259612.552792592</v>
      </c>
      <c r="I627" s="625">
        <v>610.1</v>
      </c>
    </row>
    <row r="628" spans="1:12" s="625" customFormat="1" ht="15" customHeight="1">
      <c r="A628" s="1231" t="s">
        <v>535</v>
      </c>
      <c r="B628" s="631" t="str">
        <f>MID(A628,1,3)&amp;"-"&amp;13</f>
        <v>623-13</v>
      </c>
      <c r="C628" s="631"/>
      <c r="D628" s="657" t="str">
        <f>VLOOKUP(A628,[33]INDICE!$A$3:$D$334,2,FALSE)</f>
        <v>ANCLAJE TIPO _____ (ROCA)</v>
      </c>
      <c r="E628" s="649" t="str">
        <f>VLOOKUP(A628,[33]INDICE!$A$3:$D$334,3,FALSE)</f>
        <v>m</v>
      </c>
      <c r="F628" s="655">
        <v>1532</v>
      </c>
      <c r="G628" s="688">
        <f>VLOOKUP(A628,[33]INDICE!$A$3:$D$334,4,FALSE)</f>
        <v>492666.1589690086</v>
      </c>
      <c r="H628" s="652">
        <f>F628*G628</f>
        <v>754764555.54052114</v>
      </c>
      <c r="I628" s="625">
        <v>623.1</v>
      </c>
    </row>
    <row r="629" spans="1:12" s="625" customFormat="1" ht="15" customHeight="1">
      <c r="A629" s="1231" t="s">
        <v>545</v>
      </c>
      <c r="B629" s="631" t="str">
        <f t="shared" si="69"/>
        <v>630-13</v>
      </c>
      <c r="C629" s="631"/>
      <c r="D629" s="657" t="str">
        <f>VLOOKUP(A629,[33]INDICE!$A$3:$D$334,2,FALSE)</f>
        <v>CONCRETO RESISTENCIA 17.5MPA (E )</v>
      </c>
      <c r="E629" s="649" t="str">
        <f>VLOOKUP(A629,[33]INDICE!$A$3:$D$334,3,FALSE)</f>
        <v>m3</v>
      </c>
      <c r="F629" s="655">
        <v>71</v>
      </c>
      <c r="G629" s="688">
        <f>VLOOKUP(A629,[33]INDICE!$A$3:$D$334,4,FALSE)</f>
        <v>735031.04931538599</v>
      </c>
      <c r="H629" s="652">
        <f t="shared" si="70"/>
        <v>52187204.501392402</v>
      </c>
      <c r="I629" s="625">
        <v>630.5</v>
      </c>
    </row>
    <row r="630" spans="1:12" s="625" customFormat="1" ht="15" customHeight="1">
      <c r="A630" s="1231" t="s">
        <v>546</v>
      </c>
      <c r="B630" s="631" t="str">
        <f t="shared" si="69"/>
        <v>630-13</v>
      </c>
      <c r="C630" s="631"/>
      <c r="D630" s="657" t="str">
        <f>VLOOKUP(A630,[33]INDICE!$A$3:$D$334,2,FALSE)</f>
        <v>CONCRETO RESISTENCIA 14MPA (G) (CICLOPEO)</v>
      </c>
      <c r="E630" s="649" t="str">
        <f>VLOOKUP(A630,[33]INDICE!$A$3:$D$334,3,FALSE)</f>
        <v>m3</v>
      </c>
      <c r="F630" s="668">
        <v>10</v>
      </c>
      <c r="G630" s="688">
        <f>VLOOKUP(A630,[33]INDICE!$A$3:$D$334,4,FALSE)</f>
        <v>530138.01220093726</v>
      </c>
      <c r="H630" s="652">
        <f t="shared" si="70"/>
        <v>5301380.1220093723</v>
      </c>
      <c r="I630" s="625">
        <v>630.70000000000005</v>
      </c>
    </row>
    <row r="631" spans="1:12" s="625" customFormat="1" ht="15" customHeight="1">
      <c r="A631" s="1231" t="s">
        <v>554</v>
      </c>
      <c r="B631" s="631" t="str">
        <f t="shared" si="69"/>
        <v>640-13</v>
      </c>
      <c r="C631" s="631"/>
      <c r="D631" s="657" t="str">
        <f>VLOOKUP(A631,[33]INDICE!$A$3:$D$334,2,FALSE)</f>
        <v>ACERO DE REFUERZO FY 4200 MPA.</v>
      </c>
      <c r="E631" s="649" t="str">
        <f>VLOOKUP(A631,[33]INDICE!$A$3:$D$334,3,FALSE)</f>
        <v>kg</v>
      </c>
      <c r="F631" s="654">
        <f>F629*80</f>
        <v>5680</v>
      </c>
      <c r="G631" s="688">
        <f>VLOOKUP(A631,[33]INDICE!$A$3:$D$334,4,FALSE)</f>
        <v>6085.8496982034649</v>
      </c>
      <c r="H631" s="652">
        <f t="shared" si="70"/>
        <v>34567626.285795681</v>
      </c>
      <c r="I631" s="625">
        <v>640.1</v>
      </c>
    </row>
    <row r="632" spans="1:12" s="625" customFormat="1" ht="15" customHeight="1">
      <c r="A632" s="1231" t="s">
        <v>548</v>
      </c>
      <c r="B632" s="631" t="str">
        <f>MID(A632,1,3)&amp;"-"&amp;13</f>
        <v>673-13</v>
      </c>
      <c r="C632" s="631"/>
      <c r="D632" s="657" t="str">
        <f>VLOOKUP(A632,[33]INDICE!$A$3:$D$334,2,FALSE)</f>
        <v>GEOTEXTIL  TIPO T-2400 O SIMILAR TEJIDO</v>
      </c>
      <c r="E632" s="649" t="str">
        <f>VLOOKUP(A632,[33]INDICE!$A$3:$D$334,3,FALSE)</f>
        <v>m2</v>
      </c>
      <c r="F632" s="654">
        <v>70</v>
      </c>
      <c r="G632" s="688">
        <f>VLOOKUP(A632,[33]INDICE!$A$3:$D$334,4,FALSE)</f>
        <v>10983.835173625577</v>
      </c>
      <c r="H632" s="652">
        <f>F632*G632</f>
        <v>768868.4621537904</v>
      </c>
      <c r="I632" s="625">
        <v>673.1</v>
      </c>
    </row>
    <row r="633" spans="1:12" s="625" customFormat="1" ht="26.1" customHeight="1">
      <c r="A633" s="1231" t="s">
        <v>606</v>
      </c>
      <c r="B633" s="631" t="str">
        <f>MID(A633,1,3)&amp;"-"&amp;13</f>
        <v>674-13</v>
      </c>
      <c r="C633" s="689"/>
      <c r="D633" s="657" t="str">
        <f>VLOOKUP(A633,[33]INDICE!$A$3:$D$334,2,FALSE)</f>
        <v>DREN HORIZONTAL DE LONGITUD MENOR O IGUAL A DIEZ (10) METROS.</v>
      </c>
      <c r="E633" s="649" t="str">
        <f>VLOOKUP(A633,[33]INDICE!$A$3:$D$334,3,FALSE)</f>
        <v>m</v>
      </c>
      <c r="F633" s="694">
        <v>219</v>
      </c>
      <c r="G633" s="688">
        <f>VLOOKUP(A633,[33]INDICE!$A$3:$D$334,4,FALSE)</f>
        <v>122421.15517513713</v>
      </c>
      <c r="H633" s="652">
        <f>F633*G633</f>
        <v>26810232.98335503</v>
      </c>
      <c r="I633" s="625">
        <v>674.1</v>
      </c>
    </row>
    <row r="634" spans="1:12" s="625" customFormat="1" ht="15" customHeight="1">
      <c r="A634" s="1231" t="s">
        <v>607</v>
      </c>
      <c r="B634" s="631" t="str">
        <f>MID(A634,1,3)&amp;"-"&amp;13</f>
        <v>674-13</v>
      </c>
      <c r="C634" s="689"/>
      <c r="D634" s="657" t="str">
        <f>VLOOKUP(A634,[33]INDICE!$A$3:$D$334,2,FALSE)</f>
        <v>DREN HORIZONTAL DE LONGITUD MAYOR A DIEZ (10) METROS.</v>
      </c>
      <c r="E634" s="649" t="str">
        <f>VLOOKUP(A634,[33]INDICE!$A$3:$D$334,3,FALSE)</f>
        <v>m</v>
      </c>
      <c r="F634" s="694">
        <v>329</v>
      </c>
      <c r="G634" s="688">
        <f>VLOOKUP(A634,[33]INDICE!$A$3:$D$334,4,FALSE)</f>
        <v>227176.68957116379</v>
      </c>
      <c r="H634" s="652">
        <f>F634*G634</f>
        <v>74741130.868912891</v>
      </c>
      <c r="I634" s="625">
        <v>674.2</v>
      </c>
      <c r="J634" s="698">
        <f>K634*L634</f>
        <v>1750</v>
      </c>
      <c r="K634" s="699">
        <v>25</v>
      </c>
      <c r="L634" s="700">
        <v>70</v>
      </c>
    </row>
    <row r="635" spans="1:12" s="625" customFormat="1" ht="26.1" customHeight="1">
      <c r="A635" s="1231" t="s">
        <v>549</v>
      </c>
      <c r="B635" s="631" t="str">
        <f t="shared" si="69"/>
        <v>681-13</v>
      </c>
      <c r="C635" s="631"/>
      <c r="D635" s="657" t="str">
        <f>VLOOKUP(A635,[33]INDICE!$A$3:$D$334,2,FALSE)</f>
        <v xml:space="preserve">GAVIÓNES DE MALLA DE ALAMBRE DE ACERO ENTRELAZADO  CLASE 1; RECUBRIMIENTO DE ZINC (GALVANIZADO) </v>
      </c>
      <c r="E635" s="649" t="str">
        <f>VLOOKUP(A635,[33]INDICE!$A$3:$D$334,3,FALSE)</f>
        <v>m3</v>
      </c>
      <c r="F635" s="654">
        <v>55</v>
      </c>
      <c r="G635" s="688">
        <f>VLOOKUP(A635,[33]INDICE!$A$3:$D$334,4,FALSE)</f>
        <v>400986.60185015475</v>
      </c>
      <c r="H635" s="652">
        <f t="shared" si="70"/>
        <v>22054263.10175851</v>
      </c>
      <c r="I635" s="625">
        <v>681.1</v>
      </c>
    </row>
    <row r="636" spans="1:12" s="625" customFormat="1" ht="28.5" customHeight="1" thickBot="1">
      <c r="A636" s="1239" t="s">
        <v>628</v>
      </c>
      <c r="B636" s="672" t="str">
        <f t="shared" si="69"/>
        <v>812-13</v>
      </c>
      <c r="C636" s="672"/>
      <c r="D636" s="657" t="str">
        <f>VLOOKUP(A636,[33]INDICE!$A$3:$D$334,2,FALSE)</f>
        <v>RECUBRIMIENTO DE TALUDES CON MALLA Y MORTERO 1:4 DE E= 10 CM</v>
      </c>
      <c r="E636" s="649" t="str">
        <f>VLOOKUP(A636,[33]INDICE!$A$3:$D$334,3,FALSE)</f>
        <v>m2</v>
      </c>
      <c r="F636" s="663">
        <f>F625</f>
        <v>1750</v>
      </c>
      <c r="G636" s="688">
        <f>VLOOKUP(A636,[33]INDICE!$A$3:$D$334,4,FALSE)</f>
        <v>69428.570623610838</v>
      </c>
      <c r="H636" s="679">
        <f>F636*G636</f>
        <v>121499998.59131896</v>
      </c>
      <c r="I636" s="625">
        <v>812.1</v>
      </c>
    </row>
    <row r="637" spans="1:12" s="625" customFormat="1" ht="15" customHeight="1" thickTop="1">
      <c r="A637" s="1234"/>
      <c r="B637" s="637"/>
      <c r="C637" s="637"/>
      <c r="D637" s="638"/>
      <c r="E637" s="659"/>
      <c r="F637" s="660"/>
      <c r="G637" s="670" t="s">
        <v>536</v>
      </c>
      <c r="H637" s="640">
        <f>SUM(H625:H636)</f>
        <v>1116433152.7456961</v>
      </c>
    </row>
    <row r="638" spans="1:12" s="625" customFormat="1" ht="15" customHeight="1">
      <c r="A638" s="1235"/>
      <c r="B638" s="641"/>
      <c r="C638" s="641"/>
      <c r="D638" s="642"/>
      <c r="E638" s="621"/>
      <c r="F638" s="647"/>
      <c r="G638" s="671" t="s">
        <v>537</v>
      </c>
      <c r="H638" s="644">
        <f>SUM(H637:H637)*0.05*0.19/1.3</f>
        <v>8158549.9623723943</v>
      </c>
    </row>
    <row r="639" spans="1:12" s="625" customFormat="1" ht="15" customHeight="1" thickBot="1">
      <c r="A639" s="1236"/>
      <c r="B639" s="619"/>
      <c r="C639" s="619"/>
      <c r="D639" s="620"/>
      <c r="E639" s="621"/>
      <c r="F639" s="647"/>
      <c r="G639" s="671" t="s">
        <v>538</v>
      </c>
      <c r="H639" s="645">
        <f>+ROUND(H637+H638,0)</f>
        <v>1124591703</v>
      </c>
    </row>
    <row r="640" spans="1:12" s="625" customFormat="1" ht="15" customHeight="1" thickTop="1">
      <c r="A640" s="1236"/>
      <c r="B640" s="619"/>
      <c r="C640" s="619"/>
      <c r="D640" s="620"/>
      <c r="E640" s="621"/>
      <c r="F640" s="647"/>
      <c r="G640" s="643"/>
      <c r="H640" s="646"/>
    </row>
    <row r="641" spans="1:10" s="625" customFormat="1" ht="13.5" thickBot="1">
      <c r="A641" s="1237"/>
      <c r="B641" s="627"/>
      <c r="C641" s="626" t="s">
        <v>635</v>
      </c>
      <c r="D641" s="626"/>
      <c r="E641" s="627"/>
      <c r="F641" s="626"/>
      <c r="G641" s="691"/>
      <c r="H641" s="629"/>
    </row>
    <row r="642" spans="1:10" s="625" customFormat="1" ht="15" customHeight="1" thickTop="1">
      <c r="A642" s="1231" t="s">
        <v>603</v>
      </c>
      <c r="B642" s="631" t="str">
        <f t="shared" ref="B642:B652" si="71">MID(A642,1,3)&amp;"-"&amp;13</f>
        <v>330-13</v>
      </c>
      <c r="C642" s="631"/>
      <c r="D642" s="657" t="str">
        <f>VLOOKUP(A642,[33]INDICE!$A$3:$D$334,2,FALSE)</f>
        <v>BASE GRANULAR PARA BACHEO CLASE A</v>
      </c>
      <c r="E642" s="649" t="str">
        <f>VLOOKUP(A642,[33]INDICE!$A$3:$D$334,3,FALSE)</f>
        <v>m3</v>
      </c>
      <c r="F642" s="694">
        <v>4</v>
      </c>
      <c r="G642" s="688">
        <f>VLOOKUP(A642,[33]INDICE!$A$3:$D$334,4,FALSE)</f>
        <v>388123.88712339668</v>
      </c>
      <c r="H642" s="652">
        <f t="shared" ref="H642:H652" si="72">F642*G642</f>
        <v>1552495.5484935867</v>
      </c>
      <c r="J642" s="625">
        <v>330.4</v>
      </c>
    </row>
    <row r="643" spans="1:10" s="625" customFormat="1" ht="26.1" customHeight="1">
      <c r="A643" s="1231" t="s">
        <v>574</v>
      </c>
      <c r="B643" s="631" t="str">
        <f t="shared" si="71"/>
        <v>450-13</v>
      </c>
      <c r="C643" s="631"/>
      <c r="D643" s="657" t="str">
        <f>VLOOKUP(A643,[33]INDICE!$A$3:$D$334,2,FALSE)</f>
        <v>Mezcla Densa en Caliente tipo MDC-19 INCLUYE TRANSPORTE</v>
      </c>
      <c r="E643" s="649" t="str">
        <f>VLOOKUP(A643,[33]INDICE!$A$3:$D$334,3,FALSE)</f>
        <v>M3</v>
      </c>
      <c r="F643" s="694">
        <v>8</v>
      </c>
      <c r="G643" s="688">
        <f>VLOOKUP(A643,[33]INDICE!$A$3:$D$334,4,FALSE)</f>
        <v>1299990.5178796239</v>
      </c>
      <c r="H643" s="652">
        <f t="shared" si="72"/>
        <v>10399924.143036991</v>
      </c>
      <c r="J643" s="625" t="s">
        <v>575</v>
      </c>
    </row>
    <row r="644" spans="1:10" s="625" customFormat="1" ht="48.95" customHeight="1">
      <c r="A644" s="1231" t="s">
        <v>604</v>
      </c>
      <c r="B644" s="631" t="str">
        <f t="shared" si="71"/>
        <v>465-13</v>
      </c>
      <c r="C644" s="631"/>
      <c r="D644" s="657" t="str">
        <f>VLOOKUP(A644,[33]INDICE!$A$3:$D$334,2,FALSE)</f>
        <v>EXCAVACIÓN PARA REPARACIÓN DE PAVIMENTO ASFÁLTICO EXISTENTE INCLUYENDO EL CORTE Y LA REMOCIÒN DE LAS CAPAS ASFALTICAS SUBYACENTES</v>
      </c>
      <c r="E644" s="649" t="str">
        <f>VLOOKUP(A644,[33]INDICE!$A$3:$D$334,3,FALSE)</f>
        <v>m3</v>
      </c>
      <c r="F644" s="694">
        <v>8</v>
      </c>
      <c r="G644" s="688">
        <f>VLOOKUP(A644,[33]INDICE!$A$3:$D$334,4,FALSE)</f>
        <v>152185.3287895511</v>
      </c>
      <c r="H644" s="652">
        <f t="shared" si="72"/>
        <v>1217482.6303164088</v>
      </c>
      <c r="J644" s="625">
        <v>465.1</v>
      </c>
    </row>
    <row r="645" spans="1:10" s="625" customFormat="1" ht="15" customHeight="1">
      <c r="A645" s="1231" t="s">
        <v>540</v>
      </c>
      <c r="B645" s="631" t="str">
        <f t="shared" si="71"/>
        <v>600-13</v>
      </c>
      <c r="C645" s="631"/>
      <c r="D645" s="657" t="str">
        <f>VLOOKUP(A645,[33]INDICE!$A$3:$D$334,2,FALSE)</f>
        <v>EXCAVACIONES VARIAS SIN CLASIFICAR</v>
      </c>
      <c r="E645" s="649" t="str">
        <f>VLOOKUP(A645,[33]INDICE!$A$3:$D$334,3,FALSE)</f>
        <v>m3</v>
      </c>
      <c r="F645" s="654">
        <f>20*2</f>
        <v>40</v>
      </c>
      <c r="G645" s="688">
        <f>VLOOKUP(A645,[33]INDICE!$A$3:$D$334,4,FALSE)</f>
        <v>67953.950275344076</v>
      </c>
      <c r="H645" s="652">
        <f t="shared" si="72"/>
        <v>2718158.011013763</v>
      </c>
      <c r="J645" s="625" t="s">
        <v>541</v>
      </c>
    </row>
    <row r="646" spans="1:10" s="625" customFormat="1" ht="15" customHeight="1">
      <c r="A646" s="1231" t="s">
        <v>544</v>
      </c>
      <c r="B646" s="631" t="str">
        <f t="shared" si="71"/>
        <v>610-13</v>
      </c>
      <c r="C646" s="631"/>
      <c r="D646" s="657" t="str">
        <f>VLOOKUP(A646,[33]INDICE!$A$3:$D$334,2,FALSE)</f>
        <v>RELLENOS PARA ESTRUCTURAS CON SUELO.</v>
      </c>
      <c r="E646" s="649" t="str">
        <f>VLOOKUP(A646,[33]INDICE!$A$3:$D$334,3,FALSE)</f>
        <v>m3</v>
      </c>
      <c r="F646" s="655">
        <f>4.2*20</f>
        <v>84</v>
      </c>
      <c r="G646" s="688">
        <f>VLOOKUP(A646,[33]INDICE!$A$3:$D$334,4,FALSE)</f>
        <v>164362.8922747685</v>
      </c>
      <c r="H646" s="652">
        <f t="shared" si="72"/>
        <v>13806482.951080553</v>
      </c>
      <c r="J646" s="625">
        <v>610.1</v>
      </c>
    </row>
    <row r="647" spans="1:10" s="625" customFormat="1" ht="25.5" customHeight="1">
      <c r="A647" s="1231" t="s">
        <v>593</v>
      </c>
      <c r="B647" s="631" t="str">
        <f t="shared" si="71"/>
        <v>621-13</v>
      </c>
      <c r="C647" s="656" t="s">
        <v>557</v>
      </c>
      <c r="D647" s="657" t="str">
        <f>VLOOKUP(A647,[33]INDICE!$A$3:$D$334,2,FALSE)</f>
        <v>PILOTE DE CONCRETO VACIADO IN SITU, DE DIÁMETRO 1 M_</v>
      </c>
      <c r="E647" s="649" t="str">
        <f>VLOOKUP(A647,[33]INDICE!$A$3:$D$334,3,FALSE)</f>
        <v>m</v>
      </c>
      <c r="F647" s="654">
        <f>(20/3+1)*12</f>
        <v>92</v>
      </c>
      <c r="G647" s="688">
        <f>VLOOKUP(A647,[33]INDICE!$A$3:$D$334,4,FALSE)</f>
        <v>2541005.3171792314</v>
      </c>
      <c r="H647" s="652">
        <f t="shared" si="72"/>
        <v>233772489.1804893</v>
      </c>
      <c r="J647" s="625">
        <v>621.1</v>
      </c>
    </row>
    <row r="648" spans="1:10" s="625" customFormat="1" ht="15" customHeight="1">
      <c r="A648" s="1231" t="s">
        <v>553</v>
      </c>
      <c r="B648" s="631" t="str">
        <f t="shared" si="71"/>
        <v>630-13</v>
      </c>
      <c r="C648" s="631"/>
      <c r="D648" s="657" t="str">
        <f>VLOOKUP(A648,[33]INDICE!$A$3:$D$334,2,FALSE)</f>
        <v>CONCRETO RESISTENCIA 21MPA (D)</v>
      </c>
      <c r="E648" s="649" t="str">
        <f>VLOOKUP(A648,[33]INDICE!$A$3:$D$334,3,FALSE)</f>
        <v>m3</v>
      </c>
      <c r="F648" s="655">
        <f>1.3*20</f>
        <v>26</v>
      </c>
      <c r="G648" s="688">
        <f>VLOOKUP(A648,[33]INDICE!$A$3:$D$334,4,FALSE)</f>
        <v>871855.23056364793</v>
      </c>
      <c r="H648" s="652">
        <f t="shared" si="72"/>
        <v>22668235.994654845</v>
      </c>
      <c r="J648" s="658">
        <v>630.4</v>
      </c>
    </row>
    <row r="649" spans="1:10" s="625" customFormat="1" ht="15" customHeight="1">
      <c r="A649" s="1231" t="s">
        <v>554</v>
      </c>
      <c r="B649" s="631" t="str">
        <f t="shared" si="71"/>
        <v>640-13</v>
      </c>
      <c r="C649" s="631"/>
      <c r="D649" s="657" t="str">
        <f>VLOOKUP(A649,[33]INDICE!$A$3:$D$334,2,FALSE)</f>
        <v>ACERO DE REFUERZO FY 4200 MPA.</v>
      </c>
      <c r="E649" s="649" t="str">
        <f>VLOOKUP(A649,[33]INDICE!$A$3:$D$334,3,FALSE)</f>
        <v>kg</v>
      </c>
      <c r="F649" s="654">
        <v>1726</v>
      </c>
      <c r="G649" s="688">
        <f>VLOOKUP(A649,[33]INDICE!$A$3:$D$334,4,FALSE)</f>
        <v>6085.8496982034649</v>
      </c>
      <c r="H649" s="652">
        <f t="shared" si="72"/>
        <v>10504176.57909918</v>
      </c>
      <c r="J649" s="625">
        <v>640.1</v>
      </c>
    </row>
    <row r="650" spans="1:10" s="625" customFormat="1" ht="26.1" customHeight="1">
      <c r="A650" s="1231" t="s">
        <v>559</v>
      </c>
      <c r="B650" s="631" t="str">
        <f t="shared" si="71"/>
        <v>671-13</v>
      </c>
      <c r="C650" s="631"/>
      <c r="D650" s="657" t="str">
        <f>VLOOKUP(A650,[33]INDICE!$A$3:$D$334,2,FALSE)</f>
        <v>CUNETA DE CONCRETO VACIADA IN SITU; INCLUYE LA CONFORMACION DE LA SUPERFICIE DE APOYO</v>
      </c>
      <c r="E650" s="649" t="str">
        <f>VLOOKUP(A650,[33]INDICE!$A$3:$D$334,3,FALSE)</f>
        <v>m3</v>
      </c>
      <c r="F650" s="655">
        <v>3</v>
      </c>
      <c r="G650" s="688">
        <f>VLOOKUP(A650,[33]INDICE!$A$3:$D$334,4,FALSE)</f>
        <v>841791.75196838728</v>
      </c>
      <c r="H650" s="652">
        <f t="shared" si="72"/>
        <v>2525375.2559051616</v>
      </c>
      <c r="J650" s="625">
        <v>671.3</v>
      </c>
    </row>
    <row r="651" spans="1:10" s="625" customFormat="1" ht="15" customHeight="1">
      <c r="A651" s="1231" t="s">
        <v>548</v>
      </c>
      <c r="B651" s="631" t="str">
        <f t="shared" si="71"/>
        <v>673-13</v>
      </c>
      <c r="C651" s="631"/>
      <c r="D651" s="657" t="str">
        <f>VLOOKUP(A651,[33]INDICE!$A$3:$D$334,2,FALSE)</f>
        <v>GEOTEXTIL  TIPO T-2400 O SIMILAR TEJIDO</v>
      </c>
      <c r="E651" s="649" t="str">
        <f>VLOOKUP(A651,[33]INDICE!$A$3:$D$334,3,FALSE)</f>
        <v>m2</v>
      </c>
      <c r="F651" s="654">
        <f>2.4*20</f>
        <v>48</v>
      </c>
      <c r="G651" s="688">
        <f>VLOOKUP(A651,[33]INDICE!$A$3:$D$334,4,FALSE)</f>
        <v>10983.835173625577</v>
      </c>
      <c r="H651" s="652">
        <f t="shared" si="72"/>
        <v>527224.08833402768</v>
      </c>
      <c r="J651" s="625">
        <v>673.1</v>
      </c>
    </row>
    <row r="652" spans="1:10" s="625" customFormat="1" ht="15" customHeight="1" thickBot="1">
      <c r="A652" s="1231" t="s">
        <v>560</v>
      </c>
      <c r="B652" s="631" t="str">
        <f t="shared" si="71"/>
        <v>673-13</v>
      </c>
      <c r="C652" s="631"/>
      <c r="D652" s="657" t="str">
        <f>VLOOKUP(A652,[33]INDICE!$A$3:$D$334,2,FALSE)</f>
        <v>MATERIAL GRANULAR DRENANTE</v>
      </c>
      <c r="E652" s="649" t="str">
        <f>VLOOKUP(A652,[33]INDICE!$A$3:$D$334,3,FALSE)</f>
        <v>m3</v>
      </c>
      <c r="F652" s="655">
        <v>15</v>
      </c>
      <c r="G652" s="688">
        <f>VLOOKUP(A652,[33]INDICE!$A$3:$D$334,4,FALSE)</f>
        <v>84364.417561781069</v>
      </c>
      <c r="H652" s="652">
        <f t="shared" si="72"/>
        <v>1265466.263426716</v>
      </c>
      <c r="J652" s="625">
        <v>673.2</v>
      </c>
    </row>
    <row r="653" spans="1:10" s="625" customFormat="1" ht="15" customHeight="1" thickTop="1">
      <c r="A653" s="1234"/>
      <c r="B653" s="637"/>
      <c r="C653" s="637"/>
      <c r="D653" s="638"/>
      <c r="E653" s="659"/>
      <c r="F653" s="660"/>
      <c r="G653" s="670" t="s">
        <v>536</v>
      </c>
      <c r="H653" s="640">
        <f>SUM(H642:H652)</f>
        <v>300957510.64585054</v>
      </c>
    </row>
    <row r="654" spans="1:10" s="625" customFormat="1" ht="15" customHeight="1">
      <c r="A654" s="1235"/>
      <c r="B654" s="641"/>
      <c r="C654" s="641"/>
      <c r="D654" s="642"/>
      <c r="E654" s="621"/>
      <c r="F654" s="647"/>
      <c r="G654" s="671" t="s">
        <v>537</v>
      </c>
      <c r="H654" s="644">
        <f>SUM(H653:H653)*0.05*0.19/1.3</f>
        <v>2199304.8854889078</v>
      </c>
    </row>
    <row r="655" spans="1:10" s="625" customFormat="1" ht="15" customHeight="1" thickBot="1">
      <c r="A655" s="1236"/>
      <c r="B655" s="619"/>
      <c r="C655" s="619"/>
      <c r="D655" s="620"/>
      <c r="E655" s="621"/>
      <c r="F655" s="647"/>
      <c r="G655" s="671" t="s">
        <v>538</v>
      </c>
      <c r="H655" s="645">
        <f>+ROUND(H653+H654,0)</f>
        <v>303156816</v>
      </c>
    </row>
    <row r="656" spans="1:10" s="625" customFormat="1" ht="13.5" thickTop="1">
      <c r="A656" s="1236"/>
      <c r="B656" s="619"/>
      <c r="C656" s="619"/>
      <c r="D656" s="620"/>
      <c r="E656" s="621"/>
      <c r="F656" s="647"/>
      <c r="G656" s="643"/>
      <c r="H656" s="624"/>
    </row>
    <row r="657" spans="1:10" s="625" customFormat="1" ht="15" customHeight="1">
      <c r="A657" s="1236"/>
      <c r="B657" s="619"/>
      <c r="C657" s="619"/>
      <c r="D657" s="620"/>
      <c r="E657" s="621"/>
      <c r="F657" s="622"/>
      <c r="G657" s="622"/>
      <c r="H657" s="624"/>
    </row>
    <row r="658" spans="1:10" s="625" customFormat="1" ht="15" customHeight="1">
      <c r="A658" s="1242" t="s">
        <v>636</v>
      </c>
      <c r="B658" s="619"/>
      <c r="C658" s="619"/>
      <c r="D658" s="620"/>
      <c r="E658" s="621"/>
      <c r="F658" s="622"/>
      <c r="G658" s="622"/>
      <c r="H658" s="624"/>
    </row>
    <row r="659" spans="1:10" s="625" customFormat="1" ht="15" customHeight="1">
      <c r="A659" s="1243"/>
      <c r="B659" s="619"/>
      <c r="C659" s="619"/>
      <c r="D659" s="620"/>
      <c r="E659" s="621"/>
      <c r="F659" s="622"/>
      <c r="G659" s="622"/>
      <c r="H659" s="624"/>
    </row>
    <row r="660" spans="1:10" s="625" customFormat="1" ht="15" customHeight="1" thickBot="1">
      <c r="A660" s="1237"/>
      <c r="B660" s="627"/>
      <c r="C660" s="626" t="s">
        <v>637</v>
      </c>
      <c r="D660" s="626"/>
      <c r="E660" s="627"/>
      <c r="F660" s="626"/>
      <c r="G660" s="691"/>
      <c r="H660" s="629"/>
    </row>
    <row r="661" spans="1:10" s="625" customFormat="1" ht="15" customHeight="1" thickTop="1">
      <c r="A661" s="1240" t="s">
        <v>638</v>
      </c>
      <c r="B661" s="665" t="str">
        <f>MID(A661,1,3)&amp;"-"&amp;13</f>
        <v>201-13</v>
      </c>
      <c r="C661" s="715"/>
      <c r="D661" s="657" t="str">
        <f>VLOOKUP(A661,[33]INDICE!$A$3:$D$334,2,FALSE)</f>
        <v>DEMOLICIÓN DE PAVIMENTOS RÍGIDOS</v>
      </c>
      <c r="E661" s="649" t="str">
        <f>VLOOKUP(A661,[33]INDICE!$A$3:$D$334,3,FALSE)</f>
        <v>m2</v>
      </c>
      <c r="F661" s="666">
        <f>1.2*8</f>
        <v>9.6</v>
      </c>
      <c r="G661" s="726">
        <f>VLOOKUP(A661,[33]INDICE!$A$3:$D$334,4,FALSE)</f>
        <v>35907.63070329644</v>
      </c>
      <c r="H661" s="667">
        <f t="shared" ref="H661:H671" si="73">F661*G661</f>
        <v>344713.25475164579</v>
      </c>
      <c r="J661" s="625">
        <v>201.8</v>
      </c>
    </row>
    <row r="662" spans="1:10" s="625" customFormat="1" ht="15" customHeight="1">
      <c r="A662" s="1231" t="s">
        <v>552</v>
      </c>
      <c r="B662" s="631" t="str">
        <f t="shared" ref="B662:B671" si="74">MID(A662,1,3)&amp;"-"&amp;13</f>
        <v>201-13</v>
      </c>
      <c r="C662" s="631"/>
      <c r="D662" s="657" t="str">
        <f>VLOOKUP(A662,[33]INDICE!$A$3:$D$334,2,FALSE)</f>
        <v>DEMOLICIÓN DE ESTRUCTURAS</v>
      </c>
      <c r="E662" s="649" t="str">
        <f>VLOOKUP(A662,[33]INDICE!$A$3:$D$334,3,FALSE)</f>
        <v>m3</v>
      </c>
      <c r="F662" s="650">
        <f>2*(1.4*0.2*1.5+1*0.2*1.5)+1*1*0.15+3*(2*0.4*1.5)</f>
        <v>5.19</v>
      </c>
      <c r="G662" s="726">
        <f>VLOOKUP(A662,[33]INDICE!$A$3:$D$334,4,FALSE)</f>
        <v>240341.82659000819</v>
      </c>
      <c r="H662" s="652">
        <f>F662*G662</f>
        <v>1247374.0800021426</v>
      </c>
      <c r="J662" s="625">
        <v>201.7</v>
      </c>
    </row>
    <row r="663" spans="1:10" s="625" customFormat="1" ht="15" customHeight="1">
      <c r="A663" s="1231" t="s">
        <v>558</v>
      </c>
      <c r="B663" s="631" t="str">
        <f t="shared" si="74"/>
        <v>330-13</v>
      </c>
      <c r="C663" s="689"/>
      <c r="D663" s="657" t="str">
        <f>VLOOKUP(A663,[33]INDICE!$A$3:$D$334,2,FALSE)</f>
        <v>BASE GRANULAR CLASE A</v>
      </c>
      <c r="E663" s="649" t="str">
        <f>VLOOKUP(A663,[33]INDICE!$A$3:$D$334,3,FALSE)</f>
        <v>m3</v>
      </c>
      <c r="F663" s="655">
        <f>11*1.2*0.2</f>
        <v>2.64</v>
      </c>
      <c r="G663" s="726">
        <f>VLOOKUP(A663,[33]INDICE!$A$3:$D$334,4,FALSE)</f>
        <v>375353.93049818149</v>
      </c>
      <c r="H663" s="652">
        <f>F663*G663</f>
        <v>990934.3765151992</v>
      </c>
      <c r="J663" s="625">
        <v>330.1</v>
      </c>
    </row>
    <row r="664" spans="1:10" s="625" customFormat="1" ht="15" customHeight="1">
      <c r="A664" s="1231" t="s">
        <v>639</v>
      </c>
      <c r="B664" s="631" t="str">
        <f t="shared" si="74"/>
        <v>500-13</v>
      </c>
      <c r="C664" s="716"/>
      <c r="D664" s="657" t="str">
        <f>VLOOKUP(A664,[33]INDICE!$A$3:$D$334,2,FALSE)</f>
        <v>PAVIMENTO DE CONCRETO HIDRÁULICO.</v>
      </c>
      <c r="E664" s="649" t="str">
        <f>VLOOKUP(A664,[33]INDICE!$A$3:$D$334,3,FALSE)</f>
        <v>m3</v>
      </c>
      <c r="F664" s="655">
        <f>8*1.2*0.2</f>
        <v>1.92</v>
      </c>
      <c r="G664" s="726">
        <f>VLOOKUP(A664,[33]INDICE!$A$3:$D$334,4,FALSE)</f>
        <v>780147.21001257375</v>
      </c>
      <c r="H664" s="652">
        <f>F664*G664</f>
        <v>1497882.6432241416</v>
      </c>
      <c r="J664" s="625">
        <v>500.1</v>
      </c>
    </row>
    <row r="665" spans="1:10" s="625" customFormat="1" ht="26.1" customHeight="1">
      <c r="A665" s="1231" t="s">
        <v>540</v>
      </c>
      <c r="B665" s="631" t="str">
        <f t="shared" si="74"/>
        <v>600-13</v>
      </c>
      <c r="C665" s="631"/>
      <c r="D665" s="657" t="str">
        <f>VLOOKUP(A665,[33]INDICE!$A$3:$D$334,2,FALSE)</f>
        <v>EXCAVACIONES VARIAS SIN CLASIFICAR</v>
      </c>
      <c r="E665" s="649" t="str">
        <f>VLOOKUP(A665,[33]INDICE!$A$3:$D$334,3,FALSE)</f>
        <v>m3</v>
      </c>
      <c r="F665" s="654">
        <f>11*1.2*1+5</f>
        <v>18.2</v>
      </c>
      <c r="G665" s="726">
        <f>VLOOKUP(A665,[33]INDICE!$A$3:$D$334,4,FALSE)</f>
        <v>67953.950275344076</v>
      </c>
      <c r="H665" s="652">
        <f t="shared" si="73"/>
        <v>1236761.895011262</v>
      </c>
      <c r="J665" s="625" t="s">
        <v>541</v>
      </c>
    </row>
    <row r="666" spans="1:10" s="625" customFormat="1" ht="15" customHeight="1">
      <c r="A666" s="1232" t="s">
        <v>544</v>
      </c>
      <c r="B666" s="632" t="str">
        <f t="shared" si="74"/>
        <v>610-13</v>
      </c>
      <c r="C666" s="632"/>
      <c r="D666" s="657" t="str">
        <f>VLOOKUP(A666,[33]INDICE!$A$3:$D$334,2,FALSE)</f>
        <v>RELLENOS PARA ESTRUCTURAS CON SUELO.</v>
      </c>
      <c r="E666" s="649" t="str">
        <f>VLOOKUP(A666,[33]INDICE!$A$3:$D$334,3,FALSE)</f>
        <v>m3</v>
      </c>
      <c r="F666" s="653">
        <f>11*1.2*1+4</f>
        <v>17.2</v>
      </c>
      <c r="G666" s="726">
        <f>VLOOKUP(A666,[33]INDICE!$A$3:$D$334,4,FALSE)</f>
        <v>164362.8922747685</v>
      </c>
      <c r="H666" s="636">
        <f>F666*G666</f>
        <v>2827041.7471260182</v>
      </c>
      <c r="J666" s="625">
        <v>610.1</v>
      </c>
    </row>
    <row r="667" spans="1:10" s="625" customFormat="1" ht="26.1" customHeight="1">
      <c r="A667" s="1231" t="s">
        <v>545</v>
      </c>
      <c r="B667" s="631" t="str">
        <f t="shared" si="74"/>
        <v>630-13</v>
      </c>
      <c r="C667" s="631"/>
      <c r="D667" s="657" t="str">
        <f>VLOOKUP(A667,[33]INDICE!$A$3:$D$334,2,FALSE)</f>
        <v>CONCRETO RESISTENCIA 17.5MPA (E )</v>
      </c>
      <c r="E667" s="649" t="str">
        <f>VLOOKUP(A667,[33]INDICE!$A$3:$D$334,3,FALSE)</f>
        <v>m3</v>
      </c>
      <c r="F667" s="655">
        <f>2*(1.8*0.2*2+1.4*0.2*2)+1.4*1.4*0.2+3*(2*1.8*0.4)+(1.8+3.6)/2*0.2*1.5+11*0.15*1.2</f>
        <v>10.062000000000001</v>
      </c>
      <c r="G667" s="726">
        <f>VLOOKUP(A667,[33]INDICE!$A$3:$D$334,4,FALSE)</f>
        <v>735031.04931538599</v>
      </c>
      <c r="H667" s="652">
        <f t="shared" si="73"/>
        <v>7395882.4182114145</v>
      </c>
      <c r="J667" s="625">
        <v>630.5</v>
      </c>
    </row>
    <row r="668" spans="1:10" s="625" customFormat="1" ht="28.5" customHeight="1">
      <c r="A668" s="1231" t="s">
        <v>546</v>
      </c>
      <c r="B668" s="631" t="str">
        <f t="shared" si="74"/>
        <v>630-13</v>
      </c>
      <c r="C668" s="631"/>
      <c r="D668" s="657" t="str">
        <f>VLOOKUP(A668,[33]INDICE!$A$3:$D$334,2,FALSE)</f>
        <v>CONCRETO RESISTENCIA 14MPA (G) (CICLOPEO)</v>
      </c>
      <c r="E668" s="649" t="str">
        <f>VLOOKUP(A668,[33]INDICE!$A$3:$D$334,3,FALSE)</f>
        <v>m3</v>
      </c>
      <c r="F668" s="668">
        <f>1.2*11*0.15</f>
        <v>1.9799999999999998</v>
      </c>
      <c r="G668" s="726">
        <f>VLOOKUP(A668,[33]INDICE!$A$3:$D$334,4,FALSE)</f>
        <v>530138.01220093726</v>
      </c>
      <c r="H668" s="652">
        <f t="shared" si="73"/>
        <v>1049673.2641578557</v>
      </c>
      <c r="J668" s="625">
        <v>630.70000000000005</v>
      </c>
    </row>
    <row r="669" spans="1:10" s="625" customFormat="1" ht="15" customHeight="1">
      <c r="A669" s="1231" t="s">
        <v>554</v>
      </c>
      <c r="B669" s="631" t="str">
        <f t="shared" si="74"/>
        <v>640-13</v>
      </c>
      <c r="C669" s="631"/>
      <c r="D669" s="657" t="str">
        <f>VLOOKUP(A669,[33]INDICE!$A$3:$D$334,2,FALSE)</f>
        <v>ACERO DE REFUERZO FY 4200 MPA.</v>
      </c>
      <c r="E669" s="649" t="str">
        <f>VLOOKUP(A669,[33]INDICE!$A$3:$D$334,3,FALSE)</f>
        <v>kg</v>
      </c>
      <c r="F669" s="654">
        <f>F667*105</f>
        <v>1056.5100000000002</v>
      </c>
      <c r="G669" s="726">
        <f>VLOOKUP(A669,[33]INDICE!$A$3:$D$334,4,FALSE)</f>
        <v>6085.8496982034649</v>
      </c>
      <c r="H669" s="652">
        <f t="shared" si="73"/>
        <v>6429761.064648944</v>
      </c>
      <c r="J669" s="625">
        <v>640.1</v>
      </c>
    </row>
    <row r="670" spans="1:10" s="625" customFormat="1" ht="15" customHeight="1">
      <c r="A670" s="1231" t="s">
        <v>605</v>
      </c>
      <c r="B670" s="631" t="str">
        <f t="shared" si="74"/>
        <v>661-13</v>
      </c>
      <c r="C670" s="631"/>
      <c r="D670" s="657" t="str">
        <f>VLOOKUP(A670,[33]INDICE!$A$3:$D$334,2,FALSE)</f>
        <v>TUBERÍA DE CONCRETO REFORZADO  21 MPA DE 900 MM DE DIAMETRO INTERIOR</v>
      </c>
      <c r="E670" s="649" t="str">
        <f>VLOOKUP(A670,[33]INDICE!$A$3:$D$334,3,FALSE)</f>
        <v>m</v>
      </c>
      <c r="F670" s="650">
        <v>11</v>
      </c>
      <c r="G670" s="726">
        <f>VLOOKUP(A670,[33]INDICE!$A$3:$D$334,4,FALSE)</f>
        <v>689897.64607454219</v>
      </c>
      <c r="H670" s="652">
        <f>F670*G670</f>
        <v>7588874.106819964</v>
      </c>
      <c r="J670" s="625">
        <v>661.1</v>
      </c>
    </row>
    <row r="671" spans="1:10" s="625" customFormat="1" ht="15" customHeight="1" thickBot="1">
      <c r="A671" s="1231" t="s">
        <v>559</v>
      </c>
      <c r="B671" s="672" t="str">
        <f t="shared" si="74"/>
        <v>671-13</v>
      </c>
      <c r="C671" s="672"/>
      <c r="D671" s="676" t="str">
        <f>VLOOKUP(A671,[33]INDICE!$A$3:$D$334,2,FALSE)</f>
        <v>CUNETA DE CONCRETO VACIADA IN SITU; INCLUYE LA CONFORMACION DE LA SUPERFICIE DE APOYO</v>
      </c>
      <c r="E671" s="677" t="str">
        <f>VLOOKUP(A671,[33]INDICE!$A$3:$D$334,3,FALSE)</f>
        <v>m3</v>
      </c>
      <c r="F671" s="663">
        <f>4*0.138</f>
        <v>0.55200000000000005</v>
      </c>
      <c r="G671" s="924">
        <f>VLOOKUP(A671,[33]INDICE!$A$3:$D$334,4,FALSE)</f>
        <v>841791.75196838728</v>
      </c>
      <c r="H671" s="679">
        <f t="shared" si="73"/>
        <v>464669.04708654981</v>
      </c>
      <c r="J671" s="625">
        <v>671.3</v>
      </c>
    </row>
    <row r="672" spans="1:10" s="625" customFormat="1" ht="15" customHeight="1" thickTop="1">
      <c r="A672" s="1234"/>
      <c r="B672" s="641"/>
      <c r="C672" s="641"/>
      <c r="D672" s="680"/>
      <c r="E672" s="621"/>
      <c r="G672" s="643" t="s">
        <v>536</v>
      </c>
      <c r="H672" s="681">
        <f>SUM(H661:H671)</f>
        <v>31073567.897555135</v>
      </c>
    </row>
    <row r="673" spans="1:10" s="625" customFormat="1">
      <c r="A673" s="1235"/>
      <c r="B673" s="641"/>
      <c r="C673" s="641"/>
      <c r="D673" s="642"/>
      <c r="E673" s="621"/>
      <c r="G673" s="643" t="s">
        <v>537</v>
      </c>
      <c r="H673" s="644">
        <f>SUM(H672:H672)*0.05*0.19/1.3</f>
        <v>227076.0730975183</v>
      </c>
    </row>
    <row r="674" spans="1:10" s="625" customFormat="1" ht="15" customHeight="1" thickBot="1">
      <c r="A674" s="1236"/>
      <c r="B674" s="619"/>
      <c r="C674" s="619"/>
      <c r="D674" s="620"/>
      <c r="E674" s="621"/>
      <c r="G674" s="643" t="s">
        <v>538</v>
      </c>
      <c r="H674" s="645">
        <f>+ROUND(H672+H673,0)</f>
        <v>31300644</v>
      </c>
    </row>
    <row r="675" spans="1:10" s="625" customFormat="1" ht="26.1" customHeight="1" thickTop="1">
      <c r="A675" s="1236"/>
      <c r="B675" s="619"/>
      <c r="C675" s="619"/>
      <c r="D675" s="620"/>
      <c r="E675" s="621"/>
      <c r="F675" s="622"/>
      <c r="G675" s="623"/>
      <c r="H675" s="624"/>
    </row>
    <row r="676" spans="1:10" s="625" customFormat="1" ht="48.95" customHeight="1" thickBot="1">
      <c r="A676" s="1237"/>
      <c r="B676" s="627"/>
      <c r="C676" s="626" t="s">
        <v>640</v>
      </c>
      <c r="D676" s="626"/>
      <c r="E676" s="627"/>
      <c r="F676" s="626"/>
      <c r="G676" s="691"/>
      <c r="H676" s="629"/>
    </row>
    <row r="677" spans="1:10" s="625" customFormat="1" ht="15" customHeight="1" thickTop="1">
      <c r="A677" s="1232" t="s">
        <v>552</v>
      </c>
      <c r="B677" s="632" t="str">
        <f t="shared" ref="B677:B687" si="75">MID(A677,1,3)&amp;"-"&amp;13</f>
        <v>201-13</v>
      </c>
      <c r="C677" s="632"/>
      <c r="D677" s="657" t="str">
        <f>VLOOKUP(A677,[33]INDICE!$A$3:$D$334,2,FALSE)</f>
        <v>DEMOLICIÓN DE ESTRUCTURAS</v>
      </c>
      <c r="E677" s="649" t="str">
        <f>VLOOKUP(A677,[33]INDICE!$A$3:$D$334,3,FALSE)</f>
        <v>m3</v>
      </c>
      <c r="F677" s="662">
        <f>2*(1.4*0.2*1.5+1*0.2*1.5)+1*1*0.15+3*(2*0.4*1.5)</f>
        <v>5.19</v>
      </c>
      <c r="G677" s="726">
        <f>VLOOKUP(A677,[33]INDICE!$A$3:$D$334,4,FALSE)</f>
        <v>240341.82659000819</v>
      </c>
      <c r="H677" s="636">
        <f>F677*G677</f>
        <v>1247374.0800021426</v>
      </c>
      <c r="J677" s="625">
        <v>201.7</v>
      </c>
    </row>
    <row r="678" spans="1:10" s="625" customFormat="1" ht="15" customHeight="1">
      <c r="A678" s="1231" t="s">
        <v>638</v>
      </c>
      <c r="B678" s="631" t="str">
        <f t="shared" si="75"/>
        <v>201-13</v>
      </c>
      <c r="C678" s="716"/>
      <c r="D678" s="657" t="str">
        <f>VLOOKUP(A678,[33]INDICE!$A$3:$D$334,2,FALSE)</f>
        <v>DEMOLICIÓN DE PAVIMENTOS RÍGIDOS</v>
      </c>
      <c r="E678" s="649" t="str">
        <f>VLOOKUP(A678,[33]INDICE!$A$3:$D$334,3,FALSE)</f>
        <v>m2</v>
      </c>
      <c r="F678" s="654">
        <f>1.2*8</f>
        <v>9.6</v>
      </c>
      <c r="G678" s="726">
        <f>VLOOKUP(A678,[33]INDICE!$A$3:$D$334,4,FALSE)</f>
        <v>35907.63070329644</v>
      </c>
      <c r="H678" s="652">
        <f t="shared" ref="H678:H687" si="76">F678*G678</f>
        <v>344713.25475164579</v>
      </c>
      <c r="J678" s="625">
        <v>201.8</v>
      </c>
    </row>
    <row r="679" spans="1:10" s="625" customFormat="1" ht="25.5" customHeight="1">
      <c r="A679" s="1231" t="s">
        <v>558</v>
      </c>
      <c r="B679" s="631" t="str">
        <f t="shared" si="75"/>
        <v>330-13</v>
      </c>
      <c r="C679" s="689"/>
      <c r="D679" s="657" t="str">
        <f>VLOOKUP(A679,[33]INDICE!$A$3:$D$334,2,FALSE)</f>
        <v>BASE GRANULAR CLASE A</v>
      </c>
      <c r="E679" s="649" t="str">
        <f>VLOOKUP(A679,[33]INDICE!$A$3:$D$334,3,FALSE)</f>
        <v>m3</v>
      </c>
      <c r="F679" s="655">
        <f>17*1.2*0.2</f>
        <v>4.08</v>
      </c>
      <c r="G679" s="726">
        <f>VLOOKUP(A679,[33]INDICE!$A$3:$D$334,4,FALSE)</f>
        <v>375353.93049818149</v>
      </c>
      <c r="H679" s="652">
        <f>F679*G679</f>
        <v>1531444.0364325806</v>
      </c>
      <c r="J679" s="625">
        <v>330.1</v>
      </c>
    </row>
    <row r="680" spans="1:10" s="625" customFormat="1" ht="15" customHeight="1">
      <c r="A680" s="1231" t="s">
        <v>639</v>
      </c>
      <c r="B680" s="631" t="str">
        <f t="shared" si="75"/>
        <v>500-13</v>
      </c>
      <c r="C680" s="716"/>
      <c r="D680" s="657" t="str">
        <f>VLOOKUP(A680,[33]INDICE!$A$3:$D$334,2,FALSE)</f>
        <v>PAVIMENTO DE CONCRETO HIDRÁULICO.</v>
      </c>
      <c r="E680" s="649" t="str">
        <f>VLOOKUP(A680,[33]INDICE!$A$3:$D$334,3,FALSE)</f>
        <v>m3</v>
      </c>
      <c r="F680" s="655">
        <f>8*1.2*0.2</f>
        <v>1.92</v>
      </c>
      <c r="G680" s="726">
        <f>VLOOKUP(A680,[33]INDICE!$A$3:$D$334,4,FALSE)</f>
        <v>780147.21001257375</v>
      </c>
      <c r="H680" s="652">
        <f>F680*G680</f>
        <v>1497882.6432241416</v>
      </c>
      <c r="J680" s="625">
        <v>500.1</v>
      </c>
    </row>
    <row r="681" spans="1:10" s="625" customFormat="1" ht="15" customHeight="1">
      <c r="A681" s="1231" t="s">
        <v>540</v>
      </c>
      <c r="B681" s="631" t="str">
        <f t="shared" si="75"/>
        <v>600-13</v>
      </c>
      <c r="C681" s="631"/>
      <c r="D681" s="657" t="str">
        <f>VLOOKUP(A681,[33]INDICE!$A$3:$D$334,2,FALSE)</f>
        <v>EXCAVACIONES VARIAS SIN CLASIFICAR</v>
      </c>
      <c r="E681" s="649" t="str">
        <f>VLOOKUP(A681,[33]INDICE!$A$3:$D$334,3,FALSE)</f>
        <v>m3</v>
      </c>
      <c r="F681" s="654">
        <f>17*1.2*1+5</f>
        <v>25.4</v>
      </c>
      <c r="G681" s="726">
        <f>VLOOKUP(A681,[33]INDICE!$A$3:$D$334,4,FALSE)</f>
        <v>67953.950275344076</v>
      </c>
      <c r="H681" s="652">
        <f t="shared" si="76"/>
        <v>1726030.3369937395</v>
      </c>
      <c r="J681" s="625" t="s">
        <v>541</v>
      </c>
    </row>
    <row r="682" spans="1:10" s="625" customFormat="1" ht="26.1" customHeight="1">
      <c r="A682" s="1231" t="s">
        <v>544</v>
      </c>
      <c r="B682" s="631" t="str">
        <f t="shared" si="75"/>
        <v>610-13</v>
      </c>
      <c r="C682" s="631"/>
      <c r="D682" s="657" t="str">
        <f>VLOOKUP(A682,[33]INDICE!$A$3:$D$334,2,FALSE)</f>
        <v>RELLENOS PARA ESTRUCTURAS CON SUELO.</v>
      </c>
      <c r="E682" s="649" t="str">
        <f>VLOOKUP(A682,[33]INDICE!$A$3:$D$334,3,FALSE)</f>
        <v>m3</v>
      </c>
      <c r="F682" s="655">
        <f>17*1.2*1+4</f>
        <v>24.4</v>
      </c>
      <c r="G682" s="726">
        <f>VLOOKUP(A682,[33]INDICE!$A$3:$D$334,4,FALSE)</f>
        <v>164362.8922747685</v>
      </c>
      <c r="H682" s="652">
        <f>F682*G682</f>
        <v>4010454.5715043512</v>
      </c>
      <c r="J682" s="625">
        <v>610.1</v>
      </c>
    </row>
    <row r="683" spans="1:10" s="625" customFormat="1" ht="15" customHeight="1">
      <c r="A683" s="1231" t="s">
        <v>545</v>
      </c>
      <c r="B683" s="631" t="str">
        <f t="shared" si="75"/>
        <v>630-13</v>
      </c>
      <c r="C683" s="631"/>
      <c r="D683" s="657" t="str">
        <f>VLOOKUP(A683,[33]INDICE!$A$3:$D$334,2,FALSE)</f>
        <v>CONCRETO RESISTENCIA 17.5MPA (E )</v>
      </c>
      <c r="E683" s="649" t="str">
        <f>VLOOKUP(A683,[33]INDICE!$A$3:$D$334,3,FALSE)</f>
        <v>m3</v>
      </c>
      <c r="F683" s="655">
        <f>2*(1.8*0.2*2+1.4*0.2*2)+1.4*1.4*0.2+3*(2*1.8*0.4)+(1.8+3.6)/2*0.2*1.5+17*0.15*1.2</f>
        <v>11.141999999999999</v>
      </c>
      <c r="G683" s="726">
        <f>VLOOKUP(A683,[33]INDICE!$A$3:$D$334,4,FALSE)</f>
        <v>735031.04931538599</v>
      </c>
      <c r="H683" s="652">
        <f t="shared" si="76"/>
        <v>8189715.95147203</v>
      </c>
      <c r="J683" s="625">
        <v>630.5</v>
      </c>
    </row>
    <row r="684" spans="1:10" s="625" customFormat="1" ht="15" customHeight="1">
      <c r="A684" s="1231" t="s">
        <v>546</v>
      </c>
      <c r="B684" s="631" t="str">
        <f t="shared" si="75"/>
        <v>630-13</v>
      </c>
      <c r="C684" s="631"/>
      <c r="D684" s="657" t="str">
        <f>VLOOKUP(A684,[33]INDICE!$A$3:$D$334,2,FALSE)</f>
        <v>CONCRETO RESISTENCIA 14MPA (G) (CICLOPEO)</v>
      </c>
      <c r="E684" s="649" t="str">
        <f>VLOOKUP(A684,[33]INDICE!$A$3:$D$334,3,FALSE)</f>
        <v>m3</v>
      </c>
      <c r="F684" s="668">
        <f>1.2*17*0.15</f>
        <v>3.0599999999999996</v>
      </c>
      <c r="G684" s="726">
        <f>VLOOKUP(A684,[33]INDICE!$A$3:$D$334,4,FALSE)</f>
        <v>530138.01220093726</v>
      </c>
      <c r="H684" s="652">
        <f t="shared" si="76"/>
        <v>1622222.3173348678</v>
      </c>
      <c r="J684" s="625">
        <v>630.70000000000005</v>
      </c>
    </row>
    <row r="685" spans="1:10" s="625" customFormat="1" ht="15" customHeight="1">
      <c r="A685" s="1231" t="s">
        <v>554</v>
      </c>
      <c r="B685" s="631" t="str">
        <f t="shared" si="75"/>
        <v>640-13</v>
      </c>
      <c r="C685" s="631"/>
      <c r="D685" s="657" t="str">
        <f>VLOOKUP(A685,[33]INDICE!$A$3:$D$334,2,FALSE)</f>
        <v>ACERO DE REFUERZO FY 4200 MPA.</v>
      </c>
      <c r="E685" s="649" t="str">
        <f>VLOOKUP(A685,[33]INDICE!$A$3:$D$334,3,FALSE)</f>
        <v>kg</v>
      </c>
      <c r="F685" s="654">
        <f>F683*105</f>
        <v>1169.9099999999999</v>
      </c>
      <c r="G685" s="726">
        <f>VLOOKUP(A685,[33]INDICE!$A$3:$D$334,4,FALSE)</f>
        <v>6085.8496982034649</v>
      </c>
      <c r="H685" s="652">
        <f t="shared" si="76"/>
        <v>7119896.4204252148</v>
      </c>
      <c r="J685" s="625">
        <v>640.1</v>
      </c>
    </row>
    <row r="686" spans="1:10" s="625" customFormat="1" ht="15" customHeight="1">
      <c r="A686" s="1231" t="s">
        <v>605</v>
      </c>
      <c r="B686" s="631" t="str">
        <f t="shared" si="75"/>
        <v>661-13</v>
      </c>
      <c r="C686" s="631"/>
      <c r="D686" s="657" t="str">
        <f>VLOOKUP(A686,[33]INDICE!$A$3:$D$334,2,FALSE)</f>
        <v>TUBERÍA DE CONCRETO REFORZADO  21 MPA DE 900 MM DE DIAMETRO INTERIOR</v>
      </c>
      <c r="E686" s="649" t="str">
        <f>VLOOKUP(A686,[33]INDICE!$A$3:$D$334,3,FALSE)</f>
        <v>m</v>
      </c>
      <c r="F686" s="650">
        <v>17</v>
      </c>
      <c r="G686" s="726">
        <f>VLOOKUP(A686,[33]INDICE!$A$3:$D$334,4,FALSE)</f>
        <v>689897.64607454219</v>
      </c>
      <c r="H686" s="652">
        <f>F686*G686</f>
        <v>11728259.983267218</v>
      </c>
      <c r="J686" s="625">
        <v>661.1</v>
      </c>
    </row>
    <row r="687" spans="1:10" s="625" customFormat="1" ht="15" customHeight="1" thickBot="1">
      <c r="A687" s="1239" t="s">
        <v>559</v>
      </c>
      <c r="B687" s="672" t="str">
        <f t="shared" si="75"/>
        <v>671-13</v>
      </c>
      <c r="C687" s="672"/>
      <c r="D687" s="676" t="str">
        <f>VLOOKUP(A687,[33]INDICE!$A$3:$D$334,2,FALSE)</f>
        <v>CUNETA DE CONCRETO VACIADA IN SITU; INCLUYE LA CONFORMACION DE LA SUPERFICIE DE APOYO</v>
      </c>
      <c r="E687" s="677" t="str">
        <f>VLOOKUP(A687,[33]INDICE!$A$3:$D$334,3,FALSE)</f>
        <v>m3</v>
      </c>
      <c r="F687" s="663">
        <f>4*0.138</f>
        <v>0.55200000000000005</v>
      </c>
      <c r="G687" s="924">
        <f>VLOOKUP(A687,[33]INDICE!$A$3:$D$334,4,FALSE)</f>
        <v>841791.75196838728</v>
      </c>
      <c r="H687" s="679">
        <f t="shared" si="76"/>
        <v>464669.04708654981</v>
      </c>
      <c r="J687" s="625">
        <v>671.3</v>
      </c>
    </row>
    <row r="688" spans="1:10" s="625" customFormat="1" ht="15" customHeight="1" thickTop="1">
      <c r="A688" s="1235"/>
      <c r="B688" s="641"/>
      <c r="C688" s="641"/>
      <c r="D688" s="680"/>
      <c r="E688" s="621"/>
      <c r="G688" s="643" t="s">
        <v>536</v>
      </c>
      <c r="H688" s="681">
        <f>SUM(H677:H687)</f>
        <v>39482662.642494485</v>
      </c>
    </row>
    <row r="689" spans="1:10" s="625" customFormat="1" ht="15" customHeight="1">
      <c r="A689" s="1235"/>
      <c r="B689" s="641"/>
      <c r="C689" s="641"/>
      <c r="D689" s="642"/>
      <c r="E689" s="621"/>
      <c r="G689" s="643" t="s">
        <v>537</v>
      </c>
      <c r="H689" s="644">
        <f>SUM(H688:H688)*0.05*0.19/1.3</f>
        <v>288527.15007976739</v>
      </c>
    </row>
    <row r="690" spans="1:10" s="625" customFormat="1" ht="15" customHeight="1" thickBot="1">
      <c r="A690" s="1236"/>
      <c r="B690" s="619"/>
      <c r="C690" s="619"/>
      <c r="D690" s="620"/>
      <c r="E690" s="621"/>
      <c r="G690" s="643" t="s">
        <v>538</v>
      </c>
      <c r="H690" s="645">
        <f>+ROUND(H688+H689,0)</f>
        <v>39771190</v>
      </c>
    </row>
    <row r="691" spans="1:10" s="625" customFormat="1" ht="12.75" customHeight="1" thickTop="1">
      <c r="A691" s="1236"/>
      <c r="B691" s="619"/>
      <c r="C691" s="619"/>
      <c r="D691" s="620"/>
      <c r="E691" s="621"/>
      <c r="F691" s="622"/>
      <c r="G691" s="622"/>
      <c r="H691" s="624"/>
    </row>
    <row r="692" spans="1:10" s="625" customFormat="1" ht="15" customHeight="1" thickBot="1">
      <c r="A692" s="1237"/>
      <c r="B692" s="627"/>
      <c r="C692" s="626" t="s">
        <v>641</v>
      </c>
      <c r="D692" s="626"/>
      <c r="E692" s="627"/>
      <c r="F692" s="626"/>
      <c r="G692" s="691"/>
      <c r="H692" s="629"/>
    </row>
    <row r="693" spans="1:10" s="625" customFormat="1" ht="15" customHeight="1" thickTop="1">
      <c r="A693" s="1232" t="s">
        <v>552</v>
      </c>
      <c r="B693" s="632" t="str">
        <f t="shared" ref="B693:B703" si="77">MID(A693,1,3)&amp;"-"&amp;13</f>
        <v>201-13</v>
      </c>
      <c r="C693" s="632"/>
      <c r="D693" s="657" t="str">
        <f>VLOOKUP(A693,[33]INDICE!$A$3:$D$334,2,FALSE)</f>
        <v>DEMOLICIÓN DE ESTRUCTURAS</v>
      </c>
      <c r="E693" s="649" t="str">
        <f>VLOOKUP(A693,[33]INDICE!$A$3:$D$334,3,FALSE)</f>
        <v>m3</v>
      </c>
      <c r="F693" s="662">
        <f>2*(1.4*0.2*1.5+1*0.2*1.5)+1*1*0.15+3*(2*0.4*1.5)</f>
        <v>5.19</v>
      </c>
      <c r="G693" s="726">
        <f>VLOOKUP(A693,[33]INDICE!$A$3:$D$334,4,FALSE)</f>
        <v>240341.82659000819</v>
      </c>
      <c r="H693" s="636">
        <f>F693*G693</f>
        <v>1247374.0800021426</v>
      </c>
      <c r="J693" s="625">
        <v>201.7</v>
      </c>
    </row>
    <row r="694" spans="1:10" s="625" customFormat="1" ht="15" customHeight="1">
      <c r="A694" s="1231" t="s">
        <v>638</v>
      </c>
      <c r="B694" s="631" t="str">
        <f t="shared" si="77"/>
        <v>201-13</v>
      </c>
      <c r="C694" s="716"/>
      <c r="D694" s="657" t="str">
        <f>VLOOKUP(A694,[33]INDICE!$A$3:$D$334,2,FALSE)</f>
        <v>DEMOLICIÓN DE PAVIMENTOS RÍGIDOS</v>
      </c>
      <c r="E694" s="649" t="str">
        <f>VLOOKUP(A694,[33]INDICE!$A$3:$D$334,3,FALSE)</f>
        <v>m2</v>
      </c>
      <c r="F694" s="654">
        <f>1.2*8</f>
        <v>9.6</v>
      </c>
      <c r="G694" s="726">
        <f>VLOOKUP(A694,[33]INDICE!$A$3:$D$334,4,FALSE)</f>
        <v>35907.63070329644</v>
      </c>
      <c r="H694" s="652">
        <f t="shared" ref="H694:H703" si="78">F694*G694</f>
        <v>344713.25475164579</v>
      </c>
      <c r="J694" s="625">
        <v>201.8</v>
      </c>
    </row>
    <row r="695" spans="1:10" s="625" customFormat="1" ht="15" customHeight="1">
      <c r="A695" s="1231" t="s">
        <v>558</v>
      </c>
      <c r="B695" s="631" t="str">
        <f t="shared" si="77"/>
        <v>330-13</v>
      </c>
      <c r="C695" s="689"/>
      <c r="D695" s="657" t="str">
        <f>VLOOKUP(A695,[33]INDICE!$A$3:$D$334,2,FALSE)</f>
        <v>BASE GRANULAR CLASE A</v>
      </c>
      <c r="E695" s="649" t="str">
        <f>VLOOKUP(A695,[33]INDICE!$A$3:$D$334,3,FALSE)</f>
        <v>m3</v>
      </c>
      <c r="F695" s="655">
        <f>11*1.2*0.2</f>
        <v>2.64</v>
      </c>
      <c r="G695" s="726">
        <f>VLOOKUP(A695,[33]INDICE!$A$3:$D$334,4,FALSE)</f>
        <v>375353.93049818149</v>
      </c>
      <c r="H695" s="652">
        <f>F695*G695</f>
        <v>990934.3765151992</v>
      </c>
      <c r="J695" s="625">
        <v>330.1</v>
      </c>
    </row>
    <row r="696" spans="1:10" s="625" customFormat="1" ht="15" customHeight="1">
      <c r="A696" s="1231" t="s">
        <v>639</v>
      </c>
      <c r="B696" s="631" t="str">
        <f t="shared" si="77"/>
        <v>500-13</v>
      </c>
      <c r="C696" s="716"/>
      <c r="D696" s="657" t="str">
        <f>VLOOKUP(A696,[33]INDICE!$A$3:$D$334,2,FALSE)</f>
        <v>PAVIMENTO DE CONCRETO HIDRÁULICO.</v>
      </c>
      <c r="E696" s="649" t="str">
        <f>VLOOKUP(A696,[33]INDICE!$A$3:$D$334,3,FALSE)</f>
        <v>m3</v>
      </c>
      <c r="F696" s="655">
        <f>8*1.2*0.2</f>
        <v>1.92</v>
      </c>
      <c r="G696" s="726">
        <f>VLOOKUP(A696,[33]INDICE!$A$3:$D$334,4,FALSE)</f>
        <v>780147.21001257375</v>
      </c>
      <c r="H696" s="652">
        <f>F696*G696</f>
        <v>1497882.6432241416</v>
      </c>
      <c r="J696" s="625">
        <v>500.1</v>
      </c>
    </row>
    <row r="697" spans="1:10" s="625" customFormat="1" ht="15" customHeight="1">
      <c r="A697" s="1231" t="s">
        <v>540</v>
      </c>
      <c r="B697" s="631" t="str">
        <f t="shared" si="77"/>
        <v>600-13</v>
      </c>
      <c r="C697" s="631"/>
      <c r="D697" s="657" t="str">
        <f>VLOOKUP(A697,[33]INDICE!$A$3:$D$334,2,FALSE)</f>
        <v>EXCAVACIONES VARIAS SIN CLASIFICAR</v>
      </c>
      <c r="E697" s="649" t="str">
        <f>VLOOKUP(A697,[33]INDICE!$A$3:$D$334,3,FALSE)</f>
        <v>m3</v>
      </c>
      <c r="F697" s="654">
        <f>11*1.2*1+4</f>
        <v>17.2</v>
      </c>
      <c r="G697" s="726">
        <f>VLOOKUP(A697,[33]INDICE!$A$3:$D$334,4,FALSE)</f>
        <v>67953.950275344076</v>
      </c>
      <c r="H697" s="652">
        <f t="shared" si="78"/>
        <v>1168807.944735918</v>
      </c>
      <c r="J697" s="625" t="s">
        <v>541</v>
      </c>
    </row>
    <row r="698" spans="1:10" s="625" customFormat="1" ht="15" customHeight="1">
      <c r="A698" s="1231" t="s">
        <v>544</v>
      </c>
      <c r="B698" s="631" t="str">
        <f t="shared" si="77"/>
        <v>610-13</v>
      </c>
      <c r="C698" s="631"/>
      <c r="D698" s="657" t="str">
        <f>VLOOKUP(A698,[33]INDICE!$A$3:$D$334,2,FALSE)</f>
        <v>RELLENOS PARA ESTRUCTURAS CON SUELO.</v>
      </c>
      <c r="E698" s="649" t="str">
        <f>VLOOKUP(A698,[33]INDICE!$A$3:$D$334,3,FALSE)</f>
        <v>m3</v>
      </c>
      <c r="F698" s="655">
        <f>11*1.2*1+3</f>
        <v>16.2</v>
      </c>
      <c r="G698" s="726">
        <f>VLOOKUP(A698,[33]INDICE!$A$3:$D$334,4,FALSE)</f>
        <v>164362.8922747685</v>
      </c>
      <c r="H698" s="652">
        <f>F698*G698</f>
        <v>2662678.8548512496</v>
      </c>
      <c r="J698" s="625">
        <v>610.1</v>
      </c>
    </row>
    <row r="699" spans="1:10" s="625" customFormat="1" ht="15" customHeight="1">
      <c r="A699" s="1231" t="s">
        <v>545</v>
      </c>
      <c r="B699" s="631" t="str">
        <f t="shared" si="77"/>
        <v>630-13</v>
      </c>
      <c r="C699" s="631"/>
      <c r="D699" s="657" t="str">
        <f>VLOOKUP(A699,[33]INDICE!$A$3:$D$334,2,FALSE)</f>
        <v>CONCRETO RESISTENCIA 17.5MPA (E )</v>
      </c>
      <c r="E699" s="649" t="str">
        <f>VLOOKUP(A699,[33]INDICE!$A$3:$D$334,3,FALSE)</f>
        <v>m3</v>
      </c>
      <c r="F699" s="655">
        <f>2*(1.8*0.2*2+1.4*0.2*2)+1.4*1.4*0.2+3*(2*1.8*0.4)+(1.8+3.6)/2*0.2*1.5+11*0.15*1.2</f>
        <v>10.062000000000001</v>
      </c>
      <c r="G699" s="726">
        <f>VLOOKUP(A699,[33]INDICE!$A$3:$D$334,4,FALSE)</f>
        <v>735031.04931538599</v>
      </c>
      <c r="H699" s="652">
        <f t="shared" si="78"/>
        <v>7395882.4182114145</v>
      </c>
      <c r="J699" s="625">
        <v>630.5</v>
      </c>
    </row>
    <row r="700" spans="1:10" s="625" customFormat="1" ht="15" customHeight="1">
      <c r="A700" s="1231" t="s">
        <v>546</v>
      </c>
      <c r="B700" s="631" t="str">
        <f t="shared" si="77"/>
        <v>630-13</v>
      </c>
      <c r="C700" s="631"/>
      <c r="D700" s="657" t="str">
        <f>VLOOKUP(A700,[33]INDICE!$A$3:$D$334,2,FALSE)</f>
        <v>CONCRETO RESISTENCIA 14MPA (G) (CICLOPEO)</v>
      </c>
      <c r="E700" s="649" t="str">
        <f>VLOOKUP(A700,[33]INDICE!$A$3:$D$334,3,FALSE)</f>
        <v>m3</v>
      </c>
      <c r="F700" s="668">
        <f>1.2*11*0.15</f>
        <v>1.9799999999999998</v>
      </c>
      <c r="G700" s="726">
        <f>VLOOKUP(A700,[33]INDICE!$A$3:$D$334,4,FALSE)</f>
        <v>530138.01220093726</v>
      </c>
      <c r="H700" s="652">
        <f t="shared" si="78"/>
        <v>1049673.2641578557</v>
      </c>
      <c r="J700" s="625">
        <v>630.70000000000005</v>
      </c>
    </row>
    <row r="701" spans="1:10" s="625" customFormat="1" ht="15" customHeight="1">
      <c r="A701" s="1231" t="s">
        <v>554</v>
      </c>
      <c r="B701" s="631" t="str">
        <f t="shared" si="77"/>
        <v>640-13</v>
      </c>
      <c r="C701" s="631"/>
      <c r="D701" s="657" t="str">
        <f>VLOOKUP(A701,[33]INDICE!$A$3:$D$334,2,FALSE)</f>
        <v>ACERO DE REFUERZO FY 4200 MPA.</v>
      </c>
      <c r="E701" s="649" t="str">
        <f>VLOOKUP(A701,[33]INDICE!$A$3:$D$334,3,FALSE)</f>
        <v>kg</v>
      </c>
      <c r="F701" s="654">
        <f>F699*105</f>
        <v>1056.5100000000002</v>
      </c>
      <c r="G701" s="726">
        <f>VLOOKUP(A701,[33]INDICE!$A$3:$D$334,4,FALSE)</f>
        <v>6085.8496982034649</v>
      </c>
      <c r="H701" s="652">
        <f t="shared" si="78"/>
        <v>6429761.064648944</v>
      </c>
      <c r="J701" s="625">
        <v>640.1</v>
      </c>
    </row>
    <row r="702" spans="1:10" s="625" customFormat="1" ht="26.1" customHeight="1">
      <c r="A702" s="1231" t="s">
        <v>605</v>
      </c>
      <c r="B702" s="631" t="str">
        <f t="shared" si="77"/>
        <v>661-13</v>
      </c>
      <c r="C702" s="631"/>
      <c r="D702" s="657" t="str">
        <f>VLOOKUP(A702,[33]INDICE!$A$3:$D$334,2,FALSE)</f>
        <v>TUBERÍA DE CONCRETO REFORZADO  21 MPA DE 900 MM DE DIAMETRO INTERIOR</v>
      </c>
      <c r="E702" s="649" t="str">
        <f>VLOOKUP(A702,[33]INDICE!$A$3:$D$334,3,FALSE)</f>
        <v>m</v>
      </c>
      <c r="F702" s="650">
        <v>11</v>
      </c>
      <c r="G702" s="726">
        <f>VLOOKUP(A702,[33]INDICE!$A$3:$D$334,4,FALSE)</f>
        <v>689897.64607454219</v>
      </c>
      <c r="H702" s="652">
        <f>F702*G702</f>
        <v>7588874.106819964</v>
      </c>
      <c r="J702" s="625">
        <v>661.1</v>
      </c>
    </row>
    <row r="703" spans="1:10" s="625" customFormat="1" ht="26.1" customHeight="1" thickBot="1">
      <c r="A703" s="1239" t="s">
        <v>559</v>
      </c>
      <c r="B703" s="672" t="str">
        <f t="shared" si="77"/>
        <v>671-13</v>
      </c>
      <c r="C703" s="672"/>
      <c r="D703" s="676" t="str">
        <f>VLOOKUP(A703,[33]INDICE!$A$3:$D$334,2,FALSE)</f>
        <v>CUNETA DE CONCRETO VACIADA IN SITU; INCLUYE LA CONFORMACION DE LA SUPERFICIE DE APOYO</v>
      </c>
      <c r="E703" s="677" t="str">
        <f>VLOOKUP(A703,[33]INDICE!$A$3:$D$334,3,FALSE)</f>
        <v>m3</v>
      </c>
      <c r="F703" s="663">
        <f>4*0.138</f>
        <v>0.55200000000000005</v>
      </c>
      <c r="G703" s="924">
        <f>VLOOKUP(A703,[33]INDICE!$A$3:$D$334,4,FALSE)</f>
        <v>841791.75196838728</v>
      </c>
      <c r="H703" s="679">
        <f t="shared" si="78"/>
        <v>464669.04708654981</v>
      </c>
      <c r="J703" s="625">
        <v>671.3</v>
      </c>
    </row>
    <row r="704" spans="1:10" s="625" customFormat="1" ht="15" customHeight="1" thickTop="1">
      <c r="A704" s="1235"/>
      <c r="B704" s="641"/>
      <c r="C704" s="641"/>
      <c r="D704" s="680"/>
      <c r="E704" s="621"/>
      <c r="G704" s="643" t="s">
        <v>536</v>
      </c>
      <c r="H704" s="681">
        <f>SUM(H693:H703)</f>
        <v>30841251.055005025</v>
      </c>
    </row>
    <row r="705" spans="1:10" s="625" customFormat="1" ht="15" customHeight="1">
      <c r="A705" s="1235"/>
      <c r="B705" s="641"/>
      <c r="C705" s="641"/>
      <c r="D705" s="642"/>
      <c r="E705" s="621"/>
      <c r="G705" s="643" t="s">
        <v>537</v>
      </c>
      <c r="H705" s="644">
        <f>SUM(H704:H704)*0.05*0.19/1.3</f>
        <v>225378.37309426747</v>
      </c>
    </row>
    <row r="706" spans="1:10" s="625" customFormat="1" ht="15" customHeight="1" thickBot="1">
      <c r="A706" s="1236"/>
      <c r="B706" s="619"/>
      <c r="C706" s="619"/>
      <c r="D706" s="620"/>
      <c r="E706" s="621"/>
      <c r="G706" s="643" t="s">
        <v>538</v>
      </c>
      <c r="H706" s="645">
        <f>+ROUND(H704+H705,0)</f>
        <v>31066629</v>
      </c>
    </row>
    <row r="707" spans="1:10" s="625" customFormat="1" ht="15" customHeight="1" thickTop="1">
      <c r="A707" s="1236"/>
      <c r="B707" s="619"/>
      <c r="C707" s="619"/>
      <c r="D707" s="620"/>
      <c r="E707" s="621"/>
      <c r="G707" s="643"/>
      <c r="H707" s="646"/>
    </row>
    <row r="708" spans="1:10" s="625" customFormat="1" ht="15" customHeight="1" thickBot="1">
      <c r="A708" s="1237"/>
      <c r="B708" s="627"/>
      <c r="C708" s="626" t="s">
        <v>642</v>
      </c>
      <c r="D708" s="626"/>
      <c r="E708" s="627"/>
      <c r="F708" s="626"/>
      <c r="G708" s="691"/>
      <c r="H708" s="629"/>
    </row>
    <row r="709" spans="1:10" s="625" customFormat="1" ht="15" customHeight="1" thickTop="1">
      <c r="A709" s="1232" t="s">
        <v>552</v>
      </c>
      <c r="B709" s="632" t="str">
        <f t="shared" ref="B709:B714" si="79">MID(A709,1,3)&amp;"-"&amp;13</f>
        <v>201-13</v>
      </c>
      <c r="C709" s="632"/>
      <c r="D709" s="657" t="str">
        <f>VLOOKUP(A709,[33]INDICE!$A$3:$D$334,2,FALSE)</f>
        <v>DEMOLICIÓN DE ESTRUCTURAS</v>
      </c>
      <c r="E709" s="649" t="str">
        <f>VLOOKUP(A709,[33]INDICE!$A$3:$D$334,3,FALSE)</f>
        <v>m3</v>
      </c>
      <c r="F709" s="662">
        <v>0.5</v>
      </c>
      <c r="G709" s="726">
        <f>VLOOKUP(A709,[33]INDICE!$A$3:$D$334,4,FALSE)</f>
        <v>240341.82659000819</v>
      </c>
      <c r="H709" s="636">
        <f t="shared" ref="H709:H714" si="80">F709*G709</f>
        <v>120170.91329500409</v>
      </c>
      <c r="J709" s="625">
        <v>201.7</v>
      </c>
    </row>
    <row r="710" spans="1:10" s="625" customFormat="1" ht="15" customHeight="1">
      <c r="A710" s="1231" t="s">
        <v>540</v>
      </c>
      <c r="B710" s="631" t="str">
        <f t="shared" si="79"/>
        <v>600-13</v>
      </c>
      <c r="C710" s="631"/>
      <c r="D710" s="657" t="str">
        <f>VLOOKUP(A710,[33]INDICE!$A$3:$D$334,2,FALSE)</f>
        <v>EXCAVACIONES VARIAS SIN CLASIFICAR</v>
      </c>
      <c r="E710" s="649" t="str">
        <f>VLOOKUP(A710,[33]INDICE!$A$3:$D$334,3,FALSE)</f>
        <v>m3</v>
      </c>
      <c r="F710" s="654">
        <f>0.5*8</f>
        <v>4</v>
      </c>
      <c r="G710" s="726">
        <f>VLOOKUP(A710,[33]INDICE!$A$3:$D$334,4,FALSE)</f>
        <v>67953.950275344076</v>
      </c>
      <c r="H710" s="652">
        <f t="shared" si="80"/>
        <v>271815.8011013763</v>
      </c>
      <c r="J710" s="625" t="s">
        <v>541</v>
      </c>
    </row>
    <row r="711" spans="1:10" s="625" customFormat="1" ht="15" customHeight="1">
      <c r="A711" s="1231" t="s">
        <v>544</v>
      </c>
      <c r="B711" s="631" t="str">
        <f t="shared" si="79"/>
        <v>610-13</v>
      </c>
      <c r="C711" s="631"/>
      <c r="D711" s="657" t="str">
        <f>VLOOKUP(A711,[33]INDICE!$A$3:$D$334,2,FALSE)</f>
        <v>RELLENOS PARA ESTRUCTURAS CON SUELO.</v>
      </c>
      <c r="E711" s="649" t="str">
        <f>VLOOKUP(A711,[33]INDICE!$A$3:$D$334,3,FALSE)</f>
        <v>m3</v>
      </c>
      <c r="F711" s="655">
        <f>0.4*8</f>
        <v>3.2</v>
      </c>
      <c r="G711" s="726">
        <f>VLOOKUP(A711,[33]INDICE!$A$3:$D$334,4,FALSE)</f>
        <v>164362.8922747685</v>
      </c>
      <c r="H711" s="652">
        <f t="shared" si="80"/>
        <v>525961.25527925917</v>
      </c>
      <c r="J711" s="625">
        <v>610.1</v>
      </c>
    </row>
    <row r="712" spans="1:10" s="625" customFormat="1" ht="15" customHeight="1">
      <c r="A712" s="1231" t="s">
        <v>545</v>
      </c>
      <c r="B712" s="631" t="str">
        <f t="shared" si="79"/>
        <v>630-13</v>
      </c>
      <c r="C712" s="631"/>
      <c r="D712" s="657" t="str">
        <f>VLOOKUP(A712,[33]INDICE!$A$3:$D$334,2,FALSE)</f>
        <v>CONCRETO RESISTENCIA 17.5MPA (E )</v>
      </c>
      <c r="E712" s="649" t="str">
        <f>VLOOKUP(A712,[33]INDICE!$A$3:$D$334,3,FALSE)</f>
        <v>m3</v>
      </c>
      <c r="F712" s="655">
        <f>0.55*8</f>
        <v>4.4000000000000004</v>
      </c>
      <c r="G712" s="726">
        <f>VLOOKUP(A712,[33]INDICE!$A$3:$D$334,4,FALSE)</f>
        <v>735031.04931538599</v>
      </c>
      <c r="H712" s="652">
        <f t="shared" si="80"/>
        <v>3234136.6169876987</v>
      </c>
      <c r="J712" s="625">
        <v>630.5</v>
      </c>
    </row>
    <row r="713" spans="1:10" s="625" customFormat="1" ht="15" customHeight="1">
      <c r="A713" s="1231" t="s">
        <v>546</v>
      </c>
      <c r="B713" s="631" t="str">
        <f t="shared" si="79"/>
        <v>630-13</v>
      </c>
      <c r="C713" s="631"/>
      <c r="D713" s="657" t="str">
        <f>VLOOKUP(A713,[33]INDICE!$A$3:$D$334,2,FALSE)</f>
        <v>CONCRETO RESISTENCIA 14MPA (G) (CICLOPEO)</v>
      </c>
      <c r="E713" s="649" t="str">
        <f>VLOOKUP(A713,[33]INDICE!$A$3:$D$334,3,FALSE)</f>
        <v>m3</v>
      </c>
      <c r="F713" s="668">
        <v>1.5</v>
      </c>
      <c r="G713" s="726">
        <f>VLOOKUP(A713,[33]INDICE!$A$3:$D$334,4,FALSE)</f>
        <v>530138.01220093726</v>
      </c>
      <c r="H713" s="652">
        <f t="shared" si="80"/>
        <v>795207.01830140594</v>
      </c>
      <c r="J713" s="625">
        <v>630.70000000000005</v>
      </c>
    </row>
    <row r="714" spans="1:10" s="625" customFormat="1" ht="15" customHeight="1" thickBot="1">
      <c r="A714" s="1239" t="s">
        <v>554</v>
      </c>
      <c r="B714" s="672" t="str">
        <f t="shared" si="79"/>
        <v>640-13</v>
      </c>
      <c r="C714" s="672"/>
      <c r="D714" s="676" t="str">
        <f>VLOOKUP(A714,[33]INDICE!$A$3:$D$334,2,FALSE)</f>
        <v>ACERO DE REFUERZO FY 4200 MPA.</v>
      </c>
      <c r="E714" s="677" t="str">
        <f>VLOOKUP(A714,[33]INDICE!$A$3:$D$334,3,FALSE)</f>
        <v>kg</v>
      </c>
      <c r="F714" s="673">
        <f>F712*105</f>
        <v>462.00000000000006</v>
      </c>
      <c r="G714" s="924">
        <f>VLOOKUP(A714,[33]INDICE!$A$3:$D$334,4,FALSE)</f>
        <v>6085.8496982034649</v>
      </c>
      <c r="H714" s="679">
        <f t="shared" si="80"/>
        <v>2811662.5605700011</v>
      </c>
      <c r="J714" s="625">
        <v>640.1</v>
      </c>
    </row>
    <row r="715" spans="1:10" s="625" customFormat="1" ht="15" customHeight="1" thickTop="1">
      <c r="A715" s="1235"/>
      <c r="B715" s="641"/>
      <c r="C715" s="641"/>
      <c r="D715" s="680"/>
      <c r="E715" s="621"/>
      <c r="G715" s="643" t="s">
        <v>536</v>
      </c>
      <c r="H715" s="681">
        <f>SUM(H709:H714)</f>
        <v>7758954.1655347459</v>
      </c>
    </row>
    <row r="716" spans="1:10" s="625" customFormat="1" ht="15" customHeight="1">
      <c r="A716" s="1235"/>
      <c r="B716" s="641"/>
      <c r="C716" s="641"/>
      <c r="D716" s="642"/>
      <c r="E716" s="621"/>
      <c r="G716" s="643" t="s">
        <v>537</v>
      </c>
      <c r="H716" s="644">
        <f>SUM(H715:H715)*0.05*0.19/1.3</f>
        <v>56700.049671215449</v>
      </c>
    </row>
    <row r="717" spans="1:10" s="625" customFormat="1" ht="15" customHeight="1" thickBot="1">
      <c r="A717" s="1236"/>
      <c r="B717" s="619"/>
      <c r="C717" s="619"/>
      <c r="D717" s="620"/>
      <c r="E717" s="621"/>
      <c r="G717" s="643" t="s">
        <v>538</v>
      </c>
      <c r="H717" s="645">
        <f>+ROUND(H715+H716,0)</f>
        <v>7815654</v>
      </c>
    </row>
    <row r="718" spans="1:10" s="625" customFormat="1" ht="12.75" customHeight="1" thickTop="1">
      <c r="A718" s="1236"/>
      <c r="B718" s="619"/>
      <c r="C718" s="619"/>
      <c r="D718" s="620"/>
      <c r="E718" s="621"/>
      <c r="F718" s="622"/>
      <c r="G718" s="622"/>
      <c r="H718" s="624"/>
    </row>
    <row r="719" spans="1:10" s="625" customFormat="1" ht="13.5" thickBot="1">
      <c r="A719" s="1237"/>
      <c r="B719" s="627"/>
      <c r="C719" s="626" t="s">
        <v>643</v>
      </c>
      <c r="D719" s="626"/>
      <c r="E719" s="627"/>
      <c r="F719" s="626"/>
      <c r="G719" s="691"/>
      <c r="H719" s="629"/>
      <c r="I719" s="630"/>
    </row>
    <row r="720" spans="1:10" s="625" customFormat="1" ht="15" customHeight="1" thickTop="1">
      <c r="A720" s="1232" t="s">
        <v>552</v>
      </c>
      <c r="B720" s="632" t="str">
        <f t="shared" ref="B720:B732" si="81">MID(A720,1,3)&amp;"-"&amp;13</f>
        <v>201-13</v>
      </c>
      <c r="C720" s="632"/>
      <c r="D720" s="657" t="str">
        <f>VLOOKUP(A720,[33]INDICE!$A$3:$D$334,2,FALSE)</f>
        <v>DEMOLICIÓN DE ESTRUCTURAS</v>
      </c>
      <c r="E720" s="649" t="str">
        <f>VLOOKUP(A720,[33]INDICE!$A$3:$D$334,3,FALSE)</f>
        <v>m3</v>
      </c>
      <c r="F720" s="662">
        <f>2*(1.4*0.2*1.5+1*0.2*1.5)+1*1*0.15+3*(2*0.4*1.5)+0.5</f>
        <v>5.69</v>
      </c>
      <c r="G720" s="726">
        <f>VLOOKUP(A720,[33]INDICE!$A$3:$D$334,4,FALSE)</f>
        <v>240341.82659000819</v>
      </c>
      <c r="H720" s="636">
        <f>F720*G720</f>
        <v>1367544.9932971466</v>
      </c>
      <c r="J720" s="625">
        <v>201.7</v>
      </c>
    </row>
    <row r="721" spans="1:10" s="625" customFormat="1" ht="15" customHeight="1">
      <c r="A721" s="1231" t="s">
        <v>638</v>
      </c>
      <c r="B721" s="631" t="str">
        <f t="shared" si="81"/>
        <v>201-13</v>
      </c>
      <c r="C721" s="716"/>
      <c r="D721" s="657" t="str">
        <f>VLOOKUP(A721,[33]INDICE!$A$3:$D$334,2,FALSE)</f>
        <v>DEMOLICIÓN DE PAVIMENTOS RÍGIDOS</v>
      </c>
      <c r="E721" s="649" t="str">
        <f>VLOOKUP(A721,[33]INDICE!$A$3:$D$334,3,FALSE)</f>
        <v>m2</v>
      </c>
      <c r="F721" s="654">
        <f>1.2*9</f>
        <v>10.799999999999999</v>
      </c>
      <c r="G721" s="726">
        <f>VLOOKUP(A721,[33]INDICE!$A$3:$D$334,4,FALSE)</f>
        <v>35907.63070329644</v>
      </c>
      <c r="H721" s="652">
        <f t="shared" ref="H721:H732" si="82">F721*G721</f>
        <v>387802.41159560153</v>
      </c>
      <c r="J721" s="625">
        <v>201.8</v>
      </c>
    </row>
    <row r="722" spans="1:10" s="625" customFormat="1" ht="15" customHeight="1">
      <c r="A722" s="1231" t="s">
        <v>558</v>
      </c>
      <c r="B722" s="631" t="str">
        <f t="shared" si="81"/>
        <v>330-13</v>
      </c>
      <c r="C722" s="689"/>
      <c r="D722" s="657" t="str">
        <f>VLOOKUP(A722,[33]INDICE!$A$3:$D$334,2,FALSE)</f>
        <v>BASE GRANULAR CLASE A</v>
      </c>
      <c r="E722" s="649" t="str">
        <f>VLOOKUP(A722,[33]INDICE!$A$3:$D$334,3,FALSE)</f>
        <v>m3</v>
      </c>
      <c r="F722" s="655">
        <f>12*1.2*0.2</f>
        <v>2.88</v>
      </c>
      <c r="G722" s="726">
        <f>VLOOKUP(A722,[33]INDICE!$A$3:$D$334,4,FALSE)</f>
        <v>375353.93049818149</v>
      </c>
      <c r="H722" s="652">
        <f>F722*G722</f>
        <v>1081019.3198347627</v>
      </c>
      <c r="J722" s="625">
        <v>330.1</v>
      </c>
    </row>
    <row r="723" spans="1:10" s="625" customFormat="1" ht="15" customHeight="1">
      <c r="A723" s="1231" t="s">
        <v>639</v>
      </c>
      <c r="B723" s="631" t="str">
        <f t="shared" si="81"/>
        <v>500-13</v>
      </c>
      <c r="C723" s="716"/>
      <c r="D723" s="657" t="str">
        <f>VLOOKUP(A723,[33]INDICE!$A$3:$D$334,2,FALSE)</f>
        <v>PAVIMENTO DE CONCRETO HIDRÁULICO.</v>
      </c>
      <c r="E723" s="649" t="str">
        <f>VLOOKUP(A723,[33]INDICE!$A$3:$D$334,3,FALSE)</f>
        <v>m3</v>
      </c>
      <c r="F723" s="655">
        <f>9*1.2*0.2</f>
        <v>2.1599999999999997</v>
      </c>
      <c r="G723" s="726">
        <f>VLOOKUP(A723,[33]INDICE!$A$3:$D$334,4,FALSE)</f>
        <v>780147.21001257375</v>
      </c>
      <c r="H723" s="652">
        <f>F723*G723</f>
        <v>1685117.9736271591</v>
      </c>
      <c r="J723" s="625">
        <v>500.1</v>
      </c>
    </row>
    <row r="724" spans="1:10" s="625" customFormat="1" ht="15" customHeight="1">
      <c r="A724" s="1231" t="s">
        <v>540</v>
      </c>
      <c r="B724" s="631" t="str">
        <f t="shared" si="81"/>
        <v>600-13</v>
      </c>
      <c r="C724" s="631"/>
      <c r="D724" s="657" t="str">
        <f>VLOOKUP(A724,[33]INDICE!$A$3:$D$334,2,FALSE)</f>
        <v>EXCAVACIONES VARIAS SIN CLASIFICAR</v>
      </c>
      <c r="E724" s="649" t="str">
        <f>VLOOKUP(A724,[33]INDICE!$A$3:$D$334,3,FALSE)</f>
        <v>m3</v>
      </c>
      <c r="F724" s="654">
        <f>11*1.2*1+4+8</f>
        <v>25.2</v>
      </c>
      <c r="G724" s="726">
        <f>VLOOKUP(A724,[33]INDICE!$A$3:$D$334,4,FALSE)</f>
        <v>67953.950275344076</v>
      </c>
      <c r="H724" s="652">
        <f t="shared" si="82"/>
        <v>1712439.5469386706</v>
      </c>
      <c r="J724" s="625" t="s">
        <v>541</v>
      </c>
    </row>
    <row r="725" spans="1:10" s="625" customFormat="1" ht="15" customHeight="1">
      <c r="A725" s="1231" t="s">
        <v>544</v>
      </c>
      <c r="B725" s="631" t="str">
        <f t="shared" si="81"/>
        <v>610-13</v>
      </c>
      <c r="C725" s="631"/>
      <c r="D725" s="657" t="str">
        <f>VLOOKUP(A725,[33]INDICE!$A$3:$D$334,2,FALSE)</f>
        <v>RELLENOS PARA ESTRUCTURAS CON SUELO.</v>
      </c>
      <c r="E725" s="649" t="str">
        <f>VLOOKUP(A725,[33]INDICE!$A$3:$D$334,3,FALSE)</f>
        <v>m3</v>
      </c>
      <c r="F725" s="655">
        <f>12*1.2*1+3</f>
        <v>17.399999999999999</v>
      </c>
      <c r="G725" s="726">
        <f>VLOOKUP(A725,[33]INDICE!$A$3:$D$334,4,FALSE)</f>
        <v>164362.8922747685</v>
      </c>
      <c r="H725" s="652">
        <f>F725*G725</f>
        <v>2859914.3255809718</v>
      </c>
      <c r="J725" s="625">
        <v>610.1</v>
      </c>
    </row>
    <row r="726" spans="1:10" s="625" customFormat="1" ht="15" customHeight="1">
      <c r="A726" s="1231" t="s">
        <v>545</v>
      </c>
      <c r="B726" s="631" t="str">
        <f t="shared" si="81"/>
        <v>630-13</v>
      </c>
      <c r="C726" s="631"/>
      <c r="D726" s="657" t="str">
        <f>VLOOKUP(A726,[33]INDICE!$A$3:$D$334,2,FALSE)</f>
        <v>CONCRETO RESISTENCIA 17.5MPA (E )</v>
      </c>
      <c r="E726" s="649" t="str">
        <f>VLOOKUP(A726,[33]INDICE!$A$3:$D$334,3,FALSE)</f>
        <v>m3</v>
      </c>
      <c r="F726" s="655">
        <f>2*(1.8*0.2*2+1.4*0.2*2)+1.4*1.4*0.2+3*(2*1.8*0.4)+(1.8+3.6)/2*0.2*1.5+11*0.15*1.2</f>
        <v>10.062000000000001</v>
      </c>
      <c r="G726" s="726">
        <f>VLOOKUP(A726,[33]INDICE!$A$3:$D$334,4,FALSE)</f>
        <v>735031.04931538599</v>
      </c>
      <c r="H726" s="652">
        <f t="shared" si="82"/>
        <v>7395882.4182114145</v>
      </c>
      <c r="J726" s="625">
        <v>630.5</v>
      </c>
    </row>
    <row r="727" spans="1:10" s="625" customFormat="1" ht="15" customHeight="1">
      <c r="A727" s="1231" t="s">
        <v>546</v>
      </c>
      <c r="B727" s="631" t="str">
        <f t="shared" si="81"/>
        <v>630-13</v>
      </c>
      <c r="C727" s="631"/>
      <c r="D727" s="657" t="str">
        <f>VLOOKUP(A727,[33]INDICE!$A$3:$D$334,2,FALSE)</f>
        <v>CONCRETO RESISTENCIA 14MPA (G) (CICLOPEO)</v>
      </c>
      <c r="E727" s="649" t="str">
        <f>VLOOKUP(A727,[33]INDICE!$A$3:$D$334,3,FALSE)</f>
        <v>m3</v>
      </c>
      <c r="F727" s="668">
        <f>1.2*12*0.15</f>
        <v>2.1599999999999997</v>
      </c>
      <c r="G727" s="726">
        <f>VLOOKUP(A727,[33]INDICE!$A$3:$D$334,4,FALSE)</f>
        <v>530138.01220093726</v>
      </c>
      <c r="H727" s="652">
        <f t="shared" si="82"/>
        <v>1145098.1063540243</v>
      </c>
      <c r="J727" s="625">
        <v>630.70000000000005</v>
      </c>
    </row>
    <row r="728" spans="1:10" s="625" customFormat="1" ht="15" customHeight="1">
      <c r="A728" s="1231" t="s">
        <v>554</v>
      </c>
      <c r="B728" s="631" t="str">
        <f t="shared" si="81"/>
        <v>640-13</v>
      </c>
      <c r="C728" s="631"/>
      <c r="D728" s="657" t="str">
        <f>VLOOKUP(A728,[33]INDICE!$A$3:$D$334,2,FALSE)</f>
        <v>ACERO DE REFUERZO FY 4200 MPA.</v>
      </c>
      <c r="E728" s="649" t="str">
        <f>VLOOKUP(A728,[33]INDICE!$A$3:$D$334,3,FALSE)</f>
        <v>kg</v>
      </c>
      <c r="F728" s="654">
        <f>F726*105</f>
        <v>1056.5100000000002</v>
      </c>
      <c r="G728" s="726">
        <f>VLOOKUP(A728,[33]INDICE!$A$3:$D$334,4,FALSE)</f>
        <v>6085.8496982034649</v>
      </c>
      <c r="H728" s="652">
        <f t="shared" si="82"/>
        <v>6429761.064648944</v>
      </c>
      <c r="J728" s="625">
        <v>640.1</v>
      </c>
    </row>
    <row r="729" spans="1:10" s="625" customFormat="1" ht="26.1" customHeight="1">
      <c r="A729" s="1231" t="s">
        <v>605</v>
      </c>
      <c r="B729" s="631" t="str">
        <f t="shared" si="81"/>
        <v>661-13</v>
      </c>
      <c r="C729" s="631"/>
      <c r="D729" s="657" t="str">
        <f>VLOOKUP(A729,[33]INDICE!$A$3:$D$334,2,FALSE)</f>
        <v>TUBERÍA DE CONCRETO REFORZADO  21 MPA DE 900 MM DE DIAMETRO INTERIOR</v>
      </c>
      <c r="E729" s="649" t="str">
        <f>VLOOKUP(A729,[33]INDICE!$A$3:$D$334,3,FALSE)</f>
        <v>m</v>
      </c>
      <c r="F729" s="650">
        <v>12</v>
      </c>
      <c r="G729" s="726">
        <f>VLOOKUP(A729,[33]INDICE!$A$3:$D$334,4,FALSE)</f>
        <v>689897.64607454219</v>
      </c>
      <c r="H729" s="652">
        <f>F729*G729</f>
        <v>8278771.7528945059</v>
      </c>
      <c r="J729" s="625">
        <v>661.1</v>
      </c>
    </row>
    <row r="730" spans="1:10" s="625" customFormat="1" ht="26.1" customHeight="1">
      <c r="A730" s="1231" t="s">
        <v>559</v>
      </c>
      <c r="B730" s="631" t="str">
        <f t="shared" si="81"/>
        <v>671-13</v>
      </c>
      <c r="C730" s="631"/>
      <c r="D730" s="657" t="str">
        <f>VLOOKUP(A730,[33]INDICE!$A$3:$D$334,2,FALSE)</f>
        <v>CUNETA DE CONCRETO VACIADA IN SITU; INCLUYE LA CONFORMACION DE LA SUPERFICIE DE APOYO</v>
      </c>
      <c r="E730" s="649" t="str">
        <f>VLOOKUP(A730,[33]INDICE!$A$3:$D$334,3,FALSE)</f>
        <v>m3</v>
      </c>
      <c r="F730" s="655">
        <f>4*0.138</f>
        <v>0.55200000000000005</v>
      </c>
      <c r="G730" s="726">
        <f>VLOOKUP(A730,[33]INDICE!$A$3:$D$334,4,FALSE)</f>
        <v>841791.75196838728</v>
      </c>
      <c r="H730" s="652">
        <f t="shared" si="82"/>
        <v>464669.04708654981</v>
      </c>
      <c r="J730" s="625">
        <v>671.3</v>
      </c>
    </row>
    <row r="731" spans="1:10" s="625" customFormat="1" ht="15" customHeight="1">
      <c r="A731" s="1231" t="s">
        <v>548</v>
      </c>
      <c r="B731" s="631" t="str">
        <f t="shared" si="81"/>
        <v>673-13</v>
      </c>
      <c r="C731" s="631"/>
      <c r="D731" s="657" t="str">
        <f>VLOOKUP(A731,[33]INDICE!$A$3:$D$334,2,FALSE)</f>
        <v>GEOTEXTIL  TIPO T-2400 O SIMILAR TEJIDO</v>
      </c>
      <c r="E731" s="649" t="str">
        <f>VLOOKUP(A731,[33]INDICE!$A$3:$D$334,3,FALSE)</f>
        <v>m2</v>
      </c>
      <c r="F731" s="654">
        <v>14</v>
      </c>
      <c r="G731" s="726">
        <f>VLOOKUP(A731,[33]INDICE!$A$3:$D$334,4,FALSE)</f>
        <v>10983.835173625577</v>
      </c>
      <c r="H731" s="652">
        <f>F731*G731</f>
        <v>153773.69243075809</v>
      </c>
      <c r="J731" s="625">
        <v>673.1</v>
      </c>
    </row>
    <row r="732" spans="1:10" s="625" customFormat="1" ht="26.1" customHeight="1" thickBot="1">
      <c r="A732" s="1239" t="s">
        <v>549</v>
      </c>
      <c r="B732" s="672" t="str">
        <f t="shared" si="81"/>
        <v>681-13</v>
      </c>
      <c r="C732" s="672"/>
      <c r="D732" s="676" t="str">
        <f>VLOOKUP(A732,[33]INDICE!$A$3:$D$334,2,FALSE)</f>
        <v xml:space="preserve">GAVIÓNES DE MALLA DE ALAMBRE DE ACERO ENTRELAZADO  CLASE 1; RECUBRIMIENTO DE ZINC (GALVANIZADO) </v>
      </c>
      <c r="E732" s="677" t="str">
        <f>VLOOKUP(A732,[33]INDICE!$A$3:$D$334,3,FALSE)</f>
        <v>m3</v>
      </c>
      <c r="F732" s="673">
        <v>8</v>
      </c>
      <c r="G732" s="924">
        <f>VLOOKUP(A732,[33]INDICE!$A$3:$D$334,4,FALSE)</f>
        <v>400986.60185015475</v>
      </c>
      <c r="H732" s="679">
        <f t="shared" si="82"/>
        <v>3207892.814801238</v>
      </c>
      <c r="J732" s="625">
        <v>681.1</v>
      </c>
    </row>
    <row r="733" spans="1:10" s="625" customFormat="1" ht="15" customHeight="1" thickTop="1">
      <c r="A733" s="1235"/>
      <c r="B733" s="641"/>
      <c r="C733" s="641"/>
      <c r="D733" s="680"/>
      <c r="E733" s="621"/>
      <c r="G733" s="643" t="s">
        <v>536</v>
      </c>
      <c r="H733" s="681">
        <f>SUM(H720:H732)</f>
        <v>36169687.467301741</v>
      </c>
    </row>
    <row r="734" spans="1:10" s="625" customFormat="1" ht="15" customHeight="1">
      <c r="A734" s="1235"/>
      <c r="B734" s="641"/>
      <c r="C734" s="641"/>
      <c r="D734" s="642"/>
      <c r="E734" s="621"/>
      <c r="G734" s="643" t="s">
        <v>537</v>
      </c>
      <c r="H734" s="644">
        <f>SUM(H733:H733)*0.05*0.19/1.3</f>
        <v>264316.94687643577</v>
      </c>
    </row>
    <row r="735" spans="1:10" s="625" customFormat="1" ht="15" customHeight="1" thickBot="1">
      <c r="A735" s="1236"/>
      <c r="B735" s="619"/>
      <c r="C735" s="619"/>
      <c r="D735" s="620"/>
      <c r="E735" s="621"/>
      <c r="G735" s="643" t="s">
        <v>538</v>
      </c>
      <c r="H735" s="645">
        <f>+ROUND(H733+H734,0)</f>
        <v>36434004</v>
      </c>
      <c r="I735" s="630"/>
    </row>
    <row r="736" spans="1:10" s="625" customFormat="1" ht="12.75" customHeight="1" thickTop="1">
      <c r="A736" s="1236"/>
      <c r="B736" s="619"/>
      <c r="C736" s="619"/>
      <c r="D736" s="620"/>
      <c r="E736" s="621"/>
      <c r="F736" s="622"/>
      <c r="G736" s="622"/>
      <c r="H736" s="624"/>
    </row>
    <row r="737" spans="1:10" s="625" customFormat="1" ht="15" customHeight="1" thickBot="1">
      <c r="A737" s="1237"/>
      <c r="B737" s="627"/>
      <c r="C737" s="626" t="s">
        <v>644</v>
      </c>
      <c r="D737" s="626"/>
      <c r="E737" s="627"/>
      <c r="F737" s="626"/>
      <c r="G737" s="691"/>
      <c r="H737" s="629"/>
    </row>
    <row r="738" spans="1:10" s="625" customFormat="1" ht="15" customHeight="1" thickTop="1">
      <c r="A738" s="1240" t="s">
        <v>552</v>
      </c>
      <c r="B738" s="631" t="str">
        <f>MID(A738,1,3)&amp;"-"&amp;13</f>
        <v>201-13</v>
      </c>
      <c r="C738" s="665"/>
      <c r="D738" s="657" t="str">
        <f>VLOOKUP(A738,[33]INDICE!$A$3:$D$334,2,FALSE)</f>
        <v>DEMOLICIÓN DE ESTRUCTURAS</v>
      </c>
      <c r="E738" s="649" t="str">
        <f>VLOOKUP(A738,[33]INDICE!$A$3:$D$334,3,FALSE)</f>
        <v>m3</v>
      </c>
      <c r="F738" s="682">
        <f>3*2*0.4</f>
        <v>2.4000000000000004</v>
      </c>
      <c r="G738" s="726">
        <f>VLOOKUP(A738,[33]INDICE!$A$3:$D$334,4,FALSE)</f>
        <v>240341.82659000819</v>
      </c>
      <c r="H738" s="667">
        <f>F738*G738</f>
        <v>576820.38381601975</v>
      </c>
    </row>
    <row r="739" spans="1:10" s="625" customFormat="1" ht="15" customHeight="1" thickBot="1">
      <c r="A739" s="1239" t="s">
        <v>545</v>
      </c>
      <c r="B739" s="672" t="str">
        <f>MID(A739,1,3)&amp;"-"&amp;13</f>
        <v>630-13</v>
      </c>
      <c r="C739" s="672"/>
      <c r="D739" s="657" t="str">
        <f>VLOOKUP(A739,[33]INDICE!$A$3:$D$334,2,FALSE)</f>
        <v>CONCRETO RESISTENCIA 17.5MPA (E )</v>
      </c>
      <c r="E739" s="649" t="str">
        <f>VLOOKUP(A739,[33]INDICE!$A$3:$D$334,3,FALSE)</f>
        <v>m3</v>
      </c>
      <c r="F739" s="663">
        <v>0.5</v>
      </c>
      <c r="G739" s="726">
        <f>VLOOKUP(A739,[33]INDICE!$A$3:$D$334,4,FALSE)</f>
        <v>735031.04931538599</v>
      </c>
      <c r="H739" s="679">
        <f>F739*G739</f>
        <v>367515.52465769299</v>
      </c>
    </row>
    <row r="740" spans="1:10" s="625" customFormat="1" ht="15" customHeight="1" thickTop="1">
      <c r="A740" s="1234"/>
      <c r="B740" s="637"/>
      <c r="C740" s="637"/>
      <c r="D740" s="638"/>
      <c r="E740" s="659"/>
      <c r="F740" s="660"/>
      <c r="G740" s="639" t="s">
        <v>536</v>
      </c>
      <c r="H740" s="681">
        <f>SUM(H738:H739)</f>
        <v>944335.90847371274</v>
      </c>
    </row>
    <row r="741" spans="1:10" s="625" customFormat="1" ht="15" customHeight="1">
      <c r="A741" s="1235"/>
      <c r="B741" s="641"/>
      <c r="C741" s="641"/>
      <c r="D741" s="642"/>
      <c r="E741" s="621"/>
      <c r="F741" s="647"/>
      <c r="G741" s="643" t="s">
        <v>537</v>
      </c>
      <c r="H741" s="644">
        <f>SUM(H740:H740)*0.05*0.19/1.3</f>
        <v>6900.9162542309787</v>
      </c>
    </row>
    <row r="742" spans="1:10" s="625" customFormat="1" ht="15" customHeight="1" thickBot="1">
      <c r="A742" s="1236"/>
      <c r="B742" s="619"/>
      <c r="C742" s="619"/>
      <c r="D742" s="620"/>
      <c r="E742" s="621"/>
      <c r="F742" s="647"/>
      <c r="G742" s="643" t="s">
        <v>538</v>
      </c>
      <c r="H742" s="645">
        <f>+ROUND(H740+H741,0)</f>
        <v>951237</v>
      </c>
    </row>
    <row r="743" spans="1:10" s="625" customFormat="1" ht="15" customHeight="1" thickTop="1">
      <c r="A743" s="1236"/>
      <c r="B743" s="619"/>
      <c r="C743" s="619"/>
      <c r="D743" s="620"/>
      <c r="E743" s="621"/>
      <c r="F743" s="647"/>
      <c r="G743" s="643"/>
      <c r="H743" s="646"/>
    </row>
    <row r="744" spans="1:10" s="625" customFormat="1" ht="15" customHeight="1" thickBot="1">
      <c r="A744" s="1237"/>
      <c r="B744" s="627"/>
      <c r="C744" s="626" t="s">
        <v>645</v>
      </c>
      <c r="D744" s="626"/>
      <c r="E744" s="627"/>
      <c r="F744" s="626"/>
      <c r="G744" s="691"/>
      <c r="H744" s="629"/>
    </row>
    <row r="745" spans="1:10" s="625" customFormat="1" ht="15" customHeight="1" thickTop="1">
      <c r="A745" s="1232" t="s">
        <v>552</v>
      </c>
      <c r="B745" s="632" t="str">
        <f t="shared" ref="B745:B755" si="83">MID(A745,1,3)&amp;"-"&amp;13</f>
        <v>201-13</v>
      </c>
      <c r="C745" s="632"/>
      <c r="D745" s="657" t="str">
        <f>VLOOKUP(A745,[33]INDICE!$A$3:$D$334,2,FALSE)</f>
        <v>DEMOLICIÓN DE ESTRUCTURAS</v>
      </c>
      <c r="E745" s="649" t="str">
        <f>VLOOKUP(A745,[33]INDICE!$A$3:$D$334,3,FALSE)</f>
        <v>m3</v>
      </c>
      <c r="F745" s="662">
        <f>(2*(1.4*0.2*1.5+1*0.2*1.5)+1*1*0.15+3*(2*0.4*1.5))*0.5</f>
        <v>2.5950000000000002</v>
      </c>
      <c r="G745" s="726">
        <f>VLOOKUP(A745,[33]INDICE!$A$3:$D$334,4,FALSE)</f>
        <v>240341.82659000819</v>
      </c>
      <c r="H745" s="636">
        <f>F745*G745</f>
        <v>623687.04000107129</v>
      </c>
      <c r="J745" s="625">
        <v>201.7</v>
      </c>
    </row>
    <row r="746" spans="1:10" s="625" customFormat="1" ht="15" customHeight="1">
      <c r="A746" s="1231" t="s">
        <v>638</v>
      </c>
      <c r="B746" s="631" t="str">
        <f t="shared" si="83"/>
        <v>201-13</v>
      </c>
      <c r="C746" s="716"/>
      <c r="D746" s="657" t="str">
        <f>VLOOKUP(A746,[33]INDICE!$A$3:$D$334,2,FALSE)</f>
        <v>DEMOLICIÓN DE PAVIMENTOS RÍGIDOS</v>
      </c>
      <c r="E746" s="649" t="str">
        <f>VLOOKUP(A746,[33]INDICE!$A$3:$D$334,3,FALSE)</f>
        <v>m2</v>
      </c>
      <c r="F746" s="654">
        <f>1.2*8</f>
        <v>9.6</v>
      </c>
      <c r="G746" s="726">
        <f>VLOOKUP(A746,[33]INDICE!$A$3:$D$334,4,FALSE)</f>
        <v>35907.63070329644</v>
      </c>
      <c r="H746" s="652">
        <f t="shared" ref="H746:H755" si="84">F746*G746</f>
        <v>344713.25475164579</v>
      </c>
      <c r="J746" s="625">
        <v>201.8</v>
      </c>
    </row>
    <row r="747" spans="1:10" s="625" customFormat="1" ht="15" customHeight="1">
      <c r="A747" s="1231" t="s">
        <v>558</v>
      </c>
      <c r="B747" s="631" t="str">
        <f t="shared" si="83"/>
        <v>330-13</v>
      </c>
      <c r="C747" s="689"/>
      <c r="D747" s="657" t="str">
        <f>VLOOKUP(A747,[33]INDICE!$A$3:$D$334,2,FALSE)</f>
        <v>BASE GRANULAR CLASE A</v>
      </c>
      <c r="E747" s="649" t="str">
        <f>VLOOKUP(A747,[33]INDICE!$A$3:$D$334,3,FALSE)</f>
        <v>m3</v>
      </c>
      <c r="F747" s="655">
        <f>11*1.2*0.2</f>
        <v>2.64</v>
      </c>
      <c r="G747" s="726">
        <f>VLOOKUP(A747,[33]INDICE!$A$3:$D$334,4,FALSE)</f>
        <v>375353.93049818149</v>
      </c>
      <c r="H747" s="652">
        <f>F747*G747</f>
        <v>990934.3765151992</v>
      </c>
      <c r="J747" s="625">
        <v>330.1</v>
      </c>
    </row>
    <row r="748" spans="1:10" s="625" customFormat="1" ht="15" customHeight="1">
      <c r="A748" s="1231" t="s">
        <v>639</v>
      </c>
      <c r="B748" s="631" t="str">
        <f t="shared" si="83"/>
        <v>500-13</v>
      </c>
      <c r="C748" s="716"/>
      <c r="D748" s="657" t="str">
        <f>VLOOKUP(A748,[33]INDICE!$A$3:$D$334,2,FALSE)</f>
        <v>PAVIMENTO DE CONCRETO HIDRÁULICO.</v>
      </c>
      <c r="E748" s="649" t="str">
        <f>VLOOKUP(A748,[33]INDICE!$A$3:$D$334,3,FALSE)</f>
        <v>m3</v>
      </c>
      <c r="F748" s="655">
        <f>8*1.2*0.22</f>
        <v>2.1120000000000001</v>
      </c>
      <c r="G748" s="726">
        <f>VLOOKUP(A748,[33]INDICE!$A$3:$D$334,4,FALSE)</f>
        <v>780147.21001257375</v>
      </c>
      <c r="H748" s="652">
        <f>F748*G748</f>
        <v>1647670.9075465559</v>
      </c>
      <c r="J748" s="625">
        <v>500.1</v>
      </c>
    </row>
    <row r="749" spans="1:10" s="625" customFormat="1" ht="15" customHeight="1">
      <c r="A749" s="1231" t="s">
        <v>540</v>
      </c>
      <c r="B749" s="631" t="str">
        <f t="shared" si="83"/>
        <v>600-13</v>
      </c>
      <c r="C749" s="631"/>
      <c r="D749" s="657" t="str">
        <f>VLOOKUP(A749,[33]INDICE!$A$3:$D$334,2,FALSE)</f>
        <v>EXCAVACIONES VARIAS SIN CLASIFICAR</v>
      </c>
      <c r="E749" s="649" t="str">
        <f>VLOOKUP(A749,[33]INDICE!$A$3:$D$334,3,FALSE)</f>
        <v>m3</v>
      </c>
      <c r="F749" s="654">
        <f>11*1.2*1+6</f>
        <v>19.2</v>
      </c>
      <c r="G749" s="726">
        <f>VLOOKUP(A749,[33]INDICE!$A$3:$D$334,4,FALSE)</f>
        <v>67953.950275344076</v>
      </c>
      <c r="H749" s="652">
        <f t="shared" si="84"/>
        <v>1304715.8452866061</v>
      </c>
      <c r="J749" s="625" t="s">
        <v>541</v>
      </c>
    </row>
    <row r="750" spans="1:10" s="625" customFormat="1" ht="15" customHeight="1">
      <c r="A750" s="1231" t="s">
        <v>544</v>
      </c>
      <c r="B750" s="631" t="str">
        <f t="shared" si="83"/>
        <v>610-13</v>
      </c>
      <c r="C750" s="631"/>
      <c r="D750" s="657" t="str">
        <f>VLOOKUP(A750,[33]INDICE!$A$3:$D$334,2,FALSE)</f>
        <v>RELLENOS PARA ESTRUCTURAS CON SUELO.</v>
      </c>
      <c r="E750" s="649" t="str">
        <f>VLOOKUP(A750,[33]INDICE!$A$3:$D$334,3,FALSE)</f>
        <v>m3</v>
      </c>
      <c r="F750" s="655">
        <f>11*1.2*1+5</f>
        <v>18.2</v>
      </c>
      <c r="G750" s="726">
        <f>VLOOKUP(A750,[33]INDICE!$A$3:$D$334,4,FALSE)</f>
        <v>164362.8922747685</v>
      </c>
      <c r="H750" s="652">
        <f>F750*G750</f>
        <v>2991404.6394007867</v>
      </c>
      <c r="J750" s="625">
        <v>610.1</v>
      </c>
    </row>
    <row r="751" spans="1:10" s="625" customFormat="1" ht="15" customHeight="1">
      <c r="A751" s="1231" t="s">
        <v>545</v>
      </c>
      <c r="B751" s="631" t="str">
        <f t="shared" si="83"/>
        <v>630-13</v>
      </c>
      <c r="C751" s="631"/>
      <c r="D751" s="657" t="str">
        <f>VLOOKUP(A751,[33]INDICE!$A$3:$D$334,2,FALSE)</f>
        <v>CONCRETO RESISTENCIA 17.5MPA (E )</v>
      </c>
      <c r="E751" s="649" t="str">
        <f>VLOOKUP(A751,[33]INDICE!$A$3:$D$334,3,FALSE)</f>
        <v>m3</v>
      </c>
      <c r="F751" s="655">
        <f>2*(1.8*0.2*2+1.4*0.2*2)+1.4*1.4*0.2+3*(2*1.8*0.4)+(1.8+3.6)/2*0.2*1.5+11*0.15*1.2</f>
        <v>10.062000000000001</v>
      </c>
      <c r="G751" s="726">
        <f>VLOOKUP(A751,[33]INDICE!$A$3:$D$334,4,FALSE)</f>
        <v>735031.04931538599</v>
      </c>
      <c r="H751" s="652">
        <f t="shared" si="84"/>
        <v>7395882.4182114145</v>
      </c>
      <c r="J751" s="625">
        <v>630.5</v>
      </c>
    </row>
    <row r="752" spans="1:10" s="625" customFormat="1" ht="15" customHeight="1">
      <c r="A752" s="1231" t="s">
        <v>546</v>
      </c>
      <c r="B752" s="631" t="str">
        <f t="shared" si="83"/>
        <v>630-13</v>
      </c>
      <c r="C752" s="631"/>
      <c r="D752" s="657" t="str">
        <f>VLOOKUP(A752,[33]INDICE!$A$3:$D$334,2,FALSE)</f>
        <v>CONCRETO RESISTENCIA 14MPA (G) (CICLOPEO)</v>
      </c>
      <c r="E752" s="649" t="str">
        <f>VLOOKUP(A752,[33]INDICE!$A$3:$D$334,3,FALSE)</f>
        <v>m3</v>
      </c>
      <c r="F752" s="668">
        <f>1.2*11*0.2</f>
        <v>2.64</v>
      </c>
      <c r="G752" s="726">
        <f>VLOOKUP(A752,[33]INDICE!$A$3:$D$334,4,FALSE)</f>
        <v>530138.01220093726</v>
      </c>
      <c r="H752" s="652">
        <f t="shared" si="84"/>
        <v>1399564.3522104744</v>
      </c>
      <c r="J752" s="625">
        <v>630.70000000000005</v>
      </c>
    </row>
    <row r="753" spans="1:10" s="625" customFormat="1" ht="15" customHeight="1">
      <c r="A753" s="1231" t="s">
        <v>554</v>
      </c>
      <c r="B753" s="631" t="str">
        <f t="shared" si="83"/>
        <v>640-13</v>
      </c>
      <c r="C753" s="631"/>
      <c r="D753" s="657" t="str">
        <f>VLOOKUP(A753,[33]INDICE!$A$3:$D$334,2,FALSE)</f>
        <v>ACERO DE REFUERZO FY 4200 MPA.</v>
      </c>
      <c r="E753" s="649" t="str">
        <f>VLOOKUP(A753,[33]INDICE!$A$3:$D$334,3,FALSE)</f>
        <v>kg</v>
      </c>
      <c r="F753" s="654">
        <f>F751*105</f>
        <v>1056.5100000000002</v>
      </c>
      <c r="G753" s="726">
        <f>VLOOKUP(A753,[33]INDICE!$A$3:$D$334,4,FALSE)</f>
        <v>6085.8496982034649</v>
      </c>
      <c r="H753" s="652">
        <f t="shared" si="84"/>
        <v>6429761.064648944</v>
      </c>
      <c r="J753" s="625">
        <v>640.1</v>
      </c>
    </row>
    <row r="754" spans="1:10" s="625" customFormat="1" ht="26.1" customHeight="1">
      <c r="A754" s="1231" t="s">
        <v>605</v>
      </c>
      <c r="B754" s="631" t="str">
        <f t="shared" si="83"/>
        <v>661-13</v>
      </c>
      <c r="C754" s="631"/>
      <c r="D754" s="657" t="str">
        <f>VLOOKUP(A754,[33]INDICE!$A$3:$D$334,2,FALSE)</f>
        <v>TUBERÍA DE CONCRETO REFORZADO  21 MPA DE 900 MM DE DIAMETRO INTERIOR</v>
      </c>
      <c r="E754" s="649" t="str">
        <f>VLOOKUP(A754,[33]INDICE!$A$3:$D$334,3,FALSE)</f>
        <v>m</v>
      </c>
      <c r="F754" s="650">
        <v>11</v>
      </c>
      <c r="G754" s="726">
        <f>VLOOKUP(A754,[33]INDICE!$A$3:$D$334,4,FALSE)</f>
        <v>689897.64607454219</v>
      </c>
      <c r="H754" s="652">
        <f>F754*G754</f>
        <v>7588874.106819964</v>
      </c>
      <c r="J754" s="625">
        <v>661.1</v>
      </c>
    </row>
    <row r="755" spans="1:10" s="625" customFormat="1" ht="26.1" customHeight="1" thickBot="1">
      <c r="A755" s="1239" t="s">
        <v>559</v>
      </c>
      <c r="B755" s="672" t="str">
        <f t="shared" si="83"/>
        <v>671-13</v>
      </c>
      <c r="C755" s="672"/>
      <c r="D755" s="657" t="str">
        <f>VLOOKUP(A755,[33]INDICE!$A$3:$D$334,2,FALSE)</f>
        <v>CUNETA DE CONCRETO VACIADA IN SITU; INCLUYE LA CONFORMACION DE LA SUPERFICIE DE APOYO</v>
      </c>
      <c r="E755" s="649" t="str">
        <f>VLOOKUP(A755,[33]INDICE!$A$3:$D$334,3,FALSE)</f>
        <v>m3</v>
      </c>
      <c r="F755" s="663">
        <f>8*0.138</f>
        <v>1.1040000000000001</v>
      </c>
      <c r="G755" s="726">
        <f>VLOOKUP(A755,[33]INDICE!$A$3:$D$334,4,FALSE)</f>
        <v>841791.75196838728</v>
      </c>
      <c r="H755" s="679">
        <f t="shared" si="84"/>
        <v>929338.09417309961</v>
      </c>
      <c r="J755" s="625">
        <v>671.3</v>
      </c>
    </row>
    <row r="756" spans="1:10" s="625" customFormat="1" ht="15" customHeight="1" thickTop="1">
      <c r="A756" s="1234"/>
      <c r="B756" s="637"/>
      <c r="C756" s="637"/>
      <c r="D756" s="638"/>
      <c r="E756" s="659"/>
      <c r="F756" s="669"/>
      <c r="G756" s="670" t="s">
        <v>536</v>
      </c>
      <c r="H756" s="640">
        <f>SUM(H745:H755)</f>
        <v>31646546.099565763</v>
      </c>
    </row>
    <row r="757" spans="1:10" s="625" customFormat="1" ht="15" customHeight="1">
      <c r="A757" s="1235"/>
      <c r="B757" s="641"/>
      <c r="C757" s="641"/>
      <c r="D757" s="642"/>
      <c r="E757" s="621"/>
      <c r="G757" s="671" t="s">
        <v>537</v>
      </c>
      <c r="H757" s="644">
        <f>SUM(H756:H756)*0.05*0.19/1.3</f>
        <v>231263.22149682674</v>
      </c>
    </row>
    <row r="758" spans="1:10" s="625" customFormat="1" ht="15" customHeight="1" thickBot="1">
      <c r="A758" s="1236"/>
      <c r="B758" s="619"/>
      <c r="C758" s="619"/>
      <c r="D758" s="620"/>
      <c r="E758" s="621"/>
      <c r="G758" s="671" t="s">
        <v>538</v>
      </c>
      <c r="H758" s="645">
        <f>+ROUND(H756+H757,0)</f>
        <v>31877809</v>
      </c>
    </row>
    <row r="759" spans="1:10" s="625" customFormat="1" ht="12.75" customHeight="1" thickTop="1">
      <c r="A759" s="1236"/>
      <c r="B759" s="619"/>
      <c r="C759" s="619"/>
      <c r="D759" s="620"/>
      <c r="E759" s="621"/>
      <c r="F759" s="647"/>
      <c r="G759" s="647"/>
      <c r="H759" s="624"/>
    </row>
    <row r="760" spans="1:10" s="625" customFormat="1" ht="15" customHeight="1" thickBot="1">
      <c r="A760" s="1237"/>
      <c r="B760" s="627"/>
      <c r="C760" s="626" t="s">
        <v>646</v>
      </c>
      <c r="D760" s="626"/>
      <c r="E760" s="627"/>
      <c r="F760" s="626"/>
      <c r="G760" s="628"/>
      <c r="H760" s="629"/>
    </row>
    <row r="761" spans="1:10" s="625" customFormat="1" ht="15" customHeight="1" thickTop="1">
      <c r="A761" s="1231" t="s">
        <v>540</v>
      </c>
      <c r="B761" s="631" t="str">
        <f t="shared" ref="B761:B767" si="85">MID(A761,1,3)&amp;"-"&amp;13</f>
        <v>600-13</v>
      </c>
      <c r="C761" s="665"/>
      <c r="D761" s="657" t="str">
        <f>VLOOKUP(A761,[33]INDICE!$A$3:$D$334,2,FALSE)</f>
        <v>EXCAVACIONES VARIAS SIN CLASIFICAR</v>
      </c>
      <c r="E761" s="649" t="str">
        <f>VLOOKUP(A761,[33]INDICE!$A$3:$D$334,3,FALSE)</f>
        <v>m3</v>
      </c>
      <c r="F761" s="666">
        <f>70*0.5</f>
        <v>35</v>
      </c>
      <c r="G761" s="726">
        <f>VLOOKUP(A761,[33]INDICE!$A$3:$D$334,4,FALSE)</f>
        <v>67953.950275344076</v>
      </c>
      <c r="H761" s="667">
        <f t="shared" ref="H761:H767" si="86">F761*G761</f>
        <v>2378388.2596370429</v>
      </c>
      <c r="J761" s="625" t="s">
        <v>541</v>
      </c>
    </row>
    <row r="762" spans="1:10" s="625" customFormat="1" ht="15" customHeight="1">
      <c r="A762" s="1231" t="s">
        <v>544</v>
      </c>
      <c r="B762" s="631" t="str">
        <f t="shared" si="85"/>
        <v>610-13</v>
      </c>
      <c r="C762" s="631"/>
      <c r="D762" s="657" t="str">
        <f>VLOOKUP(A762,[33]INDICE!$A$3:$D$334,2,FALSE)</f>
        <v>RELLENOS PARA ESTRUCTURAS CON SUELO.</v>
      </c>
      <c r="E762" s="649" t="str">
        <f>VLOOKUP(A762,[33]INDICE!$A$3:$D$334,3,FALSE)</f>
        <v>m3</v>
      </c>
      <c r="F762" s="655">
        <f>70*0.4</f>
        <v>28</v>
      </c>
      <c r="G762" s="726">
        <f>VLOOKUP(A762,[33]INDICE!$A$3:$D$334,4,FALSE)</f>
        <v>164362.8922747685</v>
      </c>
      <c r="H762" s="652">
        <f>F762*G762</f>
        <v>4602160.9836935177</v>
      </c>
      <c r="J762" s="625">
        <v>610.1</v>
      </c>
    </row>
    <row r="763" spans="1:10" s="625" customFormat="1" ht="15" customHeight="1">
      <c r="A763" s="1231" t="s">
        <v>545</v>
      </c>
      <c r="B763" s="631" t="str">
        <f t="shared" si="85"/>
        <v>630-13</v>
      </c>
      <c r="C763" s="683"/>
      <c r="D763" s="657" t="str">
        <f>VLOOKUP(A763,[33]INDICE!$A$3:$D$334,2,FALSE)</f>
        <v>CONCRETO RESISTENCIA 17.5MPA (E )</v>
      </c>
      <c r="E763" s="649" t="str">
        <f>VLOOKUP(A763,[33]INDICE!$A$3:$D$334,3,FALSE)</f>
        <v>m3</v>
      </c>
      <c r="F763" s="685">
        <f>70*0.55</f>
        <v>38.5</v>
      </c>
      <c r="G763" s="726">
        <f>VLOOKUP(A763,[33]INDICE!$A$3:$D$334,4,FALSE)</f>
        <v>735031.04931538599</v>
      </c>
      <c r="H763" s="686">
        <f t="shared" si="86"/>
        <v>28298695.398642361</v>
      </c>
      <c r="J763" s="625">
        <v>630.5</v>
      </c>
    </row>
    <row r="764" spans="1:10" s="625" customFormat="1" ht="15" customHeight="1">
      <c r="A764" s="1231" t="s">
        <v>546</v>
      </c>
      <c r="B764" s="631" t="str">
        <f t="shared" si="85"/>
        <v>630-13</v>
      </c>
      <c r="C764" s="631"/>
      <c r="D764" s="657" t="str">
        <f>VLOOKUP(A764,[33]INDICE!$A$3:$D$334,2,FALSE)</f>
        <v>CONCRETO RESISTENCIA 14MPA (G) (CICLOPEO)</v>
      </c>
      <c r="E764" s="649" t="str">
        <f>VLOOKUP(A764,[33]INDICE!$A$3:$D$334,3,FALSE)</f>
        <v>m3</v>
      </c>
      <c r="F764" s="668">
        <v>10</v>
      </c>
      <c r="G764" s="726">
        <f>VLOOKUP(A764,[33]INDICE!$A$3:$D$334,4,FALSE)</f>
        <v>530138.01220093726</v>
      </c>
      <c r="H764" s="652">
        <f t="shared" si="86"/>
        <v>5301380.1220093723</v>
      </c>
      <c r="J764" s="625">
        <v>630.70000000000005</v>
      </c>
    </row>
    <row r="765" spans="1:10" s="625" customFormat="1" ht="15" customHeight="1">
      <c r="A765" s="1231" t="s">
        <v>554</v>
      </c>
      <c r="B765" s="631" t="str">
        <f t="shared" si="85"/>
        <v>640-13</v>
      </c>
      <c r="C765" s="631"/>
      <c r="D765" s="657" t="str">
        <f>VLOOKUP(A765,[33]INDICE!$A$3:$D$334,2,FALSE)</f>
        <v>ACERO DE REFUERZO FY 4200 MPA.</v>
      </c>
      <c r="E765" s="649" t="str">
        <f>VLOOKUP(A765,[33]INDICE!$A$3:$D$334,3,FALSE)</f>
        <v>kg</v>
      </c>
      <c r="F765" s="654">
        <f>F763*105</f>
        <v>4042.5</v>
      </c>
      <c r="G765" s="726">
        <f>VLOOKUP(A765,[33]INDICE!$A$3:$D$334,4,FALSE)</f>
        <v>6085.8496982034649</v>
      </c>
      <c r="H765" s="652">
        <f t="shared" si="86"/>
        <v>24602047.404987507</v>
      </c>
      <c r="J765" s="625">
        <v>640.1</v>
      </c>
    </row>
    <row r="766" spans="1:10" s="625" customFormat="1" ht="15" customHeight="1">
      <c r="A766" s="1231" t="s">
        <v>548</v>
      </c>
      <c r="B766" s="631" t="str">
        <f t="shared" si="85"/>
        <v>673-13</v>
      </c>
      <c r="C766" s="631"/>
      <c r="D766" s="657" t="str">
        <f>VLOOKUP(A766,[33]INDICE!$A$3:$D$334,2,FALSE)</f>
        <v>GEOTEXTIL  TIPO T-2400 O SIMILAR TEJIDO</v>
      </c>
      <c r="E766" s="649" t="str">
        <f>VLOOKUP(A766,[33]INDICE!$A$3:$D$334,3,FALSE)</f>
        <v>m2</v>
      </c>
      <c r="F766" s="654">
        <v>70</v>
      </c>
      <c r="G766" s="726">
        <f>VLOOKUP(A766,[33]INDICE!$A$3:$D$334,4,FALSE)</f>
        <v>10983.835173625577</v>
      </c>
      <c r="H766" s="652">
        <f>F766*G766</f>
        <v>768868.4621537904</v>
      </c>
      <c r="J766" s="625">
        <v>673.1</v>
      </c>
    </row>
    <row r="767" spans="1:10" s="625" customFormat="1" ht="36.75" thickBot="1">
      <c r="A767" s="1231" t="s">
        <v>549</v>
      </c>
      <c r="B767" s="631" t="str">
        <f t="shared" si="85"/>
        <v>681-13</v>
      </c>
      <c r="C767" s="631"/>
      <c r="D767" s="657" t="str">
        <f>VLOOKUP(A767,[33]INDICE!$A$3:$D$334,2,FALSE)</f>
        <v xml:space="preserve">GAVIÓNES DE MALLA DE ALAMBRE DE ACERO ENTRELAZADO  CLASE 1; RECUBRIMIENTO DE ZINC (GALVANIZADO) </v>
      </c>
      <c r="E767" s="649" t="str">
        <f>VLOOKUP(A767,[33]INDICE!$A$3:$D$334,3,FALSE)</f>
        <v>m3</v>
      </c>
      <c r="F767" s="654">
        <v>55</v>
      </c>
      <c r="G767" s="726">
        <f>VLOOKUP(A767,[33]INDICE!$A$3:$D$334,4,FALSE)</f>
        <v>400986.60185015475</v>
      </c>
      <c r="H767" s="652">
        <f t="shared" si="86"/>
        <v>22054263.10175851</v>
      </c>
      <c r="J767" s="625">
        <v>681.1</v>
      </c>
    </row>
    <row r="768" spans="1:10" s="625" customFormat="1" ht="15" customHeight="1" thickTop="1">
      <c r="A768" s="1234"/>
      <c r="B768" s="637"/>
      <c r="C768" s="637"/>
      <c r="D768" s="638"/>
      <c r="E768" s="659"/>
      <c r="F768" s="660"/>
      <c r="G768" s="670" t="s">
        <v>536</v>
      </c>
      <c r="H768" s="640">
        <f>SUM(H761:H767)</f>
        <v>88005803.732882112</v>
      </c>
    </row>
    <row r="769" spans="1:10" s="625" customFormat="1" ht="15" customHeight="1">
      <c r="A769" s="1235"/>
      <c r="B769" s="641"/>
      <c r="C769" s="641"/>
      <c r="D769" s="642"/>
      <c r="E769" s="621"/>
      <c r="F769" s="647"/>
      <c r="G769" s="671" t="s">
        <v>537</v>
      </c>
      <c r="H769" s="644">
        <f>SUM(H768:H768)*0.05*0.19/1.3</f>
        <v>643119.33497106167</v>
      </c>
    </row>
    <row r="770" spans="1:10" s="625" customFormat="1" ht="15" customHeight="1" thickBot="1">
      <c r="A770" s="1236"/>
      <c r="B770" s="619"/>
      <c r="C770" s="619"/>
      <c r="D770" s="620"/>
      <c r="E770" s="621"/>
      <c r="F770" s="647"/>
      <c r="G770" s="671" t="s">
        <v>538</v>
      </c>
      <c r="H770" s="645">
        <f>+ROUND(H768+H769,0)</f>
        <v>88648923</v>
      </c>
    </row>
    <row r="771" spans="1:10" s="625" customFormat="1" ht="15" customHeight="1" thickTop="1">
      <c r="A771" s="1236"/>
      <c r="B771" s="619"/>
      <c r="C771" s="619"/>
      <c r="D771" s="620"/>
      <c r="E771" s="621"/>
      <c r="F771" s="622"/>
      <c r="G771" s="623"/>
      <c r="H771" s="624"/>
    </row>
    <row r="772" spans="1:10" s="625" customFormat="1" ht="15" customHeight="1" thickBot="1">
      <c r="A772" s="1237"/>
      <c r="B772" s="627"/>
      <c r="C772" s="626" t="s">
        <v>647</v>
      </c>
      <c r="D772" s="626"/>
      <c r="E772" s="627"/>
      <c r="F772" s="626"/>
      <c r="G772" s="691"/>
      <c r="H772" s="629"/>
    </row>
    <row r="773" spans="1:10" s="625" customFormat="1" ht="15.75" customHeight="1" thickTop="1">
      <c r="A773" s="1231" t="s">
        <v>540</v>
      </c>
      <c r="B773" s="631" t="str">
        <f t="shared" ref="B773:B778" si="87">MID(A773,1,3)&amp;"-"&amp;13</f>
        <v>600-13</v>
      </c>
      <c r="C773" s="631"/>
      <c r="D773" s="657" t="str">
        <f>VLOOKUP(A773,[33]INDICE!$A$3:$D$334,2,FALSE)</f>
        <v>EXCAVACIONES VARIAS SIN CLASIFICAR</v>
      </c>
      <c r="E773" s="649" t="str">
        <f>VLOOKUP(A773,[33]INDICE!$A$3:$D$334,3,FALSE)</f>
        <v>m3</v>
      </c>
      <c r="F773" s="654">
        <v>2</v>
      </c>
      <c r="G773" s="726">
        <f>VLOOKUP(A773,[33]INDICE!$A$3:$D$334,4,FALSE)</f>
        <v>67953.950275344076</v>
      </c>
      <c r="H773" s="652">
        <f t="shared" ref="H773:H778" si="88">F773*G773</f>
        <v>135907.90055068815</v>
      </c>
      <c r="J773" s="625" t="s">
        <v>541</v>
      </c>
    </row>
    <row r="774" spans="1:10" s="625" customFormat="1" ht="15" customHeight="1">
      <c r="A774" s="1232" t="s">
        <v>544</v>
      </c>
      <c r="B774" s="632" t="str">
        <f t="shared" si="87"/>
        <v>610-13</v>
      </c>
      <c r="C774" s="632"/>
      <c r="D774" s="657" t="str">
        <f>VLOOKUP(A774,[33]INDICE!$A$3:$D$334,2,FALSE)</f>
        <v>RELLENOS PARA ESTRUCTURAS CON SUELO.</v>
      </c>
      <c r="E774" s="649" t="str">
        <f>VLOOKUP(A774,[33]INDICE!$A$3:$D$334,3,FALSE)</f>
        <v>m3</v>
      </c>
      <c r="F774" s="653">
        <v>1.5</v>
      </c>
      <c r="G774" s="726">
        <f>VLOOKUP(A774,[33]INDICE!$A$3:$D$334,4,FALSE)</f>
        <v>164362.8922747685</v>
      </c>
      <c r="H774" s="636">
        <f>F774*G774</f>
        <v>246544.33841215275</v>
      </c>
      <c r="J774" s="625">
        <v>610.1</v>
      </c>
    </row>
    <row r="775" spans="1:10" s="625" customFormat="1" ht="15" customHeight="1">
      <c r="A775" s="1231" t="s">
        <v>545</v>
      </c>
      <c r="B775" s="631" t="str">
        <f t="shared" si="87"/>
        <v>630-13</v>
      </c>
      <c r="C775" s="631"/>
      <c r="D775" s="657" t="str">
        <f>VLOOKUP(A775,[33]INDICE!$A$3:$D$334,2,FALSE)</f>
        <v>CONCRETO RESISTENCIA 17.5MPA (E )</v>
      </c>
      <c r="E775" s="649" t="str">
        <f>VLOOKUP(A775,[33]INDICE!$A$3:$D$334,3,FALSE)</f>
        <v>m3</v>
      </c>
      <c r="F775" s="655">
        <f>1*(2*1.8*0.4)+1</f>
        <v>2.4400000000000004</v>
      </c>
      <c r="G775" s="726">
        <f>VLOOKUP(A775,[33]INDICE!$A$3:$D$334,4,FALSE)</f>
        <v>735031.04931538599</v>
      </c>
      <c r="H775" s="652">
        <f t="shared" si="88"/>
        <v>1793475.760329542</v>
      </c>
      <c r="J775" s="625">
        <v>630.5</v>
      </c>
    </row>
    <row r="776" spans="1:10" s="625" customFormat="1" ht="15" customHeight="1">
      <c r="A776" s="1231" t="s">
        <v>546</v>
      </c>
      <c r="B776" s="631" t="str">
        <f t="shared" si="87"/>
        <v>630-13</v>
      </c>
      <c r="C776" s="631"/>
      <c r="D776" s="657" t="str">
        <f>VLOOKUP(A776,[33]INDICE!$A$3:$D$334,2,FALSE)</f>
        <v>CONCRETO RESISTENCIA 14MPA (G) (CICLOPEO)</v>
      </c>
      <c r="E776" s="649" t="str">
        <f>VLOOKUP(A776,[33]INDICE!$A$3:$D$334,3,FALSE)</f>
        <v>m3</v>
      </c>
      <c r="F776" s="668">
        <v>1</v>
      </c>
      <c r="G776" s="726">
        <f>VLOOKUP(A776,[33]INDICE!$A$3:$D$334,4,FALSE)</f>
        <v>530138.01220093726</v>
      </c>
      <c r="H776" s="652">
        <f t="shared" si="88"/>
        <v>530138.01220093726</v>
      </c>
      <c r="J776" s="625">
        <v>630.70000000000005</v>
      </c>
    </row>
    <row r="777" spans="1:10" s="625" customFormat="1" ht="15" customHeight="1">
      <c r="A777" s="1231" t="s">
        <v>554</v>
      </c>
      <c r="B777" s="631" t="str">
        <f t="shared" si="87"/>
        <v>640-13</v>
      </c>
      <c r="C777" s="631"/>
      <c r="D777" s="657" t="str">
        <f>VLOOKUP(A777,[33]INDICE!$A$3:$D$334,2,FALSE)</f>
        <v>ACERO DE REFUERZO FY 4200 MPA.</v>
      </c>
      <c r="E777" s="649" t="str">
        <f>VLOOKUP(A777,[33]INDICE!$A$3:$D$334,3,FALSE)</f>
        <v>kg</v>
      </c>
      <c r="F777" s="654">
        <f>F775*105</f>
        <v>256.20000000000005</v>
      </c>
      <c r="G777" s="726">
        <f>VLOOKUP(A777,[33]INDICE!$A$3:$D$334,4,FALSE)</f>
        <v>6085.8496982034649</v>
      </c>
      <c r="H777" s="652">
        <f t="shared" si="88"/>
        <v>1559194.6926797279</v>
      </c>
      <c r="J777" s="625">
        <v>640.1</v>
      </c>
    </row>
    <row r="778" spans="1:10" s="625" customFormat="1" ht="26.1" customHeight="1" thickBot="1">
      <c r="A778" s="1231" t="s">
        <v>559</v>
      </c>
      <c r="B778" s="631" t="str">
        <f t="shared" si="87"/>
        <v>671-13</v>
      </c>
      <c r="C778" s="631"/>
      <c r="D778" s="657" t="str">
        <f>VLOOKUP(A778,[33]INDICE!$A$3:$D$334,2,FALSE)</f>
        <v>CUNETA DE CONCRETO VACIADA IN SITU; INCLUYE LA CONFORMACION DE LA SUPERFICIE DE APOYO</v>
      </c>
      <c r="E778" s="649" t="str">
        <f>VLOOKUP(A778,[33]INDICE!$A$3:$D$334,3,FALSE)</f>
        <v>m3</v>
      </c>
      <c r="F778" s="655">
        <f>2*0.138</f>
        <v>0.27600000000000002</v>
      </c>
      <c r="G778" s="726">
        <f>VLOOKUP(A778,[33]INDICE!$A$3:$D$334,4,FALSE)</f>
        <v>841791.75196838728</v>
      </c>
      <c r="H778" s="652">
        <f t="shared" si="88"/>
        <v>232334.5235432749</v>
      </c>
      <c r="J778" s="625">
        <v>671.3</v>
      </c>
    </row>
    <row r="779" spans="1:10" s="625" customFormat="1" ht="15" customHeight="1" thickTop="1">
      <c r="A779" s="1234"/>
      <c r="B779" s="637"/>
      <c r="C779" s="637"/>
      <c r="D779" s="638"/>
      <c r="E779" s="659"/>
      <c r="F779" s="660"/>
      <c r="G779" s="670" t="s">
        <v>536</v>
      </c>
      <c r="H779" s="640">
        <f>SUM(H773:H778)</f>
        <v>4497595.227716323</v>
      </c>
    </row>
    <row r="780" spans="1:10" s="625" customFormat="1" ht="15" customHeight="1">
      <c r="A780" s="1235"/>
      <c r="B780" s="641"/>
      <c r="C780" s="641"/>
      <c r="D780" s="642"/>
      <c r="E780" s="621"/>
      <c r="F780" s="647"/>
      <c r="G780" s="671" t="s">
        <v>537</v>
      </c>
      <c r="H780" s="644">
        <f>SUM(H779:H779)*0.05*0.19/1.3</f>
        <v>32867.042048696203</v>
      </c>
    </row>
    <row r="781" spans="1:10" s="625" customFormat="1" ht="15" customHeight="1" thickBot="1">
      <c r="A781" s="1236"/>
      <c r="B781" s="619"/>
      <c r="C781" s="619"/>
      <c r="D781" s="620"/>
      <c r="E781" s="621"/>
      <c r="F781" s="647"/>
      <c r="G781" s="671" t="s">
        <v>538</v>
      </c>
      <c r="H781" s="645">
        <f>+ROUND(H779+H780,0)</f>
        <v>4530462</v>
      </c>
    </row>
    <row r="782" spans="1:10" s="625" customFormat="1" ht="15" customHeight="1" thickTop="1">
      <c r="A782" s="1236"/>
      <c r="B782" s="619"/>
      <c r="C782" s="619"/>
      <c r="D782" s="620"/>
      <c r="E782" s="621"/>
      <c r="F782" s="622"/>
      <c r="G782" s="623"/>
      <c r="H782" s="624"/>
    </row>
    <row r="783" spans="1:10" s="625" customFormat="1" ht="15" customHeight="1" thickBot="1">
      <c r="A783" s="1237"/>
      <c r="B783" s="627"/>
      <c r="C783" s="626" t="s">
        <v>648</v>
      </c>
      <c r="D783" s="626"/>
      <c r="E783" s="627"/>
      <c r="F783" s="626"/>
      <c r="G783" s="691"/>
      <c r="H783" s="629"/>
    </row>
    <row r="784" spans="1:10" s="625" customFormat="1" ht="15" customHeight="1" thickTop="1">
      <c r="A784" s="1231" t="s">
        <v>552</v>
      </c>
      <c r="B784" s="631" t="str">
        <f>MID(A784,1,3)&amp;"-"&amp;13</f>
        <v>201-13</v>
      </c>
      <c r="C784" s="631"/>
      <c r="D784" s="657" t="str">
        <f>VLOOKUP(A784,[33]INDICE!$A$3:$D$334,2,FALSE)</f>
        <v>DEMOLICIÓN DE ESTRUCTURAS</v>
      </c>
      <c r="E784" s="649" t="str">
        <f>VLOOKUP(A784,[33]INDICE!$A$3:$D$334,3,FALSE)</f>
        <v>m3</v>
      </c>
      <c r="F784" s="650">
        <f>2*(1.4*0.2*1.5+1*0.2*1.5)+1*1*0.15+3*(2*0.4*1.5)</f>
        <v>5.19</v>
      </c>
      <c r="G784" s="726">
        <f>VLOOKUP(A784,[33]INDICE!$A$3:$D$334,4,FALSE)</f>
        <v>240341.82659000819</v>
      </c>
      <c r="H784" s="652">
        <f>F784*G784</f>
        <v>1247374.0800021426</v>
      </c>
      <c r="J784" s="625">
        <v>201.7</v>
      </c>
    </row>
    <row r="785" spans="1:10" s="625" customFormat="1" ht="15" customHeight="1">
      <c r="A785" s="1231" t="s">
        <v>558</v>
      </c>
      <c r="B785" s="631" t="str">
        <f>MID(A785,1,3)&amp;"-"&amp;13</f>
        <v>330-13</v>
      </c>
      <c r="C785" s="689"/>
      <c r="D785" s="657" t="str">
        <f>VLOOKUP(A785,[33]INDICE!$A$3:$D$334,2,FALSE)</f>
        <v>BASE GRANULAR CLASE A</v>
      </c>
      <c r="E785" s="649" t="str">
        <f>VLOOKUP(A785,[33]INDICE!$A$3:$D$334,3,FALSE)</f>
        <v>m3</v>
      </c>
      <c r="F785" s="655">
        <f>10*1.2*0.2</f>
        <v>2.4000000000000004</v>
      </c>
      <c r="G785" s="726">
        <f>VLOOKUP(A785,[33]INDICE!$A$3:$D$334,4,FALSE)</f>
        <v>375353.93049818149</v>
      </c>
      <c r="H785" s="652">
        <f>F785*G785</f>
        <v>900849.43319563568</v>
      </c>
      <c r="J785" s="625">
        <v>330.1</v>
      </c>
    </row>
    <row r="786" spans="1:10" s="625" customFormat="1" ht="26.1" customHeight="1">
      <c r="A786" s="1231" t="s">
        <v>574</v>
      </c>
      <c r="B786" s="631" t="str">
        <f>MID(A786,1,3)&amp;"-"&amp;13</f>
        <v>450-13</v>
      </c>
      <c r="C786" s="689"/>
      <c r="D786" s="657" t="str">
        <f>VLOOKUP(A786,[33]INDICE!$A$3:$D$334,2,FALSE)</f>
        <v>Mezcla Densa en Caliente tipo MDC-19 INCLUYE TRANSPORTE</v>
      </c>
      <c r="E786" s="649" t="str">
        <f>VLOOKUP(A786,[33]INDICE!$A$3:$D$334,3,FALSE)</f>
        <v>M3</v>
      </c>
      <c r="F786" s="694">
        <f>10*0.15*1.2</f>
        <v>1.7999999999999998</v>
      </c>
      <c r="G786" s="726">
        <f>VLOOKUP(A786,[33]INDICE!$A$3:$D$334,4,FALSE)</f>
        <v>1299990.5178796239</v>
      </c>
      <c r="H786" s="652">
        <f>F786*G786</f>
        <v>2339982.932183323</v>
      </c>
      <c r="J786" s="625" t="s">
        <v>575</v>
      </c>
    </row>
    <row r="787" spans="1:10" s="625" customFormat="1" ht="36.950000000000003" customHeight="1">
      <c r="A787" s="1231" t="s">
        <v>604</v>
      </c>
      <c r="B787" s="631" t="str">
        <f>MID(A787,1,3)&amp;"-"&amp;13</f>
        <v>465-13</v>
      </c>
      <c r="C787" s="631"/>
      <c r="D787" s="657" t="str">
        <f>VLOOKUP(A787,[33]INDICE!$A$3:$D$334,2,FALSE)</f>
        <v>EXCAVACIÓN PARA REPARACIÓN DE PAVIMENTO ASFÁLTICO EXISTENTE INCLUYENDO EL CORTE Y LA REMOCIÒN DE LAS CAPAS ASFALTICAS SUBYACENTES</v>
      </c>
      <c r="E787" s="649" t="str">
        <f>VLOOKUP(A787,[33]INDICE!$A$3:$D$334,3,FALSE)</f>
        <v>m3</v>
      </c>
      <c r="F787" s="694">
        <f>10*0.15*1.2</f>
        <v>1.7999999999999998</v>
      </c>
      <c r="G787" s="726">
        <f>VLOOKUP(A787,[33]INDICE!$A$3:$D$334,4,FALSE)</f>
        <v>152185.3287895511</v>
      </c>
      <c r="H787" s="652">
        <f>F787*G787</f>
        <v>273933.59182119195</v>
      </c>
      <c r="J787" s="625">
        <v>465.1</v>
      </c>
    </row>
    <row r="788" spans="1:10" s="625" customFormat="1" ht="15" customHeight="1">
      <c r="A788" s="1231" t="s">
        <v>540</v>
      </c>
      <c r="B788" s="631" t="str">
        <f t="shared" ref="B788:B794" si="89">MID(A788,1,3)&amp;"-"&amp;13</f>
        <v>600-13</v>
      </c>
      <c r="C788" s="631"/>
      <c r="D788" s="657" t="str">
        <f>VLOOKUP(A788,[33]INDICE!$A$3:$D$334,2,FALSE)</f>
        <v>EXCAVACIONES VARIAS SIN CLASIFICAR</v>
      </c>
      <c r="E788" s="649" t="str">
        <f>VLOOKUP(A788,[33]INDICE!$A$3:$D$334,3,FALSE)</f>
        <v>m3</v>
      </c>
      <c r="F788" s="654">
        <f>10*1.2*1.5+5</f>
        <v>23</v>
      </c>
      <c r="G788" s="726">
        <f>VLOOKUP(A788,[33]INDICE!$A$3:$D$334,4,FALSE)</f>
        <v>67953.950275344076</v>
      </c>
      <c r="H788" s="652">
        <f t="shared" ref="H788:H794" si="90">F788*G788</f>
        <v>1562940.8563329137</v>
      </c>
      <c r="J788" s="625" t="s">
        <v>541</v>
      </c>
    </row>
    <row r="789" spans="1:10" s="625" customFormat="1" ht="15" customHeight="1">
      <c r="A789" s="1231" t="s">
        <v>544</v>
      </c>
      <c r="B789" s="631" t="str">
        <f>MID(A789,1,3)&amp;"-"&amp;13</f>
        <v>610-13</v>
      </c>
      <c r="C789" s="631"/>
      <c r="D789" s="657" t="str">
        <f>VLOOKUP(A789,[33]INDICE!$A$3:$D$334,2,FALSE)</f>
        <v>RELLENOS PARA ESTRUCTURAS CON SUELO.</v>
      </c>
      <c r="E789" s="649" t="str">
        <f>VLOOKUP(A789,[33]INDICE!$A$3:$D$334,3,FALSE)</f>
        <v>m3</v>
      </c>
      <c r="F789" s="655">
        <f>10*1.2*1+5</f>
        <v>17</v>
      </c>
      <c r="G789" s="726">
        <f>VLOOKUP(A789,[33]INDICE!$A$3:$D$334,4,FALSE)</f>
        <v>164362.8922747685</v>
      </c>
      <c r="H789" s="652">
        <f>F789*G789</f>
        <v>2794169.1686710645</v>
      </c>
      <c r="J789" s="625">
        <v>610.1</v>
      </c>
    </row>
    <row r="790" spans="1:10" s="625" customFormat="1" ht="15" customHeight="1">
      <c r="A790" s="1233" t="s">
        <v>545</v>
      </c>
      <c r="B790" s="683" t="str">
        <f t="shared" si="89"/>
        <v>630-13</v>
      </c>
      <c r="C790" s="683"/>
      <c r="D790" s="657" t="str">
        <f>VLOOKUP(A790,[33]INDICE!$A$3:$D$334,2,FALSE)</f>
        <v>CONCRETO RESISTENCIA 17.5MPA (E )</v>
      </c>
      <c r="E790" s="649" t="str">
        <f>VLOOKUP(A790,[33]INDICE!$A$3:$D$334,3,FALSE)</f>
        <v>m3</v>
      </c>
      <c r="F790" s="685">
        <f>2*(1.8*0.2*2+1.4*0.2*2)+1.4*1.4*0.2+3*(2*1.8*0.4)+(1.8+3.6)/2*0.2*1.5+10*0.15*1.2</f>
        <v>9.8820000000000014</v>
      </c>
      <c r="G790" s="726">
        <f>VLOOKUP(A790,[33]INDICE!$A$3:$D$334,4,FALSE)</f>
        <v>735031.04931538599</v>
      </c>
      <c r="H790" s="686">
        <f t="shared" si="90"/>
        <v>7263576.8293346455</v>
      </c>
      <c r="J790" s="625">
        <v>630.5</v>
      </c>
    </row>
    <row r="791" spans="1:10" s="625" customFormat="1" ht="15" customHeight="1">
      <c r="A791" s="1231" t="s">
        <v>546</v>
      </c>
      <c r="B791" s="631" t="str">
        <f t="shared" si="89"/>
        <v>630-13</v>
      </c>
      <c r="C791" s="631"/>
      <c r="D791" s="657" t="str">
        <f>VLOOKUP(A791,[33]INDICE!$A$3:$D$334,2,FALSE)</f>
        <v>CONCRETO RESISTENCIA 14MPA (G) (CICLOPEO)</v>
      </c>
      <c r="E791" s="649" t="str">
        <f>VLOOKUP(A791,[33]INDICE!$A$3:$D$334,3,FALSE)</f>
        <v>m3</v>
      </c>
      <c r="F791" s="668">
        <f>1.2*10*0.15</f>
        <v>1.7999999999999998</v>
      </c>
      <c r="G791" s="726">
        <f>VLOOKUP(A791,[33]INDICE!$A$3:$D$334,4,FALSE)</f>
        <v>530138.01220093726</v>
      </c>
      <c r="H791" s="652">
        <f t="shared" si="90"/>
        <v>954248.42196168692</v>
      </c>
      <c r="J791" s="625">
        <v>630.70000000000005</v>
      </c>
    </row>
    <row r="792" spans="1:10" s="625" customFormat="1" ht="15" customHeight="1">
      <c r="A792" s="1231" t="s">
        <v>554</v>
      </c>
      <c r="B792" s="631" t="str">
        <f t="shared" si="89"/>
        <v>640-13</v>
      </c>
      <c r="C792" s="631"/>
      <c r="D792" s="657" t="str">
        <f>VLOOKUP(A792,[33]INDICE!$A$3:$D$334,2,FALSE)</f>
        <v>ACERO DE REFUERZO FY 4200 MPA.</v>
      </c>
      <c r="E792" s="649" t="str">
        <f>VLOOKUP(A792,[33]INDICE!$A$3:$D$334,3,FALSE)</f>
        <v>kg</v>
      </c>
      <c r="F792" s="654">
        <f>F790*105</f>
        <v>1037.6100000000001</v>
      </c>
      <c r="G792" s="726">
        <f>VLOOKUP(A792,[33]INDICE!$A$3:$D$334,4,FALSE)</f>
        <v>6085.8496982034649</v>
      </c>
      <c r="H792" s="652">
        <f t="shared" si="90"/>
        <v>6314738.5053528976</v>
      </c>
      <c r="J792" s="625">
        <v>640.1</v>
      </c>
    </row>
    <row r="793" spans="1:10" s="625" customFormat="1" ht="26.1" customHeight="1">
      <c r="A793" s="1231" t="s">
        <v>605</v>
      </c>
      <c r="B793" s="631" t="str">
        <f>MID(A793,1,3)&amp;"-"&amp;13</f>
        <v>661-13</v>
      </c>
      <c r="C793" s="631"/>
      <c r="D793" s="657" t="str">
        <f>VLOOKUP(A793,[33]INDICE!$A$3:$D$334,2,FALSE)</f>
        <v>TUBERÍA DE CONCRETO REFORZADO  21 MPA DE 900 MM DE DIAMETRO INTERIOR</v>
      </c>
      <c r="E793" s="649" t="str">
        <f>VLOOKUP(A793,[33]INDICE!$A$3:$D$334,3,FALSE)</f>
        <v>m</v>
      </c>
      <c r="F793" s="650">
        <v>10</v>
      </c>
      <c r="G793" s="726">
        <f>VLOOKUP(A793,[33]INDICE!$A$3:$D$334,4,FALSE)</f>
        <v>689897.64607454219</v>
      </c>
      <c r="H793" s="652">
        <f>F793*G793</f>
        <v>6898976.4607454222</v>
      </c>
      <c r="J793" s="625">
        <v>661.1</v>
      </c>
    </row>
    <row r="794" spans="1:10" s="625" customFormat="1" ht="26.1" customHeight="1" thickBot="1">
      <c r="A794" s="1231" t="s">
        <v>559</v>
      </c>
      <c r="B794" s="631" t="str">
        <f t="shared" si="89"/>
        <v>671-13</v>
      </c>
      <c r="C794" s="631"/>
      <c r="D794" s="657" t="str">
        <f>VLOOKUP(A794,[33]INDICE!$A$3:$D$334,2,FALSE)</f>
        <v>CUNETA DE CONCRETO VACIADA IN SITU; INCLUYE LA CONFORMACION DE LA SUPERFICIE DE APOYO</v>
      </c>
      <c r="E794" s="649" t="str">
        <f>VLOOKUP(A794,[33]INDICE!$A$3:$D$334,3,FALSE)</f>
        <v>m3</v>
      </c>
      <c r="F794" s="655">
        <f>4*0.138</f>
        <v>0.55200000000000005</v>
      </c>
      <c r="G794" s="726">
        <f>VLOOKUP(A794,[33]INDICE!$A$3:$D$334,4,FALSE)</f>
        <v>841791.75196838728</v>
      </c>
      <c r="H794" s="652">
        <f t="shared" si="90"/>
        <v>464669.04708654981</v>
      </c>
      <c r="J794" s="625">
        <v>671.3</v>
      </c>
    </row>
    <row r="795" spans="1:10" s="625" customFormat="1" ht="15" customHeight="1" thickTop="1">
      <c r="A795" s="1234"/>
      <c r="B795" s="637"/>
      <c r="C795" s="637"/>
      <c r="D795" s="638"/>
      <c r="E795" s="659"/>
      <c r="F795" s="660"/>
      <c r="G795" s="670" t="s">
        <v>536</v>
      </c>
      <c r="H795" s="640">
        <f>SUM(H784:H794)</f>
        <v>31015459.326687474</v>
      </c>
    </row>
    <row r="796" spans="1:10" s="625" customFormat="1" ht="15" customHeight="1">
      <c r="A796" s="1235"/>
      <c r="B796" s="641"/>
      <c r="C796" s="641"/>
      <c r="D796" s="642"/>
      <c r="E796" s="621"/>
      <c r="F796" s="647"/>
      <c r="G796" s="671" t="s">
        <v>537</v>
      </c>
      <c r="H796" s="644">
        <f>SUM(H795:H795)*0.05*0.19/1.3</f>
        <v>226651.43354117766</v>
      </c>
    </row>
    <row r="797" spans="1:10" s="625" customFormat="1" ht="15" customHeight="1" thickBot="1">
      <c r="A797" s="1236"/>
      <c r="B797" s="619"/>
      <c r="C797" s="619"/>
      <c r="D797" s="620"/>
      <c r="E797" s="621"/>
      <c r="F797" s="647"/>
      <c r="G797" s="671" t="s">
        <v>538</v>
      </c>
      <c r="H797" s="645">
        <f>+ROUND(H795+H796,0)</f>
        <v>31242111</v>
      </c>
    </row>
    <row r="798" spans="1:10" s="625" customFormat="1" ht="12.95" customHeight="1" thickTop="1">
      <c r="A798" s="1244"/>
      <c r="B798" s="925"/>
      <c r="C798" s="925"/>
      <c r="D798" s="926"/>
      <c r="E798" s="925"/>
      <c r="F798" s="925"/>
      <c r="G798" s="927"/>
      <c r="H798" s="928"/>
    </row>
    <row r="799" spans="1:10" s="625" customFormat="1" ht="15" customHeight="1">
      <c r="A799" s="1236"/>
      <c r="B799" s="619"/>
      <c r="C799" s="619"/>
      <c r="D799" s="620"/>
      <c r="E799" s="621"/>
      <c r="F799" s="622"/>
      <c r="G799" s="693"/>
      <c r="H799" s="624"/>
    </row>
    <row r="800" spans="1:10" s="625" customFormat="1" ht="13.5" thickBot="1">
      <c r="A800" s="1237"/>
      <c r="B800" s="627"/>
      <c r="C800" s="626" t="s">
        <v>649</v>
      </c>
      <c r="D800" s="626"/>
      <c r="E800" s="627"/>
      <c r="F800" s="626"/>
      <c r="G800" s="691"/>
      <c r="H800" s="629"/>
    </row>
    <row r="801" spans="1:10" s="625" customFormat="1" ht="15" customHeight="1" thickTop="1">
      <c r="A801" s="1232" t="s">
        <v>552</v>
      </c>
      <c r="B801" s="632" t="str">
        <f>MID(A801,1,3)&amp;"-"&amp;13</f>
        <v>201-13</v>
      </c>
      <c r="C801" s="632"/>
      <c r="D801" s="657" t="str">
        <f>VLOOKUP(A801,[33]INDICE!$A$3:$D$334,2,FALSE)</f>
        <v>DEMOLICIÓN DE ESTRUCTURAS</v>
      </c>
      <c r="E801" s="706" t="str">
        <f>VLOOKUP(A801,[33]INDICE!$A$3:$D$334,3,FALSE)</f>
        <v>m3</v>
      </c>
      <c r="F801" s="929">
        <v>10</v>
      </c>
      <c r="G801" s="726">
        <f>VLOOKUP(A801,[33]INDICE!$A$3:$D$334,4,FALSE)</f>
        <v>240341.82659000819</v>
      </c>
      <c r="H801" s="636">
        <f t="shared" ref="H801:H812" si="91">F801*G801</f>
        <v>2403418.265900082</v>
      </c>
      <c r="J801" s="625">
        <v>201.7</v>
      </c>
    </row>
    <row r="802" spans="1:10" s="625" customFormat="1" ht="15" customHeight="1">
      <c r="A802" s="1231" t="s">
        <v>603</v>
      </c>
      <c r="B802" s="631" t="str">
        <f>MID(A802,1,3)&amp;"-"&amp;13</f>
        <v>330-13</v>
      </c>
      <c r="C802" s="631"/>
      <c r="D802" s="657" t="str">
        <f>VLOOKUP(A802,[33]INDICE!$A$3:$D$334,2,FALSE)</f>
        <v>BASE GRANULAR PARA BACHEO CLASE A</v>
      </c>
      <c r="E802" s="706" t="str">
        <f>VLOOKUP(A802,[33]INDICE!$A$3:$D$334,3,FALSE)</f>
        <v>m3</v>
      </c>
      <c r="F802" s="694">
        <v>13</v>
      </c>
      <c r="G802" s="726">
        <f>VLOOKUP(A802,[33]INDICE!$A$3:$D$334,4,FALSE)</f>
        <v>388123.88712339668</v>
      </c>
      <c r="H802" s="652">
        <f>F802*G802</f>
        <v>5045610.532604157</v>
      </c>
      <c r="J802" s="625">
        <v>330.4</v>
      </c>
    </row>
    <row r="803" spans="1:10" s="625" customFormat="1" ht="40.5" customHeight="1">
      <c r="A803" s="1231" t="s">
        <v>604</v>
      </c>
      <c r="B803" s="631" t="str">
        <f>MID(A803,1,3)&amp;"-"&amp;13</f>
        <v>465-13</v>
      </c>
      <c r="C803" s="631"/>
      <c r="D803" s="657" t="str">
        <f>VLOOKUP(A803,[33]INDICE!$A$3:$D$334,2,FALSE)</f>
        <v>EXCAVACIÓN PARA REPARACIÓN DE PAVIMENTO ASFÁLTICO EXISTENTE INCLUYENDO EL CORTE Y LA REMOCIÒN DE LAS CAPAS ASFALTICAS SUBYACENTES</v>
      </c>
      <c r="E803" s="706" t="str">
        <f>VLOOKUP(A803,[33]INDICE!$A$3:$D$334,3,FALSE)</f>
        <v>m3</v>
      </c>
      <c r="F803" s="694">
        <v>4</v>
      </c>
      <c r="G803" s="726">
        <f>VLOOKUP(A803,[33]INDICE!$A$3:$D$334,4,FALSE)</f>
        <v>152185.3287895511</v>
      </c>
      <c r="H803" s="652">
        <f>F803*G803</f>
        <v>608741.31515820441</v>
      </c>
      <c r="J803" s="625">
        <v>465.1</v>
      </c>
    </row>
    <row r="804" spans="1:10" s="625" customFormat="1" ht="15" customHeight="1">
      <c r="A804" s="1231" t="s">
        <v>540</v>
      </c>
      <c r="B804" s="631" t="str">
        <f t="shared" ref="B804:B812" si="92">MID(A804,1,3)&amp;"-"&amp;13</f>
        <v>600-13</v>
      </c>
      <c r="C804" s="631"/>
      <c r="D804" s="657" t="str">
        <f>VLOOKUP(A804,[33]INDICE!$A$3:$D$334,2,FALSE)</f>
        <v>EXCAVACIONES VARIAS SIN CLASIFICAR</v>
      </c>
      <c r="E804" s="706" t="str">
        <f>VLOOKUP(A804,[33]INDICE!$A$3:$D$334,3,FALSE)</f>
        <v>m3</v>
      </c>
      <c r="F804" s="654">
        <f>14*2.5*4+30</f>
        <v>170</v>
      </c>
      <c r="G804" s="726">
        <f>VLOOKUP(A804,[33]INDICE!$A$3:$D$334,4,FALSE)</f>
        <v>67953.950275344076</v>
      </c>
      <c r="H804" s="652">
        <f t="shared" si="91"/>
        <v>11552171.546808492</v>
      </c>
      <c r="J804" s="625" t="s">
        <v>541</v>
      </c>
    </row>
    <row r="805" spans="1:10" s="625" customFormat="1" ht="15" customHeight="1">
      <c r="A805" s="1231" t="s">
        <v>544</v>
      </c>
      <c r="B805" s="631" t="str">
        <f>MID(A805,1,3)&amp;"-"&amp;13</f>
        <v>610-13</v>
      </c>
      <c r="C805" s="631"/>
      <c r="D805" s="657" t="str">
        <f>VLOOKUP(A805,[33]INDICE!$A$3:$D$334,2,FALSE)</f>
        <v>RELLENOS PARA ESTRUCTURAS CON SUELO.</v>
      </c>
      <c r="E805" s="706" t="str">
        <f>VLOOKUP(A805,[33]INDICE!$A$3:$D$334,3,FALSE)</f>
        <v>m3</v>
      </c>
      <c r="F805" s="655">
        <f>0.4*F804</f>
        <v>68</v>
      </c>
      <c r="G805" s="726">
        <f>VLOOKUP(A805,[33]INDICE!$A$3:$D$334,4,FALSE)</f>
        <v>164362.8922747685</v>
      </c>
      <c r="H805" s="652">
        <f t="shared" si="91"/>
        <v>11176676.674684258</v>
      </c>
      <c r="J805" s="625">
        <v>610.1</v>
      </c>
    </row>
    <row r="806" spans="1:10" s="625" customFormat="1" ht="26.1" customHeight="1">
      <c r="A806" s="1231" t="s">
        <v>574</v>
      </c>
      <c r="B806" s="631" t="str">
        <f>MID(A806,1,3)&amp;"-"&amp;13</f>
        <v>450-13</v>
      </c>
      <c r="C806" s="631"/>
      <c r="D806" s="657" t="str">
        <f>VLOOKUP(A806,[33]INDICE!$A$3:$D$334,2,FALSE)</f>
        <v>Mezcla Densa en Caliente tipo MDC-19 INCLUYE TRANSPORTE</v>
      </c>
      <c r="E806" s="706" t="str">
        <f>VLOOKUP(A806,[33]INDICE!$A$3:$D$334,3,FALSE)</f>
        <v>M3</v>
      </c>
      <c r="F806" s="694">
        <f>F803</f>
        <v>4</v>
      </c>
      <c r="G806" s="726">
        <f>VLOOKUP(A806,[33]INDICE!$A$3:$D$334,4,FALSE)</f>
        <v>1299990.5178796239</v>
      </c>
      <c r="H806" s="652">
        <f t="shared" si="91"/>
        <v>5199962.0715184957</v>
      </c>
      <c r="J806" s="625" t="s">
        <v>575</v>
      </c>
    </row>
    <row r="807" spans="1:10" s="625" customFormat="1" ht="15" customHeight="1">
      <c r="A807" s="1231" t="s">
        <v>553</v>
      </c>
      <c r="B807" s="631" t="str">
        <f t="shared" si="92"/>
        <v>630-13</v>
      </c>
      <c r="C807" s="631"/>
      <c r="D807" s="657" t="str">
        <f>VLOOKUP(A807,[33]INDICE!$A$3:$D$334,2,FALSE)</f>
        <v>CONCRETO RESISTENCIA 21MPA (D)</v>
      </c>
      <c r="E807" s="706" t="str">
        <f>VLOOKUP(A807,[33]INDICE!$A$3:$D$334,3,FALSE)</f>
        <v>m3</v>
      </c>
      <c r="F807" s="655">
        <v>51</v>
      </c>
      <c r="G807" s="726">
        <f>VLOOKUP(A807,[33]INDICE!$A$3:$D$334,4,FALSE)</f>
        <v>871855.23056364793</v>
      </c>
      <c r="H807" s="652">
        <f t="shared" si="91"/>
        <v>44464616.758746043</v>
      </c>
      <c r="J807" s="658">
        <v>630.4</v>
      </c>
    </row>
    <row r="808" spans="1:10" s="625" customFormat="1" ht="15" customHeight="1">
      <c r="A808" s="1231" t="s">
        <v>554</v>
      </c>
      <c r="B808" s="631" t="str">
        <f t="shared" si="92"/>
        <v>640-13</v>
      </c>
      <c r="C808" s="631"/>
      <c r="D808" s="657" t="str">
        <f>VLOOKUP(A808,[33]INDICE!$A$3:$D$334,2,FALSE)</f>
        <v>ACERO DE REFUERZO FY 4200 MPA.</v>
      </c>
      <c r="E808" s="706" t="str">
        <f>VLOOKUP(A808,[33]INDICE!$A$3:$D$334,3,FALSE)</f>
        <v>kg</v>
      </c>
      <c r="F808" s="654">
        <f>F807*105</f>
        <v>5355</v>
      </c>
      <c r="G808" s="726">
        <f>VLOOKUP(A808,[33]INDICE!$A$3:$D$334,4,FALSE)</f>
        <v>6085.8496982034649</v>
      </c>
      <c r="H808" s="652">
        <f t="shared" si="91"/>
        <v>32589725.133879554</v>
      </c>
      <c r="J808" s="625">
        <v>640.1</v>
      </c>
    </row>
    <row r="809" spans="1:10" s="625" customFormat="1" ht="26.1" customHeight="1">
      <c r="A809" s="1231" t="s">
        <v>559</v>
      </c>
      <c r="B809" s="631" t="str">
        <f>MID(A809,1,3)&amp;"-"&amp;13</f>
        <v>671-13</v>
      </c>
      <c r="C809" s="631"/>
      <c r="D809" s="657" t="str">
        <f>VLOOKUP(A809,[33]INDICE!$A$3:$D$334,2,FALSE)</f>
        <v>CUNETA DE CONCRETO VACIADA IN SITU; INCLUYE LA CONFORMACION DE LA SUPERFICIE DE APOYO</v>
      </c>
      <c r="E809" s="706" t="str">
        <f>VLOOKUP(A809,[33]INDICE!$A$3:$D$334,3,FALSE)</f>
        <v>m3</v>
      </c>
      <c r="F809" s="655">
        <v>2</v>
      </c>
      <c r="G809" s="726">
        <f>VLOOKUP(A809,[33]INDICE!$A$3:$D$334,4,FALSE)</f>
        <v>841791.75196838728</v>
      </c>
      <c r="H809" s="652">
        <f>F809*G809</f>
        <v>1683583.5039367746</v>
      </c>
      <c r="J809" s="625">
        <v>671.3</v>
      </c>
    </row>
    <row r="810" spans="1:10" s="625" customFormat="1" ht="15" customHeight="1">
      <c r="A810" s="1231" t="s">
        <v>548</v>
      </c>
      <c r="B810" s="631" t="str">
        <f>MID(A810,1,3)&amp;"-"&amp;13</f>
        <v>673-13</v>
      </c>
      <c r="C810" s="631"/>
      <c r="D810" s="657" t="str">
        <f>VLOOKUP(A810,[33]INDICE!$A$3:$D$334,2,FALSE)</f>
        <v>GEOTEXTIL  TIPO T-2400 O SIMILAR TEJIDO</v>
      </c>
      <c r="E810" s="706" t="str">
        <f>VLOOKUP(A810,[33]INDICE!$A$3:$D$334,3,FALSE)</f>
        <v>m2</v>
      </c>
      <c r="F810" s="654">
        <f>14*3*2+4*3*1.5</f>
        <v>102</v>
      </c>
      <c r="G810" s="726">
        <f>VLOOKUP(A810,[33]INDICE!$A$3:$D$334,4,FALSE)</f>
        <v>10983.835173625577</v>
      </c>
      <c r="H810" s="652">
        <f>F810*G810</f>
        <v>1120351.1877098088</v>
      </c>
      <c r="J810" s="625">
        <v>673.1</v>
      </c>
    </row>
    <row r="811" spans="1:10" s="625" customFormat="1" ht="15" customHeight="1">
      <c r="A811" s="1231" t="s">
        <v>560</v>
      </c>
      <c r="B811" s="631" t="str">
        <f>MID(A811,1,3)&amp;"-"&amp;13</f>
        <v>673-13</v>
      </c>
      <c r="C811" s="631"/>
      <c r="D811" s="657" t="str">
        <f>VLOOKUP(A811,[33]INDICE!$A$3:$D$334,2,FALSE)</f>
        <v>MATERIAL GRANULAR DRENANTE</v>
      </c>
      <c r="E811" s="706" t="str">
        <f>VLOOKUP(A811,[33]INDICE!$A$3:$D$334,3,FALSE)</f>
        <v>m3</v>
      </c>
      <c r="F811" s="655">
        <f>14*2*2*0.5+4*2*0.5</f>
        <v>32</v>
      </c>
      <c r="G811" s="726">
        <f>VLOOKUP(A811,[33]INDICE!$A$3:$D$334,4,FALSE)</f>
        <v>84364.417561781069</v>
      </c>
      <c r="H811" s="652">
        <f>F811*G811</f>
        <v>2699661.3619769942</v>
      </c>
      <c r="J811" s="625">
        <v>673.2</v>
      </c>
    </row>
    <row r="812" spans="1:10" s="625" customFormat="1" ht="26.1" customHeight="1" thickBot="1">
      <c r="A812" s="1231" t="s">
        <v>549</v>
      </c>
      <c r="B812" s="631" t="str">
        <f t="shared" si="92"/>
        <v>681-13</v>
      </c>
      <c r="C812" s="631"/>
      <c r="D812" s="657" t="str">
        <f>VLOOKUP(A812,[33]INDICE!$A$3:$D$334,2,FALSE)</f>
        <v xml:space="preserve">GAVIÓNES DE MALLA DE ALAMBRE DE ACERO ENTRELAZADO  CLASE 1; RECUBRIMIENTO DE ZINC (GALVANIZADO) </v>
      </c>
      <c r="E812" s="706" t="str">
        <f>VLOOKUP(A812,[33]INDICE!$A$3:$D$334,3,FALSE)</f>
        <v>m3</v>
      </c>
      <c r="F812" s="673">
        <v>18</v>
      </c>
      <c r="G812" s="726">
        <f>VLOOKUP(A812,[33]INDICE!$A$3:$D$334,4,FALSE)</f>
        <v>400986.60185015475</v>
      </c>
      <c r="H812" s="652">
        <f t="shared" si="91"/>
        <v>7217758.8333027856</v>
      </c>
      <c r="J812" s="625">
        <v>681.1</v>
      </c>
    </row>
    <row r="813" spans="1:10" s="625" customFormat="1" ht="15" customHeight="1" thickTop="1">
      <c r="A813" s="1234"/>
      <c r="B813" s="637"/>
      <c r="C813" s="637"/>
      <c r="D813" s="638"/>
      <c r="E813" s="659"/>
      <c r="G813" s="639" t="s">
        <v>536</v>
      </c>
      <c r="H813" s="640">
        <f>SUM(H801:H812)</f>
        <v>125762277.18622564</v>
      </c>
    </row>
    <row r="814" spans="1:10" s="625" customFormat="1" ht="15" customHeight="1">
      <c r="A814" s="1235"/>
      <c r="B814" s="641"/>
      <c r="C814" s="641"/>
      <c r="D814" s="642"/>
      <c r="E814" s="621"/>
      <c r="G814" s="643" t="s">
        <v>537</v>
      </c>
      <c r="H814" s="644">
        <f>SUM(H813:H813)*0.05*0.19/1.3</f>
        <v>919032.025591649</v>
      </c>
    </row>
    <row r="815" spans="1:10" s="625" customFormat="1" ht="15" customHeight="1" thickBot="1">
      <c r="A815" s="1236"/>
      <c r="B815" s="619"/>
      <c r="C815" s="619"/>
      <c r="D815" s="620"/>
      <c r="E815" s="621"/>
      <c r="G815" s="643" t="s">
        <v>538</v>
      </c>
      <c r="H815" s="645">
        <f>+ROUND(H813+H814,0)</f>
        <v>126681309</v>
      </c>
    </row>
    <row r="816" spans="1:10" s="625" customFormat="1" ht="15" customHeight="1" thickTop="1">
      <c r="A816" s="1236"/>
      <c r="B816" s="619"/>
      <c r="C816" s="619"/>
      <c r="D816" s="620"/>
      <c r="E816" s="621"/>
      <c r="F816" s="622"/>
      <c r="G816" s="693"/>
      <c r="H816" s="624"/>
    </row>
    <row r="817" spans="1:10" s="625" customFormat="1" ht="15" customHeight="1">
      <c r="A817" s="1236"/>
      <c r="B817" s="619"/>
      <c r="C817" s="619"/>
      <c r="D817" s="620"/>
      <c r="E817" s="621"/>
      <c r="F817" s="622"/>
      <c r="G817" s="623"/>
      <c r="H817" s="624"/>
    </row>
    <row r="818" spans="1:10" s="625" customFormat="1" ht="13.5" thickBot="1">
      <c r="A818" s="1237"/>
      <c r="B818" s="627"/>
      <c r="C818" s="626" t="s">
        <v>650</v>
      </c>
      <c r="D818" s="626"/>
      <c r="E818" s="627"/>
      <c r="F818" s="626"/>
      <c r="G818" s="691"/>
      <c r="H818" s="629"/>
    </row>
    <row r="819" spans="1:10" s="625" customFormat="1" ht="15" customHeight="1" thickTop="1">
      <c r="A819" s="1231" t="s">
        <v>540</v>
      </c>
      <c r="B819" s="631" t="str">
        <f t="shared" ref="B819:B825" si="93">MID(A819,1,3)&amp;"-"&amp;13</f>
        <v>600-13</v>
      </c>
      <c r="C819" s="665"/>
      <c r="D819" s="657" t="str">
        <f>VLOOKUP(A819,[33]INDICE!$A$3:$D$334,2,FALSE)</f>
        <v>EXCAVACIONES VARIAS SIN CLASIFICAR</v>
      </c>
      <c r="E819" s="706" t="str">
        <f>VLOOKUP(A819,[33]INDICE!$A$3:$D$334,3,FALSE)</f>
        <v>m3</v>
      </c>
      <c r="F819" s="666">
        <f>50*0.5</f>
        <v>25</v>
      </c>
      <c r="G819" s="726">
        <f>VLOOKUP(A819,[33]INDICE!$A$3:$D$334,4,FALSE)</f>
        <v>67953.950275344076</v>
      </c>
      <c r="H819" s="667">
        <f t="shared" ref="H819:H825" si="94">F819*G819</f>
        <v>1698848.7568836019</v>
      </c>
      <c r="J819" s="625" t="s">
        <v>541</v>
      </c>
    </row>
    <row r="820" spans="1:10" s="625" customFormat="1" ht="15" customHeight="1">
      <c r="A820" s="1231" t="s">
        <v>544</v>
      </c>
      <c r="B820" s="631" t="str">
        <f>MID(A820,1,3)&amp;"-"&amp;13</f>
        <v>610-13</v>
      </c>
      <c r="C820" s="631"/>
      <c r="D820" s="657" t="str">
        <f>VLOOKUP(A820,[33]INDICE!$A$3:$D$334,2,FALSE)</f>
        <v>RELLENOS PARA ESTRUCTURAS CON SUELO.</v>
      </c>
      <c r="E820" s="706" t="str">
        <f>VLOOKUP(A820,[33]INDICE!$A$3:$D$334,3,FALSE)</f>
        <v>m3</v>
      </c>
      <c r="F820" s="653">
        <f>50*0.4</f>
        <v>20</v>
      </c>
      <c r="G820" s="726">
        <f>VLOOKUP(A820,[33]INDICE!$A$3:$D$334,4,FALSE)</f>
        <v>164362.8922747685</v>
      </c>
      <c r="H820" s="636">
        <f>F820*G820</f>
        <v>3287257.8454953702</v>
      </c>
      <c r="J820" s="625">
        <v>610.1</v>
      </c>
    </row>
    <row r="821" spans="1:10" s="625" customFormat="1" ht="15" customHeight="1">
      <c r="A821" s="1231" t="s">
        <v>545</v>
      </c>
      <c r="B821" s="631" t="str">
        <f t="shared" si="93"/>
        <v>630-13</v>
      </c>
      <c r="C821" s="631"/>
      <c r="D821" s="657" t="str">
        <f>VLOOKUP(A821,[33]INDICE!$A$3:$D$334,2,FALSE)</f>
        <v>CONCRETO RESISTENCIA 17.5MPA (E )</v>
      </c>
      <c r="E821" s="706" t="str">
        <f>VLOOKUP(A821,[33]INDICE!$A$3:$D$334,3,FALSE)</f>
        <v>m3</v>
      </c>
      <c r="F821" s="655">
        <v>28</v>
      </c>
      <c r="G821" s="726">
        <f>VLOOKUP(A821,[33]INDICE!$A$3:$D$334,4,FALSE)</f>
        <v>735031.04931538599</v>
      </c>
      <c r="H821" s="652">
        <f t="shared" si="94"/>
        <v>20580869.380830809</v>
      </c>
      <c r="J821" s="625">
        <v>630.5</v>
      </c>
    </row>
    <row r="822" spans="1:10" s="625" customFormat="1" ht="15" customHeight="1">
      <c r="A822" s="1231" t="s">
        <v>546</v>
      </c>
      <c r="B822" s="631" t="str">
        <f t="shared" si="93"/>
        <v>630-13</v>
      </c>
      <c r="C822" s="631"/>
      <c r="D822" s="657" t="str">
        <f>VLOOKUP(A822,[33]INDICE!$A$3:$D$334,2,FALSE)</f>
        <v>CONCRETO RESISTENCIA 14MPA (G) (CICLOPEO)</v>
      </c>
      <c r="E822" s="706" t="str">
        <f>VLOOKUP(A822,[33]INDICE!$A$3:$D$334,3,FALSE)</f>
        <v>m3</v>
      </c>
      <c r="F822" s="668">
        <v>5</v>
      </c>
      <c r="G822" s="726">
        <f>VLOOKUP(A822,[33]INDICE!$A$3:$D$334,4,FALSE)</f>
        <v>530138.01220093726</v>
      </c>
      <c r="H822" s="652">
        <f t="shared" si="94"/>
        <v>2650690.0610046862</v>
      </c>
      <c r="J822" s="625">
        <v>630.70000000000005</v>
      </c>
    </row>
    <row r="823" spans="1:10" s="625" customFormat="1" ht="15" customHeight="1">
      <c r="A823" s="1231" t="s">
        <v>554</v>
      </c>
      <c r="B823" s="631" t="str">
        <f t="shared" si="93"/>
        <v>640-13</v>
      </c>
      <c r="C823" s="631"/>
      <c r="D823" s="657" t="str">
        <f>VLOOKUP(A823,[33]INDICE!$A$3:$D$334,2,FALSE)</f>
        <v>ACERO DE REFUERZO FY 4200 MPA.</v>
      </c>
      <c r="E823" s="706" t="str">
        <f>VLOOKUP(A823,[33]INDICE!$A$3:$D$334,3,FALSE)</f>
        <v>kg</v>
      </c>
      <c r="F823" s="654">
        <f>F821*105</f>
        <v>2940</v>
      </c>
      <c r="G823" s="726">
        <f>VLOOKUP(A823,[33]INDICE!$A$3:$D$334,4,FALSE)</f>
        <v>6085.8496982034649</v>
      </c>
      <c r="H823" s="652">
        <f t="shared" si="94"/>
        <v>17892398.112718187</v>
      </c>
      <c r="J823" s="625">
        <v>640.1</v>
      </c>
    </row>
    <row r="824" spans="1:10" s="625" customFormat="1" ht="15" customHeight="1">
      <c r="A824" s="1231" t="s">
        <v>548</v>
      </c>
      <c r="B824" s="631" t="str">
        <f>MID(A824,1,3)&amp;"-"&amp;13</f>
        <v>673-13</v>
      </c>
      <c r="C824" s="631"/>
      <c r="D824" s="657" t="str">
        <f>VLOOKUP(A824,[33]INDICE!$A$3:$D$334,2,FALSE)</f>
        <v>GEOTEXTIL  TIPO T-2400 O SIMILAR TEJIDO</v>
      </c>
      <c r="E824" s="706" t="str">
        <f>VLOOKUP(A824,[33]INDICE!$A$3:$D$334,3,FALSE)</f>
        <v>m2</v>
      </c>
      <c r="F824" s="654">
        <v>40</v>
      </c>
      <c r="G824" s="726">
        <f>VLOOKUP(A824,[33]INDICE!$A$3:$D$334,4,FALSE)</f>
        <v>10983.835173625577</v>
      </c>
      <c r="H824" s="652">
        <f>F824*G824</f>
        <v>439353.4069450231</v>
      </c>
      <c r="J824" s="625">
        <v>673.1</v>
      </c>
    </row>
    <row r="825" spans="1:10" s="625" customFormat="1" ht="26.1" customHeight="1" thickBot="1">
      <c r="A825" s="1231" t="s">
        <v>549</v>
      </c>
      <c r="B825" s="631" t="str">
        <f t="shared" si="93"/>
        <v>681-13</v>
      </c>
      <c r="C825" s="631"/>
      <c r="D825" s="657" t="str">
        <f>VLOOKUP(A825,[33]INDICE!$A$3:$D$334,2,FALSE)</f>
        <v xml:space="preserve">GAVIÓNES DE MALLA DE ALAMBRE DE ACERO ENTRELAZADO  CLASE 1; RECUBRIMIENTO DE ZINC (GALVANIZADO) </v>
      </c>
      <c r="E825" s="706" t="str">
        <f>VLOOKUP(A825,[33]INDICE!$A$3:$D$334,3,FALSE)</f>
        <v>m3</v>
      </c>
      <c r="F825" s="654">
        <v>30</v>
      </c>
      <c r="G825" s="726">
        <f>VLOOKUP(A825,[33]INDICE!$A$3:$D$334,4,FALSE)</f>
        <v>400986.60185015475</v>
      </c>
      <c r="H825" s="652">
        <f t="shared" si="94"/>
        <v>12029598.055504642</v>
      </c>
      <c r="J825" s="625">
        <v>681.1</v>
      </c>
    </row>
    <row r="826" spans="1:10" s="625" customFormat="1" ht="15" customHeight="1" thickTop="1">
      <c r="A826" s="1234"/>
      <c r="B826" s="637"/>
      <c r="C826" s="637"/>
      <c r="D826" s="638"/>
      <c r="E826" s="659"/>
      <c r="F826" s="660"/>
      <c r="G826" s="639" t="s">
        <v>536</v>
      </c>
      <c r="H826" s="640">
        <f>SUM(H819:H825)</f>
        <v>58579015.619382314</v>
      </c>
    </row>
    <row r="827" spans="1:10" s="625" customFormat="1" ht="15" customHeight="1">
      <c r="A827" s="1235"/>
      <c r="B827" s="641"/>
      <c r="C827" s="641"/>
      <c r="D827" s="642"/>
      <c r="E827" s="621"/>
      <c r="F827" s="647"/>
      <c r="G827" s="643" t="s">
        <v>537</v>
      </c>
      <c r="H827" s="644">
        <f>SUM(H826:H826)*0.05*0.19/1.3</f>
        <v>428077.42183394771</v>
      </c>
    </row>
    <row r="828" spans="1:10" s="625" customFormat="1" ht="15" customHeight="1" thickBot="1">
      <c r="A828" s="1236"/>
      <c r="B828" s="619"/>
      <c r="C828" s="619"/>
      <c r="D828" s="620"/>
      <c r="E828" s="621"/>
      <c r="F828" s="647"/>
      <c r="G828" s="643" t="s">
        <v>538</v>
      </c>
      <c r="H828" s="645">
        <f>+ROUND(H826+H827,0)</f>
        <v>59007093</v>
      </c>
    </row>
    <row r="829" spans="1:10" s="625" customFormat="1" ht="15" customHeight="1" thickTop="1">
      <c r="A829" s="1236"/>
      <c r="B829" s="619"/>
      <c r="C829" s="619"/>
      <c r="D829" s="620"/>
      <c r="E829" s="621"/>
      <c r="F829" s="647"/>
      <c r="G829" s="643"/>
      <c r="H829" s="646"/>
    </row>
    <row r="830" spans="1:10" s="625" customFormat="1" ht="15" customHeight="1">
      <c r="A830" s="1236"/>
      <c r="B830" s="619"/>
      <c r="C830" s="619"/>
      <c r="D830" s="620"/>
      <c r="E830" s="621"/>
      <c r="F830" s="622"/>
      <c r="G830" s="693"/>
      <c r="H830" s="624"/>
    </row>
    <row r="831" spans="1:10" s="625" customFormat="1" ht="13.5" thickBot="1">
      <c r="A831" s="1237"/>
      <c r="B831" s="627"/>
      <c r="C831" s="626" t="s">
        <v>651</v>
      </c>
      <c r="D831" s="626"/>
      <c r="E831" s="627"/>
      <c r="F831" s="626"/>
      <c r="G831" s="691"/>
      <c r="H831" s="629"/>
    </row>
    <row r="832" spans="1:10" s="625" customFormat="1" ht="15" customHeight="1" thickTop="1">
      <c r="A832" s="1232" t="s">
        <v>552</v>
      </c>
      <c r="B832" s="632" t="str">
        <f>MID(A832,1,3)&amp;"-"&amp;13</f>
        <v>201-13</v>
      </c>
      <c r="C832" s="632"/>
      <c r="D832" s="657" t="str">
        <f>VLOOKUP(A832,[33]INDICE!$A$3:$D$334,2,FALSE)</f>
        <v>DEMOLICIÓN DE ESTRUCTURAS</v>
      </c>
      <c r="E832" s="706" t="str">
        <f>VLOOKUP(A832,[33]INDICE!$A$3:$D$334,3,FALSE)</f>
        <v>m3</v>
      </c>
      <c r="F832" s="662">
        <v>2</v>
      </c>
      <c r="G832" s="726">
        <f>VLOOKUP(A832,[33]INDICE!$A$3:$D$334,4,FALSE)</f>
        <v>240341.82659000819</v>
      </c>
      <c r="H832" s="636">
        <f>F832*G832</f>
        <v>480683.65318001638</v>
      </c>
      <c r="J832" s="625">
        <v>201.7</v>
      </c>
    </row>
    <row r="833" spans="1:10" s="625" customFormat="1" ht="15" customHeight="1">
      <c r="A833" s="1231" t="s">
        <v>540</v>
      </c>
      <c r="B833" s="631" t="str">
        <f t="shared" ref="B833:B839" si="95">MID(A833,1,3)&amp;"-"&amp;13</f>
        <v>600-13</v>
      </c>
      <c r="C833" s="631"/>
      <c r="D833" s="657" t="str">
        <f>VLOOKUP(A833,[33]INDICE!$A$3:$D$334,2,FALSE)</f>
        <v>EXCAVACIONES VARIAS SIN CLASIFICAR</v>
      </c>
      <c r="E833" s="706" t="str">
        <f>VLOOKUP(A833,[33]INDICE!$A$3:$D$334,3,FALSE)</f>
        <v>m3</v>
      </c>
      <c r="F833" s="654">
        <f>60*0.5</f>
        <v>30</v>
      </c>
      <c r="G833" s="726">
        <f>VLOOKUP(A833,[33]INDICE!$A$3:$D$334,4,FALSE)</f>
        <v>67953.950275344076</v>
      </c>
      <c r="H833" s="652">
        <f t="shared" ref="H833:H839" si="96">F833*G833</f>
        <v>2038618.5082603223</v>
      </c>
      <c r="J833" s="625" t="s">
        <v>541</v>
      </c>
    </row>
    <row r="834" spans="1:10" s="625" customFormat="1" ht="15" customHeight="1">
      <c r="A834" s="1231" t="s">
        <v>544</v>
      </c>
      <c r="B834" s="631" t="str">
        <f>MID(A834,1,3)&amp;"-"&amp;13</f>
        <v>610-13</v>
      </c>
      <c r="C834" s="631"/>
      <c r="D834" s="657" t="str">
        <f>VLOOKUP(A834,[33]INDICE!$A$3:$D$334,2,FALSE)</f>
        <v>RELLENOS PARA ESTRUCTURAS CON SUELO.</v>
      </c>
      <c r="E834" s="706" t="str">
        <f>VLOOKUP(A834,[33]INDICE!$A$3:$D$334,3,FALSE)</f>
        <v>m3</v>
      </c>
      <c r="F834" s="655">
        <f>60*0.4</f>
        <v>24</v>
      </c>
      <c r="G834" s="726">
        <f>VLOOKUP(A834,[33]INDICE!$A$3:$D$334,4,FALSE)</f>
        <v>164362.8922747685</v>
      </c>
      <c r="H834" s="652">
        <f>F834*G834</f>
        <v>3944709.414594444</v>
      </c>
      <c r="J834" s="625">
        <v>610.1</v>
      </c>
    </row>
    <row r="835" spans="1:10" s="625" customFormat="1" ht="15" customHeight="1">
      <c r="A835" s="1231" t="s">
        <v>545</v>
      </c>
      <c r="B835" s="631" t="str">
        <f t="shared" si="95"/>
        <v>630-13</v>
      </c>
      <c r="C835" s="631"/>
      <c r="D835" s="657" t="str">
        <f>VLOOKUP(A835,[33]INDICE!$A$3:$D$334,2,FALSE)</f>
        <v>CONCRETO RESISTENCIA 17.5MPA (E )</v>
      </c>
      <c r="E835" s="706" t="str">
        <f>VLOOKUP(A835,[33]INDICE!$A$3:$D$334,3,FALSE)</f>
        <v>m3</v>
      </c>
      <c r="F835" s="655">
        <f>60*0.55</f>
        <v>33</v>
      </c>
      <c r="G835" s="726">
        <f>VLOOKUP(A835,[33]INDICE!$A$3:$D$334,4,FALSE)</f>
        <v>735031.04931538599</v>
      </c>
      <c r="H835" s="652">
        <f t="shared" si="96"/>
        <v>24256024.627407737</v>
      </c>
      <c r="J835" s="625">
        <v>630.5</v>
      </c>
    </row>
    <row r="836" spans="1:10" s="625" customFormat="1" ht="15" customHeight="1">
      <c r="A836" s="1231" t="s">
        <v>546</v>
      </c>
      <c r="B836" s="631" t="str">
        <f t="shared" si="95"/>
        <v>630-13</v>
      </c>
      <c r="C836" s="631"/>
      <c r="D836" s="657" t="str">
        <f>VLOOKUP(A836,[33]INDICE!$A$3:$D$334,2,FALSE)</f>
        <v>CONCRETO RESISTENCIA 14MPA (G) (CICLOPEO)</v>
      </c>
      <c r="E836" s="706" t="str">
        <f>VLOOKUP(A836,[33]INDICE!$A$3:$D$334,3,FALSE)</f>
        <v>m3</v>
      </c>
      <c r="F836" s="668">
        <v>6</v>
      </c>
      <c r="G836" s="726">
        <f>VLOOKUP(A836,[33]INDICE!$A$3:$D$334,4,FALSE)</f>
        <v>530138.01220093726</v>
      </c>
      <c r="H836" s="652">
        <f t="shared" si="96"/>
        <v>3180828.0732056238</v>
      </c>
      <c r="J836" s="625">
        <v>630.70000000000005</v>
      </c>
    </row>
    <row r="837" spans="1:10" s="625" customFormat="1" ht="15" customHeight="1">
      <c r="A837" s="1231" t="s">
        <v>554</v>
      </c>
      <c r="B837" s="631" t="str">
        <f t="shared" si="95"/>
        <v>640-13</v>
      </c>
      <c r="C837" s="631"/>
      <c r="D837" s="657" t="str">
        <f>VLOOKUP(A837,[33]INDICE!$A$3:$D$334,2,FALSE)</f>
        <v>ACERO DE REFUERZO FY 4200 MPA.</v>
      </c>
      <c r="E837" s="706" t="str">
        <f>VLOOKUP(A837,[33]INDICE!$A$3:$D$334,3,FALSE)</f>
        <v>kg</v>
      </c>
      <c r="F837" s="654">
        <f>F835*105</f>
        <v>3465</v>
      </c>
      <c r="G837" s="726">
        <f>VLOOKUP(A837,[33]INDICE!$A$3:$D$334,4,FALSE)</f>
        <v>6085.8496982034649</v>
      </c>
      <c r="H837" s="652">
        <f t="shared" si="96"/>
        <v>21087469.204275005</v>
      </c>
      <c r="J837" s="625">
        <v>640.1</v>
      </c>
    </row>
    <row r="838" spans="1:10" s="625" customFormat="1" ht="15" customHeight="1">
      <c r="A838" s="1231" t="s">
        <v>548</v>
      </c>
      <c r="B838" s="631" t="str">
        <f>MID(A838,1,3)&amp;"-"&amp;13</f>
        <v>673-13</v>
      </c>
      <c r="C838" s="631"/>
      <c r="D838" s="657" t="str">
        <f>VLOOKUP(A838,[33]INDICE!$A$3:$D$334,2,FALSE)</f>
        <v>GEOTEXTIL  TIPO T-2400 O SIMILAR TEJIDO</v>
      </c>
      <c r="E838" s="706" t="str">
        <f>VLOOKUP(A838,[33]INDICE!$A$3:$D$334,3,FALSE)</f>
        <v>m2</v>
      </c>
      <c r="F838" s="654">
        <v>30</v>
      </c>
      <c r="G838" s="726">
        <f>VLOOKUP(A838,[33]INDICE!$A$3:$D$334,4,FALSE)</f>
        <v>10983.835173625577</v>
      </c>
      <c r="H838" s="652">
        <f>F838*G838</f>
        <v>329515.0552087673</v>
      </c>
      <c r="J838" s="625">
        <v>673.1</v>
      </c>
    </row>
    <row r="839" spans="1:10" s="625" customFormat="1" ht="26.1" customHeight="1" thickBot="1">
      <c r="A839" s="1231" t="s">
        <v>549</v>
      </c>
      <c r="B839" s="631" t="str">
        <f t="shared" si="95"/>
        <v>681-13</v>
      </c>
      <c r="C839" s="631"/>
      <c r="D839" s="657" t="str">
        <f>VLOOKUP(A839,[33]INDICE!$A$3:$D$334,2,FALSE)</f>
        <v xml:space="preserve">GAVIÓNES DE MALLA DE ALAMBRE DE ACERO ENTRELAZADO  CLASE 1; RECUBRIMIENTO DE ZINC (GALVANIZADO) </v>
      </c>
      <c r="E839" s="706" t="str">
        <f>VLOOKUP(A839,[33]INDICE!$A$3:$D$334,3,FALSE)</f>
        <v>m3</v>
      </c>
      <c r="F839" s="654">
        <v>15</v>
      </c>
      <c r="G839" s="726">
        <f>VLOOKUP(A839,[33]INDICE!$A$3:$D$334,4,FALSE)</f>
        <v>400986.60185015475</v>
      </c>
      <c r="H839" s="652">
        <f t="shared" si="96"/>
        <v>6014799.0277523212</v>
      </c>
      <c r="J839" s="625">
        <v>681.1</v>
      </c>
    </row>
    <row r="840" spans="1:10" s="625" customFormat="1" ht="15" customHeight="1" thickTop="1">
      <c r="A840" s="1234"/>
      <c r="B840" s="637"/>
      <c r="C840" s="637"/>
      <c r="D840" s="638"/>
      <c r="E840" s="659"/>
      <c r="F840" s="660"/>
      <c r="G840" s="639" t="s">
        <v>536</v>
      </c>
      <c r="H840" s="640">
        <f>SUM(H832:H839)</f>
        <v>61332647.563884243</v>
      </c>
    </row>
    <row r="841" spans="1:10" s="625" customFormat="1" ht="15" customHeight="1">
      <c r="A841" s="1235"/>
      <c r="B841" s="641"/>
      <c r="C841" s="641"/>
      <c r="D841" s="642"/>
      <c r="E841" s="621"/>
      <c r="F841" s="647"/>
      <c r="G841" s="643" t="s">
        <v>537</v>
      </c>
      <c r="H841" s="644">
        <f>SUM(H840:H840)*0.05*0.19/1.3</f>
        <v>448200.11681300029</v>
      </c>
    </row>
    <row r="842" spans="1:10" s="625" customFormat="1" ht="15" customHeight="1" thickBot="1">
      <c r="A842" s="1236"/>
      <c r="B842" s="619"/>
      <c r="C842" s="619"/>
      <c r="D842" s="620"/>
      <c r="E842" s="621"/>
      <c r="F842" s="647"/>
      <c r="G842" s="643" t="s">
        <v>538</v>
      </c>
      <c r="H842" s="645">
        <f>+ROUND(H840+H841,0)</f>
        <v>61780848</v>
      </c>
    </row>
    <row r="843" spans="1:10" s="625" customFormat="1" ht="15" customHeight="1" thickTop="1">
      <c r="A843" s="1236"/>
      <c r="B843" s="619"/>
      <c r="C843" s="619"/>
      <c r="D843" s="620"/>
      <c r="E843" s="621"/>
      <c r="F843" s="622"/>
      <c r="G843" s="693"/>
      <c r="H843" s="624"/>
    </row>
    <row r="844" spans="1:10" s="625" customFormat="1" ht="15" customHeight="1">
      <c r="A844" s="1236"/>
      <c r="B844" s="619"/>
      <c r="C844" s="619"/>
      <c r="D844" s="620"/>
      <c r="E844" s="621"/>
      <c r="F844" s="622"/>
      <c r="G844" s="623"/>
      <c r="H844" s="624"/>
    </row>
    <row r="845" spans="1:10" s="625" customFormat="1" ht="12.75" customHeight="1" thickBot="1">
      <c r="A845" s="1237"/>
      <c r="B845" s="627"/>
      <c r="C845" s="626" t="s">
        <v>652</v>
      </c>
      <c r="D845" s="626"/>
      <c r="E845" s="627"/>
      <c r="F845" s="626"/>
      <c r="G845" s="691"/>
      <c r="H845" s="629"/>
    </row>
    <row r="846" spans="1:10" s="625" customFormat="1" ht="15" customHeight="1" thickTop="1">
      <c r="A846" s="1232" t="s">
        <v>552</v>
      </c>
      <c r="B846" s="632" t="str">
        <f>MID(A846,1,3)&amp;"-"&amp;13</f>
        <v>201-13</v>
      </c>
      <c r="C846" s="632"/>
      <c r="D846" s="657" t="str">
        <f>VLOOKUP(A846,[33]INDICE!$A$3:$D$334,2,FALSE)</f>
        <v>DEMOLICIÓN DE ESTRUCTURAS</v>
      </c>
      <c r="E846" s="706" t="str">
        <f>VLOOKUP(A846,[33]INDICE!$A$3:$D$334,3,FALSE)</f>
        <v>m3</v>
      </c>
      <c r="F846" s="662">
        <f>15+10*3.5*0.4</f>
        <v>29</v>
      </c>
      <c r="G846" s="726">
        <f>VLOOKUP(A846,[33]INDICE!$A$3:$D$334,4,FALSE)</f>
        <v>240341.82659000819</v>
      </c>
      <c r="H846" s="636">
        <f t="shared" ref="H846:H857" si="97">F846*G846</f>
        <v>6969912.9711102378</v>
      </c>
      <c r="I846" s="625">
        <v>201.7</v>
      </c>
    </row>
    <row r="847" spans="1:10" s="625" customFormat="1" ht="15" customHeight="1">
      <c r="A847" s="1231" t="s">
        <v>603</v>
      </c>
      <c r="B847" s="631" t="str">
        <f>MID(A847,1,3)&amp;"-"&amp;13</f>
        <v>330-13</v>
      </c>
      <c r="C847" s="631"/>
      <c r="D847" s="657" t="str">
        <f>VLOOKUP(A847,[33]INDICE!$A$3:$D$334,2,FALSE)</f>
        <v>BASE GRANULAR PARA BACHEO CLASE A</v>
      </c>
      <c r="E847" s="706" t="str">
        <f>VLOOKUP(A847,[33]INDICE!$A$3:$D$334,3,FALSE)</f>
        <v>m3</v>
      </c>
      <c r="F847" s="694">
        <f>10*2.5*0.5</f>
        <v>12.5</v>
      </c>
      <c r="G847" s="726">
        <f>VLOOKUP(A847,[33]INDICE!$A$3:$D$334,4,FALSE)</f>
        <v>388123.88712339668</v>
      </c>
      <c r="H847" s="652">
        <f>F847*G847</f>
        <v>4851548.5890424587</v>
      </c>
      <c r="I847" s="625">
        <v>330.4</v>
      </c>
    </row>
    <row r="848" spans="1:10" s="625" customFormat="1" ht="38.1" customHeight="1">
      <c r="A848" s="1231" t="s">
        <v>604</v>
      </c>
      <c r="B848" s="631" t="str">
        <f>MID(A848,1,3)&amp;"-"&amp;13</f>
        <v>465-13</v>
      </c>
      <c r="C848" s="631"/>
      <c r="D848" s="657" t="str">
        <f>VLOOKUP(A848,[33]INDICE!$A$3:$D$334,2,FALSE)</f>
        <v>EXCAVACIÓN PARA REPARACIÓN DE PAVIMENTO ASFÁLTICO EXISTENTE INCLUYENDO EL CORTE Y LA REMOCIÒN DE LAS CAPAS ASFALTICAS SUBYACENTES</v>
      </c>
      <c r="E848" s="706" t="str">
        <f>VLOOKUP(A848,[33]INDICE!$A$3:$D$334,3,FALSE)</f>
        <v>m3</v>
      </c>
      <c r="F848" s="694">
        <f>10*2.5*0.15</f>
        <v>3.75</v>
      </c>
      <c r="G848" s="726">
        <f>VLOOKUP(A848,[33]INDICE!$A$3:$D$334,4,FALSE)</f>
        <v>152185.3287895511</v>
      </c>
      <c r="H848" s="652">
        <f>F848*G848</f>
        <v>570694.98296081659</v>
      </c>
      <c r="I848" s="625">
        <v>465.1</v>
      </c>
    </row>
    <row r="849" spans="1:10" s="625" customFormat="1" ht="15" customHeight="1">
      <c r="A849" s="1231" t="s">
        <v>540</v>
      </c>
      <c r="B849" s="631" t="str">
        <f t="shared" ref="B849:B857" si="98">MID(A849,1,3)&amp;"-"&amp;13</f>
        <v>600-13</v>
      </c>
      <c r="C849" s="631"/>
      <c r="D849" s="657" t="str">
        <f>VLOOKUP(A849,[33]INDICE!$A$3:$D$334,2,FALSE)</f>
        <v>EXCAVACIONES VARIAS SIN CLASIFICAR</v>
      </c>
      <c r="E849" s="706" t="str">
        <f>VLOOKUP(A849,[33]INDICE!$A$3:$D$334,3,FALSE)</f>
        <v>m3</v>
      </c>
      <c r="F849" s="654">
        <f>15*2.5*4+30</f>
        <v>180</v>
      </c>
      <c r="G849" s="726">
        <f>VLOOKUP(A849,[33]INDICE!$A$3:$D$334,4,FALSE)</f>
        <v>67953.950275344076</v>
      </c>
      <c r="H849" s="652">
        <f t="shared" si="97"/>
        <v>12231711.049561933</v>
      </c>
      <c r="I849" s="625" t="s">
        <v>541</v>
      </c>
    </row>
    <row r="850" spans="1:10" s="625" customFormat="1" ht="15" customHeight="1">
      <c r="A850" s="1231" t="s">
        <v>544</v>
      </c>
      <c r="B850" s="631" t="str">
        <f>MID(A850,1,3)&amp;"-"&amp;13</f>
        <v>610-13</v>
      </c>
      <c r="C850" s="631"/>
      <c r="D850" s="657" t="str">
        <f>VLOOKUP(A850,[33]INDICE!$A$3:$D$334,2,FALSE)</f>
        <v>RELLENOS PARA ESTRUCTURAS CON SUELO.</v>
      </c>
      <c r="E850" s="706" t="str">
        <f>VLOOKUP(A850,[33]INDICE!$A$3:$D$334,3,FALSE)</f>
        <v>m3</v>
      </c>
      <c r="F850" s="655">
        <f>0.4*F849</f>
        <v>72</v>
      </c>
      <c r="G850" s="726">
        <f>VLOOKUP(A850,[33]INDICE!$A$3:$D$334,4,FALSE)</f>
        <v>164362.8922747685</v>
      </c>
      <c r="H850" s="652">
        <f t="shared" si="97"/>
        <v>11834128.243783332</v>
      </c>
      <c r="I850" s="625">
        <v>610.1</v>
      </c>
    </row>
    <row r="851" spans="1:10" s="625" customFormat="1" ht="26.1" customHeight="1">
      <c r="A851" s="1231" t="s">
        <v>574</v>
      </c>
      <c r="B851" s="631" t="str">
        <f>MID(A851,1,3)&amp;"-"&amp;13</f>
        <v>450-13</v>
      </c>
      <c r="C851" s="631"/>
      <c r="D851" s="657" t="str">
        <f>VLOOKUP(A851,[33]INDICE!$A$3:$D$334,2,FALSE)</f>
        <v>Mezcla Densa en Caliente tipo MDC-19 INCLUYE TRANSPORTE</v>
      </c>
      <c r="E851" s="706" t="str">
        <f>VLOOKUP(A851,[33]INDICE!$A$3:$D$334,3,FALSE)</f>
        <v>M3</v>
      </c>
      <c r="F851" s="694">
        <f>F848</f>
        <v>3.75</v>
      </c>
      <c r="G851" s="726">
        <f>VLOOKUP(A851,[33]INDICE!$A$3:$D$334,4,FALSE)</f>
        <v>1299990.5178796239</v>
      </c>
      <c r="H851" s="652">
        <f t="shared" si="97"/>
        <v>4874964.4420485897</v>
      </c>
      <c r="I851" s="625" t="s">
        <v>575</v>
      </c>
    </row>
    <row r="852" spans="1:10" s="625" customFormat="1" ht="15" customHeight="1">
      <c r="A852" s="1231" t="s">
        <v>553</v>
      </c>
      <c r="B852" s="631" t="str">
        <f t="shared" si="98"/>
        <v>630-13</v>
      </c>
      <c r="C852" s="631"/>
      <c r="D852" s="657" t="str">
        <f>VLOOKUP(A852,[33]INDICE!$A$3:$D$334,2,FALSE)</f>
        <v>CONCRETO RESISTENCIA 21MPA (D)</v>
      </c>
      <c r="E852" s="706" t="str">
        <f>VLOOKUP(A852,[33]INDICE!$A$3:$D$334,3,FALSE)</f>
        <v>m3</v>
      </c>
      <c r="F852" s="655">
        <f>2*0.2*15*2+2*2.5*0.3*15+6*2.5*3*0.3+5</f>
        <v>53</v>
      </c>
      <c r="G852" s="726">
        <f>VLOOKUP(A852,[33]INDICE!$A$3:$D$334,4,FALSE)</f>
        <v>871855.23056364793</v>
      </c>
      <c r="H852" s="652">
        <f t="shared" si="97"/>
        <v>46208327.219873339</v>
      </c>
      <c r="I852" s="625">
        <v>630.4</v>
      </c>
      <c r="J852" s="658"/>
    </row>
    <row r="853" spans="1:10" s="625" customFormat="1" ht="15" customHeight="1">
      <c r="A853" s="1231" t="s">
        <v>554</v>
      </c>
      <c r="B853" s="631" t="str">
        <f t="shared" si="98"/>
        <v>640-13</v>
      </c>
      <c r="C853" s="631"/>
      <c r="D853" s="657" t="str">
        <f>VLOOKUP(A853,[33]INDICE!$A$3:$D$334,2,FALSE)</f>
        <v>ACERO DE REFUERZO FY 4200 MPA.</v>
      </c>
      <c r="E853" s="706" t="str">
        <f>VLOOKUP(A853,[33]INDICE!$A$3:$D$334,3,FALSE)</f>
        <v>kg</v>
      </c>
      <c r="F853" s="654">
        <f>F852*105</f>
        <v>5565</v>
      </c>
      <c r="G853" s="726">
        <f>VLOOKUP(A853,[33]INDICE!$A$3:$D$334,4,FALSE)</f>
        <v>6085.8496982034649</v>
      </c>
      <c r="H853" s="652">
        <f t="shared" si="97"/>
        <v>33867753.570502281</v>
      </c>
      <c r="I853" s="625">
        <v>640.1</v>
      </c>
    </row>
    <row r="854" spans="1:10" s="625" customFormat="1" ht="26.1" customHeight="1">
      <c r="A854" s="1231" t="s">
        <v>559</v>
      </c>
      <c r="B854" s="631" t="str">
        <f>MID(A854,1,3)&amp;"-"&amp;13</f>
        <v>671-13</v>
      </c>
      <c r="C854" s="631"/>
      <c r="D854" s="657" t="str">
        <f>VLOOKUP(A854,[33]INDICE!$A$3:$D$334,2,FALSE)</f>
        <v>CUNETA DE CONCRETO VACIADA IN SITU; INCLUYE LA CONFORMACION DE LA SUPERFICIE DE APOYO</v>
      </c>
      <c r="E854" s="706" t="str">
        <f>VLOOKUP(A854,[33]INDICE!$A$3:$D$334,3,FALSE)</f>
        <v>m3</v>
      </c>
      <c r="F854" s="655">
        <f>20*0.138</f>
        <v>2.7600000000000002</v>
      </c>
      <c r="G854" s="726">
        <f>VLOOKUP(A854,[33]INDICE!$A$3:$D$334,4,FALSE)</f>
        <v>841791.75196838728</v>
      </c>
      <c r="H854" s="652">
        <f t="shared" si="97"/>
        <v>2323345.2354327491</v>
      </c>
      <c r="I854" s="625">
        <v>671.3</v>
      </c>
    </row>
    <row r="855" spans="1:10" s="625" customFormat="1" ht="15" customHeight="1">
      <c r="A855" s="1231" t="s">
        <v>548</v>
      </c>
      <c r="B855" s="631" t="str">
        <f>MID(A855,1,3)&amp;"-"&amp;13</f>
        <v>673-13</v>
      </c>
      <c r="C855" s="631"/>
      <c r="D855" s="657" t="str">
        <f>VLOOKUP(A855,[33]INDICE!$A$3:$D$334,2,FALSE)</f>
        <v>GEOTEXTIL  TIPO T-2400 O SIMILAR TEJIDO</v>
      </c>
      <c r="E855" s="706" t="str">
        <f>VLOOKUP(A855,[33]INDICE!$A$3:$D$334,3,FALSE)</f>
        <v>m2</v>
      </c>
      <c r="F855" s="654">
        <f>15*3*2+4*3*1.5</f>
        <v>108</v>
      </c>
      <c r="G855" s="726">
        <f>VLOOKUP(A855,[33]INDICE!$A$3:$D$334,4,FALSE)</f>
        <v>10983.835173625577</v>
      </c>
      <c r="H855" s="652">
        <f t="shared" si="97"/>
        <v>1186254.1987515623</v>
      </c>
      <c r="I855" s="625">
        <v>673.1</v>
      </c>
    </row>
    <row r="856" spans="1:10" s="625" customFormat="1" ht="15" customHeight="1">
      <c r="A856" s="1231" t="s">
        <v>560</v>
      </c>
      <c r="B856" s="631" t="str">
        <f>MID(A856,1,3)&amp;"-"&amp;13</f>
        <v>673-13</v>
      </c>
      <c r="C856" s="631"/>
      <c r="D856" s="657" t="str">
        <f>VLOOKUP(A856,[33]INDICE!$A$3:$D$334,2,FALSE)</f>
        <v>MATERIAL GRANULAR DRENANTE</v>
      </c>
      <c r="E856" s="706" t="str">
        <f>VLOOKUP(A856,[33]INDICE!$A$3:$D$334,3,FALSE)</f>
        <v>m3</v>
      </c>
      <c r="F856" s="655">
        <f>15*2*2*0.5+4*2*0.5</f>
        <v>34</v>
      </c>
      <c r="G856" s="726">
        <f>VLOOKUP(A856,[33]INDICE!$A$3:$D$334,4,FALSE)</f>
        <v>84364.417561781069</v>
      </c>
      <c r="H856" s="652">
        <f t="shared" si="97"/>
        <v>2868390.1971005565</v>
      </c>
      <c r="I856" s="625">
        <v>673.2</v>
      </c>
    </row>
    <row r="857" spans="1:10" s="625" customFormat="1" ht="26.1" customHeight="1" thickBot="1">
      <c r="A857" s="1231" t="s">
        <v>549</v>
      </c>
      <c r="B857" s="631" t="str">
        <f t="shared" si="98"/>
        <v>681-13</v>
      </c>
      <c r="C857" s="631"/>
      <c r="D857" s="657" t="str">
        <f>VLOOKUP(A857,[33]INDICE!$A$3:$D$334,2,FALSE)</f>
        <v xml:space="preserve">GAVIÓNES DE MALLA DE ALAMBRE DE ACERO ENTRELAZADO  CLASE 1; RECUBRIMIENTO DE ZINC (GALVANIZADO) </v>
      </c>
      <c r="E857" s="706" t="str">
        <f>VLOOKUP(A857,[33]INDICE!$A$3:$D$334,3,FALSE)</f>
        <v>m3</v>
      </c>
      <c r="F857" s="654">
        <v>20</v>
      </c>
      <c r="G857" s="726">
        <f>VLOOKUP(A857,[33]INDICE!$A$3:$D$334,4,FALSE)</f>
        <v>400986.60185015475</v>
      </c>
      <c r="H857" s="652">
        <f t="shared" si="97"/>
        <v>8019732.0370030953</v>
      </c>
      <c r="I857" s="625">
        <v>681.1</v>
      </c>
    </row>
    <row r="858" spans="1:10" s="625" customFormat="1" ht="15" customHeight="1" thickTop="1">
      <c r="A858" s="1234"/>
      <c r="B858" s="637"/>
      <c r="C858" s="637"/>
      <c r="D858" s="638"/>
      <c r="E858" s="659"/>
      <c r="F858" s="660"/>
      <c r="G858" s="639" t="s">
        <v>536</v>
      </c>
      <c r="H858" s="640">
        <f>SUM(H846:H857)</f>
        <v>135806762.73717093</v>
      </c>
    </row>
    <row r="859" spans="1:10" s="625" customFormat="1" ht="15" customHeight="1">
      <c r="A859" s="1235"/>
      <c r="B859" s="641"/>
      <c r="C859" s="641"/>
      <c r="D859" s="642"/>
      <c r="E859" s="621"/>
      <c r="F859" s="647"/>
      <c r="G859" s="643" t="s">
        <v>537</v>
      </c>
      <c r="H859" s="644">
        <f>SUM(H858:H858)*0.05*0.19/1.3</f>
        <v>992434.03538701835</v>
      </c>
    </row>
    <row r="860" spans="1:10" s="625" customFormat="1" ht="15" customHeight="1" thickBot="1">
      <c r="A860" s="1236"/>
      <c r="B860" s="619"/>
      <c r="C860" s="619"/>
      <c r="D860" s="620"/>
      <c r="E860" s="621"/>
      <c r="F860" s="647"/>
      <c r="G860" s="643" t="s">
        <v>538</v>
      </c>
      <c r="H860" s="645">
        <f>+ROUND(H858+H859,0)</f>
        <v>136799197</v>
      </c>
    </row>
    <row r="861" spans="1:10" s="625" customFormat="1" ht="15" customHeight="1" thickTop="1">
      <c r="A861" s="1236"/>
      <c r="B861" s="619"/>
      <c r="C861" s="619"/>
      <c r="D861" s="620"/>
      <c r="E861" s="621"/>
      <c r="F861" s="622"/>
      <c r="G861" s="693"/>
      <c r="H861" s="624"/>
    </row>
    <row r="862" spans="1:10" s="625" customFormat="1" ht="15" customHeight="1">
      <c r="A862" s="1236"/>
      <c r="B862" s="619"/>
      <c r="C862" s="619"/>
      <c r="D862" s="620"/>
      <c r="E862" s="621"/>
      <c r="F862" s="622"/>
      <c r="G862" s="693"/>
      <c r="H862" s="624"/>
    </row>
    <row r="863" spans="1:10" s="625" customFormat="1" ht="15" customHeight="1">
      <c r="A863" s="1236"/>
      <c r="B863" s="619"/>
      <c r="C863" s="619"/>
      <c r="D863" s="620"/>
      <c r="E863" s="621"/>
      <c r="F863" s="622"/>
      <c r="G863" s="693"/>
      <c r="H863" s="624"/>
    </row>
    <row r="864" spans="1:10" s="625" customFormat="1" ht="13.5" thickBot="1">
      <c r="A864" s="1237"/>
      <c r="B864" s="627"/>
      <c r="C864" s="626" t="s">
        <v>653</v>
      </c>
      <c r="D864" s="626"/>
      <c r="E864" s="627"/>
      <c r="F864" s="626"/>
      <c r="G864" s="691"/>
      <c r="H864" s="629"/>
    </row>
    <row r="865" spans="1:10" s="625" customFormat="1" ht="15" customHeight="1" thickTop="1">
      <c r="A865" s="1231" t="s">
        <v>540</v>
      </c>
      <c r="B865" s="631" t="str">
        <f t="shared" ref="B865:B871" si="99">MID(A865,1,3)&amp;"-"&amp;13</f>
        <v>600-13</v>
      </c>
      <c r="C865" s="665"/>
      <c r="D865" s="657" t="str">
        <f>VLOOKUP(A865,[33]INDICE!$A$3:$D$334,2,FALSE)</f>
        <v>EXCAVACIONES VARIAS SIN CLASIFICAR</v>
      </c>
      <c r="E865" s="706" t="str">
        <f>VLOOKUP(A865,[33]INDICE!$A$3:$D$334,3,FALSE)</f>
        <v>m3</v>
      </c>
      <c r="F865" s="666">
        <f>120*0.5</f>
        <v>60</v>
      </c>
      <c r="G865" s="726">
        <f>VLOOKUP(A865,[33]INDICE!$A$3:$D$334,4,FALSE)</f>
        <v>67953.950275344076</v>
      </c>
      <c r="H865" s="667">
        <f t="shared" ref="H865:H871" si="100">F865*G865</f>
        <v>4077237.0165206445</v>
      </c>
      <c r="I865" s="625" t="s">
        <v>541</v>
      </c>
    </row>
    <row r="866" spans="1:10" s="625" customFormat="1" ht="15" customHeight="1">
      <c r="A866" s="1231" t="s">
        <v>544</v>
      </c>
      <c r="B866" s="631" t="str">
        <f>MID(A866,1,3)&amp;"-"&amp;13</f>
        <v>610-13</v>
      </c>
      <c r="C866" s="631"/>
      <c r="D866" s="657" t="str">
        <f>VLOOKUP(A866,[33]INDICE!$A$3:$D$334,2,FALSE)</f>
        <v>RELLENOS PARA ESTRUCTURAS CON SUELO.</v>
      </c>
      <c r="E866" s="706" t="str">
        <f>VLOOKUP(A866,[33]INDICE!$A$3:$D$334,3,FALSE)</f>
        <v>m3</v>
      </c>
      <c r="F866" s="655">
        <f>120*0.4</f>
        <v>48</v>
      </c>
      <c r="G866" s="726">
        <f>VLOOKUP(A866,[33]INDICE!$A$3:$D$334,4,FALSE)</f>
        <v>164362.8922747685</v>
      </c>
      <c r="H866" s="652">
        <f>F866*G866</f>
        <v>7889418.829188888</v>
      </c>
      <c r="I866" s="625">
        <v>610.1</v>
      </c>
    </row>
    <row r="867" spans="1:10" s="625" customFormat="1" ht="15" customHeight="1">
      <c r="A867" s="1231" t="s">
        <v>545</v>
      </c>
      <c r="B867" s="631" t="str">
        <f t="shared" si="99"/>
        <v>630-13</v>
      </c>
      <c r="C867" s="631"/>
      <c r="D867" s="657" t="str">
        <f>VLOOKUP(A867,[33]INDICE!$A$3:$D$334,2,FALSE)</f>
        <v>CONCRETO RESISTENCIA 17.5MPA (E )</v>
      </c>
      <c r="E867" s="706" t="str">
        <f>VLOOKUP(A867,[33]INDICE!$A$3:$D$334,3,FALSE)</f>
        <v>m3</v>
      </c>
      <c r="F867" s="655">
        <f>120*0.55</f>
        <v>66</v>
      </c>
      <c r="G867" s="726">
        <f>VLOOKUP(A867,[33]INDICE!$A$3:$D$334,4,FALSE)</f>
        <v>735031.04931538599</v>
      </c>
      <c r="H867" s="652">
        <f t="shared" si="100"/>
        <v>48512049.254815474</v>
      </c>
      <c r="I867" s="625">
        <v>630.5</v>
      </c>
    </row>
    <row r="868" spans="1:10" s="625" customFormat="1" ht="15" customHeight="1">
      <c r="A868" s="1231" t="s">
        <v>546</v>
      </c>
      <c r="B868" s="631" t="str">
        <f t="shared" si="99"/>
        <v>630-13</v>
      </c>
      <c r="C868" s="631"/>
      <c r="D868" s="657" t="str">
        <f>VLOOKUP(A868,[33]INDICE!$A$3:$D$334,2,FALSE)</f>
        <v>CONCRETO RESISTENCIA 14MPA (G) (CICLOPEO)</v>
      </c>
      <c r="E868" s="706" t="str">
        <f>VLOOKUP(A868,[33]INDICE!$A$3:$D$334,3,FALSE)</f>
        <v>m3</v>
      </c>
      <c r="F868" s="668">
        <v>10</v>
      </c>
      <c r="G868" s="726">
        <f>VLOOKUP(A868,[33]INDICE!$A$3:$D$334,4,FALSE)</f>
        <v>530138.01220093726</v>
      </c>
      <c r="H868" s="652">
        <f t="shared" si="100"/>
        <v>5301380.1220093723</v>
      </c>
      <c r="I868" s="625">
        <v>630.70000000000005</v>
      </c>
    </row>
    <row r="869" spans="1:10" s="625" customFormat="1" ht="15" customHeight="1">
      <c r="A869" s="1231" t="s">
        <v>554</v>
      </c>
      <c r="B869" s="631" t="str">
        <f t="shared" si="99"/>
        <v>640-13</v>
      </c>
      <c r="C869" s="631"/>
      <c r="D869" s="657" t="str">
        <f>VLOOKUP(A869,[33]INDICE!$A$3:$D$334,2,FALSE)</f>
        <v>ACERO DE REFUERZO FY 4200 MPA.</v>
      </c>
      <c r="E869" s="706" t="str">
        <f>VLOOKUP(A869,[33]INDICE!$A$3:$D$334,3,FALSE)</f>
        <v>kg</v>
      </c>
      <c r="F869" s="654">
        <f>F867*105</f>
        <v>6930</v>
      </c>
      <c r="G869" s="726">
        <f>VLOOKUP(A869,[33]INDICE!$A$3:$D$334,4,FALSE)</f>
        <v>6085.8496982034649</v>
      </c>
      <c r="H869" s="652">
        <f t="shared" si="100"/>
        <v>42174938.408550009</v>
      </c>
      <c r="I869" s="625">
        <v>640.1</v>
      </c>
    </row>
    <row r="870" spans="1:10" s="625" customFormat="1" ht="15" customHeight="1">
      <c r="A870" s="1231" t="s">
        <v>548</v>
      </c>
      <c r="B870" s="631" t="str">
        <f>MID(A870,1,3)&amp;"-"&amp;13</f>
        <v>673-13</v>
      </c>
      <c r="C870" s="631"/>
      <c r="D870" s="657" t="str">
        <f>VLOOKUP(A870,[33]INDICE!$A$3:$D$334,2,FALSE)</f>
        <v>GEOTEXTIL  TIPO T-2400 O SIMILAR TEJIDO</v>
      </c>
      <c r="E870" s="706" t="str">
        <f>VLOOKUP(A870,[33]INDICE!$A$3:$D$334,3,FALSE)</f>
        <v>m2</v>
      </c>
      <c r="F870" s="654">
        <v>90</v>
      </c>
      <c r="G870" s="726">
        <f>VLOOKUP(A870,[33]INDICE!$A$3:$D$334,4,FALSE)</f>
        <v>10983.835173625577</v>
      </c>
      <c r="H870" s="652">
        <f>F870*G870</f>
        <v>988545.1656263019</v>
      </c>
      <c r="I870" s="625">
        <v>673.1</v>
      </c>
    </row>
    <row r="871" spans="1:10" s="625" customFormat="1" ht="26.1" customHeight="1" thickBot="1">
      <c r="A871" s="1231" t="s">
        <v>549</v>
      </c>
      <c r="B871" s="631" t="str">
        <f t="shared" si="99"/>
        <v>681-13</v>
      </c>
      <c r="C871" s="631"/>
      <c r="D871" s="657" t="str">
        <f>VLOOKUP(A871,[33]INDICE!$A$3:$D$334,2,FALSE)</f>
        <v xml:space="preserve">GAVIÓNES DE MALLA DE ALAMBRE DE ACERO ENTRELAZADO  CLASE 1; RECUBRIMIENTO DE ZINC (GALVANIZADO) </v>
      </c>
      <c r="E871" s="706" t="str">
        <f>VLOOKUP(A871,[33]INDICE!$A$3:$D$334,3,FALSE)</f>
        <v>m3</v>
      </c>
      <c r="F871" s="654">
        <v>75</v>
      </c>
      <c r="G871" s="726">
        <f>VLOOKUP(A871,[33]INDICE!$A$3:$D$334,4,FALSE)</f>
        <v>400986.60185015475</v>
      </c>
      <c r="H871" s="652">
        <f t="shared" si="100"/>
        <v>30073995.138761606</v>
      </c>
      <c r="I871" s="625">
        <v>681.1</v>
      </c>
    </row>
    <row r="872" spans="1:10" s="625" customFormat="1" ht="15" customHeight="1" thickTop="1">
      <c r="A872" s="1234"/>
      <c r="B872" s="637"/>
      <c r="C872" s="637"/>
      <c r="D872" s="638"/>
      <c r="E872" s="659"/>
      <c r="F872" s="660"/>
      <c r="G872" s="670" t="s">
        <v>536</v>
      </c>
      <c r="H872" s="640">
        <f>SUM(H865:H871)</f>
        <v>139017563.93547228</v>
      </c>
    </row>
    <row r="873" spans="1:10" s="625" customFormat="1" ht="15" customHeight="1">
      <c r="A873" s="1235"/>
      <c r="B873" s="641"/>
      <c r="C873" s="641"/>
      <c r="D873" s="642"/>
      <c r="E873" s="621"/>
      <c r="F873" s="647"/>
      <c r="G873" s="671" t="s">
        <v>537</v>
      </c>
      <c r="H873" s="644">
        <f>SUM(H872:H872)*0.05*0.19/1.3</f>
        <v>1015897.5826053744</v>
      </c>
    </row>
    <row r="874" spans="1:10" s="625" customFormat="1" ht="15" customHeight="1" thickBot="1">
      <c r="A874" s="1236"/>
      <c r="B874" s="619"/>
      <c r="C874" s="619"/>
      <c r="D874" s="620"/>
      <c r="E874" s="621"/>
      <c r="F874" s="647"/>
      <c r="G874" s="671" t="s">
        <v>538</v>
      </c>
      <c r="H874" s="645">
        <f>+ROUND(H872+H873,0)</f>
        <v>140033462</v>
      </c>
    </row>
    <row r="875" spans="1:10" s="625" customFormat="1" ht="15" customHeight="1" thickTop="1">
      <c r="A875" s="1236"/>
      <c r="B875" s="619"/>
      <c r="C875" s="619"/>
      <c r="D875" s="620"/>
      <c r="E875" s="621"/>
      <c r="F875" s="622"/>
      <c r="G875" s="693"/>
      <c r="H875" s="624"/>
    </row>
    <row r="876" spans="1:10" s="625" customFormat="1" ht="12.75" customHeight="1" thickBot="1">
      <c r="A876" s="1237"/>
      <c r="B876" s="627"/>
      <c r="C876" s="626" t="s">
        <v>654</v>
      </c>
      <c r="D876" s="626"/>
      <c r="E876" s="627"/>
      <c r="F876" s="626"/>
      <c r="G876" s="691"/>
      <c r="H876" s="629"/>
    </row>
    <row r="877" spans="1:10" s="625" customFormat="1" ht="15" customHeight="1" thickTop="1">
      <c r="A877" s="1232" t="s">
        <v>552</v>
      </c>
      <c r="B877" s="632" t="str">
        <f>MID(A877,1,3)&amp;"-"&amp;13</f>
        <v>201-13</v>
      </c>
      <c r="C877" s="632"/>
      <c r="D877" s="657" t="str">
        <f>VLOOKUP(A877,[33]INDICE!$A$3:$D$334,2,FALSE)</f>
        <v>DEMOLICIÓN DE ESTRUCTURAS</v>
      </c>
      <c r="E877" s="706" t="str">
        <f>VLOOKUP(A877,[33]INDICE!$A$3:$D$334,3,FALSE)</f>
        <v>m3</v>
      </c>
      <c r="F877" s="662">
        <f>2*2*0.2+0.2*3*2+3</f>
        <v>5</v>
      </c>
      <c r="G877" s="726">
        <f>VLOOKUP(A877,[33]INDICE!$A$3:$D$334,4,FALSE)</f>
        <v>240341.82659000819</v>
      </c>
      <c r="H877" s="636">
        <f>F877*G877</f>
        <v>1201709.132950041</v>
      </c>
      <c r="J877" s="625">
        <v>201.7</v>
      </c>
    </row>
    <row r="878" spans="1:10" s="625" customFormat="1" ht="15" customHeight="1">
      <c r="A878" s="1231" t="s">
        <v>540</v>
      </c>
      <c r="B878" s="631" t="str">
        <f t="shared" ref="B878:B884" si="101">MID(A878,1,3)&amp;"-"&amp;13</f>
        <v>600-13</v>
      </c>
      <c r="C878" s="631"/>
      <c r="D878" s="657" t="str">
        <f>VLOOKUP(A878,[33]INDICE!$A$3:$D$334,2,FALSE)</f>
        <v>EXCAVACIONES VARIAS SIN CLASIFICAR</v>
      </c>
      <c r="E878" s="706" t="str">
        <f>VLOOKUP(A878,[33]INDICE!$A$3:$D$334,3,FALSE)</f>
        <v>m3</v>
      </c>
      <c r="F878" s="654">
        <f>0.5*40</f>
        <v>20</v>
      </c>
      <c r="G878" s="726">
        <f>VLOOKUP(A878,[33]INDICE!$A$3:$D$334,4,FALSE)</f>
        <v>67953.950275344076</v>
      </c>
      <c r="H878" s="652">
        <f t="shared" ref="H878:H884" si="102">F878*G878</f>
        <v>1359079.0055068815</v>
      </c>
      <c r="J878" s="625" t="s">
        <v>541</v>
      </c>
    </row>
    <row r="879" spans="1:10" s="625" customFormat="1" ht="15" customHeight="1">
      <c r="A879" s="1231" t="s">
        <v>544</v>
      </c>
      <c r="B879" s="631" t="str">
        <f>MID(A879,1,3)&amp;"-"&amp;13</f>
        <v>610-13</v>
      </c>
      <c r="C879" s="631"/>
      <c r="D879" s="657" t="str">
        <f>VLOOKUP(A879,[33]INDICE!$A$3:$D$334,2,FALSE)</f>
        <v>RELLENOS PARA ESTRUCTURAS CON SUELO.</v>
      </c>
      <c r="E879" s="706" t="str">
        <f>VLOOKUP(A879,[33]INDICE!$A$3:$D$334,3,FALSE)</f>
        <v>m3</v>
      </c>
      <c r="F879" s="655">
        <f>0.4*40</f>
        <v>16</v>
      </c>
      <c r="G879" s="726">
        <f>VLOOKUP(A879,[33]INDICE!$A$3:$D$334,4,FALSE)</f>
        <v>164362.8922747685</v>
      </c>
      <c r="H879" s="652">
        <f>F879*G879</f>
        <v>2629806.276396296</v>
      </c>
      <c r="J879" s="625">
        <v>610.1</v>
      </c>
    </row>
    <row r="880" spans="1:10" s="625" customFormat="1" ht="15" customHeight="1">
      <c r="A880" s="1231" t="s">
        <v>545</v>
      </c>
      <c r="B880" s="631" t="str">
        <f t="shared" si="101"/>
        <v>630-13</v>
      </c>
      <c r="C880" s="631"/>
      <c r="D880" s="657" t="str">
        <f>VLOOKUP(A880,[33]INDICE!$A$3:$D$334,2,FALSE)</f>
        <v>CONCRETO RESISTENCIA 17.5MPA (E )</v>
      </c>
      <c r="E880" s="706" t="str">
        <f>VLOOKUP(A880,[33]INDICE!$A$3:$D$334,3,FALSE)</f>
        <v>m3</v>
      </c>
      <c r="F880" s="655">
        <f>0.55*40</f>
        <v>22</v>
      </c>
      <c r="G880" s="726">
        <f>VLOOKUP(A880,[33]INDICE!$A$3:$D$334,4,FALSE)</f>
        <v>735031.04931538599</v>
      </c>
      <c r="H880" s="652">
        <f t="shared" si="102"/>
        <v>16170683.084938493</v>
      </c>
      <c r="J880" s="625">
        <v>630.5</v>
      </c>
    </row>
    <row r="881" spans="1:10" s="625" customFormat="1" ht="15" customHeight="1">
      <c r="A881" s="1231" t="s">
        <v>546</v>
      </c>
      <c r="B881" s="631" t="str">
        <f t="shared" si="101"/>
        <v>630-13</v>
      </c>
      <c r="C881" s="631"/>
      <c r="D881" s="657" t="str">
        <f>VLOOKUP(A881,[33]INDICE!$A$3:$D$334,2,FALSE)</f>
        <v>CONCRETO RESISTENCIA 14MPA (G) (CICLOPEO)</v>
      </c>
      <c r="E881" s="706" t="str">
        <f>VLOOKUP(A881,[33]INDICE!$A$3:$D$334,3,FALSE)</f>
        <v>m3</v>
      </c>
      <c r="F881" s="668">
        <v>10</v>
      </c>
      <c r="G881" s="726">
        <f>VLOOKUP(A881,[33]INDICE!$A$3:$D$334,4,FALSE)</f>
        <v>530138.01220093726</v>
      </c>
      <c r="H881" s="652">
        <f t="shared" si="102"/>
        <v>5301380.1220093723</v>
      </c>
      <c r="J881" s="625">
        <v>630.70000000000005</v>
      </c>
    </row>
    <row r="882" spans="1:10" s="625" customFormat="1" ht="15" customHeight="1">
      <c r="A882" s="1231" t="s">
        <v>554</v>
      </c>
      <c r="B882" s="631" t="str">
        <f t="shared" si="101"/>
        <v>640-13</v>
      </c>
      <c r="C882" s="631"/>
      <c r="D882" s="657" t="str">
        <f>VLOOKUP(A882,[33]INDICE!$A$3:$D$334,2,FALSE)</f>
        <v>ACERO DE REFUERZO FY 4200 MPA.</v>
      </c>
      <c r="E882" s="706" t="str">
        <f>VLOOKUP(A882,[33]INDICE!$A$3:$D$334,3,FALSE)</f>
        <v>kg</v>
      </c>
      <c r="F882" s="654">
        <f>F880*105</f>
        <v>2310</v>
      </c>
      <c r="G882" s="726">
        <f>VLOOKUP(A882,[33]INDICE!$A$3:$D$334,4,FALSE)</f>
        <v>6085.8496982034649</v>
      </c>
      <c r="H882" s="652">
        <f t="shared" si="102"/>
        <v>14058312.802850004</v>
      </c>
      <c r="J882" s="625">
        <v>640.1</v>
      </c>
    </row>
    <row r="883" spans="1:10" s="625" customFormat="1" ht="15" customHeight="1">
      <c r="A883" s="1231" t="s">
        <v>548</v>
      </c>
      <c r="B883" s="631" t="str">
        <f>MID(A883,1,3)&amp;"-"&amp;13</f>
        <v>673-13</v>
      </c>
      <c r="C883" s="631"/>
      <c r="D883" s="657" t="str">
        <f>VLOOKUP(A883,[33]INDICE!$A$3:$D$334,2,FALSE)</f>
        <v>GEOTEXTIL  TIPO T-2400 O SIMILAR TEJIDO</v>
      </c>
      <c r="E883" s="706" t="str">
        <f>VLOOKUP(A883,[33]INDICE!$A$3:$D$334,3,FALSE)</f>
        <v>m2</v>
      </c>
      <c r="F883" s="654">
        <v>36</v>
      </c>
      <c r="G883" s="726">
        <f>VLOOKUP(A883,[33]INDICE!$A$3:$D$334,4,FALSE)</f>
        <v>10983.835173625577</v>
      </c>
      <c r="H883" s="652">
        <f>F883*G883</f>
        <v>395418.06625052076</v>
      </c>
      <c r="J883" s="625">
        <v>673.1</v>
      </c>
    </row>
    <row r="884" spans="1:10" s="625" customFormat="1" ht="26.1" customHeight="1" thickBot="1">
      <c r="A884" s="1231" t="s">
        <v>549</v>
      </c>
      <c r="B884" s="631" t="str">
        <f t="shared" si="101"/>
        <v>681-13</v>
      </c>
      <c r="C884" s="631"/>
      <c r="D884" s="657" t="str">
        <f>VLOOKUP(A884,[33]INDICE!$A$3:$D$334,2,FALSE)</f>
        <v xml:space="preserve">GAVIÓNES DE MALLA DE ALAMBRE DE ACERO ENTRELAZADO  CLASE 1; RECUBRIMIENTO DE ZINC (GALVANIZADO) </v>
      </c>
      <c r="E884" s="706" t="str">
        <f>VLOOKUP(A884,[33]INDICE!$A$3:$D$334,3,FALSE)</f>
        <v>m3</v>
      </c>
      <c r="F884" s="654">
        <v>10</v>
      </c>
      <c r="G884" s="726">
        <f>VLOOKUP(A884,[33]INDICE!$A$3:$D$334,4,FALSE)</f>
        <v>400986.60185015475</v>
      </c>
      <c r="H884" s="652">
        <f t="shared" si="102"/>
        <v>4009866.0185015476</v>
      </c>
      <c r="J884" s="625">
        <v>681.1</v>
      </c>
    </row>
    <row r="885" spans="1:10" s="625" customFormat="1" ht="15" customHeight="1" thickTop="1">
      <c r="A885" s="1234"/>
      <c r="B885" s="637"/>
      <c r="C885" s="637"/>
      <c r="D885" s="638"/>
      <c r="E885" s="659"/>
      <c r="F885" s="660"/>
      <c r="G885" s="670" t="s">
        <v>536</v>
      </c>
      <c r="H885" s="640">
        <f>SUM(H877:H884)</f>
        <v>45126254.509403154</v>
      </c>
    </row>
    <row r="886" spans="1:10" s="625" customFormat="1" ht="15" customHeight="1">
      <c r="A886" s="1235"/>
      <c r="B886" s="641"/>
      <c r="C886" s="641"/>
      <c r="D886" s="642"/>
      <c r="E886" s="621"/>
      <c r="F886" s="647"/>
      <c r="G886" s="671" t="s">
        <v>537</v>
      </c>
      <c r="H886" s="644">
        <f>SUM(H885:H885)*0.05*0.19/1.3</f>
        <v>329768.78295333072</v>
      </c>
    </row>
    <row r="887" spans="1:10" s="625" customFormat="1" ht="15" customHeight="1" thickBot="1">
      <c r="A887" s="1236"/>
      <c r="B887" s="619"/>
      <c r="C887" s="619"/>
      <c r="D887" s="620"/>
      <c r="E887" s="621"/>
      <c r="F887" s="647"/>
      <c r="G887" s="671" t="s">
        <v>538</v>
      </c>
      <c r="H887" s="645">
        <f>+ROUND(H885+H886,0)</f>
        <v>45456023</v>
      </c>
    </row>
    <row r="888" spans="1:10" s="625" customFormat="1" ht="12.75" customHeight="1" thickTop="1">
      <c r="A888" s="1236"/>
      <c r="B888" s="619"/>
      <c r="C888" s="619"/>
      <c r="D888" s="620"/>
      <c r="E888" s="621"/>
      <c r="F888" s="622"/>
      <c r="G888" s="623"/>
      <c r="H888" s="624"/>
    </row>
    <row r="889" spans="1:10" s="625" customFormat="1" ht="13.5" thickBot="1">
      <c r="A889" s="1237"/>
      <c r="B889" s="627"/>
      <c r="C889" s="626" t="s">
        <v>655</v>
      </c>
      <c r="D889" s="626"/>
      <c r="E889" s="627"/>
      <c r="F889" s="626"/>
      <c r="G889" s="691"/>
      <c r="H889" s="629"/>
    </row>
    <row r="890" spans="1:10" s="625" customFormat="1" ht="15" customHeight="1" thickTop="1">
      <c r="A890" s="1231" t="s">
        <v>603</v>
      </c>
      <c r="B890" s="631" t="str">
        <f>MID(A890,1,3)&amp;"-"&amp;13</f>
        <v>330-13</v>
      </c>
      <c r="C890" s="631"/>
      <c r="D890" s="657" t="str">
        <f>VLOOKUP(A890,[33]INDICE!$A$3:$D$334,2,FALSE)</f>
        <v>BASE GRANULAR PARA BACHEO CLASE A</v>
      </c>
      <c r="E890" s="649" t="str">
        <f>VLOOKUP(A890,[33]INDICE!$A$3:$D$334,3,FALSE)</f>
        <v>m3</v>
      </c>
      <c r="F890" s="694">
        <v>18</v>
      </c>
      <c r="G890" s="688">
        <f>VLOOKUP(A890,[33]INDICE!$A$3:$D$334,4,FALSE)</f>
        <v>388123.88712339668</v>
      </c>
      <c r="H890" s="652">
        <f>F890*G890</f>
        <v>6986229.9682211401</v>
      </c>
      <c r="J890" s="625">
        <v>330.4</v>
      </c>
    </row>
    <row r="891" spans="1:10" s="625" customFormat="1" ht="26.1" customHeight="1">
      <c r="A891" s="1231" t="s">
        <v>574</v>
      </c>
      <c r="B891" s="631" t="str">
        <f>MID(A891,1,3)&amp;"-"&amp;13</f>
        <v>450-13</v>
      </c>
      <c r="C891" s="631"/>
      <c r="D891" s="657" t="str">
        <f>VLOOKUP(A891,[33]INDICE!$A$3:$D$334,2,FALSE)</f>
        <v>Mezcla Densa en Caliente tipo MDC-19 INCLUYE TRANSPORTE</v>
      </c>
      <c r="E891" s="649" t="str">
        <f>VLOOKUP(A891,[33]INDICE!$A$3:$D$334,3,FALSE)</f>
        <v>M3</v>
      </c>
      <c r="F891" s="694">
        <v>6</v>
      </c>
      <c r="G891" s="688">
        <f>VLOOKUP(A891,[33]INDICE!$A$3:$D$334,4,FALSE)</f>
        <v>1299990.5178796239</v>
      </c>
      <c r="H891" s="652">
        <f>F891*G891</f>
        <v>7799943.1072777435</v>
      </c>
      <c r="J891" s="625" t="s">
        <v>575</v>
      </c>
    </row>
    <row r="892" spans="1:10" s="625" customFormat="1" ht="38.1" customHeight="1">
      <c r="A892" s="1231" t="s">
        <v>604</v>
      </c>
      <c r="B892" s="631" t="str">
        <f>MID(A892,1,3)&amp;"-"&amp;13</f>
        <v>465-13</v>
      </c>
      <c r="C892" s="631"/>
      <c r="D892" s="657" t="str">
        <f>VLOOKUP(A892,[33]INDICE!$A$3:$D$334,2,FALSE)</f>
        <v>EXCAVACIÓN PARA REPARACIÓN DE PAVIMENTO ASFÁLTICO EXISTENTE INCLUYENDO EL CORTE Y LA REMOCIÒN DE LAS CAPAS ASFALTICAS SUBYACENTES</v>
      </c>
      <c r="E892" s="649" t="str">
        <f>VLOOKUP(A892,[33]INDICE!$A$3:$D$334,3,FALSE)</f>
        <v>m3</v>
      </c>
      <c r="F892" s="694">
        <v>6</v>
      </c>
      <c r="G892" s="688">
        <f>VLOOKUP(A892,[33]INDICE!$A$3:$D$334,4,FALSE)</f>
        <v>152185.3287895511</v>
      </c>
      <c r="H892" s="652">
        <f>F892*G892</f>
        <v>913111.97273730661</v>
      </c>
      <c r="J892" s="625">
        <v>465.1</v>
      </c>
    </row>
    <row r="893" spans="1:10" s="625" customFormat="1" ht="15" customHeight="1">
      <c r="A893" s="1231" t="s">
        <v>540</v>
      </c>
      <c r="B893" s="631" t="str">
        <f t="shared" ref="B893:B900" si="103">MID(A893,1,3)&amp;"-"&amp;13</f>
        <v>600-13</v>
      </c>
      <c r="C893" s="631"/>
      <c r="D893" s="657" t="str">
        <f>VLOOKUP(A893,[33]INDICE!$A$3:$D$334,2,FALSE)</f>
        <v>EXCAVACIONES VARIAS SIN CLASIFICAR</v>
      </c>
      <c r="E893" s="649" t="str">
        <f>VLOOKUP(A893,[33]INDICE!$A$3:$D$334,3,FALSE)</f>
        <v>m3</v>
      </c>
      <c r="F893" s="654">
        <f>15*2.6*4</f>
        <v>156</v>
      </c>
      <c r="G893" s="688">
        <f>VLOOKUP(A893,[33]INDICE!$A$3:$D$334,4,FALSE)</f>
        <v>67953.950275344076</v>
      </c>
      <c r="H893" s="652">
        <f t="shared" ref="H893:H900" si="104">F893*G893</f>
        <v>10600816.242953677</v>
      </c>
      <c r="J893" s="625" t="s">
        <v>541</v>
      </c>
    </row>
    <row r="894" spans="1:10" s="625" customFormat="1" ht="15" customHeight="1">
      <c r="A894" s="1231" t="s">
        <v>544</v>
      </c>
      <c r="B894" s="631" t="str">
        <f>MID(A894,1,3)&amp;"-"&amp;13</f>
        <v>610-13</v>
      </c>
      <c r="C894" s="631"/>
      <c r="D894" s="657" t="str">
        <f>VLOOKUP(A894,[33]INDICE!$A$3:$D$334,2,FALSE)</f>
        <v>RELLENOS PARA ESTRUCTURAS CON SUELO.</v>
      </c>
      <c r="E894" s="649" t="str">
        <f>VLOOKUP(A894,[33]INDICE!$A$3:$D$334,3,FALSE)</f>
        <v>m3</v>
      </c>
      <c r="F894" s="655">
        <v>89</v>
      </c>
      <c r="G894" s="688">
        <f>VLOOKUP(A894,[33]INDICE!$A$3:$D$334,4,FALSE)</f>
        <v>164362.8922747685</v>
      </c>
      <c r="H894" s="652">
        <f>F894*G894</f>
        <v>14628297.412454396</v>
      </c>
      <c r="J894" s="625">
        <v>610.1</v>
      </c>
    </row>
    <row r="895" spans="1:10" s="625" customFormat="1" ht="25.5" customHeight="1">
      <c r="A895" s="1231" t="s">
        <v>593</v>
      </c>
      <c r="B895" s="631" t="str">
        <f>MID(A895,1,3)&amp;"-"&amp;13</f>
        <v>621-13</v>
      </c>
      <c r="C895" s="656" t="s">
        <v>557</v>
      </c>
      <c r="D895" s="657" t="str">
        <f>VLOOKUP(A895,[33]INDICE!$A$3:$D$334,2,FALSE)</f>
        <v>PILOTE DE CONCRETO VACIADO IN SITU, DE DIÁMETRO 1 M_</v>
      </c>
      <c r="E895" s="649" t="str">
        <f>VLOOKUP(A895,[33]INDICE!$A$3:$D$334,3,FALSE)</f>
        <v>m</v>
      </c>
      <c r="F895" s="654">
        <f>(15/3+1)*12</f>
        <v>72</v>
      </c>
      <c r="G895" s="688">
        <f>VLOOKUP(A895,[33]INDICE!$A$3:$D$334,4,FALSE)</f>
        <v>2541005.3171792314</v>
      </c>
      <c r="H895" s="652">
        <f>F895*G895</f>
        <v>182952382.83690467</v>
      </c>
      <c r="J895" s="625">
        <v>621.1</v>
      </c>
    </row>
    <row r="896" spans="1:10" s="625" customFormat="1" ht="15" customHeight="1">
      <c r="A896" s="1231" t="s">
        <v>553</v>
      </c>
      <c r="B896" s="631" t="str">
        <f t="shared" si="103"/>
        <v>630-13</v>
      </c>
      <c r="C896" s="631"/>
      <c r="D896" s="657" t="str">
        <f>VLOOKUP(A896,[33]INDICE!$A$3:$D$334,2,FALSE)</f>
        <v>CONCRETO RESISTENCIA 21MPA (D)</v>
      </c>
      <c r="E896" s="649" t="str">
        <f>VLOOKUP(A896,[33]INDICE!$A$3:$D$334,3,FALSE)</f>
        <v>m3</v>
      </c>
      <c r="F896" s="655">
        <v>36</v>
      </c>
      <c r="G896" s="688">
        <f>VLOOKUP(A896,[33]INDICE!$A$3:$D$334,4,FALSE)</f>
        <v>871855.23056364793</v>
      </c>
      <c r="H896" s="652">
        <f t="shared" si="104"/>
        <v>31386788.300291326</v>
      </c>
      <c r="J896" s="658">
        <v>630.4</v>
      </c>
    </row>
    <row r="897" spans="1:10" s="625" customFormat="1" ht="15" customHeight="1">
      <c r="A897" s="1231" t="s">
        <v>554</v>
      </c>
      <c r="B897" s="631" t="str">
        <f t="shared" si="103"/>
        <v>640-13</v>
      </c>
      <c r="C897" s="631"/>
      <c r="D897" s="657" t="str">
        <f>VLOOKUP(A897,[33]INDICE!$A$3:$D$334,2,FALSE)</f>
        <v>ACERO DE REFUERZO FY 4200 MPA.</v>
      </c>
      <c r="E897" s="649" t="str">
        <f>VLOOKUP(A897,[33]INDICE!$A$3:$D$334,3,FALSE)</f>
        <v>kg</v>
      </c>
      <c r="F897" s="654">
        <f>F896*105</f>
        <v>3780</v>
      </c>
      <c r="G897" s="688">
        <f>VLOOKUP(A897,[33]INDICE!$A$3:$D$334,4,FALSE)</f>
        <v>6085.8496982034649</v>
      </c>
      <c r="H897" s="652">
        <f t="shared" si="104"/>
        <v>23004511.859209098</v>
      </c>
      <c r="J897" s="625">
        <v>640.1</v>
      </c>
    </row>
    <row r="898" spans="1:10" s="625" customFormat="1" ht="26.1" customHeight="1">
      <c r="A898" s="1231" t="s">
        <v>559</v>
      </c>
      <c r="B898" s="631" t="str">
        <f>MID(A898,1,3)&amp;"-"&amp;13</f>
        <v>671-13</v>
      </c>
      <c r="C898" s="631"/>
      <c r="D898" s="657" t="str">
        <f>VLOOKUP(A898,[33]INDICE!$A$3:$D$334,2,FALSE)</f>
        <v>CUNETA DE CONCRETO VACIADA IN SITU; INCLUYE LA CONFORMACION DE LA SUPERFICIE DE APOYO</v>
      </c>
      <c r="E898" s="649" t="str">
        <f>VLOOKUP(A898,[33]INDICE!$A$3:$D$334,3,FALSE)</f>
        <v>m3</v>
      </c>
      <c r="F898" s="655">
        <v>3</v>
      </c>
      <c r="G898" s="688">
        <f>VLOOKUP(A898,[33]INDICE!$A$3:$D$334,4,FALSE)</f>
        <v>841791.75196838728</v>
      </c>
      <c r="H898" s="652">
        <f>F898*G898</f>
        <v>2525375.2559051616</v>
      </c>
      <c r="J898" s="625">
        <v>671.3</v>
      </c>
    </row>
    <row r="899" spans="1:10" s="625" customFormat="1" ht="15" customHeight="1">
      <c r="A899" s="1231" t="s">
        <v>548</v>
      </c>
      <c r="B899" s="631" t="str">
        <f t="shared" si="103"/>
        <v>673-13</v>
      </c>
      <c r="C899" s="631"/>
      <c r="D899" s="657" t="str">
        <f>VLOOKUP(A899,[33]INDICE!$A$3:$D$334,2,FALSE)</f>
        <v>GEOTEXTIL  TIPO T-2400 O SIMILAR TEJIDO</v>
      </c>
      <c r="E899" s="649" t="str">
        <f>VLOOKUP(A899,[33]INDICE!$A$3:$D$334,3,FALSE)</f>
        <v>m2</v>
      </c>
      <c r="F899" s="654">
        <f>(15+2)*4</f>
        <v>68</v>
      </c>
      <c r="G899" s="688">
        <f>VLOOKUP(A899,[33]INDICE!$A$3:$D$334,4,FALSE)</f>
        <v>10983.835173625577</v>
      </c>
      <c r="H899" s="652">
        <f t="shared" si="104"/>
        <v>746900.79180653929</v>
      </c>
      <c r="J899" s="625">
        <v>673.1</v>
      </c>
    </row>
    <row r="900" spans="1:10" s="625" customFormat="1" ht="15" customHeight="1" thickBot="1">
      <c r="A900" s="1231" t="s">
        <v>560</v>
      </c>
      <c r="B900" s="631" t="str">
        <f t="shared" si="103"/>
        <v>673-13</v>
      </c>
      <c r="C900" s="631"/>
      <c r="D900" s="657" t="str">
        <f>VLOOKUP(A900,[33]INDICE!$A$3:$D$334,2,FALSE)</f>
        <v>MATERIAL GRANULAR DRENANTE</v>
      </c>
      <c r="E900" s="649" t="str">
        <f>VLOOKUP(A900,[33]INDICE!$A$3:$D$334,3,FALSE)</f>
        <v>m3</v>
      </c>
      <c r="F900" s="655">
        <v>33</v>
      </c>
      <c r="G900" s="688">
        <f>VLOOKUP(A900,[33]INDICE!$A$3:$D$334,4,FALSE)</f>
        <v>84364.417561781069</v>
      </c>
      <c r="H900" s="652">
        <f t="shared" si="104"/>
        <v>2784025.7795387753</v>
      </c>
      <c r="J900" s="625">
        <v>673.2</v>
      </c>
    </row>
    <row r="901" spans="1:10" s="625" customFormat="1" ht="15" customHeight="1" thickTop="1">
      <c r="A901" s="1234"/>
      <c r="B901" s="637"/>
      <c r="C901" s="637"/>
      <c r="D901" s="638"/>
      <c r="E901" s="659"/>
      <c r="F901" s="660"/>
      <c r="G901" s="670" t="s">
        <v>536</v>
      </c>
      <c r="H901" s="640">
        <f>SUM(H890:H900)</f>
        <v>284328383.52729976</v>
      </c>
    </row>
    <row r="902" spans="1:10" s="625" customFormat="1" ht="15" customHeight="1">
      <c r="A902" s="1235"/>
      <c r="B902" s="641"/>
      <c r="C902" s="641"/>
      <c r="D902" s="642"/>
      <c r="E902" s="621"/>
      <c r="F902" s="647"/>
      <c r="G902" s="671" t="s">
        <v>537</v>
      </c>
      <c r="H902" s="644">
        <f>SUM(H901:H901)*0.05*0.19/1.3</f>
        <v>2077784.3411610369</v>
      </c>
    </row>
    <row r="903" spans="1:10" s="625" customFormat="1" ht="15" customHeight="1" thickBot="1">
      <c r="A903" s="1236"/>
      <c r="B903" s="619"/>
      <c r="C903" s="619"/>
      <c r="D903" s="620"/>
      <c r="E903" s="621"/>
      <c r="F903" s="647"/>
      <c r="G903" s="671" t="s">
        <v>538</v>
      </c>
      <c r="H903" s="645">
        <f>+ROUND(H901+H902,0)</f>
        <v>286406168</v>
      </c>
    </row>
    <row r="904" spans="1:10" s="625" customFormat="1" ht="15" customHeight="1" thickTop="1">
      <c r="A904" s="1236"/>
      <c r="B904" s="619"/>
      <c r="C904" s="619"/>
      <c r="D904" s="620"/>
      <c r="E904" s="621"/>
      <c r="F904" s="647"/>
      <c r="G904" s="643"/>
      <c r="H904" s="646"/>
    </row>
    <row r="905" spans="1:10" s="625" customFormat="1" ht="15" customHeight="1" thickBot="1">
      <c r="A905" s="1237"/>
      <c r="B905" s="627"/>
      <c r="C905" s="626" t="s">
        <v>656</v>
      </c>
      <c r="D905" s="626"/>
      <c r="E905" s="627"/>
      <c r="F905" s="626"/>
      <c r="G905" s="691"/>
      <c r="H905" s="629"/>
    </row>
    <row r="906" spans="1:10" s="625" customFormat="1" ht="15" customHeight="1" thickTop="1">
      <c r="A906" s="1231" t="s">
        <v>552</v>
      </c>
      <c r="B906" s="631" t="str">
        <f>MID(A906,1,3)&amp;"-"&amp;13</f>
        <v>201-13</v>
      </c>
      <c r="C906" s="631"/>
      <c r="D906" s="657" t="str">
        <f>VLOOKUP(A906,[33]INDICE!$A$3:$D$334,2,FALSE)</f>
        <v>DEMOLICIÓN DE ESTRUCTURAS</v>
      </c>
      <c r="E906" s="706" t="str">
        <f>VLOOKUP(A906,[33]INDICE!$A$3:$D$334,3,FALSE)</f>
        <v>m3</v>
      </c>
      <c r="F906" s="650">
        <f>2*(1.4*0.2*1.5+1*0.2*1.5)+1*1*0.15+3*(2*0.4*1.5)</f>
        <v>5.19</v>
      </c>
      <c r="G906" s="726">
        <f>VLOOKUP(A906,[33]INDICE!$A$3:$D$334,4,FALSE)</f>
        <v>240341.82659000819</v>
      </c>
      <c r="H906" s="652">
        <f>F906*G906</f>
        <v>1247374.0800021426</v>
      </c>
      <c r="J906" s="625">
        <v>201.7</v>
      </c>
    </row>
    <row r="907" spans="1:10" s="625" customFormat="1" ht="15" customHeight="1">
      <c r="A907" s="1231" t="s">
        <v>558</v>
      </c>
      <c r="B907" s="631" t="str">
        <f>MID(A907,1,3)&amp;"-"&amp;13</f>
        <v>330-13</v>
      </c>
      <c r="C907" s="689"/>
      <c r="D907" s="657" t="str">
        <f>VLOOKUP(A907,[33]INDICE!$A$3:$D$334,2,FALSE)</f>
        <v>BASE GRANULAR CLASE A</v>
      </c>
      <c r="E907" s="706" t="str">
        <f>VLOOKUP(A907,[33]INDICE!$A$3:$D$334,3,FALSE)</f>
        <v>m3</v>
      </c>
      <c r="F907" s="655">
        <f>11*1.2*0.5</f>
        <v>6.6</v>
      </c>
      <c r="G907" s="726">
        <f>VLOOKUP(A907,[33]INDICE!$A$3:$D$334,4,FALSE)</f>
        <v>375353.93049818149</v>
      </c>
      <c r="H907" s="652">
        <f>F907*G907</f>
        <v>2477335.9412879976</v>
      </c>
      <c r="J907" s="625">
        <v>330.1</v>
      </c>
    </row>
    <row r="908" spans="1:10" s="625" customFormat="1" ht="26.1" customHeight="1">
      <c r="A908" s="1231" t="s">
        <v>574</v>
      </c>
      <c r="B908" s="631" t="str">
        <f>MID(A908,1,3)&amp;"-"&amp;13</f>
        <v>450-13</v>
      </c>
      <c r="C908" s="631"/>
      <c r="D908" s="657" t="str">
        <f>VLOOKUP(A908,[33]INDICE!$A$3:$D$334,2,FALSE)</f>
        <v>Mezcla Densa en Caliente tipo MDC-19 INCLUYE TRANSPORTE</v>
      </c>
      <c r="E908" s="706" t="str">
        <f>VLOOKUP(A908,[33]INDICE!$A$3:$D$334,3,FALSE)</f>
        <v>M3</v>
      </c>
      <c r="F908" s="694">
        <f>8*1.4*0.12</f>
        <v>1.3439999999999999</v>
      </c>
      <c r="G908" s="726">
        <f>VLOOKUP(A908,[33]INDICE!$A$3:$D$334,4,FALSE)</f>
        <v>1299990.5178796239</v>
      </c>
      <c r="H908" s="652">
        <f>F908*G908</f>
        <v>1747187.2560302143</v>
      </c>
      <c r="J908" s="625" t="s">
        <v>575</v>
      </c>
    </row>
    <row r="909" spans="1:10" s="625" customFormat="1" ht="43.5" customHeight="1">
      <c r="A909" s="1231" t="s">
        <v>604</v>
      </c>
      <c r="B909" s="631" t="str">
        <f>MID(A909,1,3)&amp;"-"&amp;13</f>
        <v>465-13</v>
      </c>
      <c r="C909" s="631"/>
      <c r="D909" s="657" t="str">
        <f>VLOOKUP(A909,[33]INDICE!$A$3:$D$334,2,FALSE)</f>
        <v>EXCAVACIÓN PARA REPARACIÓN DE PAVIMENTO ASFÁLTICO EXISTENTE INCLUYENDO EL CORTE Y LA REMOCIÒN DE LAS CAPAS ASFALTICAS SUBYACENTES</v>
      </c>
      <c r="E909" s="706" t="str">
        <f>VLOOKUP(A909,[33]INDICE!$A$3:$D$334,3,FALSE)</f>
        <v>m3</v>
      </c>
      <c r="F909" s="694">
        <f>1.4*8*0.1</f>
        <v>1.1199999999999999</v>
      </c>
      <c r="G909" s="726">
        <f>VLOOKUP(A909,[33]INDICE!$A$3:$D$334,4,FALSE)</f>
        <v>152185.3287895511</v>
      </c>
      <c r="H909" s="652">
        <f>F909*G909</f>
        <v>170447.5682442972</v>
      </c>
      <c r="J909" s="625">
        <v>465.1</v>
      </c>
    </row>
    <row r="910" spans="1:10" s="625" customFormat="1" ht="15" customHeight="1">
      <c r="A910" s="1231" t="s">
        <v>540</v>
      </c>
      <c r="B910" s="631" t="str">
        <f t="shared" ref="B910:B916" si="105">MID(A910,1,3)&amp;"-"&amp;13</f>
        <v>600-13</v>
      </c>
      <c r="C910" s="631"/>
      <c r="D910" s="657" t="str">
        <f>VLOOKUP(A910,[33]INDICE!$A$3:$D$334,2,FALSE)</f>
        <v>EXCAVACIONES VARIAS SIN CLASIFICAR</v>
      </c>
      <c r="E910" s="706" t="str">
        <f>VLOOKUP(A910,[33]INDICE!$A$3:$D$334,3,FALSE)</f>
        <v>m3</v>
      </c>
      <c r="F910" s="654">
        <f>11*1.2*1+5</f>
        <v>18.2</v>
      </c>
      <c r="G910" s="726">
        <f>VLOOKUP(A910,[33]INDICE!$A$3:$D$334,4,FALSE)</f>
        <v>67953.950275344076</v>
      </c>
      <c r="H910" s="652">
        <f t="shared" ref="H910:H916" si="106">F910*G910</f>
        <v>1236761.895011262</v>
      </c>
      <c r="J910" s="625" t="s">
        <v>541</v>
      </c>
    </row>
    <row r="911" spans="1:10" s="625" customFormat="1" ht="15" customHeight="1">
      <c r="A911" s="1231" t="s">
        <v>544</v>
      </c>
      <c r="B911" s="631" t="str">
        <f>MID(A911,1,3)&amp;"-"&amp;13</f>
        <v>610-13</v>
      </c>
      <c r="C911" s="631"/>
      <c r="D911" s="657" t="str">
        <f>VLOOKUP(A911,[33]INDICE!$A$3:$D$334,2,FALSE)</f>
        <v>RELLENOS PARA ESTRUCTURAS CON SUELO.</v>
      </c>
      <c r="E911" s="706" t="str">
        <f>VLOOKUP(A911,[33]INDICE!$A$3:$D$334,3,FALSE)</f>
        <v>m3</v>
      </c>
      <c r="F911" s="655">
        <f>11*1.2*1+4</f>
        <v>17.2</v>
      </c>
      <c r="G911" s="726">
        <f>VLOOKUP(A911,[33]INDICE!$A$3:$D$334,4,FALSE)</f>
        <v>164362.8922747685</v>
      </c>
      <c r="H911" s="652">
        <f>F911*G911</f>
        <v>2827041.7471260182</v>
      </c>
      <c r="J911" s="625">
        <v>610.1</v>
      </c>
    </row>
    <row r="912" spans="1:10" s="625" customFormat="1" ht="15" customHeight="1">
      <c r="A912" s="1231" t="s">
        <v>545</v>
      </c>
      <c r="B912" s="631" t="str">
        <f>MID(A912,1,3)&amp;"-"&amp;13</f>
        <v>630-13</v>
      </c>
      <c r="C912" s="631"/>
      <c r="D912" s="657" t="str">
        <f>VLOOKUP(A912,[33]INDICE!$A$3:$D$334,2,FALSE)</f>
        <v>CONCRETO RESISTENCIA 17.5MPA (E )</v>
      </c>
      <c r="E912" s="706" t="str">
        <f>VLOOKUP(A912,[33]INDICE!$A$3:$D$334,3,FALSE)</f>
        <v>m3</v>
      </c>
      <c r="F912" s="655">
        <f>2*(1.8*0.2*2+1.4*0.2*2)+1.4*1.4*0.2+3*(2*1.8*0.4)+(1.8+3.6)/2*0.2*1.5+11*0.15*1.2</f>
        <v>10.062000000000001</v>
      </c>
      <c r="G912" s="726">
        <f>VLOOKUP(A912,[33]INDICE!$A$3:$D$334,4,FALSE)</f>
        <v>735031.04931538599</v>
      </c>
      <c r="H912" s="652">
        <f>F912*G912</f>
        <v>7395882.4182114145</v>
      </c>
      <c r="J912" s="625">
        <v>630.5</v>
      </c>
    </row>
    <row r="913" spans="1:10" s="625" customFormat="1" ht="15" customHeight="1">
      <c r="A913" s="1231" t="s">
        <v>546</v>
      </c>
      <c r="B913" s="631" t="str">
        <f>MID(A913,1,3)&amp;"-"&amp;13</f>
        <v>630-13</v>
      </c>
      <c r="C913" s="631"/>
      <c r="D913" s="657" t="str">
        <f>VLOOKUP(A913,[33]INDICE!$A$3:$D$334,2,FALSE)</f>
        <v>CONCRETO RESISTENCIA 14MPA (G) (CICLOPEO)</v>
      </c>
      <c r="E913" s="706" t="str">
        <f>VLOOKUP(A913,[33]INDICE!$A$3:$D$334,3,FALSE)</f>
        <v>m3</v>
      </c>
      <c r="F913" s="668">
        <f>1.2*11*0.15</f>
        <v>1.9799999999999998</v>
      </c>
      <c r="G913" s="726">
        <f>VLOOKUP(A913,[33]INDICE!$A$3:$D$334,4,FALSE)</f>
        <v>530138.01220093726</v>
      </c>
      <c r="H913" s="652">
        <f>F913*G913</f>
        <v>1049673.2641578557</v>
      </c>
      <c r="J913" s="625">
        <v>630.70000000000005</v>
      </c>
    </row>
    <row r="914" spans="1:10" s="625" customFormat="1" ht="15" customHeight="1">
      <c r="A914" s="1231" t="s">
        <v>554</v>
      </c>
      <c r="B914" s="631" t="str">
        <f>MID(A914,1,3)&amp;"-"&amp;13</f>
        <v>640-13</v>
      </c>
      <c r="C914" s="631"/>
      <c r="D914" s="657" t="str">
        <f>VLOOKUP(A914,[33]INDICE!$A$3:$D$334,2,FALSE)</f>
        <v>ACERO DE REFUERZO FY 4200 MPA.</v>
      </c>
      <c r="E914" s="706" t="str">
        <f>VLOOKUP(A914,[33]INDICE!$A$3:$D$334,3,FALSE)</f>
        <v>kg</v>
      </c>
      <c r="F914" s="654">
        <f>F912*105</f>
        <v>1056.5100000000002</v>
      </c>
      <c r="G914" s="726">
        <f>VLOOKUP(A914,[33]INDICE!$A$3:$D$334,4,FALSE)</f>
        <v>6085.8496982034649</v>
      </c>
      <c r="H914" s="652">
        <f>F914*G914</f>
        <v>6429761.064648944</v>
      </c>
      <c r="J914" s="625">
        <v>640.1</v>
      </c>
    </row>
    <row r="915" spans="1:10" s="625" customFormat="1" ht="26.1" customHeight="1">
      <c r="A915" s="1231" t="s">
        <v>605</v>
      </c>
      <c r="B915" s="631" t="str">
        <f t="shared" si="105"/>
        <v>661-13</v>
      </c>
      <c r="C915" s="631"/>
      <c r="D915" s="657" t="str">
        <f>VLOOKUP(A915,[33]INDICE!$A$3:$D$334,2,FALSE)</f>
        <v>TUBERÍA DE CONCRETO REFORZADO  21 MPA DE 900 MM DE DIAMETRO INTERIOR</v>
      </c>
      <c r="E915" s="706" t="str">
        <f>VLOOKUP(A915,[33]INDICE!$A$3:$D$334,3,FALSE)</f>
        <v>m</v>
      </c>
      <c r="F915" s="650">
        <v>11</v>
      </c>
      <c r="G915" s="726">
        <f>VLOOKUP(A915,[33]INDICE!$A$3:$D$334,4,FALSE)</f>
        <v>689897.64607454219</v>
      </c>
      <c r="H915" s="652">
        <f t="shared" si="106"/>
        <v>7588874.106819964</v>
      </c>
      <c r="J915" s="625">
        <v>661.1</v>
      </c>
    </row>
    <row r="916" spans="1:10" s="625" customFormat="1" ht="26.1" customHeight="1" thickBot="1">
      <c r="A916" s="1231" t="s">
        <v>559</v>
      </c>
      <c r="B916" s="631" t="str">
        <f t="shared" si="105"/>
        <v>671-13</v>
      </c>
      <c r="C916" s="631"/>
      <c r="D916" s="657" t="str">
        <f>VLOOKUP(A916,[33]INDICE!$A$3:$D$334,2,FALSE)</f>
        <v>CUNETA DE CONCRETO VACIADA IN SITU; INCLUYE LA CONFORMACION DE LA SUPERFICIE DE APOYO</v>
      </c>
      <c r="E916" s="706" t="str">
        <f>VLOOKUP(A916,[33]INDICE!$A$3:$D$334,3,FALSE)</f>
        <v>m3</v>
      </c>
      <c r="F916" s="655">
        <f>4*0.138</f>
        <v>0.55200000000000005</v>
      </c>
      <c r="G916" s="726">
        <f>VLOOKUP(A916,[33]INDICE!$A$3:$D$334,4,FALSE)</f>
        <v>841791.75196838728</v>
      </c>
      <c r="H916" s="652">
        <f t="shared" si="106"/>
        <v>464669.04708654981</v>
      </c>
      <c r="J916" s="625">
        <v>671.3</v>
      </c>
    </row>
    <row r="917" spans="1:10" s="625" customFormat="1" ht="15" customHeight="1" thickTop="1">
      <c r="A917" s="1234"/>
      <c r="B917" s="637"/>
      <c r="C917" s="637"/>
      <c r="D917" s="638"/>
      <c r="E917" s="659"/>
      <c r="F917" s="660"/>
      <c r="G917" s="670" t="s">
        <v>536</v>
      </c>
      <c r="H917" s="640">
        <f>SUM(H906:H916)</f>
        <v>32635008.388626657</v>
      </c>
    </row>
    <row r="918" spans="1:10" s="625" customFormat="1" ht="15" customHeight="1">
      <c r="A918" s="1235"/>
      <c r="B918" s="641"/>
      <c r="C918" s="641"/>
      <c r="D918" s="642"/>
      <c r="E918" s="621"/>
      <c r="F918" s="647"/>
      <c r="G918" s="671" t="s">
        <v>537</v>
      </c>
      <c r="H918" s="644">
        <f>SUM(H917:H917)*0.05*0.19/1.3</f>
        <v>238486.59976304095</v>
      </c>
    </row>
    <row r="919" spans="1:10" s="625" customFormat="1" ht="15" customHeight="1" thickBot="1">
      <c r="A919" s="1236"/>
      <c r="B919" s="619"/>
      <c r="C919" s="619"/>
      <c r="D919" s="620"/>
      <c r="E919" s="621"/>
      <c r="F919" s="647"/>
      <c r="G919" s="671" t="s">
        <v>538</v>
      </c>
      <c r="H919" s="645">
        <f>+ROUND(H917+H918,0)</f>
        <v>32873495</v>
      </c>
    </row>
    <row r="920" spans="1:10" s="625" customFormat="1" ht="15" customHeight="1" thickTop="1">
      <c r="A920" s="1236"/>
      <c r="B920" s="619"/>
      <c r="C920" s="619"/>
      <c r="D920" s="620"/>
      <c r="E920" s="621"/>
      <c r="F920" s="647"/>
      <c r="G920" s="643"/>
      <c r="H920" s="646"/>
    </row>
    <row r="921" spans="1:10" s="625" customFormat="1" ht="13.5" thickBot="1">
      <c r="A921" s="1237"/>
      <c r="B921" s="627"/>
      <c r="C921" s="626" t="s">
        <v>657</v>
      </c>
      <c r="D921" s="626"/>
      <c r="E921" s="627"/>
      <c r="F921" s="626"/>
      <c r="G921" s="628"/>
      <c r="H921" s="629"/>
    </row>
    <row r="922" spans="1:10" s="625" customFormat="1" ht="15" customHeight="1" thickTop="1">
      <c r="A922" s="1231" t="s">
        <v>552</v>
      </c>
      <c r="B922" s="631" t="str">
        <f>MID(A922,1,3)&amp;"-"&amp;13</f>
        <v>201-13</v>
      </c>
      <c r="C922" s="631"/>
      <c r="D922" s="657" t="str">
        <f>VLOOKUP(A922,[33]INDICE!$A$3:$D$334,2,FALSE)</f>
        <v>DEMOLICIÓN DE ESTRUCTURAS</v>
      </c>
      <c r="E922" s="706" t="str">
        <f>VLOOKUP(A922,[33]INDICE!$A$3:$D$334,3,FALSE)</f>
        <v>m3</v>
      </c>
      <c r="F922" s="650">
        <v>15</v>
      </c>
      <c r="G922" s="726">
        <f>VLOOKUP(A922,[33]INDICE!$A$3:$D$334,4,FALSE)</f>
        <v>240341.82659000819</v>
      </c>
      <c r="H922" s="652">
        <f t="shared" ref="H922:H934" si="107">F922*G922</f>
        <v>3605127.3988501229</v>
      </c>
      <c r="I922" s="625">
        <v>201.7</v>
      </c>
    </row>
    <row r="923" spans="1:10" s="625" customFormat="1" ht="15" customHeight="1">
      <c r="A923" s="1231" t="s">
        <v>658</v>
      </c>
      <c r="B923" s="631" t="str">
        <f>MID(A923,1,3)&amp;"-"&amp;13</f>
        <v>220-13</v>
      </c>
      <c r="C923" s="631"/>
      <c r="D923" s="657" t="str">
        <f>VLOOKUP(A923,[33]INDICE!$A$3:$D$334,2,FALSE)</f>
        <v>TERRAPLENES</v>
      </c>
      <c r="E923" s="706" t="str">
        <f>VLOOKUP(A923,[33]INDICE!$A$3:$D$334,3,FALSE)</f>
        <v>m3</v>
      </c>
      <c r="F923" s="694">
        <f>30*20*6</f>
        <v>3600</v>
      </c>
      <c r="G923" s="726">
        <f>VLOOKUP(A923,[33]INDICE!$A$3:$D$334,4,FALSE)</f>
        <v>16903.735098051766</v>
      </c>
      <c r="H923" s="652">
        <f t="shared" si="107"/>
        <v>60853446.352986358</v>
      </c>
      <c r="I923" s="625">
        <v>220.1</v>
      </c>
    </row>
    <row r="924" spans="1:10" s="625" customFormat="1" ht="15" customHeight="1">
      <c r="A924" s="1231" t="s">
        <v>603</v>
      </c>
      <c r="B924" s="631" t="str">
        <f>MID(A924,1,3)&amp;"-"&amp;13</f>
        <v>330-13</v>
      </c>
      <c r="C924" s="631"/>
      <c r="D924" s="657" t="str">
        <f>VLOOKUP(A924,[33]INDICE!$A$3:$D$334,2,FALSE)</f>
        <v>BASE GRANULAR PARA BACHEO CLASE A</v>
      </c>
      <c r="E924" s="706" t="str">
        <f>VLOOKUP(A924,[33]INDICE!$A$3:$D$334,3,FALSE)</f>
        <v>m3</v>
      </c>
      <c r="F924" s="694">
        <f>10*2.5*0.5</f>
        <v>12.5</v>
      </c>
      <c r="G924" s="726">
        <f>VLOOKUP(A924,[33]INDICE!$A$3:$D$334,4,FALSE)</f>
        <v>388123.88712339668</v>
      </c>
      <c r="H924" s="652">
        <f t="shared" si="107"/>
        <v>4851548.5890424587</v>
      </c>
      <c r="I924" s="625">
        <v>330.4</v>
      </c>
    </row>
    <row r="925" spans="1:10" s="625" customFormat="1" ht="26.1" customHeight="1">
      <c r="A925" s="1231" t="s">
        <v>574</v>
      </c>
      <c r="B925" s="631" t="str">
        <f>MID(A925,1,3)&amp;"-"&amp;13</f>
        <v>450-13</v>
      </c>
      <c r="C925" s="631"/>
      <c r="D925" s="657" t="str">
        <f>VLOOKUP(A925,[33]INDICE!$A$3:$D$334,2,FALSE)</f>
        <v>Mezcla Densa en Caliente tipo MDC-19 INCLUYE TRANSPORTE</v>
      </c>
      <c r="E925" s="706" t="str">
        <f>VLOOKUP(A925,[33]INDICE!$A$3:$D$334,3,FALSE)</f>
        <v>M3</v>
      </c>
      <c r="F925" s="694">
        <f>F926</f>
        <v>3.75</v>
      </c>
      <c r="G925" s="726">
        <f>VLOOKUP(A925,[33]INDICE!$A$3:$D$334,4,FALSE)</f>
        <v>1299990.5178796239</v>
      </c>
      <c r="H925" s="652">
        <f t="shared" si="107"/>
        <v>4874964.4420485897</v>
      </c>
      <c r="I925" s="625" t="s">
        <v>575</v>
      </c>
    </row>
    <row r="926" spans="1:10" s="625" customFormat="1" ht="38.1" customHeight="1">
      <c r="A926" s="1231" t="s">
        <v>604</v>
      </c>
      <c r="B926" s="631" t="str">
        <f t="shared" ref="B926:B934" si="108">MID(A926,1,3)&amp;"-"&amp;13</f>
        <v>465-13</v>
      </c>
      <c r="C926" s="631"/>
      <c r="D926" s="657" t="str">
        <f>VLOOKUP(A926,[33]INDICE!$A$3:$D$334,2,FALSE)</f>
        <v>EXCAVACIÓN PARA REPARACIÓN DE PAVIMENTO ASFÁLTICO EXISTENTE INCLUYENDO EL CORTE Y LA REMOCIÒN DE LAS CAPAS ASFALTICAS SUBYACENTES</v>
      </c>
      <c r="E926" s="706" t="str">
        <f>VLOOKUP(A926,[33]INDICE!$A$3:$D$334,3,FALSE)</f>
        <v>m3</v>
      </c>
      <c r="F926" s="694">
        <f>10*2.5*0.15</f>
        <v>3.75</v>
      </c>
      <c r="G926" s="726">
        <f>VLOOKUP(A926,[33]INDICE!$A$3:$D$334,4,FALSE)</f>
        <v>152185.3287895511</v>
      </c>
      <c r="H926" s="652">
        <f t="shared" si="107"/>
        <v>570694.98296081659</v>
      </c>
      <c r="I926" s="625">
        <v>465.1</v>
      </c>
    </row>
    <row r="927" spans="1:10" s="625" customFormat="1" ht="15" customHeight="1">
      <c r="A927" s="1231" t="s">
        <v>540</v>
      </c>
      <c r="B927" s="631" t="str">
        <f>MID(A927,1,3)&amp;"-"&amp;13</f>
        <v>600-13</v>
      </c>
      <c r="C927" s="631"/>
      <c r="D927" s="657" t="str">
        <f>VLOOKUP(A927,[33]INDICE!$A$3:$D$334,2,FALSE)</f>
        <v>EXCAVACIONES VARIAS SIN CLASIFICAR</v>
      </c>
      <c r="E927" s="706" t="str">
        <f>VLOOKUP(A927,[33]INDICE!$A$3:$D$334,3,FALSE)</f>
        <v>m3</v>
      </c>
      <c r="F927" s="654">
        <f>25*5*7+30</f>
        <v>905</v>
      </c>
      <c r="G927" s="726">
        <f>VLOOKUP(A927,[33]INDICE!$A$3:$D$334,4,FALSE)</f>
        <v>67953.950275344076</v>
      </c>
      <c r="H927" s="652">
        <f t="shared" si="107"/>
        <v>61498324.999186389</v>
      </c>
      <c r="I927" s="625" t="s">
        <v>541</v>
      </c>
    </row>
    <row r="928" spans="1:10" s="625" customFormat="1" ht="15" customHeight="1">
      <c r="A928" s="1231" t="s">
        <v>544</v>
      </c>
      <c r="B928" s="631" t="str">
        <f>MID(A928,1,3)&amp;"-"&amp;13</f>
        <v>610-13</v>
      </c>
      <c r="C928" s="631"/>
      <c r="D928" s="657" t="str">
        <f>VLOOKUP(A928,[33]INDICE!$A$3:$D$334,2,FALSE)</f>
        <v>RELLENOS PARA ESTRUCTURAS CON SUELO.</v>
      </c>
      <c r="E928" s="706" t="str">
        <f>VLOOKUP(A928,[33]INDICE!$A$3:$D$334,3,FALSE)</f>
        <v>m3</v>
      </c>
      <c r="F928" s="655">
        <f>0.4*F927</f>
        <v>362</v>
      </c>
      <c r="G928" s="726">
        <f>VLOOKUP(A928,[33]INDICE!$A$3:$D$334,4,FALSE)</f>
        <v>164362.8922747685</v>
      </c>
      <c r="H928" s="652">
        <f t="shared" si="107"/>
        <v>59499367.003466196</v>
      </c>
      <c r="I928" s="625">
        <v>610.1</v>
      </c>
    </row>
    <row r="929" spans="1:10" s="625" customFormat="1" ht="15" customHeight="1">
      <c r="A929" s="1231" t="s">
        <v>553</v>
      </c>
      <c r="B929" s="631" t="str">
        <f t="shared" si="108"/>
        <v>630-13</v>
      </c>
      <c r="C929" s="631"/>
      <c r="D929" s="657" t="str">
        <f>VLOOKUP(A929,[33]INDICE!$A$3:$D$334,2,FALSE)</f>
        <v>CONCRETO RESISTENCIA 21MPA (D)</v>
      </c>
      <c r="E929" s="706" t="str">
        <f>VLOOKUP(A929,[33]INDICE!$A$3:$D$334,3,FALSE)</f>
        <v>m3</v>
      </c>
      <c r="F929" s="655">
        <f>2*0.2*25*2+2*2.5*0.3*25+6*2.5*3*0.3+5</f>
        <v>76</v>
      </c>
      <c r="G929" s="726">
        <f>VLOOKUP(A929,[33]INDICE!$A$3:$D$334,4,FALSE)</f>
        <v>871855.23056364793</v>
      </c>
      <c r="H929" s="652">
        <f t="shared" si="107"/>
        <v>66260997.522837244</v>
      </c>
      <c r="I929" s="625">
        <v>630.4</v>
      </c>
      <c r="J929" s="658"/>
    </row>
    <row r="930" spans="1:10" s="625" customFormat="1" ht="15" customHeight="1">
      <c r="A930" s="1231" t="s">
        <v>554</v>
      </c>
      <c r="B930" s="631" t="str">
        <f t="shared" si="108"/>
        <v>640-13</v>
      </c>
      <c r="C930" s="631"/>
      <c r="D930" s="657" t="str">
        <f>VLOOKUP(A930,[33]INDICE!$A$3:$D$334,2,FALSE)</f>
        <v>ACERO DE REFUERZO FY 4200 MPA.</v>
      </c>
      <c r="E930" s="706" t="str">
        <f>VLOOKUP(A930,[33]INDICE!$A$3:$D$334,3,FALSE)</f>
        <v>kg</v>
      </c>
      <c r="F930" s="654">
        <f>F929*105</f>
        <v>7980</v>
      </c>
      <c r="G930" s="726">
        <f>VLOOKUP(A930,[33]INDICE!$A$3:$D$334,4,FALSE)</f>
        <v>6085.8496982034649</v>
      </c>
      <c r="H930" s="652">
        <f t="shared" si="107"/>
        <v>48565080.591663651</v>
      </c>
      <c r="I930" s="625">
        <v>640.1</v>
      </c>
    </row>
    <row r="931" spans="1:10" s="625" customFormat="1" ht="26.1" customHeight="1">
      <c r="A931" s="1231" t="s">
        <v>559</v>
      </c>
      <c r="B931" s="631" t="str">
        <f>MID(A931,1,3)&amp;"-"&amp;13</f>
        <v>671-13</v>
      </c>
      <c r="C931" s="631"/>
      <c r="D931" s="657" t="str">
        <f>VLOOKUP(A931,[33]INDICE!$A$3:$D$334,2,FALSE)</f>
        <v>CUNETA DE CONCRETO VACIADA IN SITU; INCLUYE LA CONFORMACION DE LA SUPERFICIE DE APOYO</v>
      </c>
      <c r="E931" s="706" t="str">
        <f>VLOOKUP(A931,[33]INDICE!$A$3:$D$334,3,FALSE)</f>
        <v>m3</v>
      </c>
      <c r="F931" s="655">
        <f>40*0.138</f>
        <v>5.5200000000000005</v>
      </c>
      <c r="G931" s="726">
        <f>VLOOKUP(A931,[33]INDICE!$A$3:$D$334,4,FALSE)</f>
        <v>841791.75196838728</v>
      </c>
      <c r="H931" s="652">
        <f>F931*G931</f>
        <v>4646690.4708654983</v>
      </c>
      <c r="I931" s="625">
        <v>671.3</v>
      </c>
    </row>
    <row r="932" spans="1:10" s="625" customFormat="1" ht="15" customHeight="1">
      <c r="A932" s="1231" t="s">
        <v>548</v>
      </c>
      <c r="B932" s="631" t="str">
        <f>MID(A932,1,3)&amp;"-"&amp;13</f>
        <v>673-13</v>
      </c>
      <c r="C932" s="631"/>
      <c r="D932" s="657" t="str">
        <f>VLOOKUP(A932,[33]INDICE!$A$3:$D$334,2,FALSE)</f>
        <v>GEOTEXTIL  TIPO T-2400 O SIMILAR TEJIDO</v>
      </c>
      <c r="E932" s="706" t="str">
        <f>VLOOKUP(A932,[33]INDICE!$A$3:$D$334,3,FALSE)</f>
        <v>m2</v>
      </c>
      <c r="F932" s="654">
        <f>25*3*2+4*3*1.5</f>
        <v>168</v>
      </c>
      <c r="G932" s="726">
        <f>VLOOKUP(A932,[33]INDICE!$A$3:$D$334,4,FALSE)</f>
        <v>10983.835173625577</v>
      </c>
      <c r="H932" s="652">
        <f>F932*G932</f>
        <v>1845284.3091690969</v>
      </c>
      <c r="I932" s="625">
        <v>673.1</v>
      </c>
    </row>
    <row r="933" spans="1:10" s="625" customFormat="1" ht="15" customHeight="1">
      <c r="A933" s="1231" t="s">
        <v>560</v>
      </c>
      <c r="B933" s="631" t="str">
        <f>MID(A933,1,3)&amp;"-"&amp;13</f>
        <v>673-13</v>
      </c>
      <c r="C933" s="631"/>
      <c r="D933" s="657" t="str">
        <f>VLOOKUP(A933,[33]INDICE!$A$3:$D$334,2,FALSE)</f>
        <v>MATERIAL GRANULAR DRENANTE</v>
      </c>
      <c r="E933" s="706" t="str">
        <f>VLOOKUP(A933,[33]INDICE!$A$3:$D$334,3,FALSE)</f>
        <v>m3</v>
      </c>
      <c r="F933" s="655">
        <f>25*2*2*0.5+4*2*0.5</f>
        <v>54</v>
      </c>
      <c r="G933" s="726">
        <f>VLOOKUP(A933,[33]INDICE!$A$3:$D$334,4,FALSE)</f>
        <v>84364.417561781069</v>
      </c>
      <c r="H933" s="652">
        <f>F933*G933</f>
        <v>4555678.5483361781</v>
      </c>
      <c r="I933" s="625">
        <v>673.2</v>
      </c>
    </row>
    <row r="934" spans="1:10" s="625" customFormat="1" ht="26.1" customHeight="1" thickBot="1">
      <c r="A934" s="1231" t="s">
        <v>549</v>
      </c>
      <c r="B934" s="631" t="str">
        <f t="shared" si="108"/>
        <v>681-13</v>
      </c>
      <c r="C934" s="631"/>
      <c r="D934" s="657" t="str">
        <f>VLOOKUP(A934,[33]INDICE!$A$3:$D$334,2,FALSE)</f>
        <v xml:space="preserve">GAVIÓNES DE MALLA DE ALAMBRE DE ACERO ENTRELAZADO  CLASE 1; RECUBRIMIENTO DE ZINC (GALVANIZADO) </v>
      </c>
      <c r="E934" s="706" t="str">
        <f>VLOOKUP(A934,[33]INDICE!$A$3:$D$334,3,FALSE)</f>
        <v>m3</v>
      </c>
      <c r="F934" s="654">
        <v>80</v>
      </c>
      <c r="G934" s="726">
        <f>VLOOKUP(A934,[33]INDICE!$A$3:$D$334,4,FALSE)</f>
        <v>400986.60185015475</v>
      </c>
      <c r="H934" s="652">
        <f t="shared" si="107"/>
        <v>32078928.148012381</v>
      </c>
      <c r="I934" s="625">
        <v>681.1</v>
      </c>
    </row>
    <row r="935" spans="1:10" s="625" customFormat="1" ht="15" customHeight="1" thickTop="1">
      <c r="A935" s="1234"/>
      <c r="B935" s="637"/>
      <c r="C935" s="637"/>
      <c r="D935" s="638"/>
      <c r="E935" s="659"/>
      <c r="F935" s="660"/>
      <c r="G935" s="670" t="s">
        <v>536</v>
      </c>
      <c r="H935" s="640">
        <f>SUM(H922:H934)</f>
        <v>353706133.35942495</v>
      </c>
    </row>
    <row r="936" spans="1:10" s="625" customFormat="1" ht="15" customHeight="1">
      <c r="A936" s="1235"/>
      <c r="B936" s="641"/>
      <c r="C936" s="641"/>
      <c r="D936" s="642"/>
      <c r="E936" s="621"/>
      <c r="F936" s="647"/>
      <c r="G936" s="671" t="s">
        <v>537</v>
      </c>
      <c r="H936" s="644">
        <f>SUM(H935:H935)*0.05*0.19/1.3</f>
        <v>2584775.5899342597</v>
      </c>
    </row>
    <row r="937" spans="1:10" s="625" customFormat="1" ht="15" customHeight="1" thickBot="1">
      <c r="A937" s="1236"/>
      <c r="B937" s="619"/>
      <c r="C937" s="619"/>
      <c r="D937" s="620"/>
      <c r="E937" s="621"/>
      <c r="F937" s="647"/>
      <c r="G937" s="671" t="s">
        <v>538</v>
      </c>
      <c r="H937" s="645">
        <f>+ROUND(H935+H936,0)</f>
        <v>356290909</v>
      </c>
    </row>
    <row r="938" spans="1:10" s="625" customFormat="1" ht="15" customHeight="1" thickTop="1">
      <c r="A938" s="1236"/>
      <c r="B938" s="619"/>
      <c r="C938" s="619"/>
      <c r="D938" s="620"/>
      <c r="E938" s="621"/>
      <c r="F938" s="647"/>
      <c r="G938" s="643"/>
      <c r="H938" s="624"/>
    </row>
    <row r="939" spans="1:10" s="625" customFormat="1" ht="12.75" customHeight="1">
      <c r="A939" s="1236"/>
      <c r="B939" s="619"/>
      <c r="C939" s="619"/>
      <c r="D939" s="620"/>
      <c r="E939" s="621"/>
      <c r="F939" s="622"/>
      <c r="G939" s="623"/>
      <c r="H939" s="624"/>
    </row>
    <row r="940" spans="1:10" s="625" customFormat="1" ht="13.5" thickBot="1">
      <c r="A940" s="1237"/>
      <c r="B940" s="627"/>
      <c r="C940" s="626" t="s">
        <v>659</v>
      </c>
      <c r="D940" s="626"/>
      <c r="E940" s="627"/>
      <c r="F940" s="626"/>
      <c r="G940" s="628"/>
      <c r="H940" s="629"/>
    </row>
    <row r="941" spans="1:10" s="625" customFormat="1" ht="15" customHeight="1" thickTop="1">
      <c r="A941" s="1240" t="s">
        <v>552</v>
      </c>
      <c r="B941" s="665" t="str">
        <f>MID(A941,1,3)&amp;"-"&amp;13</f>
        <v>201-13</v>
      </c>
      <c r="C941" s="665"/>
      <c r="D941" s="657" t="str">
        <f>VLOOKUP(A941,[33]INDICE!$A$3:$D$334,2,FALSE)</f>
        <v>DEMOLICIÓN DE ESTRUCTURAS</v>
      </c>
      <c r="E941" s="706" t="str">
        <f>VLOOKUP(A941,[33]INDICE!$A$3:$D$334,3,FALSE)</f>
        <v>m3</v>
      </c>
      <c r="F941" s="682">
        <v>0.5</v>
      </c>
      <c r="G941" s="726">
        <f>VLOOKUP(A941,[33]INDICE!$A$3:$D$334,4,FALSE)</f>
        <v>240341.82659000819</v>
      </c>
      <c r="H941" s="667">
        <f>F941*G941</f>
        <v>120170.91329500409</v>
      </c>
      <c r="I941" s="625">
        <v>201.7</v>
      </c>
    </row>
    <row r="942" spans="1:10" s="625" customFormat="1" ht="15" customHeight="1">
      <c r="A942" s="1231" t="s">
        <v>540</v>
      </c>
      <c r="B942" s="631" t="str">
        <f t="shared" ref="B942:B948" si="109">MID(A942,1,3)&amp;"-"&amp;13</f>
        <v>600-13</v>
      </c>
      <c r="C942" s="631"/>
      <c r="D942" s="657" t="str">
        <f>VLOOKUP(A942,[33]INDICE!$A$3:$D$334,2,FALSE)</f>
        <v>EXCAVACIONES VARIAS SIN CLASIFICAR</v>
      </c>
      <c r="E942" s="706" t="str">
        <f>VLOOKUP(A942,[33]INDICE!$A$3:$D$334,3,FALSE)</f>
        <v>m3</v>
      </c>
      <c r="F942" s="654">
        <f>12*0.5</f>
        <v>6</v>
      </c>
      <c r="G942" s="726">
        <f>VLOOKUP(A942,[33]INDICE!$A$3:$D$334,4,FALSE)</f>
        <v>67953.950275344076</v>
      </c>
      <c r="H942" s="652">
        <f t="shared" ref="H942:H948" si="110">F942*G942</f>
        <v>407723.70165206445</v>
      </c>
      <c r="I942" s="625" t="s">
        <v>541</v>
      </c>
    </row>
    <row r="943" spans="1:10" s="625" customFormat="1" ht="15" customHeight="1">
      <c r="A943" s="1231" t="s">
        <v>544</v>
      </c>
      <c r="B943" s="631" t="str">
        <f>MID(A943,1,3)&amp;"-"&amp;13</f>
        <v>610-13</v>
      </c>
      <c r="C943" s="631"/>
      <c r="D943" s="657" t="str">
        <f>VLOOKUP(A943,[33]INDICE!$A$3:$D$334,2,FALSE)</f>
        <v>RELLENOS PARA ESTRUCTURAS CON SUELO.</v>
      </c>
      <c r="E943" s="706" t="str">
        <f>VLOOKUP(A943,[33]INDICE!$A$3:$D$334,3,FALSE)</f>
        <v>m3</v>
      </c>
      <c r="F943" s="655">
        <f>12*0.4</f>
        <v>4.8000000000000007</v>
      </c>
      <c r="G943" s="726">
        <f>VLOOKUP(A943,[33]INDICE!$A$3:$D$334,4,FALSE)</f>
        <v>164362.8922747685</v>
      </c>
      <c r="H943" s="652">
        <f>F943*G943</f>
        <v>788941.88291888894</v>
      </c>
      <c r="I943" s="625">
        <v>610.1</v>
      </c>
    </row>
    <row r="944" spans="1:10" s="625" customFormat="1" ht="15" customHeight="1">
      <c r="A944" s="1231" t="s">
        <v>545</v>
      </c>
      <c r="B944" s="631" t="str">
        <f t="shared" si="109"/>
        <v>630-13</v>
      </c>
      <c r="C944" s="631"/>
      <c r="D944" s="657" t="str">
        <f>VLOOKUP(A944,[33]INDICE!$A$3:$D$334,2,FALSE)</f>
        <v>CONCRETO RESISTENCIA 17.5MPA (E )</v>
      </c>
      <c r="E944" s="706" t="str">
        <f>VLOOKUP(A944,[33]INDICE!$A$3:$D$334,3,FALSE)</f>
        <v>m3</v>
      </c>
      <c r="F944" s="655">
        <f>12*0.55</f>
        <v>6.6000000000000005</v>
      </c>
      <c r="G944" s="726">
        <f>VLOOKUP(A944,[33]INDICE!$A$3:$D$334,4,FALSE)</f>
        <v>735031.04931538599</v>
      </c>
      <c r="H944" s="652">
        <f t="shared" si="110"/>
        <v>4851204.9254815476</v>
      </c>
      <c r="I944" s="625">
        <v>630.5</v>
      </c>
    </row>
    <row r="945" spans="1:9" s="625" customFormat="1" ht="15" customHeight="1">
      <c r="A945" s="1231" t="s">
        <v>546</v>
      </c>
      <c r="B945" s="631" t="str">
        <f t="shared" si="109"/>
        <v>630-13</v>
      </c>
      <c r="C945" s="631"/>
      <c r="D945" s="657" t="str">
        <f>VLOOKUP(A945,[33]INDICE!$A$3:$D$334,2,FALSE)</f>
        <v>CONCRETO RESISTENCIA 14MPA (G) (CICLOPEO)</v>
      </c>
      <c r="E945" s="706" t="str">
        <f>VLOOKUP(A945,[33]INDICE!$A$3:$D$334,3,FALSE)</f>
        <v>m3</v>
      </c>
      <c r="F945" s="668">
        <v>4</v>
      </c>
      <c r="G945" s="726">
        <f>VLOOKUP(A945,[33]INDICE!$A$3:$D$334,4,FALSE)</f>
        <v>530138.01220093726</v>
      </c>
      <c r="H945" s="652">
        <f t="shared" si="110"/>
        <v>2120552.048803749</v>
      </c>
      <c r="I945" s="625">
        <v>630.70000000000005</v>
      </c>
    </row>
    <row r="946" spans="1:9" s="625" customFormat="1" ht="15" customHeight="1">
      <c r="A946" s="1231" t="s">
        <v>554</v>
      </c>
      <c r="B946" s="631" t="str">
        <f t="shared" si="109"/>
        <v>640-13</v>
      </c>
      <c r="C946" s="631"/>
      <c r="D946" s="657" t="str">
        <f>VLOOKUP(A946,[33]INDICE!$A$3:$D$334,2,FALSE)</f>
        <v>ACERO DE REFUERZO FY 4200 MPA.</v>
      </c>
      <c r="E946" s="706" t="str">
        <f>VLOOKUP(A946,[33]INDICE!$A$3:$D$334,3,FALSE)</f>
        <v>kg</v>
      </c>
      <c r="F946" s="654">
        <f>F944*105</f>
        <v>693</v>
      </c>
      <c r="G946" s="726">
        <f>VLOOKUP(A946,[33]INDICE!$A$3:$D$334,4,FALSE)</f>
        <v>6085.8496982034649</v>
      </c>
      <c r="H946" s="652">
        <f t="shared" si="110"/>
        <v>4217493.8408550015</v>
      </c>
      <c r="I946" s="625">
        <v>640.1</v>
      </c>
    </row>
    <row r="947" spans="1:9" s="625" customFormat="1" ht="15" customHeight="1">
      <c r="A947" s="1231" t="s">
        <v>548</v>
      </c>
      <c r="B947" s="631" t="str">
        <f>MID(A947,1,3)&amp;"-"&amp;13</f>
        <v>673-13</v>
      </c>
      <c r="C947" s="631"/>
      <c r="D947" s="657" t="str">
        <f>VLOOKUP(A947,[33]INDICE!$A$3:$D$334,2,FALSE)</f>
        <v>GEOTEXTIL  TIPO T-2400 O SIMILAR TEJIDO</v>
      </c>
      <c r="E947" s="706" t="str">
        <f>VLOOKUP(A947,[33]INDICE!$A$3:$D$334,3,FALSE)</f>
        <v>m2</v>
      </c>
      <c r="F947" s="654">
        <v>22</v>
      </c>
      <c r="G947" s="726">
        <f>VLOOKUP(A947,[33]INDICE!$A$3:$D$334,4,FALSE)</f>
        <v>10983.835173625577</v>
      </c>
      <c r="H947" s="652">
        <f>F947*G947</f>
        <v>241644.3738197627</v>
      </c>
      <c r="I947" s="625">
        <v>673.1</v>
      </c>
    </row>
    <row r="948" spans="1:9" s="625" customFormat="1" ht="26.1" customHeight="1" thickBot="1">
      <c r="A948" s="1239" t="s">
        <v>549</v>
      </c>
      <c r="B948" s="672" t="str">
        <f t="shared" si="109"/>
        <v>681-13</v>
      </c>
      <c r="C948" s="672"/>
      <c r="D948" s="657" t="str">
        <f>VLOOKUP(A948,[33]INDICE!$A$3:$D$334,2,FALSE)</f>
        <v xml:space="preserve">GAVIÓNES DE MALLA DE ALAMBRE DE ACERO ENTRELAZADO  CLASE 1; RECUBRIMIENTO DE ZINC (GALVANIZADO) </v>
      </c>
      <c r="E948" s="706" t="str">
        <f>VLOOKUP(A948,[33]INDICE!$A$3:$D$334,3,FALSE)</f>
        <v>m3</v>
      </c>
      <c r="F948" s="673">
        <v>28</v>
      </c>
      <c r="G948" s="726">
        <f>VLOOKUP(A948,[33]INDICE!$A$3:$D$334,4,FALSE)</f>
        <v>400986.60185015475</v>
      </c>
      <c r="H948" s="679">
        <f t="shared" si="110"/>
        <v>11227624.851804333</v>
      </c>
      <c r="I948" s="625">
        <v>681.1</v>
      </c>
    </row>
    <row r="949" spans="1:9" s="625" customFormat="1" ht="15" customHeight="1" thickTop="1">
      <c r="A949" s="1234"/>
      <c r="B949" s="637"/>
      <c r="C949" s="637"/>
      <c r="D949" s="638"/>
      <c r="E949" s="659"/>
      <c r="F949" s="660"/>
      <c r="G949" s="670" t="s">
        <v>536</v>
      </c>
      <c r="H949" s="640">
        <f>SUM(H941:H948)</f>
        <v>23975356.538630351</v>
      </c>
    </row>
    <row r="950" spans="1:9" s="625" customFormat="1" ht="15" customHeight="1">
      <c r="A950" s="1235"/>
      <c r="B950" s="641"/>
      <c r="C950" s="641"/>
      <c r="D950" s="642"/>
      <c r="E950" s="621"/>
      <c r="F950" s="647"/>
      <c r="G950" s="671" t="s">
        <v>537</v>
      </c>
      <c r="H950" s="644">
        <f>SUM(H949:H949)*0.05*0.19/1.3</f>
        <v>175204.52855152948</v>
      </c>
    </row>
    <row r="951" spans="1:9" s="625" customFormat="1" ht="15" customHeight="1" thickBot="1">
      <c r="A951" s="1236"/>
      <c r="B951" s="619"/>
      <c r="C951" s="619"/>
      <c r="D951" s="620"/>
      <c r="E951" s="621"/>
      <c r="F951" s="647"/>
      <c r="G951" s="671" t="s">
        <v>538</v>
      </c>
      <c r="H951" s="645">
        <f>+ROUND(H949+H950,0)</f>
        <v>24150561</v>
      </c>
    </row>
    <row r="952" spans="1:9" s="625" customFormat="1" ht="12" customHeight="1" thickTop="1">
      <c r="A952" s="1236"/>
      <c r="B952" s="619"/>
      <c r="C952" s="619"/>
      <c r="D952" s="620"/>
      <c r="E952" s="621"/>
      <c r="F952" s="622"/>
      <c r="G952" s="693"/>
      <c r="H952" s="624"/>
    </row>
    <row r="953" spans="1:9" s="625" customFormat="1" ht="13.5" thickBot="1">
      <c r="A953" s="1237"/>
      <c r="B953" s="627"/>
      <c r="C953" s="626" t="s">
        <v>660</v>
      </c>
      <c r="D953" s="626"/>
      <c r="E953" s="627"/>
      <c r="F953" s="626"/>
      <c r="G953" s="628"/>
      <c r="H953" s="629"/>
    </row>
    <row r="954" spans="1:9" s="625" customFormat="1" ht="15" customHeight="1" thickTop="1">
      <c r="A954" s="1240" t="s">
        <v>552</v>
      </c>
      <c r="B954" s="665" t="str">
        <f>MID(A954,1,3)&amp;"-"&amp;13</f>
        <v>201-13</v>
      </c>
      <c r="C954" s="665"/>
      <c r="D954" s="657" t="str">
        <f>VLOOKUP(A954,[33]INDICE!$A$3:$D$334,2,FALSE)</f>
        <v>DEMOLICIÓN DE ESTRUCTURAS</v>
      </c>
      <c r="E954" s="706" t="str">
        <f>VLOOKUP(A954,[33]INDICE!$A$3:$D$334,3,FALSE)</f>
        <v>m3</v>
      </c>
      <c r="F954" s="682">
        <v>2</v>
      </c>
      <c r="G954" s="726">
        <f>VLOOKUP(A954,[33]INDICE!$A$3:$D$334,4,FALSE)</f>
        <v>240341.82659000819</v>
      </c>
      <c r="H954" s="667">
        <f>F954*G954</f>
        <v>480683.65318001638</v>
      </c>
      <c r="I954" s="625">
        <v>201.7</v>
      </c>
    </row>
    <row r="955" spans="1:9" s="625" customFormat="1" ht="15" customHeight="1">
      <c r="A955" s="1231" t="s">
        <v>540</v>
      </c>
      <c r="B955" s="631" t="str">
        <f t="shared" ref="B955:B961" si="111">MID(A955,1,3)&amp;"-"&amp;13</f>
        <v>600-13</v>
      </c>
      <c r="C955" s="631"/>
      <c r="D955" s="657" t="str">
        <f>VLOOKUP(A955,[33]INDICE!$A$3:$D$334,2,FALSE)</f>
        <v>EXCAVACIONES VARIAS SIN CLASIFICAR</v>
      </c>
      <c r="E955" s="706" t="str">
        <f>VLOOKUP(A955,[33]INDICE!$A$3:$D$334,3,FALSE)</f>
        <v>m3</v>
      </c>
      <c r="F955" s="654">
        <f>40*0.5</f>
        <v>20</v>
      </c>
      <c r="G955" s="726">
        <f>VLOOKUP(A955,[33]INDICE!$A$3:$D$334,4,FALSE)</f>
        <v>67953.950275344076</v>
      </c>
      <c r="H955" s="652">
        <f t="shared" ref="H955:H961" si="112">F955*G955</f>
        <v>1359079.0055068815</v>
      </c>
      <c r="I955" s="625" t="s">
        <v>541</v>
      </c>
    </row>
    <row r="956" spans="1:9" s="625" customFormat="1" ht="15" customHeight="1">
      <c r="A956" s="1231" t="s">
        <v>544</v>
      </c>
      <c r="B956" s="631" t="str">
        <f>MID(A956,1,3)&amp;"-"&amp;13</f>
        <v>610-13</v>
      </c>
      <c r="C956" s="631"/>
      <c r="D956" s="657" t="str">
        <f>VLOOKUP(A956,[33]INDICE!$A$3:$D$334,2,FALSE)</f>
        <v>RELLENOS PARA ESTRUCTURAS CON SUELO.</v>
      </c>
      <c r="E956" s="706" t="str">
        <f>VLOOKUP(A956,[33]INDICE!$A$3:$D$334,3,FALSE)</f>
        <v>m3</v>
      </c>
      <c r="F956" s="655">
        <f>40*0.4</f>
        <v>16</v>
      </c>
      <c r="G956" s="726">
        <f>VLOOKUP(A956,[33]INDICE!$A$3:$D$334,4,FALSE)</f>
        <v>164362.8922747685</v>
      </c>
      <c r="H956" s="652">
        <f>F956*G956</f>
        <v>2629806.276396296</v>
      </c>
      <c r="I956" s="625">
        <v>610.1</v>
      </c>
    </row>
    <row r="957" spans="1:9" s="625" customFormat="1" ht="15" customHeight="1">
      <c r="A957" s="1231" t="s">
        <v>545</v>
      </c>
      <c r="B957" s="631" t="str">
        <f t="shared" si="111"/>
        <v>630-13</v>
      </c>
      <c r="C957" s="631"/>
      <c r="D957" s="657" t="str">
        <f>VLOOKUP(A957,[33]INDICE!$A$3:$D$334,2,FALSE)</f>
        <v>CONCRETO RESISTENCIA 17.5MPA (E )</v>
      </c>
      <c r="E957" s="706" t="str">
        <f>VLOOKUP(A957,[33]INDICE!$A$3:$D$334,3,FALSE)</f>
        <v>m3</v>
      </c>
      <c r="F957" s="655">
        <f>40*0.55</f>
        <v>22</v>
      </c>
      <c r="G957" s="726">
        <f>VLOOKUP(A957,[33]INDICE!$A$3:$D$334,4,FALSE)</f>
        <v>735031.04931538599</v>
      </c>
      <c r="H957" s="652">
        <f t="shared" si="112"/>
        <v>16170683.084938493</v>
      </c>
      <c r="I957" s="625">
        <v>630.5</v>
      </c>
    </row>
    <row r="958" spans="1:9" s="625" customFormat="1" ht="15" customHeight="1">
      <c r="A958" s="1231" t="s">
        <v>546</v>
      </c>
      <c r="B958" s="631" t="str">
        <f t="shared" si="111"/>
        <v>630-13</v>
      </c>
      <c r="C958" s="631"/>
      <c r="D958" s="657" t="str">
        <f>VLOOKUP(A958,[33]INDICE!$A$3:$D$334,2,FALSE)</f>
        <v>CONCRETO RESISTENCIA 14MPA (G) (CICLOPEO)</v>
      </c>
      <c r="E958" s="706" t="str">
        <f>VLOOKUP(A958,[33]INDICE!$A$3:$D$334,3,FALSE)</f>
        <v>m3</v>
      </c>
      <c r="F958" s="668">
        <v>7</v>
      </c>
      <c r="G958" s="726">
        <f>VLOOKUP(A958,[33]INDICE!$A$3:$D$334,4,FALSE)</f>
        <v>530138.01220093726</v>
      </c>
      <c r="H958" s="652">
        <f t="shared" si="112"/>
        <v>3710966.0854065609</v>
      </c>
      <c r="I958" s="625">
        <v>630.70000000000005</v>
      </c>
    </row>
    <row r="959" spans="1:9" s="625" customFormat="1" ht="15" customHeight="1">
      <c r="A959" s="1231" t="s">
        <v>554</v>
      </c>
      <c r="B959" s="631" t="str">
        <f t="shared" si="111"/>
        <v>640-13</v>
      </c>
      <c r="C959" s="631"/>
      <c r="D959" s="657" t="str">
        <f>VLOOKUP(A959,[33]INDICE!$A$3:$D$334,2,FALSE)</f>
        <v>ACERO DE REFUERZO FY 4200 MPA.</v>
      </c>
      <c r="E959" s="706" t="str">
        <f>VLOOKUP(A959,[33]INDICE!$A$3:$D$334,3,FALSE)</f>
        <v>kg</v>
      </c>
      <c r="F959" s="654">
        <f>F957*105</f>
        <v>2310</v>
      </c>
      <c r="G959" s="726">
        <f>VLOOKUP(A959,[33]INDICE!$A$3:$D$334,4,FALSE)</f>
        <v>6085.8496982034649</v>
      </c>
      <c r="H959" s="652">
        <f t="shared" si="112"/>
        <v>14058312.802850004</v>
      </c>
      <c r="I959" s="625">
        <v>640.1</v>
      </c>
    </row>
    <row r="960" spans="1:9" s="625" customFormat="1" ht="15" customHeight="1">
      <c r="A960" s="1231" t="s">
        <v>548</v>
      </c>
      <c r="B960" s="631" t="str">
        <f>MID(A960,1,3)&amp;"-"&amp;13</f>
        <v>673-13</v>
      </c>
      <c r="C960" s="631"/>
      <c r="D960" s="657" t="str">
        <f>VLOOKUP(A960,[33]INDICE!$A$3:$D$334,2,FALSE)</f>
        <v>GEOTEXTIL  TIPO T-2400 O SIMILAR TEJIDO</v>
      </c>
      <c r="E960" s="706" t="str">
        <f>VLOOKUP(A960,[33]INDICE!$A$3:$D$334,3,FALSE)</f>
        <v>m2</v>
      </c>
      <c r="F960" s="654">
        <v>70</v>
      </c>
      <c r="G960" s="726">
        <f>VLOOKUP(A960,[33]INDICE!$A$3:$D$334,4,FALSE)</f>
        <v>10983.835173625577</v>
      </c>
      <c r="H960" s="652">
        <f>F960*G960</f>
        <v>768868.4621537904</v>
      </c>
      <c r="I960" s="625">
        <v>673.1</v>
      </c>
    </row>
    <row r="961" spans="1:10" s="625" customFormat="1" ht="26.1" customHeight="1" thickBot="1">
      <c r="A961" s="1239" t="s">
        <v>549</v>
      </c>
      <c r="B961" s="672" t="str">
        <f t="shared" si="111"/>
        <v>681-13</v>
      </c>
      <c r="C961" s="672"/>
      <c r="D961" s="657" t="str">
        <f>VLOOKUP(A961,[33]INDICE!$A$3:$D$334,2,FALSE)</f>
        <v xml:space="preserve">GAVIÓNES DE MALLA DE ALAMBRE DE ACERO ENTRELAZADO  CLASE 1; RECUBRIMIENTO DE ZINC (GALVANIZADO) </v>
      </c>
      <c r="E961" s="706" t="str">
        <f>VLOOKUP(A961,[33]INDICE!$A$3:$D$334,3,FALSE)</f>
        <v>m3</v>
      </c>
      <c r="F961" s="673">
        <v>60</v>
      </c>
      <c r="G961" s="726">
        <f>VLOOKUP(A961,[33]INDICE!$A$3:$D$334,4,FALSE)</f>
        <v>400986.60185015475</v>
      </c>
      <c r="H961" s="679">
        <f t="shared" si="112"/>
        <v>24059196.111009285</v>
      </c>
      <c r="I961" s="625">
        <v>681.1</v>
      </c>
    </row>
    <row r="962" spans="1:10" s="625" customFormat="1" ht="15" customHeight="1" thickTop="1">
      <c r="A962" s="1234"/>
      <c r="B962" s="637"/>
      <c r="C962" s="637"/>
      <c r="D962" s="638"/>
      <c r="E962" s="659"/>
      <c r="F962" s="660"/>
      <c r="G962" s="670" t="s">
        <v>536</v>
      </c>
      <c r="H962" s="640">
        <f>SUM(H954:H961)</f>
        <v>63237595.481441326</v>
      </c>
    </row>
    <row r="963" spans="1:10" s="625" customFormat="1" ht="15" customHeight="1">
      <c r="A963" s="1235"/>
      <c r="B963" s="641"/>
      <c r="C963" s="641"/>
      <c r="D963" s="642"/>
      <c r="E963" s="621"/>
      <c r="F963" s="647"/>
      <c r="G963" s="671" t="s">
        <v>537</v>
      </c>
      <c r="H963" s="644">
        <f>SUM(H962:H962)*0.05*0.19/1.3</f>
        <v>462120.89005668665</v>
      </c>
    </row>
    <row r="964" spans="1:10" s="625" customFormat="1" ht="15" customHeight="1" thickBot="1">
      <c r="A964" s="1236"/>
      <c r="B964" s="619"/>
      <c r="C964" s="619"/>
      <c r="D964" s="620"/>
      <c r="E964" s="621"/>
      <c r="F964" s="647"/>
      <c r="G964" s="671" t="s">
        <v>538</v>
      </c>
      <c r="H964" s="645">
        <f>+ROUND(H962+H963,0)</f>
        <v>63699716</v>
      </c>
    </row>
    <row r="965" spans="1:10" s="625" customFormat="1" ht="12.75" customHeight="1" thickTop="1">
      <c r="A965" s="1236"/>
      <c r="B965" s="619"/>
      <c r="C965" s="619"/>
      <c r="D965" s="620"/>
      <c r="E965" s="621"/>
      <c r="F965" s="622"/>
      <c r="G965" s="693"/>
      <c r="H965" s="624"/>
    </row>
    <row r="966" spans="1:10" s="625" customFormat="1" ht="13.5" thickBot="1">
      <c r="A966" s="1237"/>
      <c r="B966" s="627"/>
      <c r="C966" s="626" t="s">
        <v>661</v>
      </c>
      <c r="D966" s="626"/>
      <c r="E966" s="627"/>
      <c r="F966" s="626"/>
      <c r="G966" s="628"/>
      <c r="H966" s="629"/>
    </row>
    <row r="967" spans="1:10" s="625" customFormat="1" ht="15" customHeight="1" thickTop="1">
      <c r="A967" s="1240" t="s">
        <v>552</v>
      </c>
      <c r="B967" s="665" t="str">
        <f>MID(A967,1,3)&amp;"-"&amp;13</f>
        <v>201-13</v>
      </c>
      <c r="C967" s="665"/>
      <c r="D967" s="657" t="str">
        <f>VLOOKUP(A967,[33]INDICE!$A$3:$D$334,2,FALSE)</f>
        <v>DEMOLICIÓN DE ESTRUCTURAS</v>
      </c>
      <c r="E967" s="706" t="str">
        <f>VLOOKUP(A967,[33]INDICE!$A$3:$D$334,3,FALSE)</f>
        <v>m3</v>
      </c>
      <c r="F967" s="682">
        <v>15</v>
      </c>
      <c r="G967" s="726">
        <f>VLOOKUP(A967,[33]INDICE!$A$3:$D$334,4,FALSE)</f>
        <v>240341.82659000819</v>
      </c>
      <c r="H967" s="667">
        <f t="shared" ref="H967:H981" si="113">F967*G967</f>
        <v>3605127.3988501229</v>
      </c>
      <c r="I967" s="625">
        <v>201.7</v>
      </c>
    </row>
    <row r="968" spans="1:10" s="625" customFormat="1" ht="15" customHeight="1">
      <c r="A968" s="1231" t="s">
        <v>603</v>
      </c>
      <c r="B968" s="631" t="str">
        <f>MID(A968,1,3)&amp;"-"&amp;13</f>
        <v>330-13</v>
      </c>
      <c r="C968" s="631"/>
      <c r="D968" s="657" t="str">
        <f>VLOOKUP(A968,[33]INDICE!$A$3:$D$334,2,FALSE)</f>
        <v>BASE GRANULAR PARA BACHEO CLASE A</v>
      </c>
      <c r="E968" s="706" t="str">
        <f>VLOOKUP(A968,[33]INDICE!$A$3:$D$334,3,FALSE)</f>
        <v>m3</v>
      </c>
      <c r="F968" s="694">
        <f>10*2.5*0.5</f>
        <v>12.5</v>
      </c>
      <c r="G968" s="726">
        <f>VLOOKUP(A968,[33]INDICE!$A$3:$D$334,4,FALSE)</f>
        <v>388123.88712339668</v>
      </c>
      <c r="H968" s="652">
        <f t="shared" si="113"/>
        <v>4851548.5890424587</v>
      </c>
      <c r="I968" s="625">
        <v>330.4</v>
      </c>
    </row>
    <row r="969" spans="1:10" s="625" customFormat="1" ht="26.1" customHeight="1">
      <c r="A969" s="1231" t="s">
        <v>574</v>
      </c>
      <c r="B969" s="631" t="str">
        <f>MID(A969,1,3)&amp;"-"&amp;13</f>
        <v>450-13</v>
      </c>
      <c r="C969" s="631"/>
      <c r="D969" s="657" t="str">
        <f>VLOOKUP(A969,[33]INDICE!$A$3:$D$334,2,FALSE)</f>
        <v>Mezcla Densa en Caliente tipo MDC-19 INCLUYE TRANSPORTE</v>
      </c>
      <c r="E969" s="706" t="str">
        <f>VLOOKUP(A969,[33]INDICE!$A$3:$D$334,3,FALSE)</f>
        <v>M3</v>
      </c>
      <c r="F969" s="694">
        <f>F970</f>
        <v>3.75</v>
      </c>
      <c r="G969" s="726">
        <f>VLOOKUP(A969,[33]INDICE!$A$3:$D$334,4,FALSE)</f>
        <v>1299990.5178796239</v>
      </c>
      <c r="H969" s="652">
        <f t="shared" si="113"/>
        <v>4874964.4420485897</v>
      </c>
      <c r="I969" s="625" t="s">
        <v>575</v>
      </c>
    </row>
    <row r="970" spans="1:10" s="625" customFormat="1" ht="38.1" customHeight="1">
      <c r="A970" s="1231" t="s">
        <v>604</v>
      </c>
      <c r="B970" s="631" t="str">
        <f>MID(A970,1,3)&amp;"-"&amp;13</f>
        <v>465-13</v>
      </c>
      <c r="C970" s="631"/>
      <c r="D970" s="657" t="str">
        <f>VLOOKUP(A970,[33]INDICE!$A$3:$D$334,2,FALSE)</f>
        <v>EXCAVACIÓN PARA REPARACIÓN DE PAVIMENTO ASFÁLTICO EXISTENTE INCLUYENDO EL CORTE Y LA REMOCIÒN DE LAS CAPAS ASFALTICAS SUBYACENTES</v>
      </c>
      <c r="E970" s="706" t="str">
        <f>VLOOKUP(A970,[33]INDICE!$A$3:$D$334,3,FALSE)</f>
        <v>m3</v>
      </c>
      <c r="F970" s="694">
        <f>10*2.5*0.15</f>
        <v>3.75</v>
      </c>
      <c r="G970" s="726">
        <f>VLOOKUP(A970,[33]INDICE!$A$3:$D$334,4,FALSE)</f>
        <v>152185.3287895511</v>
      </c>
      <c r="H970" s="652">
        <f t="shared" si="113"/>
        <v>570694.98296081659</v>
      </c>
      <c r="I970" s="625">
        <v>465.1</v>
      </c>
    </row>
    <row r="971" spans="1:10" s="625" customFormat="1" ht="15" customHeight="1">
      <c r="A971" s="1231" t="s">
        <v>540</v>
      </c>
      <c r="B971" s="631" t="str">
        <f t="shared" ref="B971:B981" si="114">MID(A971,1,3)&amp;"-"&amp;13</f>
        <v>600-13</v>
      </c>
      <c r="C971" s="631"/>
      <c r="D971" s="657" t="str">
        <f>VLOOKUP(A971,[33]INDICE!$A$3:$D$334,2,FALSE)</f>
        <v>EXCAVACIONES VARIAS SIN CLASIFICAR</v>
      </c>
      <c r="E971" s="706" t="str">
        <f>VLOOKUP(A971,[33]INDICE!$A$3:$D$334,3,FALSE)</f>
        <v>m3</v>
      </c>
      <c r="F971" s="654">
        <f>20*2.5*4+20*0.5+30</f>
        <v>240</v>
      </c>
      <c r="G971" s="726">
        <f>VLOOKUP(A971,[33]INDICE!$A$3:$D$334,4,FALSE)</f>
        <v>67953.950275344076</v>
      </c>
      <c r="H971" s="652">
        <f t="shared" si="113"/>
        <v>16308948.066082578</v>
      </c>
      <c r="I971" s="625" t="s">
        <v>541</v>
      </c>
    </row>
    <row r="972" spans="1:10" s="625" customFormat="1" ht="15" customHeight="1">
      <c r="A972" s="1231" t="s">
        <v>662</v>
      </c>
      <c r="B972" s="631" t="str">
        <f t="shared" si="114"/>
        <v>600-13</v>
      </c>
      <c r="C972" s="631"/>
      <c r="D972" s="657" t="str">
        <f>VLOOKUP(A972,[33]INDICE!$A$3:$D$334,2,FALSE)</f>
        <v>EXCAVACIONES VARIAS EN ROCA EN SECO.</v>
      </c>
      <c r="E972" s="706" t="str">
        <f>VLOOKUP(A972,[33]INDICE!$A$3:$D$334,3,FALSE)</f>
        <v>m3</v>
      </c>
      <c r="F972" s="655">
        <v>40</v>
      </c>
      <c r="G972" s="726">
        <f>VLOOKUP(A972,[33]INDICE!$A$3:$D$334,4,FALSE)</f>
        <v>166029.06784256254</v>
      </c>
      <c r="H972" s="652">
        <f t="shared" si="113"/>
        <v>6641162.7137025017</v>
      </c>
      <c r="I972" s="625" t="s">
        <v>663</v>
      </c>
    </row>
    <row r="973" spans="1:10" s="625" customFormat="1" ht="15" customHeight="1">
      <c r="A973" s="1231" t="s">
        <v>544</v>
      </c>
      <c r="B973" s="631" t="str">
        <f>MID(A973,1,3)&amp;"-"&amp;13</f>
        <v>610-13</v>
      </c>
      <c r="C973" s="631"/>
      <c r="D973" s="657" t="str">
        <f>VLOOKUP(A973,[33]INDICE!$A$3:$D$334,2,FALSE)</f>
        <v>RELLENOS PARA ESTRUCTURAS CON SUELO.</v>
      </c>
      <c r="E973" s="706" t="str">
        <f>VLOOKUP(A973,[33]INDICE!$A$3:$D$334,3,FALSE)</f>
        <v>m3</v>
      </c>
      <c r="F973" s="655">
        <f>0.4*F971</f>
        <v>96</v>
      </c>
      <c r="G973" s="726">
        <f>VLOOKUP(A973,[33]INDICE!$A$3:$D$334,4,FALSE)</f>
        <v>164362.8922747685</v>
      </c>
      <c r="H973" s="652">
        <f t="shared" si="113"/>
        <v>15778837.658377776</v>
      </c>
      <c r="I973" s="625">
        <v>610.1</v>
      </c>
    </row>
    <row r="974" spans="1:10" s="625" customFormat="1" ht="15" customHeight="1">
      <c r="A974" s="1231" t="s">
        <v>553</v>
      </c>
      <c r="B974" s="631" t="str">
        <f t="shared" si="114"/>
        <v>630-13</v>
      </c>
      <c r="C974" s="631"/>
      <c r="D974" s="657" t="str">
        <f>VLOOKUP(A974,[33]INDICE!$A$3:$D$334,2,FALSE)</f>
        <v>CONCRETO RESISTENCIA 21MPA (D)</v>
      </c>
      <c r="E974" s="706" t="str">
        <f>VLOOKUP(A974,[33]INDICE!$A$3:$D$334,3,FALSE)</f>
        <v>m3</v>
      </c>
      <c r="F974" s="655">
        <f>2*0.2*20*2+2*2.5*0.3*20+6*2.5*3*0.3+5</f>
        <v>64.5</v>
      </c>
      <c r="G974" s="726">
        <f>VLOOKUP(A974,[33]INDICE!$A$3:$D$334,4,FALSE)</f>
        <v>871855.23056364793</v>
      </c>
      <c r="H974" s="652">
        <f t="shared" si="113"/>
        <v>56234662.371355288</v>
      </c>
      <c r="I974" s="625">
        <v>630.4</v>
      </c>
      <c r="J974" s="658"/>
    </row>
    <row r="975" spans="1:10" s="625" customFormat="1" ht="15" customHeight="1">
      <c r="A975" s="1231" t="s">
        <v>545</v>
      </c>
      <c r="B975" s="631" t="str">
        <f t="shared" si="114"/>
        <v>630-13</v>
      </c>
      <c r="C975" s="631"/>
      <c r="D975" s="657" t="str">
        <f>VLOOKUP(A975,[33]INDICE!$A$3:$D$334,2,FALSE)</f>
        <v>CONCRETO RESISTENCIA 17.5MPA (E )</v>
      </c>
      <c r="E975" s="706" t="str">
        <f>VLOOKUP(A975,[33]INDICE!$A$3:$D$334,3,FALSE)</f>
        <v>m3</v>
      </c>
      <c r="F975" s="655">
        <f>20*0.55</f>
        <v>11</v>
      </c>
      <c r="G975" s="726">
        <f>VLOOKUP(A975,[33]INDICE!$A$3:$D$334,4,FALSE)</f>
        <v>735031.04931538599</v>
      </c>
      <c r="H975" s="652">
        <f t="shared" si="113"/>
        <v>8085341.5424692463</v>
      </c>
      <c r="I975" s="625">
        <v>630.5</v>
      </c>
    </row>
    <row r="976" spans="1:10" s="625" customFormat="1" ht="15" customHeight="1">
      <c r="A976" s="1231" t="s">
        <v>546</v>
      </c>
      <c r="B976" s="631" t="str">
        <f t="shared" si="114"/>
        <v>630-13</v>
      </c>
      <c r="C976" s="631"/>
      <c r="D976" s="657" t="str">
        <f>VLOOKUP(A976,[33]INDICE!$A$3:$D$334,2,FALSE)</f>
        <v>CONCRETO RESISTENCIA 14MPA (G) (CICLOPEO)</v>
      </c>
      <c r="E976" s="706" t="str">
        <f>VLOOKUP(A976,[33]INDICE!$A$3:$D$334,3,FALSE)</f>
        <v>m3</v>
      </c>
      <c r="F976" s="668">
        <v>8</v>
      </c>
      <c r="G976" s="726">
        <f>VLOOKUP(A976,[33]INDICE!$A$3:$D$334,4,FALSE)</f>
        <v>530138.01220093726</v>
      </c>
      <c r="H976" s="652">
        <f t="shared" si="113"/>
        <v>4241104.0976074981</v>
      </c>
      <c r="I976" s="625">
        <v>630.70000000000005</v>
      </c>
    </row>
    <row r="977" spans="1:10" s="625" customFormat="1" ht="15" customHeight="1">
      <c r="A977" s="1231" t="s">
        <v>554</v>
      </c>
      <c r="B977" s="631" t="str">
        <f t="shared" si="114"/>
        <v>640-13</v>
      </c>
      <c r="C977" s="631"/>
      <c r="D977" s="657" t="str">
        <f>VLOOKUP(A977,[33]INDICE!$A$3:$D$334,2,FALSE)</f>
        <v>ACERO DE REFUERZO FY 4200 MPA.</v>
      </c>
      <c r="E977" s="706" t="str">
        <f>VLOOKUP(A977,[33]INDICE!$A$3:$D$334,3,FALSE)</f>
        <v>kg</v>
      </c>
      <c r="F977" s="654">
        <f>(F974+F975)*105</f>
        <v>7927.5</v>
      </c>
      <c r="G977" s="726">
        <f>VLOOKUP(A977,[33]INDICE!$A$3:$D$334,4,FALSE)</f>
        <v>6085.8496982034649</v>
      </c>
      <c r="H977" s="652">
        <f t="shared" si="113"/>
        <v>48245573.482507966</v>
      </c>
      <c r="I977" s="625">
        <v>640.1</v>
      </c>
    </row>
    <row r="978" spans="1:10" s="625" customFormat="1" ht="26.1" customHeight="1">
      <c r="A978" s="1231" t="s">
        <v>559</v>
      </c>
      <c r="B978" s="631" t="str">
        <f>MID(A978,1,3)&amp;"-"&amp;13</f>
        <v>671-13</v>
      </c>
      <c r="C978" s="631"/>
      <c r="D978" s="657" t="str">
        <f>VLOOKUP(A978,[33]INDICE!$A$3:$D$334,2,FALSE)</f>
        <v>CUNETA DE CONCRETO VACIADA IN SITU; INCLUYE LA CONFORMACION DE LA SUPERFICIE DE APOYO</v>
      </c>
      <c r="E978" s="706" t="str">
        <f>VLOOKUP(A978,[33]INDICE!$A$3:$D$334,3,FALSE)</f>
        <v>m3</v>
      </c>
      <c r="F978" s="655">
        <f>25*0.138</f>
        <v>3.45</v>
      </c>
      <c r="G978" s="726">
        <f>VLOOKUP(A978,[33]INDICE!$A$3:$D$334,4,FALSE)</f>
        <v>841791.75196838728</v>
      </c>
      <c r="H978" s="652">
        <f>F978*G978</f>
        <v>2904181.5442909361</v>
      </c>
      <c r="I978" s="625">
        <v>671.3</v>
      </c>
    </row>
    <row r="979" spans="1:10" s="625" customFormat="1" ht="15" customHeight="1">
      <c r="A979" s="1231" t="s">
        <v>548</v>
      </c>
      <c r="B979" s="631" t="str">
        <f>MID(A979,1,3)&amp;"-"&amp;13</f>
        <v>673-13</v>
      </c>
      <c r="C979" s="631"/>
      <c r="D979" s="657" t="str">
        <f>VLOOKUP(A979,[33]INDICE!$A$3:$D$334,2,FALSE)</f>
        <v>GEOTEXTIL  TIPO T-2400 O SIMILAR TEJIDO</v>
      </c>
      <c r="E979" s="706" t="str">
        <f>VLOOKUP(A979,[33]INDICE!$A$3:$D$334,3,FALSE)</f>
        <v>m2</v>
      </c>
      <c r="F979" s="654">
        <f>20*3*2+4*3*1.5</f>
        <v>138</v>
      </c>
      <c r="G979" s="726">
        <f>VLOOKUP(A979,[33]INDICE!$A$3:$D$334,4,FALSE)</f>
        <v>10983.835173625577</v>
      </c>
      <c r="H979" s="652">
        <f>F979*G979</f>
        <v>1515769.2539603296</v>
      </c>
      <c r="I979" s="625">
        <v>673.1</v>
      </c>
    </row>
    <row r="980" spans="1:10" s="625" customFormat="1" ht="15" customHeight="1">
      <c r="A980" s="1231" t="s">
        <v>560</v>
      </c>
      <c r="B980" s="631" t="str">
        <f>MID(A980,1,3)&amp;"-"&amp;13</f>
        <v>673-13</v>
      </c>
      <c r="C980" s="631"/>
      <c r="D980" s="657" t="str">
        <f>VLOOKUP(A980,[33]INDICE!$A$3:$D$334,2,FALSE)</f>
        <v>MATERIAL GRANULAR DRENANTE</v>
      </c>
      <c r="E980" s="706" t="str">
        <f>VLOOKUP(A980,[33]INDICE!$A$3:$D$334,3,FALSE)</f>
        <v>m3</v>
      </c>
      <c r="F980" s="655">
        <f>20*2*2*0.5+4*2*0.5</f>
        <v>44</v>
      </c>
      <c r="G980" s="726">
        <f>VLOOKUP(A980,[33]INDICE!$A$3:$D$334,4,FALSE)</f>
        <v>84364.417561781069</v>
      </c>
      <c r="H980" s="652">
        <f>F980*G980</f>
        <v>3712034.3727183668</v>
      </c>
      <c r="I980" s="625">
        <v>673.2</v>
      </c>
    </row>
    <row r="981" spans="1:10" s="625" customFormat="1" ht="26.1" customHeight="1" thickBot="1">
      <c r="A981" s="1239" t="s">
        <v>549</v>
      </c>
      <c r="B981" s="672" t="str">
        <f t="shared" si="114"/>
        <v>681-13</v>
      </c>
      <c r="C981" s="672"/>
      <c r="D981" s="657" t="str">
        <f>VLOOKUP(A981,[33]INDICE!$A$3:$D$334,2,FALSE)</f>
        <v xml:space="preserve">GAVIÓNES DE MALLA DE ALAMBRE DE ACERO ENTRELAZADO  CLASE 1; RECUBRIMIENTO DE ZINC (GALVANIZADO) </v>
      </c>
      <c r="E981" s="706" t="str">
        <f>VLOOKUP(A981,[33]INDICE!$A$3:$D$334,3,FALSE)</f>
        <v>m3</v>
      </c>
      <c r="F981" s="673">
        <v>30</v>
      </c>
      <c r="G981" s="726">
        <f>VLOOKUP(A981,[33]INDICE!$A$3:$D$334,4,FALSE)</f>
        <v>400986.60185015475</v>
      </c>
      <c r="H981" s="679">
        <f t="shared" si="113"/>
        <v>12029598.055504642</v>
      </c>
      <c r="I981" s="625">
        <v>681.1</v>
      </c>
    </row>
    <row r="982" spans="1:10" s="625" customFormat="1" ht="15.95" customHeight="1" thickTop="1">
      <c r="A982" s="1234"/>
      <c r="B982" s="637"/>
      <c r="C982" s="637"/>
      <c r="D982" s="638"/>
      <c r="E982" s="659"/>
      <c r="F982" s="660"/>
      <c r="G982" s="670" t="s">
        <v>536</v>
      </c>
      <c r="H982" s="640">
        <f>SUM(H967:H981)</f>
        <v>189599548.57147911</v>
      </c>
    </row>
    <row r="983" spans="1:10" s="625" customFormat="1" ht="15" customHeight="1">
      <c r="A983" s="1235"/>
      <c r="B983" s="641"/>
      <c r="C983" s="641"/>
      <c r="D983" s="642"/>
      <c r="E983" s="621"/>
      <c r="F983" s="647"/>
      <c r="G983" s="671" t="s">
        <v>537</v>
      </c>
      <c r="H983" s="644">
        <f>SUM(H982:H982)*0.05*0.19/1.3</f>
        <v>1385535.1626377322</v>
      </c>
    </row>
    <row r="984" spans="1:10" s="625" customFormat="1" ht="15.95" customHeight="1" thickBot="1">
      <c r="A984" s="1236"/>
      <c r="B984" s="619"/>
      <c r="C984" s="619"/>
      <c r="D984" s="620"/>
      <c r="E984" s="621"/>
      <c r="F984" s="647"/>
      <c r="G984" s="671" t="s">
        <v>538</v>
      </c>
      <c r="H984" s="645">
        <f>+ROUND(H982+H983,0)</f>
        <v>190985084</v>
      </c>
    </row>
    <row r="985" spans="1:10" s="625" customFormat="1" ht="15.95" customHeight="1" thickTop="1">
      <c r="A985" s="1236"/>
      <c r="B985" s="619"/>
      <c r="C985" s="619"/>
      <c r="D985" s="620"/>
      <c r="E985" s="621"/>
      <c r="F985" s="647"/>
      <c r="G985" s="643"/>
      <c r="H985" s="646"/>
    </row>
    <row r="986" spans="1:10" s="625" customFormat="1" ht="15" customHeight="1" thickBot="1">
      <c r="A986" s="1237"/>
      <c r="B986" s="627"/>
      <c r="C986" s="626" t="s">
        <v>664</v>
      </c>
      <c r="D986" s="626"/>
      <c r="E986" s="627"/>
      <c r="F986" s="626"/>
      <c r="G986" s="628"/>
      <c r="H986" s="629"/>
      <c r="I986" s="1557"/>
    </row>
    <row r="987" spans="1:10" s="625" customFormat="1" ht="15" customHeight="1" thickTop="1">
      <c r="A987" s="1231" t="s">
        <v>552</v>
      </c>
      <c r="B987" s="631" t="str">
        <f>MID(A987,1,3)&amp;"-"&amp;13</f>
        <v>201-13</v>
      </c>
      <c r="C987" s="631"/>
      <c r="D987" s="657" t="str">
        <f>VLOOKUP(A987,[33]INDICE!$A$3:$D$334,2,FALSE)</f>
        <v>DEMOLICIÓN DE ESTRUCTURAS</v>
      </c>
      <c r="E987" s="706" t="str">
        <f>VLOOKUP(A987,[33]INDICE!$A$3:$D$334,3,FALSE)</f>
        <v>m3</v>
      </c>
      <c r="F987" s="650">
        <f>2*(1.4*0.2*1.5+1*0.2*1.5)+1*1*0.15+3*(2*0.4*1.5)</f>
        <v>5.19</v>
      </c>
      <c r="G987" s="726">
        <f>VLOOKUP(A987,[33]INDICE!$A$3:$D$334,4,FALSE)</f>
        <v>240341.82659000819</v>
      </c>
      <c r="H987" s="652">
        <f>F987*G987</f>
        <v>1247374.0800021426</v>
      </c>
      <c r="J987" s="625">
        <v>201.7</v>
      </c>
    </row>
    <row r="988" spans="1:10" s="625" customFormat="1" ht="15" customHeight="1">
      <c r="A988" s="1231" t="s">
        <v>558</v>
      </c>
      <c r="B988" s="631" t="str">
        <f>MID(A988,1,3)&amp;"-"&amp;13</f>
        <v>330-13</v>
      </c>
      <c r="C988" s="689"/>
      <c r="D988" s="657" t="str">
        <f>VLOOKUP(A988,[33]INDICE!$A$3:$D$334,2,FALSE)</f>
        <v>BASE GRANULAR CLASE A</v>
      </c>
      <c r="E988" s="706" t="str">
        <f>VLOOKUP(A988,[33]INDICE!$A$3:$D$334,3,FALSE)</f>
        <v>m3</v>
      </c>
      <c r="F988" s="655">
        <f>11*1.2*0.5</f>
        <v>6.6</v>
      </c>
      <c r="G988" s="726">
        <f>VLOOKUP(A988,[33]INDICE!$A$3:$D$334,4,FALSE)</f>
        <v>375353.93049818149</v>
      </c>
      <c r="H988" s="652">
        <f>F988*G988</f>
        <v>2477335.9412879976</v>
      </c>
      <c r="J988" s="625">
        <v>330.1</v>
      </c>
    </row>
    <row r="989" spans="1:10" s="625" customFormat="1" ht="26.1" customHeight="1">
      <c r="A989" s="1231" t="s">
        <v>574</v>
      </c>
      <c r="B989" s="631" t="str">
        <f>MID(A989,1,3)&amp;"-"&amp;13</f>
        <v>450-13</v>
      </c>
      <c r="C989" s="631"/>
      <c r="D989" s="657" t="str">
        <f>VLOOKUP(A989,[33]INDICE!$A$3:$D$334,2,FALSE)</f>
        <v>Mezcla Densa en Caliente tipo MDC-19 INCLUYE TRANSPORTE</v>
      </c>
      <c r="E989" s="706" t="str">
        <f>VLOOKUP(A989,[33]INDICE!$A$3:$D$334,3,FALSE)</f>
        <v>M3</v>
      </c>
      <c r="F989" s="694">
        <f>8*1.4*0.12</f>
        <v>1.3439999999999999</v>
      </c>
      <c r="G989" s="726">
        <f>VLOOKUP(A989,[33]INDICE!$A$3:$D$334,4,FALSE)</f>
        <v>1299990.5178796239</v>
      </c>
      <c r="H989" s="652">
        <f>F989*G989</f>
        <v>1747187.2560302143</v>
      </c>
      <c r="J989" s="625" t="s">
        <v>575</v>
      </c>
    </row>
    <row r="990" spans="1:10" s="625" customFormat="1" ht="51.95" customHeight="1">
      <c r="A990" s="1231" t="s">
        <v>604</v>
      </c>
      <c r="B990" s="631" t="str">
        <f t="shared" ref="B990:B997" si="115">MID(A990,1,3)&amp;"-"&amp;13</f>
        <v>465-13</v>
      </c>
      <c r="C990" s="631"/>
      <c r="D990" s="657" t="str">
        <f>VLOOKUP(A990,[33]INDICE!$A$3:$D$334,2,FALSE)</f>
        <v>EXCAVACIÓN PARA REPARACIÓN DE PAVIMENTO ASFÁLTICO EXISTENTE INCLUYENDO EL CORTE Y LA REMOCIÒN DE LAS CAPAS ASFALTICAS SUBYACENTES</v>
      </c>
      <c r="E990" s="706" t="str">
        <f>VLOOKUP(A990,[33]INDICE!$A$3:$D$334,3,FALSE)</f>
        <v>m3</v>
      </c>
      <c r="F990" s="694">
        <f>1.4*9*0.1</f>
        <v>1.26</v>
      </c>
      <c r="G990" s="726">
        <f>VLOOKUP(A990,[33]INDICE!$A$3:$D$334,4,FALSE)</f>
        <v>152185.3287895511</v>
      </c>
      <c r="H990" s="652">
        <f t="shared" ref="H990:H997" si="116">F990*G990</f>
        <v>191753.51427483439</v>
      </c>
      <c r="J990" s="625">
        <v>465.1</v>
      </c>
    </row>
    <row r="991" spans="1:10" s="625" customFormat="1" ht="15" customHeight="1">
      <c r="A991" s="1231" t="s">
        <v>540</v>
      </c>
      <c r="B991" s="631" t="str">
        <f t="shared" si="115"/>
        <v>600-13</v>
      </c>
      <c r="C991" s="631"/>
      <c r="D991" s="657" t="str">
        <f>VLOOKUP(A991,[33]INDICE!$A$3:$D$334,2,FALSE)</f>
        <v>EXCAVACIONES VARIAS SIN CLASIFICAR</v>
      </c>
      <c r="E991" s="706" t="str">
        <f>VLOOKUP(A991,[33]INDICE!$A$3:$D$334,3,FALSE)</f>
        <v>m3</v>
      </c>
      <c r="F991" s="654">
        <f>11*1.2*1+6</f>
        <v>19.2</v>
      </c>
      <c r="G991" s="726">
        <f>VLOOKUP(A991,[33]INDICE!$A$3:$D$334,4,FALSE)</f>
        <v>67953.950275344076</v>
      </c>
      <c r="H991" s="652">
        <f t="shared" si="116"/>
        <v>1304715.8452866061</v>
      </c>
      <c r="J991" s="625" t="s">
        <v>541</v>
      </c>
    </row>
    <row r="992" spans="1:10" s="625" customFormat="1" ht="15" customHeight="1">
      <c r="A992" s="1231" t="s">
        <v>544</v>
      </c>
      <c r="B992" s="631" t="str">
        <f>MID(A992,1,3)&amp;"-"&amp;13</f>
        <v>610-13</v>
      </c>
      <c r="C992" s="631"/>
      <c r="D992" s="657" t="str">
        <f>VLOOKUP(A992,[33]INDICE!$A$3:$D$334,2,FALSE)</f>
        <v>RELLENOS PARA ESTRUCTURAS CON SUELO.</v>
      </c>
      <c r="E992" s="706" t="str">
        <f>VLOOKUP(A992,[33]INDICE!$A$3:$D$334,3,FALSE)</f>
        <v>m3</v>
      </c>
      <c r="F992" s="655">
        <f>11*1.2*1+4</f>
        <v>17.2</v>
      </c>
      <c r="G992" s="726">
        <f>VLOOKUP(A992,[33]INDICE!$A$3:$D$334,4,FALSE)</f>
        <v>164362.8922747685</v>
      </c>
      <c r="H992" s="652">
        <f>F992*G992</f>
        <v>2827041.7471260182</v>
      </c>
      <c r="J992" s="625">
        <v>610.1</v>
      </c>
    </row>
    <row r="993" spans="1:10" s="625" customFormat="1" ht="15" customHeight="1">
      <c r="A993" s="1231" t="s">
        <v>545</v>
      </c>
      <c r="B993" s="631" t="str">
        <f t="shared" si="115"/>
        <v>630-13</v>
      </c>
      <c r="C993" s="631"/>
      <c r="D993" s="657" t="str">
        <f>VLOOKUP(A993,[33]INDICE!$A$3:$D$334,2,FALSE)</f>
        <v>CONCRETO RESISTENCIA 17.5MPA (E )</v>
      </c>
      <c r="E993" s="706" t="str">
        <f>VLOOKUP(A993,[33]INDICE!$A$3:$D$334,3,FALSE)</f>
        <v>m3</v>
      </c>
      <c r="F993" s="655">
        <f>2*(1.8*0.2*2+1.4*0.2*2)+1.4*1.4*0.2+3*(2*1.8*0.4)+(1.8+3.6)/2*0.2*1.5+11*0.15*1.2</f>
        <v>10.062000000000001</v>
      </c>
      <c r="G993" s="726">
        <f>VLOOKUP(A993,[33]INDICE!$A$3:$D$334,4,FALSE)</f>
        <v>735031.04931538599</v>
      </c>
      <c r="H993" s="652">
        <f t="shared" si="116"/>
        <v>7395882.4182114145</v>
      </c>
      <c r="J993" s="625">
        <v>630.5</v>
      </c>
    </row>
    <row r="994" spans="1:10" s="625" customFormat="1" ht="15" customHeight="1">
      <c r="A994" s="1231" t="s">
        <v>546</v>
      </c>
      <c r="B994" s="631" t="str">
        <f t="shared" si="115"/>
        <v>630-13</v>
      </c>
      <c r="C994" s="631"/>
      <c r="D994" s="657" t="str">
        <f>VLOOKUP(A994,[33]INDICE!$A$3:$D$334,2,FALSE)</f>
        <v>CONCRETO RESISTENCIA 14MPA (G) (CICLOPEO)</v>
      </c>
      <c r="E994" s="706" t="str">
        <f>VLOOKUP(A994,[33]INDICE!$A$3:$D$334,3,FALSE)</f>
        <v>m3</v>
      </c>
      <c r="F994" s="668">
        <f>1.2*11*0.15+20</f>
        <v>21.98</v>
      </c>
      <c r="G994" s="726">
        <f>VLOOKUP(A994,[33]INDICE!$A$3:$D$334,4,FALSE)</f>
        <v>530138.01220093726</v>
      </c>
      <c r="H994" s="652">
        <f t="shared" si="116"/>
        <v>11652433.508176601</v>
      </c>
      <c r="J994" s="625">
        <v>630.70000000000005</v>
      </c>
    </row>
    <row r="995" spans="1:10" s="625" customFormat="1" ht="15" customHeight="1">
      <c r="A995" s="1231" t="s">
        <v>554</v>
      </c>
      <c r="B995" s="631" t="str">
        <f t="shared" si="115"/>
        <v>640-13</v>
      </c>
      <c r="C995" s="631"/>
      <c r="D995" s="657" t="str">
        <f>VLOOKUP(A995,[33]INDICE!$A$3:$D$334,2,FALSE)</f>
        <v>ACERO DE REFUERZO FY 4200 MPA.</v>
      </c>
      <c r="E995" s="706" t="str">
        <f>VLOOKUP(A995,[33]INDICE!$A$3:$D$334,3,FALSE)</f>
        <v>kg</v>
      </c>
      <c r="F995" s="654">
        <f>F993*105</f>
        <v>1056.5100000000002</v>
      </c>
      <c r="G995" s="726">
        <f>VLOOKUP(A995,[33]INDICE!$A$3:$D$334,4,FALSE)</f>
        <v>6085.8496982034649</v>
      </c>
      <c r="H995" s="652">
        <f t="shared" si="116"/>
        <v>6429761.064648944</v>
      </c>
      <c r="J995" s="625">
        <v>640.1</v>
      </c>
    </row>
    <row r="996" spans="1:10" s="625" customFormat="1" ht="26.1" customHeight="1">
      <c r="A996" s="1231" t="s">
        <v>605</v>
      </c>
      <c r="B996" s="631" t="str">
        <f>MID(A996,1,3)&amp;"-"&amp;13</f>
        <v>661-13</v>
      </c>
      <c r="C996" s="631"/>
      <c r="D996" s="657" t="str">
        <f>VLOOKUP(A996,[33]INDICE!$A$3:$D$334,2,FALSE)</f>
        <v>TUBERÍA DE CONCRETO REFORZADO  21 MPA DE 900 MM DE DIAMETRO INTERIOR</v>
      </c>
      <c r="E996" s="706" t="str">
        <f>VLOOKUP(A996,[33]INDICE!$A$3:$D$334,3,FALSE)</f>
        <v>m</v>
      </c>
      <c r="F996" s="650">
        <v>11</v>
      </c>
      <c r="G996" s="726">
        <f>VLOOKUP(A996,[33]INDICE!$A$3:$D$334,4,FALSE)</f>
        <v>689897.64607454219</v>
      </c>
      <c r="H996" s="652">
        <f>F996*G996</f>
        <v>7588874.106819964</v>
      </c>
      <c r="J996" s="625">
        <v>661.1</v>
      </c>
    </row>
    <row r="997" spans="1:10" s="625" customFormat="1" ht="26.1" customHeight="1" thickBot="1">
      <c r="A997" s="1231" t="s">
        <v>559</v>
      </c>
      <c r="B997" s="631" t="str">
        <f t="shared" si="115"/>
        <v>671-13</v>
      </c>
      <c r="C997" s="631"/>
      <c r="D997" s="657" t="str">
        <f>VLOOKUP(A997,[33]INDICE!$A$3:$D$334,2,FALSE)</f>
        <v>CUNETA DE CONCRETO VACIADA IN SITU; INCLUYE LA CONFORMACION DE LA SUPERFICIE DE APOYO</v>
      </c>
      <c r="E997" s="706" t="str">
        <f>VLOOKUP(A997,[33]INDICE!$A$3:$D$334,3,FALSE)</f>
        <v>m3</v>
      </c>
      <c r="F997" s="655">
        <f>20*0.138</f>
        <v>2.7600000000000002</v>
      </c>
      <c r="G997" s="726">
        <f>VLOOKUP(A997,[33]INDICE!$A$3:$D$334,4,FALSE)</f>
        <v>841791.75196838728</v>
      </c>
      <c r="H997" s="652">
        <f t="shared" si="116"/>
        <v>2323345.2354327491</v>
      </c>
      <c r="J997" s="625">
        <v>671.3</v>
      </c>
    </row>
    <row r="998" spans="1:10" s="625" customFormat="1" ht="15" customHeight="1" thickTop="1">
      <c r="A998" s="1234"/>
      <c r="B998" s="637"/>
      <c r="C998" s="637"/>
      <c r="D998" s="638"/>
      <c r="E998" s="659"/>
      <c r="F998" s="660"/>
      <c r="G998" s="670" t="s">
        <v>536</v>
      </c>
      <c r="H998" s="640">
        <f>SUM(H987:H997)</f>
        <v>45185704.717297487</v>
      </c>
    </row>
    <row r="999" spans="1:10" s="625" customFormat="1" ht="15" customHeight="1">
      <c r="A999" s="1235"/>
      <c r="B999" s="641"/>
      <c r="C999" s="641"/>
      <c r="D999" s="642"/>
      <c r="E999" s="621"/>
      <c r="F999" s="647"/>
      <c r="G999" s="671" t="s">
        <v>537</v>
      </c>
      <c r="H999" s="644">
        <f>SUM(H998:H998)*0.05*0.19/1.3</f>
        <v>330203.22678025084</v>
      </c>
    </row>
    <row r="1000" spans="1:10" s="625" customFormat="1" ht="15" customHeight="1" thickBot="1">
      <c r="A1000" s="1236"/>
      <c r="B1000" s="619"/>
      <c r="C1000" s="619"/>
      <c r="D1000" s="620"/>
      <c r="E1000" s="621"/>
      <c r="F1000" s="647"/>
      <c r="G1000" s="671" t="s">
        <v>538</v>
      </c>
      <c r="H1000" s="645">
        <f>+ROUND(H998+H999,0)</f>
        <v>45515908</v>
      </c>
      <c r="I1000" s="1557"/>
    </row>
    <row r="1001" spans="1:10" s="625" customFormat="1" ht="15" customHeight="1" thickTop="1">
      <c r="A1001" s="1236"/>
      <c r="B1001" s="619"/>
      <c r="C1001" s="619"/>
      <c r="D1001" s="620"/>
      <c r="E1001" s="621"/>
      <c r="F1001" s="647"/>
      <c r="G1001" s="643"/>
      <c r="H1001" s="646"/>
      <c r="I1001" s="1557"/>
    </row>
    <row r="1002" spans="1:10" s="625" customFormat="1" ht="15" customHeight="1" thickBot="1">
      <c r="A1002" s="1237"/>
      <c r="B1002" s="627"/>
      <c r="C1002" s="626" t="s">
        <v>665</v>
      </c>
      <c r="D1002" s="626"/>
      <c r="E1002" s="627"/>
      <c r="F1002" s="626"/>
      <c r="G1002" s="628"/>
      <c r="H1002" s="629"/>
    </row>
    <row r="1003" spans="1:10" s="625" customFormat="1" ht="15" customHeight="1" thickTop="1">
      <c r="A1003" s="1232" t="s">
        <v>552</v>
      </c>
      <c r="B1003" s="632" t="str">
        <f>MID(A1003,1,3)&amp;"-"&amp;13</f>
        <v>201-13</v>
      </c>
      <c r="C1003" s="632"/>
      <c r="D1003" s="657" t="str">
        <f>VLOOKUP(A1003,[33]INDICE!$A$3:$D$334,2,FALSE)</f>
        <v>DEMOLICIÓN DE ESTRUCTURAS</v>
      </c>
      <c r="E1003" s="706" t="str">
        <f>VLOOKUP(A1003,[33]INDICE!$A$3:$D$334,3,FALSE)</f>
        <v>m3</v>
      </c>
      <c r="F1003" s="662">
        <v>2</v>
      </c>
      <c r="G1003" s="726">
        <f>VLOOKUP(A1003,[33]INDICE!$A$3:$D$334,4,FALSE)</f>
        <v>240341.82659000819</v>
      </c>
      <c r="H1003" s="636">
        <f>F1003*G1003</f>
        <v>480683.65318001638</v>
      </c>
      <c r="I1003" s="625">
        <v>201.7</v>
      </c>
    </row>
    <row r="1004" spans="1:10" s="625" customFormat="1" ht="15" customHeight="1">
      <c r="A1004" s="1231" t="s">
        <v>540</v>
      </c>
      <c r="B1004" s="631" t="str">
        <f t="shared" ref="B1004:B1010" si="117">MID(A1004,1,3)&amp;"-"&amp;13</f>
        <v>600-13</v>
      </c>
      <c r="C1004" s="631"/>
      <c r="D1004" s="657" t="str">
        <f>VLOOKUP(A1004,[33]INDICE!$A$3:$D$334,2,FALSE)</f>
        <v>EXCAVACIONES VARIAS SIN CLASIFICAR</v>
      </c>
      <c r="E1004" s="706" t="str">
        <f>VLOOKUP(A1004,[33]INDICE!$A$3:$D$334,3,FALSE)</f>
        <v>m3</v>
      </c>
      <c r="F1004" s="654">
        <f>10*0.5</f>
        <v>5</v>
      </c>
      <c r="G1004" s="726">
        <f>VLOOKUP(A1004,[33]INDICE!$A$3:$D$334,4,FALSE)</f>
        <v>67953.950275344076</v>
      </c>
      <c r="H1004" s="652">
        <f t="shared" ref="H1004:H1010" si="118">F1004*G1004</f>
        <v>339769.75137672038</v>
      </c>
      <c r="I1004" s="625" t="s">
        <v>541</v>
      </c>
    </row>
    <row r="1005" spans="1:10" s="625" customFormat="1" ht="15" customHeight="1">
      <c r="A1005" s="1231" t="s">
        <v>544</v>
      </c>
      <c r="B1005" s="631" t="str">
        <f>MID(A1005,1,3)&amp;"-"&amp;13</f>
        <v>610-13</v>
      </c>
      <c r="C1005" s="631"/>
      <c r="D1005" s="657" t="str">
        <f>VLOOKUP(A1005,[33]INDICE!$A$3:$D$334,2,FALSE)</f>
        <v>RELLENOS PARA ESTRUCTURAS CON SUELO.</v>
      </c>
      <c r="E1005" s="706" t="str">
        <f>VLOOKUP(A1005,[33]INDICE!$A$3:$D$334,3,FALSE)</f>
        <v>m3</v>
      </c>
      <c r="F1005" s="655">
        <f>10*0.4</f>
        <v>4</v>
      </c>
      <c r="G1005" s="726">
        <f>VLOOKUP(A1005,[33]INDICE!$A$3:$D$334,4,FALSE)</f>
        <v>164362.8922747685</v>
      </c>
      <c r="H1005" s="652">
        <f>F1005*G1005</f>
        <v>657451.569099074</v>
      </c>
      <c r="I1005" s="625">
        <v>610.1</v>
      </c>
    </row>
    <row r="1006" spans="1:10" s="625" customFormat="1" ht="15" customHeight="1">
      <c r="A1006" s="1231" t="s">
        <v>545</v>
      </c>
      <c r="B1006" s="631" t="str">
        <f t="shared" si="117"/>
        <v>630-13</v>
      </c>
      <c r="C1006" s="631"/>
      <c r="D1006" s="657" t="str">
        <f>VLOOKUP(A1006,[33]INDICE!$A$3:$D$334,2,FALSE)</f>
        <v>CONCRETO RESISTENCIA 17.5MPA (E )</v>
      </c>
      <c r="E1006" s="706" t="str">
        <f>VLOOKUP(A1006,[33]INDICE!$A$3:$D$334,3,FALSE)</f>
        <v>m3</v>
      </c>
      <c r="F1006" s="655">
        <f>10*0.55</f>
        <v>5.5</v>
      </c>
      <c r="G1006" s="726">
        <f>VLOOKUP(A1006,[33]INDICE!$A$3:$D$334,4,FALSE)</f>
        <v>735031.04931538599</v>
      </c>
      <c r="H1006" s="652">
        <f t="shared" si="118"/>
        <v>4042670.7712346232</v>
      </c>
      <c r="I1006" s="625">
        <v>630.5</v>
      </c>
    </row>
    <row r="1007" spans="1:10" s="625" customFormat="1" ht="15" customHeight="1">
      <c r="A1007" s="1231" t="s">
        <v>546</v>
      </c>
      <c r="B1007" s="631" t="str">
        <f t="shared" si="117"/>
        <v>630-13</v>
      </c>
      <c r="C1007" s="631"/>
      <c r="D1007" s="657" t="str">
        <f>VLOOKUP(A1007,[33]INDICE!$A$3:$D$334,2,FALSE)</f>
        <v>CONCRETO RESISTENCIA 14MPA (G) (CICLOPEO)</v>
      </c>
      <c r="E1007" s="706" t="str">
        <f>VLOOKUP(A1007,[33]INDICE!$A$3:$D$334,3,FALSE)</f>
        <v>m3</v>
      </c>
      <c r="F1007" s="668">
        <v>3</v>
      </c>
      <c r="G1007" s="726">
        <f>VLOOKUP(A1007,[33]INDICE!$A$3:$D$334,4,FALSE)</f>
        <v>530138.01220093726</v>
      </c>
      <c r="H1007" s="652">
        <f t="shared" si="118"/>
        <v>1590414.0366028119</v>
      </c>
      <c r="I1007" s="625">
        <v>630.70000000000005</v>
      </c>
    </row>
    <row r="1008" spans="1:10" s="625" customFormat="1" ht="15" customHeight="1">
      <c r="A1008" s="1231" t="s">
        <v>554</v>
      </c>
      <c r="B1008" s="631" t="str">
        <f t="shared" si="117"/>
        <v>640-13</v>
      </c>
      <c r="C1008" s="631"/>
      <c r="D1008" s="657" t="str">
        <f>VLOOKUP(A1008,[33]INDICE!$A$3:$D$334,2,FALSE)</f>
        <v>ACERO DE REFUERZO FY 4200 MPA.</v>
      </c>
      <c r="E1008" s="706" t="str">
        <f>VLOOKUP(A1008,[33]INDICE!$A$3:$D$334,3,FALSE)</f>
        <v>kg</v>
      </c>
      <c r="F1008" s="654">
        <f>F1006*105</f>
        <v>577.5</v>
      </c>
      <c r="G1008" s="726">
        <f>VLOOKUP(A1008,[33]INDICE!$A$3:$D$334,4,FALSE)</f>
        <v>6085.8496982034649</v>
      </c>
      <c r="H1008" s="652">
        <f t="shared" si="118"/>
        <v>3514578.2007125011</v>
      </c>
      <c r="I1008" s="625">
        <v>640.1</v>
      </c>
    </row>
    <row r="1009" spans="1:10" s="625" customFormat="1" ht="15" customHeight="1">
      <c r="A1009" s="1231" t="s">
        <v>548</v>
      </c>
      <c r="B1009" s="631" t="str">
        <f>MID(A1009,1,3)&amp;"-"&amp;13</f>
        <v>673-13</v>
      </c>
      <c r="C1009" s="631"/>
      <c r="D1009" s="657" t="str">
        <f>VLOOKUP(A1009,[33]INDICE!$A$3:$D$334,2,FALSE)</f>
        <v>GEOTEXTIL  TIPO T-2400 O SIMILAR TEJIDO</v>
      </c>
      <c r="E1009" s="706" t="str">
        <f>VLOOKUP(A1009,[33]INDICE!$A$3:$D$334,3,FALSE)</f>
        <v>m2</v>
      </c>
      <c r="F1009" s="654">
        <v>15</v>
      </c>
      <c r="G1009" s="726">
        <f>VLOOKUP(A1009,[33]INDICE!$A$3:$D$334,4,FALSE)</f>
        <v>10983.835173625577</v>
      </c>
      <c r="H1009" s="652">
        <f>F1009*G1009</f>
        <v>164757.52760438365</v>
      </c>
      <c r="I1009" s="625">
        <v>673.1</v>
      </c>
    </row>
    <row r="1010" spans="1:10" s="625" customFormat="1" ht="26.1" customHeight="1" thickBot="1">
      <c r="A1010" s="1231" t="s">
        <v>666</v>
      </c>
      <c r="B1010" s="631" t="str">
        <f t="shared" si="117"/>
        <v>681-13</v>
      </c>
      <c r="C1010" s="631"/>
      <c r="D1010" s="657" t="str">
        <f>VLOOKUP(A1010,[33]INDICE!$A$3:$D$334,2,FALSE)</f>
        <v>GAVIÓN DE MALLA DE ALAMBRE DE ACERO ENTRELAZADO  CLASE 2; RECUBRIMIENTO DE ALEACION ZN-5A1-MM</v>
      </c>
      <c r="E1010" s="706" t="str">
        <f>VLOOKUP(A1010,[33]INDICE!$A$3:$D$334,3,FALSE)</f>
        <v>m3</v>
      </c>
      <c r="F1010" s="654">
        <v>6</v>
      </c>
      <c r="G1010" s="726">
        <f>VLOOKUP(A1010,[33]INDICE!$A$3:$D$334,4,FALSE)</f>
        <v>423592.22941276652</v>
      </c>
      <c r="H1010" s="652">
        <f t="shared" si="118"/>
        <v>2541553.3764765989</v>
      </c>
      <c r="I1010" s="625">
        <v>681.1</v>
      </c>
    </row>
    <row r="1011" spans="1:10" s="625" customFormat="1" ht="15" customHeight="1" thickTop="1">
      <c r="A1011" s="1234"/>
      <c r="B1011" s="637"/>
      <c r="C1011" s="637"/>
      <c r="D1011" s="638"/>
      <c r="E1011" s="659"/>
      <c r="F1011" s="660"/>
      <c r="G1011" s="670" t="s">
        <v>536</v>
      </c>
      <c r="H1011" s="640">
        <f>SUM(H1003:H1010)</f>
        <v>13331878.88628673</v>
      </c>
    </row>
    <row r="1012" spans="1:10" s="625" customFormat="1" ht="15" customHeight="1">
      <c r="A1012" s="1235"/>
      <c r="B1012" s="641"/>
      <c r="C1012" s="641"/>
      <c r="D1012" s="642"/>
      <c r="E1012" s="621"/>
      <c r="F1012" s="647"/>
      <c r="G1012" s="671" t="s">
        <v>537</v>
      </c>
      <c r="H1012" s="644">
        <f>SUM(H1011:H1011)*0.05*0.19/1.3</f>
        <v>97425.26878440303</v>
      </c>
    </row>
    <row r="1013" spans="1:10" s="625" customFormat="1" ht="15" customHeight="1" thickBot="1">
      <c r="A1013" s="1236"/>
      <c r="B1013" s="619"/>
      <c r="C1013" s="619"/>
      <c r="D1013" s="620"/>
      <c r="E1013" s="621"/>
      <c r="F1013" s="647"/>
      <c r="G1013" s="671" t="s">
        <v>538</v>
      </c>
      <c r="H1013" s="645">
        <f>+ROUND(H1011+H1012,0)</f>
        <v>13429304</v>
      </c>
    </row>
    <row r="1014" spans="1:10" s="625" customFormat="1" ht="12.75" customHeight="1" thickTop="1">
      <c r="A1014" s="1236"/>
      <c r="B1014" s="619"/>
      <c r="C1014" s="619"/>
      <c r="D1014" s="620"/>
      <c r="E1014" s="621"/>
      <c r="F1014" s="622"/>
      <c r="G1014" s="622"/>
      <c r="H1014" s="624"/>
    </row>
    <row r="1015" spans="1:10" s="625" customFormat="1" ht="15" customHeight="1" thickBot="1">
      <c r="A1015" s="1237"/>
      <c r="B1015" s="627"/>
      <c r="C1015" s="626" t="s">
        <v>644</v>
      </c>
      <c r="D1015" s="626"/>
      <c r="E1015" s="627"/>
      <c r="F1015" s="626"/>
      <c r="G1015" s="691"/>
      <c r="H1015" s="629"/>
    </row>
    <row r="1016" spans="1:10" s="625" customFormat="1" ht="15" customHeight="1" thickTop="1">
      <c r="A1016" s="1240" t="s">
        <v>552</v>
      </c>
      <c r="B1016" s="631" t="str">
        <f>MID(A1016,1,3)&amp;"-"&amp;13</f>
        <v>201-13</v>
      </c>
      <c r="C1016" s="665"/>
      <c r="D1016" s="657" t="str">
        <f>VLOOKUP(A1016,[33]INDICE!$A$3:$D$334,2,FALSE)</f>
        <v>DEMOLICIÓN DE ESTRUCTURAS</v>
      </c>
      <c r="E1016" s="649" t="str">
        <f>VLOOKUP(A1016,[33]INDICE!$A$3:$D$334,3,FALSE)</f>
        <v>m3</v>
      </c>
      <c r="F1016" s="682">
        <f>3*2*0.4</f>
        <v>2.4000000000000004</v>
      </c>
      <c r="G1016" s="688">
        <f>VLOOKUP(A1016,[33]INDICE!$A$3:$D$334,4,FALSE)</f>
        <v>240341.82659000819</v>
      </c>
      <c r="H1016" s="667">
        <f>F1016*G1016</f>
        <v>576820.38381601975</v>
      </c>
      <c r="J1016" s="625" t="s">
        <v>552</v>
      </c>
    </row>
    <row r="1017" spans="1:10" s="625" customFormat="1" ht="15" customHeight="1" thickBot="1">
      <c r="A1017" s="1239" t="s">
        <v>545</v>
      </c>
      <c r="B1017" s="672" t="str">
        <f>MID(A1017,1,3)&amp;"-"&amp;13</f>
        <v>630-13</v>
      </c>
      <c r="C1017" s="672"/>
      <c r="D1017" s="657" t="str">
        <f>VLOOKUP(A1017,[33]INDICE!$A$3:$D$334,2,FALSE)</f>
        <v>CONCRETO RESISTENCIA 17.5MPA (E )</v>
      </c>
      <c r="E1017" s="649" t="str">
        <f>VLOOKUP(A1017,[33]INDICE!$A$3:$D$334,3,FALSE)</f>
        <v>m3</v>
      </c>
      <c r="F1017" s="663">
        <v>0.5</v>
      </c>
      <c r="G1017" s="688">
        <f>VLOOKUP(A1017,[33]INDICE!$A$3:$D$334,4,FALSE)</f>
        <v>735031.04931538599</v>
      </c>
      <c r="H1017" s="679">
        <f>F1017*G1017</f>
        <v>367515.52465769299</v>
      </c>
      <c r="J1017" s="625" t="s">
        <v>545</v>
      </c>
    </row>
    <row r="1018" spans="1:10" s="625" customFormat="1" ht="15" customHeight="1" thickTop="1">
      <c r="A1018" s="1234"/>
      <c r="B1018" s="637"/>
      <c r="C1018" s="637"/>
      <c r="D1018" s="638"/>
      <c r="E1018" s="659"/>
      <c r="F1018" s="660"/>
      <c r="G1018" s="639" t="s">
        <v>536</v>
      </c>
      <c r="H1018" s="681">
        <f>SUM(H1016:H1017)</f>
        <v>944335.90847371274</v>
      </c>
    </row>
    <row r="1019" spans="1:10" s="625" customFormat="1" ht="15" customHeight="1">
      <c r="A1019" s="1235"/>
      <c r="B1019" s="641"/>
      <c r="C1019" s="641"/>
      <c r="D1019" s="642"/>
      <c r="E1019" s="621"/>
      <c r="F1019" s="647"/>
      <c r="G1019" s="643" t="s">
        <v>537</v>
      </c>
      <c r="H1019" s="644">
        <f>ROUND((+H1018*0.05*0.19)/(1+0.3),0)</f>
        <v>6901</v>
      </c>
    </row>
    <row r="1020" spans="1:10" s="625" customFormat="1" ht="15" customHeight="1" thickBot="1">
      <c r="A1020" s="1236"/>
      <c r="B1020" s="619"/>
      <c r="C1020" s="619"/>
      <c r="D1020" s="620"/>
      <c r="E1020" s="621"/>
      <c r="F1020" s="647"/>
      <c r="G1020" s="643" t="s">
        <v>538</v>
      </c>
      <c r="H1020" s="645">
        <f>+ROUND(H1018+H1019,0)</f>
        <v>951237</v>
      </c>
    </row>
    <row r="1021" spans="1:10" s="625" customFormat="1" ht="15" customHeight="1" thickTop="1">
      <c r="A1021" s="1236"/>
      <c r="B1021" s="619"/>
      <c r="C1021" s="619"/>
      <c r="D1021" s="620"/>
      <c r="E1021" s="621"/>
      <c r="F1021" s="647"/>
      <c r="G1021" s="643"/>
      <c r="H1021" s="646"/>
    </row>
    <row r="1022" spans="1:10" s="625" customFormat="1" ht="15" customHeight="1">
      <c r="A1022" s="1236" t="s">
        <v>667</v>
      </c>
      <c r="B1022" s="619"/>
      <c r="C1022" s="619"/>
      <c r="D1022" s="620"/>
      <c r="E1022" s="621"/>
      <c r="F1022" s="622"/>
      <c r="G1022" s="623"/>
      <c r="H1022" s="624"/>
    </row>
    <row r="1023" spans="1:10" s="625" customFormat="1" ht="15" customHeight="1">
      <c r="A1023" s="1236"/>
      <c r="B1023" s="619"/>
      <c r="C1023" s="619"/>
      <c r="D1023" s="620"/>
      <c r="E1023" s="621"/>
      <c r="F1023" s="622"/>
      <c r="G1023" s="623"/>
      <c r="H1023" s="624"/>
    </row>
    <row r="1024" spans="1:10" s="625" customFormat="1" ht="12.75" customHeight="1" thickBot="1">
      <c r="A1024" s="1237"/>
      <c r="B1024" s="627"/>
      <c r="C1024" s="626" t="s">
        <v>668</v>
      </c>
      <c r="D1024" s="626"/>
      <c r="E1024" s="627"/>
      <c r="F1024" s="626"/>
      <c r="G1024" s="628"/>
      <c r="H1024" s="629"/>
    </row>
    <row r="1025" spans="1:10" s="625" customFormat="1" ht="15" customHeight="1" thickTop="1">
      <c r="A1025" s="1232" t="s">
        <v>552</v>
      </c>
      <c r="B1025" s="632" t="str">
        <f>MID(A1025,1,3)&amp;"-"&amp;13</f>
        <v>201-13</v>
      </c>
      <c r="C1025" s="632"/>
      <c r="D1025" s="657" t="str">
        <f>VLOOKUP(A1025,[33]INDICE!$A$3:$D$334,2,FALSE)</f>
        <v>DEMOLICIÓN DE ESTRUCTURAS</v>
      </c>
      <c r="E1025" s="706" t="str">
        <f>VLOOKUP(A1025,[33]INDICE!$A$3:$D$334,3,FALSE)</f>
        <v>m3</v>
      </c>
      <c r="F1025" s="662">
        <f>10600*0.15*1</f>
        <v>1590</v>
      </c>
      <c r="G1025" s="688">
        <f>VLOOKUP(A1025,[33]INDICE!$A$3:$D$334,4,FALSE)</f>
        <v>240341.82659000819</v>
      </c>
      <c r="H1025" s="636">
        <f>F1025*G1025</f>
        <v>382143504.27811301</v>
      </c>
      <c r="J1025" s="625">
        <v>201.7</v>
      </c>
    </row>
    <row r="1026" spans="1:10" s="625" customFormat="1" ht="15" customHeight="1">
      <c r="A1026" s="1231" t="s">
        <v>540</v>
      </c>
      <c r="B1026" s="631" t="str">
        <f t="shared" ref="B1026:B1031" si="119">MID(A1026,1,3)&amp;"-"&amp;13</f>
        <v>600-13</v>
      </c>
      <c r="C1026" s="631"/>
      <c r="D1026" s="657" t="str">
        <f>VLOOKUP(A1026,[33]INDICE!$A$3:$D$334,2,FALSE)</f>
        <v>EXCAVACIONES VARIAS SIN CLASIFICAR</v>
      </c>
      <c r="E1026" s="706" t="str">
        <f>VLOOKUP(A1026,[33]INDICE!$A$3:$D$334,3,FALSE)</f>
        <v>m3</v>
      </c>
      <c r="F1026" s="654">
        <f>10600*0.5*1.2</f>
        <v>6360</v>
      </c>
      <c r="G1026" s="688">
        <f>VLOOKUP(A1026,[33]INDICE!$A$3:$D$334,4,FALSE)</f>
        <v>67953.950275344076</v>
      </c>
      <c r="H1026" s="652">
        <f t="shared" ref="H1026:H1031" si="120">F1026*G1026</f>
        <v>432187123.75118834</v>
      </c>
      <c r="J1026" s="625" t="s">
        <v>541</v>
      </c>
    </row>
    <row r="1027" spans="1:10" s="625" customFormat="1" ht="15" customHeight="1">
      <c r="A1027" s="1231" t="s">
        <v>544</v>
      </c>
      <c r="B1027" s="631" t="str">
        <f>MID(A1027,1,3)&amp;"-"&amp;13</f>
        <v>610-13</v>
      </c>
      <c r="C1027" s="631"/>
      <c r="D1027" s="657" t="str">
        <f>VLOOKUP(A1027,[33]INDICE!$A$3:$D$334,2,FALSE)</f>
        <v>RELLENOS PARA ESTRUCTURAS CON SUELO.</v>
      </c>
      <c r="E1027" s="706" t="str">
        <f>VLOOKUP(A1027,[33]INDICE!$A$3:$D$334,3,FALSE)</f>
        <v>m3</v>
      </c>
      <c r="F1027" s="655">
        <f>10600*0.2*1</f>
        <v>2120</v>
      </c>
      <c r="G1027" s="688">
        <f>VLOOKUP(A1027,[33]INDICE!$A$3:$D$334,4,FALSE)</f>
        <v>164362.8922747685</v>
      </c>
      <c r="H1027" s="652">
        <f>F1027*G1027</f>
        <v>348449331.62250924</v>
      </c>
      <c r="J1027" s="625">
        <v>610.1</v>
      </c>
    </row>
    <row r="1028" spans="1:10" s="625" customFormat="1" ht="26.1" customHeight="1">
      <c r="A1028" s="1231" t="s">
        <v>669</v>
      </c>
      <c r="B1028" s="631" t="str">
        <f>MID(A1028,1,3)&amp;"-"&amp;13</f>
        <v>663-13</v>
      </c>
      <c r="C1028" s="631"/>
      <c r="D1028" s="657" t="str">
        <f>VLOOKUP(A1028,[33]INDICE!$A$3:$D$334,2,FALSE)</f>
        <v>TUBERÍA DE PLASTICO TIPO__NORMA___DE DIAMETRO__MM</v>
      </c>
      <c r="E1028" s="706" t="str">
        <f>VLOOKUP(A1028,[33]INDICE!$A$3:$D$334,3,FALSE)</f>
        <v>m</v>
      </c>
      <c r="F1028" s="655">
        <v>10600</v>
      </c>
      <c r="G1028" s="688">
        <f>VLOOKUP(A1028,[33]INDICE!$A$3:$D$334,4,FALSE)</f>
        <v>19097.278577366022</v>
      </c>
      <c r="H1028" s="652">
        <f>F1028*G1028</f>
        <v>202431152.92007983</v>
      </c>
      <c r="J1028" s="625">
        <v>663.1</v>
      </c>
    </row>
    <row r="1029" spans="1:10" s="625" customFormat="1" ht="26.1" customHeight="1">
      <c r="A1029" s="1231" t="s">
        <v>559</v>
      </c>
      <c r="B1029" s="631" t="str">
        <f>MID(A1029,1,3)&amp;"-"&amp;13</f>
        <v>671-13</v>
      </c>
      <c r="C1029" s="631"/>
      <c r="D1029" s="657" t="str">
        <f>VLOOKUP(A1029,[33]INDICE!$A$3:$D$334,2,FALSE)</f>
        <v>CUNETA DE CONCRETO VACIADA IN SITU; INCLUYE LA CONFORMACION DE LA SUPERFICIE DE APOYO</v>
      </c>
      <c r="E1029" s="706" t="str">
        <f>VLOOKUP(A1029,[33]INDICE!$A$3:$D$334,3,FALSE)</f>
        <v>m3</v>
      </c>
      <c r="F1029" s="655">
        <f>10600*0.138</f>
        <v>1462.8000000000002</v>
      </c>
      <c r="G1029" s="688">
        <f>VLOOKUP(A1029,[33]INDICE!$A$3:$D$334,4,FALSE)</f>
        <v>841791.75196838728</v>
      </c>
      <c r="H1029" s="652">
        <f>F1029*G1029</f>
        <v>1231372974.779357</v>
      </c>
      <c r="J1029" s="625">
        <v>671.3</v>
      </c>
    </row>
    <row r="1030" spans="1:10" s="625" customFormat="1" ht="15" customHeight="1">
      <c r="A1030" s="1231" t="s">
        <v>548</v>
      </c>
      <c r="B1030" s="631" t="str">
        <f t="shared" si="119"/>
        <v>673-13</v>
      </c>
      <c r="C1030" s="631"/>
      <c r="D1030" s="657" t="str">
        <f>VLOOKUP(A1030,[33]INDICE!$A$3:$D$334,2,FALSE)</f>
        <v>GEOTEXTIL  TIPO T-2400 O SIMILAR TEJIDO</v>
      </c>
      <c r="E1030" s="706" t="str">
        <f>VLOOKUP(A1030,[33]INDICE!$A$3:$D$334,3,FALSE)</f>
        <v>m2</v>
      </c>
      <c r="F1030" s="654">
        <f>10600*3.5</f>
        <v>37100</v>
      </c>
      <c r="G1030" s="688">
        <f>VLOOKUP(A1030,[33]INDICE!$A$3:$D$334,4,FALSE)</f>
        <v>10983.835173625577</v>
      </c>
      <c r="H1030" s="652">
        <f t="shared" si="120"/>
        <v>407500284.94150889</v>
      </c>
      <c r="J1030" s="625">
        <v>673.1</v>
      </c>
    </row>
    <row r="1031" spans="1:10" s="625" customFormat="1" ht="15" customHeight="1" thickBot="1">
      <c r="A1031" s="1239" t="s">
        <v>560</v>
      </c>
      <c r="B1031" s="672" t="str">
        <f t="shared" si="119"/>
        <v>673-13</v>
      </c>
      <c r="C1031" s="672"/>
      <c r="D1031" s="676" t="str">
        <f>VLOOKUP(A1031,[33]INDICE!$A$3:$D$334,2,FALSE)</f>
        <v>MATERIAL GRANULAR DRENANTE</v>
      </c>
      <c r="E1031" s="707" t="str">
        <f>VLOOKUP(A1031,[33]INDICE!$A$3:$D$334,3,FALSE)</f>
        <v>m3</v>
      </c>
      <c r="F1031" s="663">
        <f>10600*0.5*1</f>
        <v>5300</v>
      </c>
      <c r="G1031" s="708">
        <f>VLOOKUP(A1031,[33]INDICE!$A$3:$D$334,4,FALSE)</f>
        <v>84364.417561781069</v>
      </c>
      <c r="H1031" s="679">
        <f t="shared" si="120"/>
        <v>447131413.07743967</v>
      </c>
      <c r="J1031" s="625">
        <v>673.2</v>
      </c>
    </row>
    <row r="1032" spans="1:10" s="625" customFormat="1" ht="15" customHeight="1" thickTop="1">
      <c r="A1032" s="1235"/>
      <c r="B1032" s="641"/>
      <c r="C1032" s="680"/>
      <c r="D1032" s="680"/>
      <c r="E1032" s="621"/>
      <c r="F1032" s="709"/>
      <c r="G1032" s="671" t="s">
        <v>536</v>
      </c>
      <c r="H1032" s="710">
        <f>SUM(H1025:H1031)</f>
        <v>3451215785.3701959</v>
      </c>
      <c r="J1032" s="625">
        <v>5181813434</v>
      </c>
    </row>
    <row r="1033" spans="1:10" s="625" customFormat="1" ht="15" customHeight="1">
      <c r="A1033" s="1235"/>
      <c r="B1033" s="641"/>
      <c r="C1033" s="642"/>
      <c r="D1033" s="642"/>
      <c r="E1033" s="621"/>
      <c r="F1033" s="647"/>
      <c r="G1033" s="671" t="s">
        <v>537</v>
      </c>
      <c r="H1033" s="644">
        <f>ROUND((+H1032*0.05*0.19)/(1+0.3),0)</f>
        <v>25220423</v>
      </c>
    </row>
    <row r="1034" spans="1:10" s="625" customFormat="1" ht="15" customHeight="1" thickBot="1">
      <c r="A1034" s="1241"/>
      <c r="B1034" s="641"/>
      <c r="C1034" s="642"/>
      <c r="D1034" s="703"/>
      <c r="E1034" s="621"/>
      <c r="F1034" s="711"/>
      <c r="G1034" s="671" t="s">
        <v>538</v>
      </c>
      <c r="H1034" s="645">
        <f>+ROUND(H1032+H1033,0)</f>
        <v>3476436208</v>
      </c>
    </row>
    <row r="1035" spans="1:10" s="625" customFormat="1" ht="15" customHeight="1" thickTop="1">
      <c r="A1035" s="1241"/>
      <c r="B1035" s="641"/>
      <c r="C1035" s="642"/>
      <c r="D1035" s="703"/>
      <c r="E1035" s="621"/>
      <c r="F1035" s="711"/>
      <c r="G1035" s="643"/>
      <c r="H1035" s="646"/>
    </row>
    <row r="1036" spans="1:10" s="625" customFormat="1" ht="13.5" thickBot="1">
      <c r="A1036" s="1237"/>
      <c r="B1036" s="627"/>
      <c r="C1036" s="626" t="s">
        <v>670</v>
      </c>
      <c r="D1036" s="626"/>
      <c r="E1036" s="627"/>
      <c r="F1036" s="626"/>
      <c r="G1036" s="691"/>
      <c r="H1036" s="629"/>
    </row>
    <row r="1037" spans="1:10" s="625" customFormat="1" ht="15" customHeight="1" thickTop="1">
      <c r="A1037" s="1240" t="s">
        <v>552</v>
      </c>
      <c r="B1037" s="631" t="str">
        <f>MID(A1037,1,3)&amp;"-"&amp;13</f>
        <v>201-13</v>
      </c>
      <c r="C1037" s="665"/>
      <c r="D1037" s="657" t="str">
        <f>VLOOKUP(A1037,[33]INDICE!$A$3:$D$334,2,FALSE)</f>
        <v>DEMOLICIÓN DE ESTRUCTURAS</v>
      </c>
      <c r="E1037" s="706" t="str">
        <f>VLOOKUP(A1037,[33]INDICE!$A$3:$D$334,3,FALSE)</f>
        <v>m3</v>
      </c>
      <c r="F1037" s="682">
        <f>14*1*0.15</f>
        <v>2.1</v>
      </c>
      <c r="G1037" s="688">
        <f>VLOOKUP(A1037,[33]INDICE!$A$3:$D$334,4,FALSE)</f>
        <v>240341.82659000819</v>
      </c>
      <c r="H1037" s="667">
        <f>F1037*G1037</f>
        <v>504717.83583901724</v>
      </c>
      <c r="J1037" s="625">
        <v>201.7</v>
      </c>
    </row>
    <row r="1038" spans="1:10" s="625" customFormat="1" ht="15" customHeight="1">
      <c r="A1038" s="1231" t="s">
        <v>540</v>
      </c>
      <c r="B1038" s="631" t="str">
        <f>MID(A1038,1,3)&amp;"-"&amp;13</f>
        <v>600-13</v>
      </c>
      <c r="C1038" s="631"/>
      <c r="D1038" s="657" t="str">
        <f>VLOOKUP(A1038,[33]INDICE!$A$3:$D$334,2,FALSE)</f>
        <v>EXCAVACIONES VARIAS SIN CLASIFICAR</v>
      </c>
      <c r="E1038" s="706" t="str">
        <f>VLOOKUP(A1038,[33]INDICE!$A$3:$D$334,3,FALSE)</f>
        <v>m3</v>
      </c>
      <c r="F1038" s="654">
        <v>3</v>
      </c>
      <c r="G1038" s="688">
        <f>VLOOKUP(A1038,[33]INDICE!$A$3:$D$334,4,FALSE)</f>
        <v>67953.950275344076</v>
      </c>
      <c r="H1038" s="652">
        <f>F1038*G1038</f>
        <v>203861.85082603223</v>
      </c>
      <c r="J1038" s="625" t="s">
        <v>541</v>
      </c>
    </row>
    <row r="1039" spans="1:10" s="625" customFormat="1" ht="15" customHeight="1">
      <c r="A1039" s="1232" t="s">
        <v>544</v>
      </c>
      <c r="B1039" s="632" t="str">
        <f>MID(A1039,1,3)&amp;"-"&amp;13</f>
        <v>610-13</v>
      </c>
      <c r="C1039" s="632"/>
      <c r="D1039" s="657" t="str">
        <f>VLOOKUP(A1039,[33]INDICE!$A$3:$D$334,2,FALSE)</f>
        <v>RELLENOS PARA ESTRUCTURAS CON SUELO.</v>
      </c>
      <c r="E1039" s="706" t="str">
        <f>VLOOKUP(A1039,[33]INDICE!$A$3:$D$334,3,FALSE)</f>
        <v>m3</v>
      </c>
      <c r="F1039" s="653">
        <v>1</v>
      </c>
      <c r="G1039" s="688">
        <f>VLOOKUP(A1039,[33]INDICE!$A$3:$D$334,4,FALSE)</f>
        <v>164362.8922747685</v>
      </c>
      <c r="H1039" s="636">
        <f>F1039*G1039</f>
        <v>164362.8922747685</v>
      </c>
      <c r="J1039" s="625">
        <v>610.1</v>
      </c>
    </row>
    <row r="1040" spans="1:10" s="625" customFormat="1" ht="26.1" customHeight="1" thickBot="1">
      <c r="A1040" s="1239" t="s">
        <v>559</v>
      </c>
      <c r="B1040" s="672" t="str">
        <f>MID(A1040,1,3)&amp;"-"&amp;13</f>
        <v>671-13</v>
      </c>
      <c r="C1040" s="672"/>
      <c r="D1040" s="676" t="str">
        <f>VLOOKUP(A1040,[33]INDICE!$A$3:$D$334,2,FALSE)</f>
        <v>CUNETA DE CONCRETO VACIADA IN SITU; INCLUYE LA CONFORMACION DE LA SUPERFICIE DE APOYO</v>
      </c>
      <c r="E1040" s="707" t="str">
        <f>VLOOKUP(A1040,[33]INDICE!$A$3:$D$334,3,FALSE)</f>
        <v>m3</v>
      </c>
      <c r="F1040" s="663">
        <f>14*0.138</f>
        <v>1.9320000000000002</v>
      </c>
      <c r="G1040" s="708">
        <f>VLOOKUP(A1040,[33]INDICE!$A$3:$D$334,4,FALSE)</f>
        <v>841791.75196838728</v>
      </c>
      <c r="H1040" s="679">
        <f>F1040*G1040</f>
        <v>1626341.6648029243</v>
      </c>
      <c r="J1040" s="625">
        <v>671.3</v>
      </c>
    </row>
    <row r="1041" spans="1:10" s="625" customFormat="1" ht="15" customHeight="1" thickTop="1">
      <c r="A1041" s="1235"/>
      <c r="B1041" s="641"/>
      <c r="C1041" s="641"/>
      <c r="D1041" s="680"/>
      <c r="E1041" s="621"/>
      <c r="G1041" s="643" t="s">
        <v>536</v>
      </c>
      <c r="H1041" s="681">
        <f>SUM(H1037:H1040)</f>
        <v>2499284.2437427426</v>
      </c>
      <c r="J1041" s="625">
        <v>1622311</v>
      </c>
    </row>
    <row r="1042" spans="1:10" s="625" customFormat="1" ht="15" customHeight="1">
      <c r="A1042" s="1235"/>
      <c r="B1042" s="641"/>
      <c r="C1042" s="641"/>
      <c r="D1042" s="642"/>
      <c r="E1042" s="621"/>
      <c r="G1042" s="643" t="s">
        <v>537</v>
      </c>
      <c r="H1042" s="644">
        <f>ROUND((+H1041*0.05*0.19)/(1+0.3),0)</f>
        <v>18264</v>
      </c>
    </row>
    <row r="1043" spans="1:10" s="625" customFormat="1" ht="15" customHeight="1" thickBot="1">
      <c r="A1043" s="1236"/>
      <c r="B1043" s="619"/>
      <c r="C1043" s="619"/>
      <c r="D1043" s="620"/>
      <c r="E1043" s="621"/>
      <c r="G1043" s="643" t="s">
        <v>538</v>
      </c>
      <c r="H1043" s="645">
        <f>+ROUND(H1041+H1042,0)</f>
        <v>2517548</v>
      </c>
    </row>
    <row r="1044" spans="1:10" s="625" customFormat="1" ht="15" customHeight="1" thickTop="1">
      <c r="A1044" s="1236"/>
      <c r="B1044" s="619"/>
      <c r="C1044" s="619"/>
      <c r="D1044" s="620"/>
      <c r="E1044" s="621"/>
      <c r="F1044" s="647"/>
      <c r="G1044" s="647"/>
      <c r="H1044" s="624"/>
    </row>
    <row r="1045" spans="1:10" s="625" customFormat="1" ht="15" customHeight="1" thickBot="1">
      <c r="A1045" s="1237"/>
      <c r="B1045" s="627"/>
      <c r="C1045" s="626" t="s">
        <v>671</v>
      </c>
      <c r="D1045" s="626"/>
      <c r="E1045" s="627"/>
      <c r="F1045" s="626"/>
      <c r="G1045" s="691"/>
      <c r="H1045" s="629"/>
    </row>
    <row r="1046" spans="1:10" s="625" customFormat="1" ht="15" customHeight="1" thickTop="1">
      <c r="A1046" s="1240" t="s">
        <v>552</v>
      </c>
      <c r="B1046" s="631" t="str">
        <f>MID(A1046,1,3)&amp;"-"&amp;13</f>
        <v>201-13</v>
      </c>
      <c r="C1046" s="665"/>
      <c r="D1046" s="657" t="str">
        <f>VLOOKUP(A1046,[33]INDICE!$A$3:$D$334,2,FALSE)</f>
        <v>DEMOLICIÓN DE ESTRUCTURAS</v>
      </c>
      <c r="E1046" s="706" t="str">
        <f>VLOOKUP(A1046,[33]INDICE!$A$3:$D$334,3,FALSE)</f>
        <v>m3</v>
      </c>
      <c r="F1046" s="682">
        <f>10*1*0.15</f>
        <v>1.5</v>
      </c>
      <c r="G1046" s="688">
        <f>VLOOKUP(A1046,[33]INDICE!$A$3:$D$334,4,FALSE)</f>
        <v>240341.82659000819</v>
      </c>
      <c r="H1046" s="667">
        <f>F1046*G1046</f>
        <v>360512.73988501227</v>
      </c>
      <c r="J1046" s="625">
        <v>201.7</v>
      </c>
    </row>
    <row r="1047" spans="1:10" s="625" customFormat="1" ht="15" customHeight="1">
      <c r="A1047" s="1231" t="s">
        <v>540</v>
      </c>
      <c r="B1047" s="631" t="str">
        <f>MID(A1047,1,3)&amp;"-"&amp;13</f>
        <v>600-13</v>
      </c>
      <c r="C1047" s="631"/>
      <c r="D1047" s="657" t="str">
        <f>VLOOKUP(A1047,[33]INDICE!$A$3:$D$334,2,FALSE)</f>
        <v>EXCAVACIONES VARIAS SIN CLASIFICAR</v>
      </c>
      <c r="E1047" s="706" t="str">
        <f>VLOOKUP(A1047,[33]INDICE!$A$3:$D$334,3,FALSE)</f>
        <v>m3</v>
      </c>
      <c r="F1047" s="654">
        <v>2.5</v>
      </c>
      <c r="G1047" s="688">
        <f>VLOOKUP(A1047,[33]INDICE!$A$3:$D$334,4,FALSE)</f>
        <v>67953.950275344076</v>
      </c>
      <c r="H1047" s="652">
        <f>F1047*G1047</f>
        <v>169884.87568836019</v>
      </c>
      <c r="J1047" s="625" t="s">
        <v>541</v>
      </c>
    </row>
    <row r="1048" spans="1:10" s="625" customFormat="1" ht="15" customHeight="1">
      <c r="A1048" s="1232" t="s">
        <v>544</v>
      </c>
      <c r="B1048" s="632" t="str">
        <f>MID(A1048,1,3)&amp;"-"&amp;13</f>
        <v>610-13</v>
      </c>
      <c r="C1048" s="632"/>
      <c r="D1048" s="657" t="str">
        <f>VLOOKUP(A1048,[33]INDICE!$A$3:$D$334,2,FALSE)</f>
        <v>RELLENOS PARA ESTRUCTURAS CON SUELO.</v>
      </c>
      <c r="E1048" s="706" t="str">
        <f>VLOOKUP(A1048,[33]INDICE!$A$3:$D$334,3,FALSE)</f>
        <v>m3</v>
      </c>
      <c r="F1048" s="653">
        <v>1</v>
      </c>
      <c r="G1048" s="688">
        <f>VLOOKUP(A1048,[33]INDICE!$A$3:$D$334,4,FALSE)</f>
        <v>164362.8922747685</v>
      </c>
      <c r="H1048" s="636">
        <f>F1048*G1048</f>
        <v>164362.8922747685</v>
      </c>
      <c r="J1048" s="625">
        <v>610.1</v>
      </c>
    </row>
    <row r="1049" spans="1:10" s="625" customFormat="1" ht="26.1" customHeight="1" thickBot="1">
      <c r="A1049" s="1239" t="s">
        <v>559</v>
      </c>
      <c r="B1049" s="672" t="str">
        <f>MID(A1049,1,3)&amp;"-"&amp;13</f>
        <v>671-13</v>
      </c>
      <c r="C1049" s="672"/>
      <c r="D1049" s="676" t="str">
        <f>VLOOKUP(A1049,[33]INDICE!$A$3:$D$334,2,FALSE)</f>
        <v>CUNETA DE CONCRETO VACIADA IN SITU; INCLUYE LA CONFORMACION DE LA SUPERFICIE DE APOYO</v>
      </c>
      <c r="E1049" s="707" t="str">
        <f>VLOOKUP(A1049,[33]INDICE!$A$3:$D$334,3,FALSE)</f>
        <v>m3</v>
      </c>
      <c r="F1049" s="663">
        <f>10*0.138</f>
        <v>1.3800000000000001</v>
      </c>
      <c r="G1049" s="708">
        <f>VLOOKUP(A1049,[33]INDICE!$A$3:$D$334,4,FALSE)</f>
        <v>841791.75196838728</v>
      </c>
      <c r="H1049" s="679">
        <f>F1049*G1049</f>
        <v>1161672.6177163746</v>
      </c>
      <c r="J1049" s="625">
        <v>671.3</v>
      </c>
    </row>
    <row r="1050" spans="1:10" s="625" customFormat="1" ht="15" customHeight="1" thickTop="1">
      <c r="A1050" s="1235"/>
      <c r="B1050" s="641"/>
      <c r="C1050" s="641"/>
      <c r="D1050" s="680"/>
      <c r="E1050" s="621"/>
      <c r="G1050" s="643" t="s">
        <v>536</v>
      </c>
      <c r="H1050" s="681">
        <f>SUM(H1046:H1049)</f>
        <v>1856433.1255645156</v>
      </c>
      <c r="J1050" s="625">
        <v>1.1950000000000001</v>
      </c>
    </row>
    <row r="1051" spans="1:10" s="625" customFormat="1" ht="15" customHeight="1">
      <c r="A1051" s="1235"/>
      <c r="B1051" s="641"/>
      <c r="C1051" s="641"/>
      <c r="D1051" s="642"/>
      <c r="E1051" s="621"/>
      <c r="G1051" s="643" t="s">
        <v>537</v>
      </c>
      <c r="H1051" s="644">
        <f>ROUND((+H1050*0.05*0.19)/(1+0.3),0)</f>
        <v>13566</v>
      </c>
    </row>
    <row r="1052" spans="1:10" s="625" customFormat="1" ht="15" customHeight="1" thickBot="1">
      <c r="A1052" s="1236"/>
      <c r="B1052" s="619"/>
      <c r="C1052" s="619"/>
      <c r="D1052" s="620"/>
      <c r="E1052" s="621"/>
      <c r="G1052" s="643" t="s">
        <v>538</v>
      </c>
      <c r="H1052" s="645">
        <f>+ROUND(H1050+H1051,0)</f>
        <v>1869999</v>
      </c>
    </row>
    <row r="1053" spans="1:10" s="625" customFormat="1" ht="12.95" customHeight="1" thickTop="1">
      <c r="A1053" s="1245"/>
      <c r="B1053" s="712"/>
      <c r="C1053" s="712"/>
      <c r="D1053" s="703"/>
      <c r="E1053" s="712"/>
      <c r="F1053" s="712"/>
      <c r="G1053" s="713"/>
      <c r="H1053" s="714"/>
    </row>
    <row r="1054" spans="1:10" s="625" customFormat="1" ht="15" customHeight="1">
      <c r="A1054" s="1236"/>
      <c r="B1054" s="619"/>
      <c r="C1054" s="619"/>
      <c r="D1054" s="620"/>
      <c r="E1054" s="621"/>
      <c r="F1054" s="647"/>
      <c r="G1054" s="643"/>
      <c r="H1054" s="624"/>
    </row>
    <row r="1055" spans="1:10" s="625" customFormat="1" ht="15" customHeight="1" thickBot="1">
      <c r="A1055" s="1237"/>
      <c r="B1055" s="627"/>
      <c r="C1055" s="626" t="s">
        <v>672</v>
      </c>
      <c r="D1055" s="626"/>
      <c r="E1055" s="627"/>
      <c r="F1055" s="626"/>
      <c r="G1055" s="691"/>
      <c r="H1055" s="629"/>
    </row>
    <row r="1056" spans="1:10" s="625" customFormat="1" ht="15" customHeight="1" thickTop="1">
      <c r="A1056" s="1240" t="s">
        <v>638</v>
      </c>
      <c r="B1056" s="631" t="str">
        <f>MID(A1056,1,3)&amp;"-"&amp;13</f>
        <v>201-13</v>
      </c>
      <c r="C1056" s="715"/>
      <c r="D1056" s="657" t="str">
        <f>VLOOKUP(A1056,[33]INDICE!$A$3:$D$334,2,FALSE)</f>
        <v>DEMOLICIÓN DE PAVIMENTOS RÍGIDOS</v>
      </c>
      <c r="E1056" s="706" t="str">
        <f>VLOOKUP(A1056,[33]INDICE!$A$3:$D$334,3,FALSE)</f>
        <v>m2</v>
      </c>
      <c r="F1056" s="666">
        <f>20*3.5</f>
        <v>70</v>
      </c>
      <c r="G1056" s="688">
        <f>VLOOKUP(A1056,[33]INDICE!$A$3:$D$334,4,FALSE)</f>
        <v>35907.63070329644</v>
      </c>
      <c r="H1056" s="667">
        <f>F1056*G1056</f>
        <v>2513534.1492307507</v>
      </c>
      <c r="J1056" s="625">
        <v>201.8</v>
      </c>
    </row>
    <row r="1057" spans="1:10" s="625" customFormat="1" ht="15" customHeight="1">
      <c r="A1057" s="1231" t="s">
        <v>558</v>
      </c>
      <c r="B1057" s="631" t="str">
        <f>MID(A1057,1,3)&amp;"-"&amp;13</f>
        <v>330-13</v>
      </c>
      <c r="C1057" s="689"/>
      <c r="D1057" s="657" t="str">
        <f>VLOOKUP(A1057,[33]INDICE!$A$3:$D$334,2,FALSE)</f>
        <v>BASE GRANULAR CLASE A</v>
      </c>
      <c r="E1057" s="706" t="str">
        <f>VLOOKUP(A1057,[33]INDICE!$A$3:$D$334,3,FALSE)</f>
        <v>m3</v>
      </c>
      <c r="F1057" s="655">
        <f>20*3.5*0.2</f>
        <v>14</v>
      </c>
      <c r="G1057" s="688">
        <f>VLOOKUP(A1057,[33]INDICE!$A$3:$D$334,4,FALSE)</f>
        <v>375353.93049818149</v>
      </c>
      <c r="H1057" s="652">
        <f>F1057*G1057</f>
        <v>5254955.0269745411</v>
      </c>
      <c r="J1057" s="625">
        <v>330.1</v>
      </c>
    </row>
    <row r="1058" spans="1:10" s="625" customFormat="1" ht="15" customHeight="1">
      <c r="A1058" s="1231" t="s">
        <v>639</v>
      </c>
      <c r="B1058" s="631" t="str">
        <f>MID(A1058,1,3)&amp;"-"&amp;13</f>
        <v>500-13</v>
      </c>
      <c r="C1058" s="716"/>
      <c r="D1058" s="657" t="str">
        <f>VLOOKUP(A1058,[33]INDICE!$A$3:$D$334,2,FALSE)</f>
        <v>PAVIMENTO DE CONCRETO HIDRÁULICO.</v>
      </c>
      <c r="E1058" s="706" t="str">
        <f>VLOOKUP(A1058,[33]INDICE!$A$3:$D$334,3,FALSE)</f>
        <v>m3</v>
      </c>
      <c r="F1058" s="655">
        <f>20*3.5*0.2</f>
        <v>14</v>
      </c>
      <c r="G1058" s="688">
        <f>VLOOKUP(A1058,[33]INDICE!$A$3:$D$334,4,FALSE)</f>
        <v>780147.21001257375</v>
      </c>
      <c r="H1058" s="652">
        <f>F1058*G1058</f>
        <v>10922060.940176032</v>
      </c>
      <c r="J1058" s="625">
        <v>500.1</v>
      </c>
    </row>
    <row r="1059" spans="1:10" s="625" customFormat="1" ht="15" customHeight="1" thickBot="1">
      <c r="A1059" s="1231" t="s">
        <v>540</v>
      </c>
      <c r="B1059" s="631" t="str">
        <f>MID(A1059,1,3)&amp;"-"&amp;13</f>
        <v>600-13</v>
      </c>
      <c r="C1059" s="631"/>
      <c r="D1059" s="657" t="str">
        <f>VLOOKUP(A1059,[33]INDICE!$A$3:$D$334,2,FALSE)</f>
        <v>EXCAVACIONES VARIAS SIN CLASIFICAR</v>
      </c>
      <c r="E1059" s="706" t="str">
        <f>VLOOKUP(A1059,[33]INDICE!$A$3:$D$334,3,FALSE)</f>
        <v>m3</v>
      </c>
      <c r="F1059" s="654">
        <f>20*3.5*0.2</f>
        <v>14</v>
      </c>
      <c r="G1059" s="688">
        <f>VLOOKUP(A1059,[33]INDICE!$A$3:$D$334,4,FALSE)</f>
        <v>67953.950275344076</v>
      </c>
      <c r="H1059" s="652">
        <f>F1059*G1059</f>
        <v>951355.30385481706</v>
      </c>
      <c r="J1059" s="625" t="s">
        <v>541</v>
      </c>
    </row>
    <row r="1060" spans="1:10" s="625" customFormat="1" ht="15" customHeight="1" thickTop="1">
      <c r="A1060" s="1234"/>
      <c r="B1060" s="637"/>
      <c r="C1060" s="637"/>
      <c r="D1060" s="638"/>
      <c r="E1060" s="659"/>
      <c r="F1060" s="660"/>
      <c r="G1060" s="639" t="s">
        <v>536</v>
      </c>
      <c r="H1060" s="640">
        <f>SUM(H1056:H1059)</f>
        <v>19641905.42023614</v>
      </c>
    </row>
    <row r="1061" spans="1:10" s="625" customFormat="1" ht="15" customHeight="1">
      <c r="A1061" s="1235"/>
      <c r="B1061" s="641"/>
      <c r="C1061" s="641"/>
      <c r="D1061" s="642"/>
      <c r="E1061" s="621"/>
      <c r="F1061" s="647"/>
      <c r="G1061" s="643" t="s">
        <v>673</v>
      </c>
      <c r="H1061" s="644">
        <f>ROUND((+H1060*0.05*0.19)/(1+0.3),0)</f>
        <v>143537</v>
      </c>
    </row>
    <row r="1062" spans="1:10" s="625" customFormat="1" ht="15" customHeight="1" thickBot="1">
      <c r="A1062" s="1236"/>
      <c r="B1062" s="619"/>
      <c r="C1062" s="619"/>
      <c r="D1062" s="620"/>
      <c r="E1062" s="621"/>
      <c r="F1062" s="647"/>
      <c r="G1062" s="643" t="s">
        <v>538</v>
      </c>
      <c r="H1062" s="645">
        <f>+ROUND(H1060+H1061,0)</f>
        <v>19785442</v>
      </c>
    </row>
    <row r="1063" spans="1:10" s="625" customFormat="1" ht="15" customHeight="1" thickTop="1">
      <c r="A1063" s="1236"/>
      <c r="B1063" s="619"/>
      <c r="C1063" s="619"/>
      <c r="D1063" s="620"/>
      <c r="E1063" s="621"/>
      <c r="F1063" s="647"/>
      <c r="G1063" s="643"/>
      <c r="H1063" s="646"/>
    </row>
    <row r="1064" spans="1:10" s="625" customFormat="1" ht="13.5" thickBot="1">
      <c r="A1064" s="1237"/>
      <c r="B1064" s="627"/>
      <c r="C1064" s="626" t="s">
        <v>674</v>
      </c>
      <c r="D1064" s="626"/>
      <c r="E1064" s="627"/>
      <c r="F1064" s="626"/>
      <c r="G1064" s="628"/>
      <c r="H1064" s="629"/>
    </row>
    <row r="1065" spans="1:10" s="625" customFormat="1" ht="15" customHeight="1" thickTop="1">
      <c r="A1065" s="1232" t="s">
        <v>552</v>
      </c>
      <c r="B1065" s="632" t="str">
        <f>MID(A1065,1,3)&amp;"-"&amp;13</f>
        <v>201-13</v>
      </c>
      <c r="C1065" s="632"/>
      <c r="D1065" s="657" t="str">
        <f>VLOOKUP(A1065,[33]INDICE!$A$3:$D$334,2,FALSE)</f>
        <v>DEMOLICIÓN DE ESTRUCTURAS</v>
      </c>
      <c r="E1065" s="706" t="str">
        <f>VLOOKUP(A1065,[33]INDICE!$A$3:$D$334,3,FALSE)</f>
        <v>m3</v>
      </c>
      <c r="F1065" s="662">
        <v>4</v>
      </c>
      <c r="G1065" s="688">
        <f>VLOOKUP(A1065,[33]INDICE!$A$3:$D$334,4,FALSE)</f>
        <v>240341.82659000819</v>
      </c>
      <c r="H1065" s="636">
        <f>F1065*G1065</f>
        <v>961367.30636003276</v>
      </c>
      <c r="J1065" s="625">
        <v>201.7</v>
      </c>
    </row>
    <row r="1066" spans="1:10" s="625" customFormat="1" ht="15" customHeight="1">
      <c r="A1066" s="1231" t="s">
        <v>540</v>
      </c>
      <c r="B1066" s="631" t="str">
        <f t="shared" ref="B1066:B1074" si="121">MID(A1066,1,3)&amp;"-"&amp;13</f>
        <v>600-13</v>
      </c>
      <c r="C1066" s="631"/>
      <c r="D1066" s="657" t="str">
        <f>VLOOKUP(A1066,[33]INDICE!$A$3:$D$334,2,FALSE)</f>
        <v>EXCAVACIONES VARIAS SIN CLASIFICAR</v>
      </c>
      <c r="E1066" s="706" t="str">
        <f>VLOOKUP(A1066,[33]INDICE!$A$3:$D$334,3,FALSE)</f>
        <v>m3</v>
      </c>
      <c r="F1066" s="654">
        <f>15*0.5</f>
        <v>7.5</v>
      </c>
      <c r="G1066" s="688">
        <f>VLOOKUP(A1066,[33]INDICE!$A$3:$D$334,4,FALSE)</f>
        <v>67953.950275344076</v>
      </c>
      <c r="H1066" s="652">
        <f t="shared" ref="H1066:H1074" si="122">F1066*G1066</f>
        <v>509654.62706508057</v>
      </c>
      <c r="J1066" s="625" t="s">
        <v>541</v>
      </c>
    </row>
    <row r="1067" spans="1:10" s="625" customFormat="1" ht="15" customHeight="1">
      <c r="A1067" s="1231" t="s">
        <v>544</v>
      </c>
      <c r="B1067" s="631" t="str">
        <f>MID(A1067,1,3)&amp;"-"&amp;13</f>
        <v>610-13</v>
      </c>
      <c r="C1067" s="631"/>
      <c r="D1067" s="657" t="str">
        <f>VLOOKUP(A1067,[33]INDICE!$A$3:$D$334,2,FALSE)</f>
        <v>RELLENOS PARA ESTRUCTURAS CON SUELO.</v>
      </c>
      <c r="E1067" s="706" t="str">
        <f>VLOOKUP(A1067,[33]INDICE!$A$3:$D$334,3,FALSE)</f>
        <v>m3</v>
      </c>
      <c r="F1067" s="655">
        <f>15*0.4</f>
        <v>6</v>
      </c>
      <c r="G1067" s="688">
        <f>VLOOKUP(A1067,[33]INDICE!$A$3:$D$334,4,FALSE)</f>
        <v>164362.8922747685</v>
      </c>
      <c r="H1067" s="652">
        <f>F1067*G1067</f>
        <v>986177.353648611</v>
      </c>
      <c r="J1067" s="625">
        <v>610.1</v>
      </c>
    </row>
    <row r="1068" spans="1:10" s="625" customFormat="1" ht="15" customHeight="1">
      <c r="A1068" s="1231" t="s">
        <v>545</v>
      </c>
      <c r="B1068" s="631" t="str">
        <f>MID(A1068,1,3)&amp;"-"&amp;13</f>
        <v>630-13</v>
      </c>
      <c r="C1068" s="631"/>
      <c r="D1068" s="657" t="str">
        <f>VLOOKUP(A1068,[33]INDICE!$A$3:$D$334,2,FALSE)</f>
        <v>CONCRETO RESISTENCIA 17.5MPA (E )</v>
      </c>
      <c r="E1068" s="706" t="str">
        <f>VLOOKUP(A1068,[33]INDICE!$A$3:$D$334,3,FALSE)</f>
        <v>m3</v>
      </c>
      <c r="F1068" s="655">
        <f>15*0.55</f>
        <v>8.25</v>
      </c>
      <c r="G1068" s="688">
        <f>VLOOKUP(A1068,[33]INDICE!$A$3:$D$334,4,FALSE)</f>
        <v>735031.04931538599</v>
      </c>
      <c r="H1068" s="652">
        <f>F1068*G1068</f>
        <v>6064006.1568519343</v>
      </c>
      <c r="J1068" s="625">
        <v>630.5</v>
      </c>
    </row>
    <row r="1069" spans="1:10" s="625" customFormat="1" ht="15" customHeight="1">
      <c r="A1069" s="1231" t="s">
        <v>546</v>
      </c>
      <c r="B1069" s="631" t="str">
        <f t="shared" si="121"/>
        <v>630-13</v>
      </c>
      <c r="C1069" s="631"/>
      <c r="D1069" s="657" t="str">
        <f>VLOOKUP(A1069,[33]INDICE!$A$3:$D$334,2,FALSE)</f>
        <v>CONCRETO RESISTENCIA 14MPA (G) (CICLOPEO)</v>
      </c>
      <c r="E1069" s="706" t="str">
        <f>VLOOKUP(A1069,[33]INDICE!$A$3:$D$334,3,FALSE)</f>
        <v>m3</v>
      </c>
      <c r="F1069" s="668">
        <v>5</v>
      </c>
      <c r="G1069" s="688">
        <f>VLOOKUP(A1069,[33]INDICE!$A$3:$D$334,4,FALSE)</f>
        <v>530138.01220093726</v>
      </c>
      <c r="H1069" s="652">
        <f t="shared" si="122"/>
        <v>2650690.0610046862</v>
      </c>
      <c r="J1069" s="625">
        <v>630.70000000000005</v>
      </c>
    </row>
    <row r="1070" spans="1:10" s="625" customFormat="1" ht="15" customHeight="1">
      <c r="A1070" s="1231" t="s">
        <v>554</v>
      </c>
      <c r="B1070" s="631" t="str">
        <f t="shared" si="121"/>
        <v>640-13</v>
      </c>
      <c r="C1070" s="631"/>
      <c r="D1070" s="657" t="str">
        <f>VLOOKUP(A1070,[33]INDICE!$A$3:$D$334,2,FALSE)</f>
        <v>ACERO DE REFUERZO FY 4200 MPA.</v>
      </c>
      <c r="E1070" s="706" t="str">
        <f>VLOOKUP(A1070,[33]INDICE!$A$3:$D$334,3,FALSE)</f>
        <v>kg</v>
      </c>
      <c r="F1070" s="654">
        <f>F1068*105</f>
        <v>866.25</v>
      </c>
      <c r="G1070" s="688">
        <f>VLOOKUP(A1070,[33]INDICE!$A$3:$D$334,4,FALSE)</f>
        <v>6085.8496982034649</v>
      </c>
      <c r="H1070" s="652">
        <f t="shared" si="122"/>
        <v>5271867.3010687511</v>
      </c>
      <c r="J1070" s="625">
        <v>640.1</v>
      </c>
    </row>
    <row r="1071" spans="1:10" s="625" customFormat="1" ht="26.1" customHeight="1">
      <c r="A1071" s="1231" t="s">
        <v>605</v>
      </c>
      <c r="B1071" s="631" t="str">
        <f>MID(A1071,1,3)&amp;"-"&amp;13</f>
        <v>661-13</v>
      </c>
      <c r="C1071" s="631"/>
      <c r="D1071" s="657" t="str">
        <f>VLOOKUP(A1071,[33]INDICE!$A$3:$D$334,2,FALSE)</f>
        <v>TUBERÍA DE CONCRETO REFORZADO  21 MPA DE 900 MM DE DIAMETRO INTERIOR</v>
      </c>
      <c r="E1071" s="706" t="str">
        <f>VLOOKUP(A1071,[33]INDICE!$A$3:$D$334,3,FALSE)</f>
        <v>m</v>
      </c>
      <c r="F1071" s="650">
        <v>1</v>
      </c>
      <c r="G1071" s="688">
        <f>VLOOKUP(A1071,[33]INDICE!$A$3:$D$334,4,FALSE)</f>
        <v>689897.64607454219</v>
      </c>
      <c r="H1071" s="652">
        <f>F1071*G1071</f>
        <v>689897.64607454219</v>
      </c>
      <c r="J1071" s="625">
        <v>661.1</v>
      </c>
    </row>
    <row r="1072" spans="1:10" s="625" customFormat="1" ht="26.1" customHeight="1">
      <c r="A1072" s="1231" t="s">
        <v>559</v>
      </c>
      <c r="B1072" s="631" t="str">
        <f>MID(A1072,1,3)&amp;"-"&amp;13</f>
        <v>671-13</v>
      </c>
      <c r="C1072" s="631"/>
      <c r="D1072" s="657" t="str">
        <f>VLOOKUP(A1072,[33]INDICE!$A$3:$D$334,2,FALSE)</f>
        <v>CUNETA DE CONCRETO VACIADA IN SITU; INCLUYE LA CONFORMACION DE LA SUPERFICIE DE APOYO</v>
      </c>
      <c r="E1072" s="706" t="str">
        <f>VLOOKUP(A1072,[33]INDICE!$A$3:$D$334,3,FALSE)</f>
        <v>m3</v>
      </c>
      <c r="F1072" s="655">
        <f>5*0.138</f>
        <v>0.69000000000000006</v>
      </c>
      <c r="G1072" s="688">
        <f>VLOOKUP(A1072,[33]INDICE!$A$3:$D$334,4,FALSE)</f>
        <v>841791.75196838728</v>
      </c>
      <c r="H1072" s="652">
        <f>F1072*G1072</f>
        <v>580836.30885818729</v>
      </c>
      <c r="J1072" s="625">
        <v>671.3</v>
      </c>
    </row>
    <row r="1073" spans="1:10" s="625" customFormat="1" ht="15" customHeight="1">
      <c r="A1073" s="1233" t="s">
        <v>548</v>
      </c>
      <c r="B1073" s="683" t="str">
        <f>MID(A1073,1,3)&amp;"-"&amp;13</f>
        <v>673-13</v>
      </c>
      <c r="C1073" s="683"/>
      <c r="D1073" s="657" t="str">
        <f>VLOOKUP(A1073,[33]INDICE!$A$3:$D$334,2,FALSE)</f>
        <v>GEOTEXTIL  TIPO T-2400 O SIMILAR TEJIDO</v>
      </c>
      <c r="E1073" s="706" t="str">
        <f>VLOOKUP(A1073,[33]INDICE!$A$3:$D$334,3,FALSE)</f>
        <v>m2</v>
      </c>
      <c r="F1073" s="687">
        <v>20</v>
      </c>
      <c r="G1073" s="688">
        <f>VLOOKUP(A1073,[33]INDICE!$A$3:$D$334,4,FALSE)</f>
        <v>10983.835173625577</v>
      </c>
      <c r="H1073" s="686">
        <f>F1073*G1073</f>
        <v>219676.70347251155</v>
      </c>
      <c r="J1073" s="625">
        <v>673.1</v>
      </c>
    </row>
    <row r="1074" spans="1:10" s="625" customFormat="1" ht="33.75" customHeight="1" thickBot="1">
      <c r="A1074" s="1231" t="s">
        <v>549</v>
      </c>
      <c r="B1074" s="631" t="str">
        <f t="shared" si="121"/>
        <v>681-13</v>
      </c>
      <c r="C1074" s="631"/>
      <c r="D1074" s="657" t="str">
        <f>VLOOKUP(A1074,[33]INDICE!$A$3:$D$334,2,FALSE)</f>
        <v xml:space="preserve">GAVIÓNES DE MALLA DE ALAMBRE DE ACERO ENTRELAZADO  CLASE 1; RECUBRIMIENTO DE ZINC (GALVANIZADO) </v>
      </c>
      <c r="E1074" s="706" t="str">
        <f>VLOOKUP(A1074,[33]INDICE!$A$3:$D$334,3,FALSE)</f>
        <v>m3</v>
      </c>
      <c r="F1074" s="654">
        <v>10</v>
      </c>
      <c r="G1074" s="688">
        <f>VLOOKUP(A1074,[33]INDICE!$A$3:$D$334,4,FALSE)</f>
        <v>400986.60185015475</v>
      </c>
      <c r="H1074" s="652">
        <f t="shared" si="122"/>
        <v>4009866.0185015476</v>
      </c>
      <c r="J1074" s="625">
        <v>681.1</v>
      </c>
    </row>
    <row r="1075" spans="1:10" s="625" customFormat="1" ht="15" customHeight="1" thickTop="1">
      <c r="A1075" s="1234"/>
      <c r="B1075" s="637"/>
      <c r="C1075" s="637"/>
      <c r="D1075" s="638"/>
      <c r="E1075" s="659"/>
      <c r="F1075" s="660"/>
      <c r="G1075" s="670" t="s">
        <v>536</v>
      </c>
      <c r="H1075" s="640">
        <f>SUM(H1065:H1074)</f>
        <v>21944039.48290588</v>
      </c>
    </row>
    <row r="1076" spans="1:10" s="625" customFormat="1" ht="15" customHeight="1">
      <c r="A1076" s="1235"/>
      <c r="B1076" s="641"/>
      <c r="C1076" s="641"/>
      <c r="D1076" s="642"/>
      <c r="E1076" s="621"/>
      <c r="F1076" s="647"/>
      <c r="G1076" s="671" t="s">
        <v>537</v>
      </c>
      <c r="H1076" s="644">
        <f>ROUND((+H1075*0.05*0.19)/(1+0.3),0)</f>
        <v>160360</v>
      </c>
    </row>
    <row r="1077" spans="1:10" s="625" customFormat="1" ht="15" customHeight="1" thickBot="1">
      <c r="A1077" s="1236"/>
      <c r="B1077" s="619"/>
      <c r="C1077" s="619"/>
      <c r="D1077" s="620"/>
      <c r="E1077" s="621"/>
      <c r="F1077" s="647"/>
      <c r="G1077" s="671" t="s">
        <v>538</v>
      </c>
      <c r="H1077" s="645">
        <f>+ROUND(H1075+H1076,0)</f>
        <v>22104399</v>
      </c>
    </row>
    <row r="1078" spans="1:10" s="625" customFormat="1" ht="15" customHeight="1" thickTop="1">
      <c r="A1078" s="1246" t="s">
        <v>675</v>
      </c>
      <c r="B1078" s="619"/>
      <c r="C1078" s="619"/>
      <c r="D1078" s="620"/>
      <c r="E1078" s="621"/>
      <c r="F1078" s="647"/>
      <c r="G1078" s="643"/>
      <c r="H1078" s="624"/>
    </row>
    <row r="1079" spans="1:10" s="625" customFormat="1" ht="12.75" customHeight="1" thickBot="1">
      <c r="A1079" s="1237"/>
      <c r="B1079" s="627"/>
      <c r="C1079" s="626" t="s">
        <v>676</v>
      </c>
      <c r="D1079" s="626"/>
      <c r="E1079" s="627"/>
      <c r="F1079" s="626"/>
      <c r="G1079" s="628"/>
      <c r="H1079" s="629"/>
    </row>
    <row r="1080" spans="1:10" s="625" customFormat="1" ht="29.25" customHeight="1" thickTop="1">
      <c r="A1080" s="1231" t="s">
        <v>603</v>
      </c>
      <c r="B1080" s="631" t="str">
        <f>MID(A1080,1,3)&amp;"-"&amp;13</f>
        <v>330-13</v>
      </c>
      <c r="C1080" s="631"/>
      <c r="D1080" s="657" t="str">
        <f>VLOOKUP(A1080,[33]INDICE!$A$3:$D$334,2,FALSE)</f>
        <v>BASE GRANULAR PARA BACHEO CLASE A</v>
      </c>
      <c r="E1080" s="706" t="str">
        <f>VLOOKUP(A1080,[33]INDICE!$A$3:$D$334,3,FALSE)</f>
        <v>m3</v>
      </c>
      <c r="F1080" s="694">
        <f>F1083*0.4</f>
        <v>316</v>
      </c>
      <c r="G1080" s="688">
        <f>VLOOKUP(A1080,[33]INDICE!$A$3:$D$334,4,FALSE)</f>
        <v>388123.88712339668</v>
      </c>
      <c r="H1080" s="652">
        <f>F1080*G1080</f>
        <v>122647148.33099335</v>
      </c>
      <c r="J1080" s="625">
        <v>330.4</v>
      </c>
    </row>
    <row r="1081" spans="1:10" s="625" customFormat="1" ht="26.1" customHeight="1">
      <c r="A1081" s="1231" t="s">
        <v>574</v>
      </c>
      <c r="B1081" s="631" t="str">
        <f>MID(A1081,1,3)&amp;"-"&amp;13</f>
        <v>450-13</v>
      </c>
      <c r="C1081" s="631"/>
      <c r="D1081" s="657" t="str">
        <f>VLOOKUP(A1081,[33]INDICE!$A$3:$D$334,2,FALSE)</f>
        <v>Mezcla Densa en Caliente tipo MDC-19 INCLUYE TRANSPORTE</v>
      </c>
      <c r="E1081" s="706" t="str">
        <f>VLOOKUP(A1081,[33]INDICE!$A$3:$D$334,3,FALSE)</f>
        <v>M3</v>
      </c>
      <c r="F1081" s="694">
        <f>(885+(71323-68613)+(101900-85130))*0.075*7.2*0.4</f>
        <v>4398.84</v>
      </c>
      <c r="G1081" s="688">
        <f>VLOOKUP(A1081,[33]INDICE!$A$3:$D$334,4,FALSE)</f>
        <v>1299990.5178796239</v>
      </c>
      <c r="H1081" s="652">
        <f>F1081*G1081</f>
        <v>5718450289.6696053</v>
      </c>
      <c r="J1081" s="625" t="s">
        <v>575</v>
      </c>
    </row>
    <row r="1082" spans="1:10" s="625" customFormat="1" ht="24" customHeight="1">
      <c r="A1082" s="1231" t="s">
        <v>677</v>
      </c>
      <c r="B1082" s="631" t="str">
        <f>MID(A1082,1,3)&amp;"-"&amp;13</f>
        <v>460-13</v>
      </c>
      <c r="C1082" s="716"/>
      <c r="D1082" s="657" t="str">
        <f>VLOOKUP(A1082,[33]INDICE!$A$3:$D$334,2,FALSE)</f>
        <v>FRESADO DE PAVIMENTO ASFÁLTICO EN ESPESOR DE  10 CM</v>
      </c>
      <c r="E1082" s="706" t="str">
        <f>VLOOKUP(A1082,[33]INDICE!$A$3:$D$334,3,FALSE)</f>
        <v>m2</v>
      </c>
      <c r="F1082" s="694">
        <f>(885+(71323-68613)+(101900-85130))*0.01</f>
        <v>203.65</v>
      </c>
      <c r="G1082" s="688">
        <f>VLOOKUP(A1082,[33]INDICE!$A$3:$D$334,4,FALSE)</f>
        <v>11684.328734742659</v>
      </c>
      <c r="H1082" s="652">
        <f>F1082*G1082</f>
        <v>2379513.5468303426</v>
      </c>
      <c r="J1082" s="625">
        <v>460.1</v>
      </c>
    </row>
    <row r="1083" spans="1:10" s="625" customFormat="1" ht="36.950000000000003" customHeight="1" thickBot="1">
      <c r="A1083" s="1233" t="s">
        <v>604</v>
      </c>
      <c r="B1083" s="683" t="str">
        <f>MID(A1083,1,3)&amp;"-"&amp;13</f>
        <v>465-13</v>
      </c>
      <c r="C1083" s="683"/>
      <c r="D1083" s="657" t="str">
        <f>VLOOKUP(A1083,[33]INDICE!$A$3:$D$334,2,FALSE)</f>
        <v>EXCAVACIÓN PARA REPARACIÓN DE PAVIMENTO ASFÁLTICO EXISTENTE INCLUYENDO EL CORTE Y LA REMOCIÒN DE LAS CAPAS ASFALTICAS SUBYACENTES</v>
      </c>
      <c r="E1083" s="706" t="str">
        <f>VLOOKUP(A1083,[33]INDICE!$A$3:$D$334,3,FALSE)</f>
        <v>m3</v>
      </c>
      <c r="F1083" s="717">
        <v>790</v>
      </c>
      <c r="G1083" s="688">
        <f>VLOOKUP(A1083,[33]INDICE!$A$3:$D$334,4,FALSE)</f>
        <v>152185.3287895511</v>
      </c>
      <c r="H1083" s="679">
        <f>F1083*G1083</f>
        <v>120226409.74374537</v>
      </c>
      <c r="J1083" s="625">
        <v>465.1</v>
      </c>
    </row>
    <row r="1084" spans="1:10" s="625" customFormat="1" ht="15" customHeight="1" thickTop="1">
      <c r="A1084" s="1234"/>
      <c r="B1084" s="637"/>
      <c r="C1084" s="638"/>
      <c r="D1084" s="638"/>
      <c r="E1084" s="659"/>
      <c r="F1084" s="718"/>
      <c r="G1084" s="670" t="s">
        <v>536</v>
      </c>
      <c r="H1084" s="710">
        <f>SUM(H1080:H1083)</f>
        <v>5963703361.2911749</v>
      </c>
    </row>
    <row r="1085" spans="1:10" s="625" customFormat="1" ht="15" customHeight="1">
      <c r="A1085" s="1235"/>
      <c r="B1085" s="641"/>
      <c r="C1085" s="642"/>
      <c r="D1085" s="642"/>
      <c r="E1085" s="621"/>
      <c r="F1085" s="647"/>
      <c r="G1085" s="671" t="s">
        <v>537</v>
      </c>
      <c r="H1085" s="644">
        <f>ROUND((+H1084*0.05*0.19)/(1+0.3),0)</f>
        <v>43580909</v>
      </c>
    </row>
    <row r="1086" spans="1:10" s="625" customFormat="1" ht="15" customHeight="1" thickBot="1">
      <c r="A1086" s="1241"/>
      <c r="B1086" s="641"/>
      <c r="C1086" s="642"/>
      <c r="D1086" s="703"/>
      <c r="E1086" s="621"/>
      <c r="F1086" s="711"/>
      <c r="G1086" s="671" t="s">
        <v>538</v>
      </c>
      <c r="H1086" s="645">
        <f>+ROUND(H1084+H1085,0)</f>
        <v>6007284270</v>
      </c>
    </row>
    <row r="1087" spans="1:10" s="625" customFormat="1" ht="15" customHeight="1" thickTop="1">
      <c r="A1087" s="1243"/>
      <c r="B1087" s="619"/>
      <c r="C1087" s="619"/>
      <c r="D1087" s="620"/>
      <c r="E1087" s="621"/>
      <c r="F1087" s="647"/>
      <c r="G1087" s="643"/>
      <c r="H1087" s="624"/>
    </row>
    <row r="1088" spans="1:10" s="625" customFormat="1" ht="15" customHeight="1">
      <c r="A1088" s="1243" t="s">
        <v>678</v>
      </c>
      <c r="B1088" s="619"/>
      <c r="C1088" s="619"/>
      <c r="D1088" s="620"/>
      <c r="E1088" s="621"/>
      <c r="F1088" s="647"/>
      <c r="G1088" s="643"/>
      <c r="H1088" s="624"/>
    </row>
    <row r="1089" spans="1:10" s="625" customFormat="1" ht="15" customHeight="1">
      <c r="A1089" s="1243"/>
      <c r="B1089" s="619"/>
      <c r="C1089" s="619"/>
      <c r="D1089" s="620"/>
      <c r="E1089" s="621"/>
      <c r="F1089" s="647"/>
      <c r="G1089" s="643"/>
      <c r="H1089" s="624"/>
    </row>
    <row r="1090" spans="1:10" s="625" customFormat="1" ht="12.75" customHeight="1" thickBot="1">
      <c r="A1090" s="1237"/>
      <c r="B1090" s="627"/>
      <c r="C1090" s="626" t="s">
        <v>679</v>
      </c>
      <c r="D1090" s="626"/>
      <c r="E1090" s="627"/>
      <c r="F1090" s="626"/>
      <c r="G1090" s="628"/>
      <c r="H1090" s="629"/>
      <c r="I1090" s="630"/>
    </row>
    <row r="1091" spans="1:10" s="625" customFormat="1" ht="15" customHeight="1" thickTop="1">
      <c r="A1091" s="1240" t="s">
        <v>680</v>
      </c>
      <c r="B1091" s="631" t="str">
        <f>MID(A1091,1,3)&amp;"-"&amp;13</f>
        <v>211-13</v>
      </c>
      <c r="C1091" s="719"/>
      <c r="D1091" s="657" t="str">
        <f>VLOOKUP(A1091,[33]INDICE!$A$3:$D$334,2,FALSE)</f>
        <v>REMOCIÓN DE DERRUMBES</v>
      </c>
      <c r="E1091" s="706" t="str">
        <f>VLOOKUP(A1091,[33]INDICE!$A$3:$D$334,3,FALSE)</f>
        <v>m3</v>
      </c>
      <c r="F1091" s="720">
        <v>1500</v>
      </c>
      <c r="G1091" s="688">
        <f>VLOOKUP(A1091,[33]INDICE!$A$3:$D$334,4,FALSE)</f>
        <v>12607.294816422007</v>
      </c>
      <c r="H1091" s="721">
        <f>F1091*G1091</f>
        <v>18910942.224633012</v>
      </c>
      <c r="J1091" s="625">
        <v>211.1</v>
      </c>
    </row>
    <row r="1092" spans="1:10" s="625" customFormat="1" ht="26.1" customHeight="1" thickBot="1">
      <c r="A1092" s="1239" t="s">
        <v>681</v>
      </c>
      <c r="B1092" s="631" t="str">
        <f>MID(A1092,1,3)&amp;"-"&amp;13</f>
        <v>900-13</v>
      </c>
      <c r="C1092" s="722"/>
      <c r="D1092" s="657" t="str">
        <f>VLOOKUP(A1092,[33]INDICE!$A$3:$D$334,2,FALSE)</f>
        <v>TRANSPORTE DE MATERIALES PROVENIENTES DE DERRUMBES, MEDIDO A PARTIR DE CIEN METROS (100 M)</v>
      </c>
      <c r="E1092" s="706" t="str">
        <f>VLOOKUP(A1092,[33]INDICE!$A$3:$D$334,3,FALSE)</f>
        <v>m3/km</v>
      </c>
      <c r="F1092" s="723">
        <v>20000</v>
      </c>
      <c r="G1092" s="688">
        <f>VLOOKUP(A1092,[33]INDICE!$A$3:$D$334,4,FALSE)</f>
        <v>1762.1846672583943</v>
      </c>
      <c r="H1092" s="724">
        <f>F1092*G1092</f>
        <v>35243693.345167883</v>
      </c>
      <c r="J1092" s="625">
        <v>900.3</v>
      </c>
    </row>
    <row r="1093" spans="1:10" s="625" customFormat="1" ht="15" customHeight="1" thickTop="1">
      <c r="A1093" s="1234"/>
      <c r="B1093" s="637"/>
      <c r="C1093" s="638"/>
      <c r="D1093" s="638"/>
      <c r="E1093" s="659"/>
      <c r="F1093" s="660"/>
      <c r="G1093" s="670" t="s">
        <v>536</v>
      </c>
      <c r="H1093" s="725">
        <f>SUM(H1091:H1092)</f>
        <v>54154635.569800898</v>
      </c>
    </row>
    <row r="1094" spans="1:10" s="625" customFormat="1" ht="15" customHeight="1">
      <c r="A1094" s="1235"/>
      <c r="B1094" s="641"/>
      <c r="C1094" s="642"/>
      <c r="D1094" s="642"/>
      <c r="E1094" s="621"/>
      <c r="F1094" s="647"/>
      <c r="G1094" s="671" t="s">
        <v>537</v>
      </c>
      <c r="H1094" s="644">
        <f>ROUND((+H1093*0.05*0.19)/(1+0.3),0)</f>
        <v>395745</v>
      </c>
    </row>
    <row r="1095" spans="1:10" s="625" customFormat="1" ht="15" customHeight="1" thickBot="1">
      <c r="A1095" s="1241"/>
      <c r="B1095" s="641"/>
      <c r="C1095" s="642"/>
      <c r="D1095" s="703"/>
      <c r="E1095" s="621"/>
      <c r="F1095" s="647"/>
      <c r="G1095" s="671" t="s">
        <v>538</v>
      </c>
      <c r="H1095" s="645">
        <f>+ROUND(H1093+H1094,0)</f>
        <v>54550381</v>
      </c>
      <c r="I1095" s="630"/>
    </row>
    <row r="1096" spans="1:10" s="625" customFormat="1" ht="15" customHeight="1" thickTop="1">
      <c r="A1096" s="1247"/>
    </row>
    <row r="1097" spans="1:10" s="625" customFormat="1" ht="15" customHeight="1">
      <c r="A1097" s="1243"/>
      <c r="B1097" s="619"/>
      <c r="C1097" s="619"/>
      <c r="D1097" s="620"/>
      <c r="E1097" s="621"/>
      <c r="F1097" s="647"/>
      <c r="G1097" s="643"/>
      <c r="H1097" s="624"/>
    </row>
    <row r="1098" spans="1:10" s="625" customFormat="1" ht="15" customHeight="1">
      <c r="A1098" s="1243" t="s">
        <v>682</v>
      </c>
      <c r="B1098" s="619"/>
      <c r="C1098" s="619"/>
      <c r="D1098" s="620"/>
      <c r="E1098" s="621"/>
      <c r="F1098" s="647"/>
      <c r="G1098" s="643"/>
      <c r="H1098" s="624"/>
    </row>
    <row r="1099" spans="1:10" s="625" customFormat="1" ht="15" customHeight="1">
      <c r="A1099" s="1243" t="s">
        <v>683</v>
      </c>
      <c r="B1099" s="619"/>
      <c r="C1099" s="619"/>
      <c r="D1099" s="620"/>
      <c r="E1099" s="621"/>
      <c r="F1099" s="647"/>
      <c r="G1099" s="643"/>
      <c r="H1099" s="624"/>
    </row>
    <row r="1100" spans="1:10" s="625" customFormat="1" ht="15" customHeight="1">
      <c r="A1100" s="1243"/>
      <c r="B1100" s="619"/>
      <c r="C1100" s="619"/>
      <c r="D1100" s="620"/>
      <c r="E1100" s="621"/>
      <c r="F1100" s="647"/>
      <c r="G1100" s="643"/>
      <c r="H1100" s="624"/>
    </row>
    <row r="1101" spans="1:10" s="625" customFormat="1" ht="12.75" customHeight="1" thickBot="1">
      <c r="A1101" s="1237"/>
      <c r="B1101" s="627"/>
      <c r="C1101" s="626" t="s">
        <v>684</v>
      </c>
      <c r="D1101" s="626"/>
      <c r="E1101" s="627"/>
      <c r="F1101" s="626"/>
      <c r="G1101" s="628"/>
      <c r="H1101" s="629"/>
    </row>
    <row r="1102" spans="1:10" s="625" customFormat="1" ht="15" customHeight="1" thickTop="1">
      <c r="A1102" s="1231" t="s">
        <v>603</v>
      </c>
      <c r="B1102" s="631" t="str">
        <f>MID(A1102,1,3)&amp;"-"&amp;13</f>
        <v>330-13</v>
      </c>
      <c r="C1102" s="631"/>
      <c r="D1102" s="657" t="str">
        <f>VLOOKUP(A1102,[33]INDICE!$A$3:$D$334,2,FALSE)</f>
        <v>BASE GRANULAR PARA BACHEO CLASE A</v>
      </c>
      <c r="E1102" s="706" t="str">
        <f>VLOOKUP(A1102,[33]INDICE!$A$3:$D$334,3,FALSE)</f>
        <v>m3</v>
      </c>
      <c r="F1102" s="694">
        <f>F1106*0.4</f>
        <v>316</v>
      </c>
      <c r="G1102" s="726">
        <f>VLOOKUP(A1102,[33]INDICE!$A$3:$D$334,4,FALSE)</f>
        <v>388123.88712339668</v>
      </c>
      <c r="H1102" s="652">
        <f>F1102*G1102</f>
        <v>122647148.33099335</v>
      </c>
      <c r="J1102" s="625">
        <v>330.4</v>
      </c>
    </row>
    <row r="1103" spans="1:10" s="625" customFormat="1" ht="26.1" customHeight="1">
      <c r="A1103" s="1231" t="s">
        <v>574</v>
      </c>
      <c r="B1103" s="631" t="str">
        <f>MID(A1103,1,3)&amp;"-"&amp;13</f>
        <v>450-13</v>
      </c>
      <c r="C1103" s="631"/>
      <c r="D1103" s="657" t="str">
        <f>VLOOKUP(A1103,[33]INDICE!$A$3:$D$334,2,FALSE)</f>
        <v>Mezcla Densa en Caliente tipo MDC-19 INCLUYE TRANSPORTE</v>
      </c>
      <c r="E1103" s="706" t="str">
        <f>VLOOKUP(A1103,[33]INDICE!$A$3:$D$334,3,FALSE)</f>
        <v>M3</v>
      </c>
      <c r="F1103" s="694">
        <f>(885+(71323-68613)+(101900-85130))*0.075*7.2</f>
        <v>10997.1</v>
      </c>
      <c r="G1103" s="726">
        <f>VLOOKUP(A1103,[33]INDICE!$A$3:$D$334,4,FALSE)</f>
        <v>1299990.5178796239</v>
      </c>
      <c r="H1103" s="652">
        <f>F1103*G1103</f>
        <v>14296125724.174013</v>
      </c>
      <c r="J1103" s="625" t="s">
        <v>575</v>
      </c>
    </row>
    <row r="1104" spans="1:10" s="625" customFormat="1" ht="26.1" customHeight="1">
      <c r="A1104" s="1231" t="s">
        <v>574</v>
      </c>
      <c r="B1104" s="631" t="str">
        <f>MID(A1104,1,3)&amp;"-"&amp;13</f>
        <v>450-13</v>
      </c>
      <c r="C1104" s="631"/>
      <c r="D1104" s="657" t="str">
        <f>VLOOKUP(A1104,[33]INDICE!$A$3:$D$334,2,FALSE)</f>
        <v>Mezcla Densa en Caliente tipo MDC-19 INCLUYE TRANSPORTE</v>
      </c>
      <c r="E1104" s="706" t="str">
        <f>VLOOKUP(A1104,[33]INDICE!$A$3:$D$334,3,FALSE)</f>
        <v>M3</v>
      </c>
      <c r="F1104" s="694">
        <f>F1106</f>
        <v>790</v>
      </c>
      <c r="G1104" s="726">
        <f>VLOOKUP(A1104,[33]INDICE!$A$3:$D$334,4,FALSE)</f>
        <v>1299990.5178796239</v>
      </c>
      <c r="H1104" s="652">
        <f>F1104*G1104</f>
        <v>1026992509.1249028</v>
      </c>
      <c r="J1104" s="625" t="s">
        <v>575</v>
      </c>
    </row>
    <row r="1105" spans="1:10" s="625" customFormat="1" ht="24" customHeight="1">
      <c r="A1105" s="1231" t="s">
        <v>677</v>
      </c>
      <c r="B1105" s="631" t="str">
        <f>MID(A1105,1,3)&amp;"-"&amp;13</f>
        <v>460-13</v>
      </c>
      <c r="C1105" s="716"/>
      <c r="D1105" s="657" t="str">
        <f>VLOOKUP(A1105,[33]INDICE!$A$3:$D$334,2,FALSE)</f>
        <v>FRESADO DE PAVIMENTO ASFÁLTICO EN ESPESOR DE  10 CM</v>
      </c>
      <c r="E1105" s="706" t="str">
        <f>VLOOKUP(A1105,[33]INDICE!$A$3:$D$334,3,FALSE)</f>
        <v>m2</v>
      </c>
      <c r="F1105" s="694">
        <f>F1103/0.07*0.22</f>
        <v>34562.314285714281</v>
      </c>
      <c r="G1105" s="726">
        <f>VLOOKUP(A1105,[33]INDICE!$A$3:$D$334,4,FALSE)</f>
        <v>11684.328734742659</v>
      </c>
      <c r="H1105" s="652">
        <f>F1105*G1105</f>
        <v>403837441.94777811</v>
      </c>
      <c r="J1105" s="625">
        <v>460.1</v>
      </c>
    </row>
    <row r="1106" spans="1:10" s="625" customFormat="1" ht="36.950000000000003" customHeight="1" thickBot="1">
      <c r="A1106" s="1231" t="s">
        <v>604</v>
      </c>
      <c r="B1106" s="631" t="str">
        <f>MID(A1106,1,3)&amp;"-"&amp;13</f>
        <v>465-13</v>
      </c>
      <c r="C1106" s="631"/>
      <c r="D1106" s="657" t="str">
        <f>VLOOKUP(A1106,[33]INDICE!$A$3:$D$334,2,FALSE)</f>
        <v>EXCAVACIÓN PARA REPARACIÓN DE PAVIMENTO ASFÁLTICO EXISTENTE INCLUYENDO EL CORTE Y LA REMOCIÒN DE LAS CAPAS ASFALTICAS SUBYACENTES</v>
      </c>
      <c r="E1106" s="706" t="str">
        <f>VLOOKUP(A1106,[33]INDICE!$A$3:$D$334,3,FALSE)</f>
        <v>m3</v>
      </c>
      <c r="F1106" s="694">
        <v>790</v>
      </c>
      <c r="G1106" s="726">
        <f>VLOOKUP(A1106,[33]INDICE!$A$3:$D$334,4,FALSE)</f>
        <v>152185.3287895511</v>
      </c>
      <c r="H1106" s="679">
        <f>F1106*G1106</f>
        <v>120226409.74374537</v>
      </c>
      <c r="J1106" s="625">
        <v>465.1</v>
      </c>
    </row>
    <row r="1107" spans="1:10" s="625" customFormat="1" ht="15" customHeight="1" thickTop="1">
      <c r="A1107" s="637"/>
      <c r="B1107" s="637"/>
      <c r="C1107" s="638"/>
      <c r="D1107" s="638"/>
      <c r="E1107" s="659"/>
      <c r="F1107" s="718"/>
      <c r="G1107" s="670" t="s">
        <v>536</v>
      </c>
      <c r="H1107" s="710">
        <f>SUM(H1102:H1106)</f>
        <v>15969829233.321434</v>
      </c>
    </row>
    <row r="1108" spans="1:10" s="625" customFormat="1" ht="15" customHeight="1">
      <c r="A1108" s="641"/>
      <c r="B1108" s="641"/>
      <c r="C1108" s="642"/>
      <c r="D1108" s="642"/>
      <c r="E1108" s="621"/>
      <c r="F1108" s="647"/>
      <c r="G1108" s="671" t="s">
        <v>537</v>
      </c>
      <c r="H1108" s="644">
        <f>ROUND((+H1107*0.05*0.19)/(1+0.3),0)</f>
        <v>116702598</v>
      </c>
    </row>
    <row r="1109" spans="1:10" s="625" customFormat="1" ht="15" customHeight="1" thickBot="1">
      <c r="A1109" s="642"/>
      <c r="B1109" s="641"/>
      <c r="C1109" s="642"/>
      <c r="D1109" s="703"/>
      <c r="E1109" s="621"/>
      <c r="F1109" s="711"/>
      <c r="G1109" s="671" t="s">
        <v>538</v>
      </c>
      <c r="H1109" s="645">
        <f>+ROUND(H1107+H1108,0)</f>
        <v>16086531831</v>
      </c>
    </row>
    <row r="1110" spans="1:10" s="625" customFormat="1" ht="15" customHeight="1" thickTop="1">
      <c r="A1110" s="705"/>
      <c r="B1110" s="619"/>
      <c r="C1110" s="619"/>
      <c r="D1110" s="620"/>
      <c r="E1110" s="621"/>
      <c r="F1110" s="647"/>
      <c r="G1110" s="643"/>
      <c r="H1110" s="624"/>
    </row>
    <row r="1111" spans="1:10" s="625" customFormat="1" ht="12.75" customHeight="1" thickBot="1">
      <c r="A1111" s="626"/>
      <c r="B1111" s="627"/>
      <c r="C1111" s="626" t="s">
        <v>685</v>
      </c>
      <c r="D1111" s="626"/>
      <c r="E1111" s="627"/>
      <c r="F1111" s="626"/>
      <c r="G1111" s="628"/>
      <c r="H1111" s="629"/>
    </row>
    <row r="1112" spans="1:10" s="625" customFormat="1" ht="24" customHeight="1" thickTop="1" thickBot="1">
      <c r="A1112" s="631" t="s">
        <v>686</v>
      </c>
      <c r="B1112" s="631" t="str">
        <f>MID(A1112,1,3)&amp;"-"&amp;13</f>
        <v>466-13</v>
      </c>
      <c r="C1112" s="631"/>
      <c r="D1112" s="657" t="str">
        <f>VLOOKUP(A1112,[33]INDICE!$A$3:$D$334,2,FALSE)</f>
        <v>SELLO DE GRIETAS EN PAVIMENTO ASFÁLTICO CON RUTEO.</v>
      </c>
      <c r="E1112" s="706" t="str">
        <f>VLOOKUP(A1112,[33]INDICE!$A$3:$D$334,3,FALSE)</f>
        <v>m</v>
      </c>
      <c r="F1112" s="654">
        <f>2566.7/0.25</f>
        <v>10266.799999999999</v>
      </c>
      <c r="G1112" s="688">
        <f>VLOOKUP(A1112,[33]INDICE!$A$3:$D$334,4,FALSE)</f>
        <v>5429.2848370389484</v>
      </c>
      <c r="H1112" s="652">
        <f>F1112*G1112</f>
        <v>55741381.56491147</v>
      </c>
      <c r="J1112" s="625" t="s">
        <v>686</v>
      </c>
    </row>
    <row r="1113" spans="1:10" s="625" customFormat="1" ht="15" customHeight="1" thickTop="1">
      <c r="A1113" s="637"/>
      <c r="B1113" s="637"/>
      <c r="C1113" s="637"/>
      <c r="D1113" s="638"/>
      <c r="E1113" s="659"/>
      <c r="F1113" s="660"/>
      <c r="G1113" s="670" t="s">
        <v>536</v>
      </c>
      <c r="H1113" s="640">
        <f>SUM(H1112:H1112)</f>
        <v>55741381.56491147</v>
      </c>
    </row>
    <row r="1114" spans="1:10" s="625" customFormat="1" ht="15" customHeight="1">
      <c r="A1114" s="641"/>
      <c r="B1114" s="641"/>
      <c r="C1114" s="641"/>
      <c r="D1114" s="642"/>
      <c r="E1114" s="621"/>
      <c r="F1114" s="647"/>
      <c r="G1114" s="671" t="s">
        <v>537</v>
      </c>
      <c r="H1114" s="644">
        <f>ROUND((+H1113*0.05*0.19)/(1+0.3),0)</f>
        <v>407341</v>
      </c>
    </row>
    <row r="1115" spans="1:10" s="625" customFormat="1" ht="15" customHeight="1" thickBot="1">
      <c r="A1115" s="620"/>
      <c r="B1115" s="619"/>
      <c r="C1115" s="619"/>
      <c r="D1115" s="620"/>
      <c r="E1115" s="621"/>
      <c r="F1115" s="647"/>
      <c r="G1115" s="671" t="s">
        <v>538</v>
      </c>
      <c r="H1115" s="645">
        <f>+ROUND(H1113+H1114,0)</f>
        <v>56148723</v>
      </c>
    </row>
    <row r="1116" spans="1:10" s="625" customFormat="1" ht="14.1" customHeight="1" thickTop="1">
      <c r="A1116" s="620"/>
      <c r="B1116" s="619"/>
      <c r="C1116" s="619"/>
      <c r="D1116" s="620"/>
      <c r="E1116" s="621"/>
      <c r="F1116" s="622"/>
      <c r="G1116" s="622"/>
      <c r="H1116" s="624"/>
    </row>
    <row r="1117" spans="1:10" s="625" customFormat="1" ht="15" customHeight="1">
      <c r="A1117" s="705"/>
      <c r="B1117" s="619"/>
      <c r="C1117" s="619"/>
      <c r="D1117" s="620"/>
      <c r="E1117" s="621"/>
      <c r="F1117" s="647"/>
      <c r="G1117" s="643"/>
      <c r="H1117" s="624"/>
    </row>
    <row r="1118" spans="1:10" s="625" customFormat="1" ht="15" customHeight="1">
      <c r="A1118" s="727" t="s">
        <v>687</v>
      </c>
      <c r="B1118" s="619"/>
      <c r="C1118" s="619"/>
      <c r="D1118" s="620"/>
      <c r="E1118" s="621"/>
      <c r="F1118" s="647"/>
      <c r="G1118" s="643"/>
      <c r="H1118" s="624"/>
    </row>
    <row r="1119" spans="1:10" s="625" customFormat="1" ht="15" customHeight="1">
      <c r="A1119" s="727"/>
      <c r="B1119" s="619"/>
      <c r="C1119" s="619"/>
      <c r="D1119" s="620"/>
      <c r="E1119" s="621"/>
      <c r="F1119" s="647"/>
      <c r="G1119" s="643"/>
      <c r="H1119" s="624"/>
    </row>
    <row r="1120" spans="1:10" s="625" customFormat="1" ht="12.75" customHeight="1" thickBot="1">
      <c r="A1120" s="626"/>
      <c r="B1120" s="627"/>
      <c r="C1120" s="626" t="s">
        <v>688</v>
      </c>
      <c r="D1120" s="626"/>
      <c r="E1120" s="627"/>
      <c r="F1120" s="626"/>
      <c r="G1120" s="628"/>
      <c r="H1120" s="629"/>
    </row>
    <row r="1121" spans="1:10" s="625" customFormat="1" ht="15" customHeight="1" thickTop="1">
      <c r="A1121" s="665" t="s">
        <v>638</v>
      </c>
      <c r="B1121" s="631" t="str">
        <f>MID(A1121,1,3)&amp;"-"&amp;13</f>
        <v>201-13</v>
      </c>
      <c r="C1121" s="715"/>
      <c r="D1121" s="657" t="str">
        <f>VLOOKUP(A1121,[33]INDICE!$A$3:$D$334,2,FALSE)</f>
        <v>DEMOLICIÓN DE PAVIMENTOS RÍGIDOS</v>
      </c>
      <c r="E1121" s="706" t="str">
        <f>VLOOKUP(A1121,[33]INDICE!$A$3:$D$334,3,FALSE)</f>
        <v>m2</v>
      </c>
      <c r="F1121" s="666">
        <f>20000*7*(0.0101)</f>
        <v>1414</v>
      </c>
      <c r="G1121" s="688">
        <f>VLOOKUP(A1121,[33]INDICE!$A$3:$D$334,4,FALSE)</f>
        <v>35907.63070329644</v>
      </c>
      <c r="H1121" s="667">
        <f>F1121*G1121</f>
        <v>50773389.814461164</v>
      </c>
      <c r="J1121" s="625">
        <v>201.8</v>
      </c>
    </row>
    <row r="1122" spans="1:10" s="625" customFormat="1" ht="15" customHeight="1">
      <c r="A1122" s="631" t="s">
        <v>558</v>
      </c>
      <c r="B1122" s="631" t="str">
        <f>MID(A1122,1,3)&amp;"-"&amp;13</f>
        <v>330-13</v>
      </c>
      <c r="C1122" s="689"/>
      <c r="D1122" s="657" t="str">
        <f>VLOOKUP(A1122,[33]INDICE!$A$3:$D$334,2,FALSE)</f>
        <v>BASE GRANULAR CLASE A</v>
      </c>
      <c r="E1122" s="706" t="str">
        <f>VLOOKUP(A1122,[33]INDICE!$A$3:$D$334,3,FALSE)</f>
        <v>m3</v>
      </c>
      <c r="F1122" s="655">
        <f>20000*7*0.2*(0.0101)</f>
        <v>282.8</v>
      </c>
      <c r="G1122" s="688">
        <f>VLOOKUP(A1122,[33]INDICE!$A$3:$D$334,4,FALSE)</f>
        <v>375353.93049818149</v>
      </c>
      <c r="H1122" s="652">
        <f>F1122*G1122</f>
        <v>106150091.54488572</v>
      </c>
      <c r="J1122" s="625">
        <v>330.1</v>
      </c>
    </row>
    <row r="1123" spans="1:10" s="625" customFormat="1" ht="15" customHeight="1">
      <c r="A1123" s="631" t="s">
        <v>639</v>
      </c>
      <c r="B1123" s="631" t="str">
        <f>MID(A1123,1,3)&amp;"-"&amp;13</f>
        <v>500-13</v>
      </c>
      <c r="C1123" s="716"/>
      <c r="D1123" s="657" t="str">
        <f>VLOOKUP(A1123,[33]INDICE!$A$3:$D$334,2,FALSE)</f>
        <v>PAVIMENTO DE CONCRETO HIDRÁULICO.</v>
      </c>
      <c r="E1123" s="706" t="str">
        <f>VLOOKUP(A1123,[33]INDICE!$A$3:$D$334,3,FALSE)</f>
        <v>m3</v>
      </c>
      <c r="F1123" s="655">
        <f>20000*7*0.23*(0.0101)</f>
        <v>325.21999999999997</v>
      </c>
      <c r="G1123" s="688">
        <f>VLOOKUP(A1123,[33]INDICE!$A$3:$D$334,4,FALSE)</f>
        <v>780147.21001257375</v>
      </c>
      <c r="H1123" s="652">
        <f>F1123*G1123</f>
        <v>253719475.64028922</v>
      </c>
      <c r="J1123" s="625">
        <v>500.1</v>
      </c>
    </row>
    <row r="1124" spans="1:10" s="625" customFormat="1" ht="15" customHeight="1" thickBot="1">
      <c r="A1124" s="631" t="s">
        <v>540</v>
      </c>
      <c r="B1124" s="631" t="str">
        <f>MID(A1124,1,3)&amp;"-"&amp;13</f>
        <v>600-13</v>
      </c>
      <c r="C1124" s="631"/>
      <c r="D1124" s="657" t="str">
        <f>VLOOKUP(A1124,[33]INDICE!$A$3:$D$334,2,FALSE)</f>
        <v>EXCAVACIONES VARIAS SIN CLASIFICAR</v>
      </c>
      <c r="E1124" s="706" t="str">
        <f>VLOOKUP(A1124,[33]INDICE!$A$3:$D$334,3,FALSE)</f>
        <v>m3</v>
      </c>
      <c r="F1124" s="654">
        <f>20000*7*0.23*(0.0101)</f>
        <v>325.21999999999997</v>
      </c>
      <c r="G1124" s="688">
        <f>VLOOKUP(A1124,[33]INDICE!$A$3:$D$334,4,FALSE)</f>
        <v>67953.950275344076</v>
      </c>
      <c r="H1124" s="652">
        <f>F1124*G1124</f>
        <v>22099983.708547398</v>
      </c>
      <c r="J1124" s="625" t="s">
        <v>541</v>
      </c>
    </row>
    <row r="1125" spans="1:10" s="625" customFormat="1" ht="15" customHeight="1" thickTop="1">
      <c r="A1125" s="637"/>
      <c r="B1125" s="637"/>
      <c r="C1125" s="637"/>
      <c r="D1125" s="638"/>
      <c r="E1125" s="659"/>
      <c r="F1125" s="660"/>
      <c r="G1125" s="670" t="s">
        <v>536</v>
      </c>
      <c r="H1125" s="640">
        <f>SUM(H1121:H1124)</f>
        <v>432742940.70818353</v>
      </c>
    </row>
    <row r="1126" spans="1:10" s="625" customFormat="1" ht="15" customHeight="1">
      <c r="A1126" s="641"/>
      <c r="B1126" s="641"/>
      <c r="C1126" s="641"/>
      <c r="D1126" s="642"/>
      <c r="E1126" s="621"/>
      <c r="F1126" s="647"/>
      <c r="G1126" s="671" t="s">
        <v>537</v>
      </c>
      <c r="H1126" s="644">
        <f>ROUND((+H1125*0.05*0.19)/(1+0.3),0)</f>
        <v>3162352</v>
      </c>
    </row>
    <row r="1127" spans="1:10" s="625" customFormat="1" ht="15" customHeight="1" thickBot="1">
      <c r="A1127" s="620"/>
      <c r="B1127" s="619"/>
      <c r="C1127" s="619"/>
      <c r="D1127" s="620"/>
      <c r="E1127" s="621"/>
      <c r="F1127" s="647"/>
      <c r="G1127" s="671" t="s">
        <v>538</v>
      </c>
      <c r="H1127" s="645">
        <f>+ROUND(H1125+H1126,0)</f>
        <v>435905293</v>
      </c>
    </row>
    <row r="1128" spans="1:10" s="625" customFormat="1" ht="15" customHeight="1" thickTop="1">
      <c r="A1128" s="727"/>
      <c r="B1128" s="619"/>
      <c r="C1128" s="619"/>
      <c r="D1128" s="620"/>
      <c r="E1128" s="621"/>
      <c r="F1128" s="647"/>
      <c r="G1128" s="643"/>
      <c r="H1128" s="624"/>
    </row>
    <row r="1129" spans="1:10" s="625" customFormat="1" ht="15" customHeight="1" thickBot="1">
      <c r="A1129" s="626"/>
      <c r="B1129" s="627"/>
      <c r="C1129" s="626" t="s">
        <v>689</v>
      </c>
      <c r="D1129" s="626"/>
      <c r="E1129" s="627"/>
      <c r="F1129" s="626"/>
      <c r="G1129" s="691"/>
      <c r="H1129" s="629"/>
    </row>
    <row r="1130" spans="1:10" s="625" customFormat="1" ht="15" customHeight="1" thickTop="1">
      <c r="A1130" s="665" t="s">
        <v>638</v>
      </c>
      <c r="B1130" s="631" t="str">
        <f>MID(A1130,1,3)&amp;"-"&amp;13</f>
        <v>201-13</v>
      </c>
      <c r="C1130" s="715"/>
      <c r="D1130" s="657" t="str">
        <f>VLOOKUP(A1130,[33]INDICE!$A$3:$D$334,2,FALSE)</f>
        <v>DEMOLICIÓN DE PAVIMENTOS RÍGIDOS</v>
      </c>
      <c r="E1130" s="706" t="str">
        <f>VLOOKUP(A1130,[33]INDICE!$A$3:$D$334,3,FALSE)</f>
        <v>m2</v>
      </c>
      <c r="F1130" s="666">
        <f>6*3.5</f>
        <v>21</v>
      </c>
      <c r="G1130" s="688">
        <f>VLOOKUP(A1130,[33]INDICE!$A$3:$D$334,4,FALSE)</f>
        <v>35907.63070329644</v>
      </c>
      <c r="H1130" s="667">
        <f>F1130*G1130</f>
        <v>754060.24476922525</v>
      </c>
      <c r="J1130" s="625">
        <v>201.8</v>
      </c>
    </row>
    <row r="1131" spans="1:10" s="625" customFormat="1" ht="15" customHeight="1">
      <c r="A1131" s="631" t="s">
        <v>558</v>
      </c>
      <c r="B1131" s="631" t="str">
        <f>MID(A1131,1,3)&amp;"-"&amp;13</f>
        <v>330-13</v>
      </c>
      <c r="C1131" s="689"/>
      <c r="D1131" s="657" t="str">
        <f>VLOOKUP(A1131,[33]INDICE!$A$3:$D$334,2,FALSE)</f>
        <v>BASE GRANULAR CLASE A</v>
      </c>
      <c r="E1131" s="706" t="str">
        <f>VLOOKUP(A1131,[33]INDICE!$A$3:$D$334,3,FALSE)</f>
        <v>m3</v>
      </c>
      <c r="F1131" s="655">
        <f>6*3.5*0.2</f>
        <v>4.2</v>
      </c>
      <c r="G1131" s="688">
        <f>VLOOKUP(A1131,[33]INDICE!$A$3:$D$334,4,FALSE)</f>
        <v>375353.93049818149</v>
      </c>
      <c r="H1131" s="652">
        <f>F1131*G1131</f>
        <v>1576486.5080923624</v>
      </c>
      <c r="J1131" s="625">
        <v>330.1</v>
      </c>
    </row>
    <row r="1132" spans="1:10" s="625" customFormat="1" ht="15" customHeight="1">
      <c r="A1132" s="632" t="s">
        <v>639</v>
      </c>
      <c r="B1132" s="632" t="str">
        <f>MID(A1132,1,3)&amp;"-"&amp;13</f>
        <v>500-13</v>
      </c>
      <c r="C1132" s="728"/>
      <c r="D1132" s="657" t="str">
        <f>VLOOKUP(A1132,[33]INDICE!$A$3:$D$334,2,FALSE)</f>
        <v>PAVIMENTO DE CONCRETO HIDRÁULICO.</v>
      </c>
      <c r="E1132" s="706" t="str">
        <f>VLOOKUP(A1132,[33]INDICE!$A$3:$D$334,3,FALSE)</f>
        <v>m3</v>
      </c>
      <c r="F1132" s="653">
        <f>6*3.5*0.2</f>
        <v>4.2</v>
      </c>
      <c r="G1132" s="688">
        <f>VLOOKUP(A1132,[33]INDICE!$A$3:$D$334,4,FALSE)</f>
        <v>780147.21001257375</v>
      </c>
      <c r="H1132" s="652">
        <f>F1132*G1132</f>
        <v>3276618.2820528098</v>
      </c>
      <c r="J1132" s="625">
        <v>500.1</v>
      </c>
    </row>
    <row r="1133" spans="1:10" s="625" customFormat="1" ht="15" customHeight="1" thickBot="1">
      <c r="A1133" s="631" t="s">
        <v>540</v>
      </c>
      <c r="B1133" s="631" t="str">
        <f>MID(A1133,1,3)&amp;"-"&amp;13</f>
        <v>600-13</v>
      </c>
      <c r="C1133" s="631"/>
      <c r="D1133" s="657" t="str">
        <f>VLOOKUP(A1133,[33]INDICE!$A$3:$D$334,2,FALSE)</f>
        <v>EXCAVACIONES VARIAS SIN CLASIFICAR</v>
      </c>
      <c r="E1133" s="706" t="str">
        <f>VLOOKUP(A1133,[33]INDICE!$A$3:$D$334,3,FALSE)</f>
        <v>m3</v>
      </c>
      <c r="F1133" s="654">
        <f>6*3.5*0.2</f>
        <v>4.2</v>
      </c>
      <c r="G1133" s="688">
        <f>VLOOKUP(A1133,[33]INDICE!$A$3:$D$334,4,FALSE)</f>
        <v>67953.950275344076</v>
      </c>
      <c r="H1133" s="652">
        <f>F1133*G1133</f>
        <v>285406.59115644515</v>
      </c>
      <c r="J1133" s="625" t="s">
        <v>541</v>
      </c>
    </row>
    <row r="1134" spans="1:10" s="625" customFormat="1" ht="15" customHeight="1" thickTop="1">
      <c r="A1134" s="637"/>
      <c r="B1134" s="637"/>
      <c r="C1134" s="637"/>
      <c r="D1134" s="638"/>
      <c r="E1134" s="659"/>
      <c r="F1134" s="669"/>
      <c r="G1134" s="670" t="s">
        <v>536</v>
      </c>
      <c r="H1134" s="640">
        <f>SUM(H1130:H1133)</f>
        <v>5892571.6260708431</v>
      </c>
    </row>
    <row r="1135" spans="1:10" s="625" customFormat="1" ht="15" customHeight="1">
      <c r="A1135" s="641"/>
      <c r="B1135" s="641"/>
      <c r="C1135" s="641"/>
      <c r="D1135" s="642"/>
      <c r="E1135" s="621"/>
      <c r="G1135" s="671" t="s">
        <v>537</v>
      </c>
      <c r="H1135" s="644">
        <f>ROUND((+H1134*0.05*0.19)/(1+0.3),0)</f>
        <v>43061</v>
      </c>
    </row>
    <row r="1136" spans="1:10" s="625" customFormat="1" ht="15" customHeight="1" thickBot="1">
      <c r="A1136" s="620"/>
      <c r="B1136" s="619"/>
      <c r="C1136" s="619"/>
      <c r="D1136" s="620"/>
      <c r="E1136" s="621"/>
      <c r="G1136" s="671" t="s">
        <v>538</v>
      </c>
      <c r="H1136" s="645">
        <f>+ROUND(H1134+H1135,0)</f>
        <v>5935633</v>
      </c>
    </row>
    <row r="1137" spans="1:10" s="625" customFormat="1" ht="15" customHeight="1" thickTop="1">
      <c r="A1137" s="727"/>
      <c r="B1137" s="619"/>
      <c r="C1137" s="619"/>
      <c r="D1137" s="620"/>
      <c r="E1137" s="621"/>
      <c r="F1137" s="647"/>
      <c r="G1137" s="643"/>
      <c r="H1137" s="624"/>
    </row>
    <row r="1138" spans="1:10" s="625" customFormat="1" ht="15" customHeight="1" thickBot="1">
      <c r="A1138" s="626"/>
      <c r="B1138" s="627"/>
      <c r="C1138" s="626" t="s">
        <v>690</v>
      </c>
      <c r="D1138" s="626"/>
      <c r="E1138" s="627"/>
      <c r="F1138" s="626"/>
      <c r="G1138" s="691"/>
      <c r="H1138" s="629"/>
    </row>
    <row r="1139" spans="1:10" s="625" customFormat="1" ht="15" customHeight="1" thickTop="1">
      <c r="A1139" s="695" t="s">
        <v>552</v>
      </c>
      <c r="B1139" s="695" t="str">
        <f>MID(A1139,1,3)&amp;"-"&amp;13</f>
        <v>201-13</v>
      </c>
      <c r="C1139" s="695"/>
      <c r="D1139" s="729" t="str">
        <f>VLOOKUP(A1139,[33]INDICE!$A$3:$D$334,2,FALSE)</f>
        <v>DEMOLICIÓN DE ESTRUCTURAS</v>
      </c>
      <c r="E1139" s="730" t="str">
        <f>VLOOKUP(A1139,[33]INDICE!$A$3:$D$334,3,FALSE)</f>
        <v>m3</v>
      </c>
      <c r="F1139" s="731">
        <f>12*1*0.15+5</f>
        <v>6.8</v>
      </c>
      <c r="G1139" s="732">
        <f>VLOOKUP(A1139,[33]INDICE!$A$3:$D$334,4,FALSE)</f>
        <v>240341.82659000819</v>
      </c>
      <c r="H1139" s="733">
        <f>F1139*G1139</f>
        <v>1634324.4208120557</v>
      </c>
      <c r="J1139" s="625">
        <v>201.7</v>
      </c>
    </row>
    <row r="1140" spans="1:10" s="625" customFormat="1" ht="15" customHeight="1">
      <c r="A1140" s="631" t="s">
        <v>638</v>
      </c>
      <c r="B1140" s="631" t="str">
        <f t="shared" ref="B1140:B1150" si="123">MID(A1140,1,3)&amp;"-"&amp;13</f>
        <v>201-13</v>
      </c>
      <c r="C1140" s="716"/>
      <c r="D1140" s="729" t="str">
        <f>VLOOKUP(A1140,[33]INDICE!$A$3:$D$334,2,FALSE)</f>
        <v>DEMOLICIÓN DE PAVIMENTOS RÍGIDOS</v>
      </c>
      <c r="E1140" s="730" t="str">
        <f>VLOOKUP(A1140,[33]INDICE!$A$3:$D$334,3,FALSE)</f>
        <v>m2</v>
      </c>
      <c r="F1140" s="654">
        <f>4*6*3.5</f>
        <v>84</v>
      </c>
      <c r="G1140" s="688">
        <f>VLOOKUP(A1140,[33]INDICE!$A$3:$D$334,4,FALSE)</f>
        <v>35907.63070329644</v>
      </c>
      <c r="H1140" s="652">
        <f t="shared" ref="H1140:H1150" si="124">F1140*G1140</f>
        <v>3016240.979076901</v>
      </c>
      <c r="J1140" s="625">
        <v>201.8</v>
      </c>
    </row>
    <row r="1141" spans="1:10" s="625" customFormat="1" ht="15" customHeight="1">
      <c r="A1141" s="631" t="s">
        <v>558</v>
      </c>
      <c r="B1141" s="631" t="str">
        <f>MID(A1141,1,3)&amp;"-"&amp;13</f>
        <v>330-13</v>
      </c>
      <c r="C1141" s="689"/>
      <c r="D1141" s="729" t="str">
        <f>VLOOKUP(A1141,[33]INDICE!$A$3:$D$334,2,FALSE)</f>
        <v>BASE GRANULAR CLASE A</v>
      </c>
      <c r="E1141" s="730" t="str">
        <f>VLOOKUP(A1141,[33]INDICE!$A$3:$D$334,3,FALSE)</f>
        <v>m3</v>
      </c>
      <c r="F1141" s="655">
        <f>4*6*3.5*0.3</f>
        <v>25.2</v>
      </c>
      <c r="G1141" s="688">
        <f>VLOOKUP(A1141,[33]INDICE!$A$3:$D$334,4,FALSE)</f>
        <v>375353.93049818149</v>
      </c>
      <c r="H1141" s="652">
        <f>F1141*G1141</f>
        <v>9458919.0485541727</v>
      </c>
      <c r="J1141" s="625">
        <v>330.1</v>
      </c>
    </row>
    <row r="1142" spans="1:10" s="625" customFormat="1" ht="15" customHeight="1">
      <c r="A1142" s="631" t="s">
        <v>639</v>
      </c>
      <c r="B1142" s="631" t="str">
        <f>MID(A1142,1,3)&amp;"-"&amp;13</f>
        <v>500-13</v>
      </c>
      <c r="C1142" s="716"/>
      <c r="D1142" s="729" t="str">
        <f>VLOOKUP(A1142,[33]INDICE!$A$3:$D$334,2,FALSE)</f>
        <v>PAVIMENTO DE CONCRETO HIDRÁULICO.</v>
      </c>
      <c r="E1142" s="730" t="str">
        <f>VLOOKUP(A1142,[33]INDICE!$A$3:$D$334,3,FALSE)</f>
        <v>m3</v>
      </c>
      <c r="F1142" s="655">
        <f>4*6*3.5*0.2</f>
        <v>16.8</v>
      </c>
      <c r="G1142" s="688">
        <f>VLOOKUP(A1142,[33]INDICE!$A$3:$D$334,4,FALSE)</f>
        <v>780147.21001257375</v>
      </c>
      <c r="H1142" s="652">
        <f>F1142*G1142</f>
        <v>13106473.128211239</v>
      </c>
      <c r="J1142" s="625">
        <v>500.1</v>
      </c>
    </row>
    <row r="1143" spans="1:10" s="625" customFormat="1" ht="15" customHeight="1">
      <c r="A1143" s="631" t="s">
        <v>540</v>
      </c>
      <c r="B1143" s="631" t="str">
        <f t="shared" si="123"/>
        <v>600-13</v>
      </c>
      <c r="C1143" s="631"/>
      <c r="D1143" s="729" t="str">
        <f>VLOOKUP(A1143,[33]INDICE!$A$3:$D$334,2,FALSE)</f>
        <v>EXCAVACIONES VARIAS SIN CLASIFICAR</v>
      </c>
      <c r="E1143" s="730" t="str">
        <f>VLOOKUP(A1143,[33]INDICE!$A$3:$D$334,3,FALSE)</f>
        <v>m3</v>
      </c>
      <c r="F1143" s="654">
        <f>4*6*3.5*0.2</f>
        <v>16.8</v>
      </c>
      <c r="G1143" s="688">
        <f>VLOOKUP(A1143,[33]INDICE!$A$3:$D$334,4,FALSE)</f>
        <v>67953.950275344076</v>
      </c>
      <c r="H1143" s="652">
        <f t="shared" si="124"/>
        <v>1141626.3646257806</v>
      </c>
      <c r="J1143" s="625" t="s">
        <v>541</v>
      </c>
    </row>
    <row r="1144" spans="1:10" s="625" customFormat="1" ht="15" customHeight="1">
      <c r="A1144" s="631" t="s">
        <v>544</v>
      </c>
      <c r="B1144" s="631" t="str">
        <f>MID(A1144,1,3)&amp;"-"&amp;13</f>
        <v>610-13</v>
      </c>
      <c r="C1144" s="631"/>
      <c r="D1144" s="729" t="str">
        <f>VLOOKUP(A1144,[33]INDICE!$A$3:$D$334,2,FALSE)</f>
        <v>RELLENOS PARA ESTRUCTURAS CON SUELO.</v>
      </c>
      <c r="E1144" s="730" t="str">
        <f>VLOOKUP(A1144,[33]INDICE!$A$3:$D$334,3,FALSE)</f>
        <v>m3</v>
      </c>
      <c r="F1144" s="655">
        <v>8</v>
      </c>
      <c r="G1144" s="688">
        <f>VLOOKUP(A1144,[33]INDICE!$A$3:$D$334,4,FALSE)</f>
        <v>164362.8922747685</v>
      </c>
      <c r="H1144" s="652">
        <f>F1144*G1144</f>
        <v>1314903.138198148</v>
      </c>
      <c r="J1144" s="625">
        <v>610.1</v>
      </c>
    </row>
    <row r="1145" spans="1:10" s="625" customFormat="1" ht="15" customHeight="1">
      <c r="A1145" s="631" t="s">
        <v>545</v>
      </c>
      <c r="B1145" s="631" t="str">
        <f t="shared" si="123"/>
        <v>630-13</v>
      </c>
      <c r="C1145" s="631"/>
      <c r="D1145" s="729" t="str">
        <f>VLOOKUP(A1145,[33]INDICE!$A$3:$D$334,2,FALSE)</f>
        <v>CONCRETO RESISTENCIA 17.5MPA (E )</v>
      </c>
      <c r="E1145" s="730" t="str">
        <f>VLOOKUP(A1145,[33]INDICE!$A$3:$D$334,3,FALSE)</f>
        <v>m3</v>
      </c>
      <c r="F1145" s="655">
        <v>4</v>
      </c>
      <c r="G1145" s="688">
        <f>VLOOKUP(A1145,[33]INDICE!$A$3:$D$334,4,FALSE)</f>
        <v>735031.04931538599</v>
      </c>
      <c r="H1145" s="652">
        <f t="shared" si="124"/>
        <v>2940124.1972615439</v>
      </c>
      <c r="J1145" s="625">
        <v>630.5</v>
      </c>
    </row>
    <row r="1146" spans="1:10" s="625" customFormat="1" ht="15" customHeight="1">
      <c r="A1146" s="631" t="s">
        <v>546</v>
      </c>
      <c r="B1146" s="631" t="str">
        <f t="shared" si="123"/>
        <v>630-13</v>
      </c>
      <c r="C1146" s="631"/>
      <c r="D1146" s="729" t="str">
        <f>VLOOKUP(A1146,[33]INDICE!$A$3:$D$334,2,FALSE)</f>
        <v>CONCRETO RESISTENCIA 14MPA (G) (CICLOPEO)</v>
      </c>
      <c r="E1146" s="730" t="str">
        <f>VLOOKUP(A1146,[33]INDICE!$A$3:$D$334,3,FALSE)</f>
        <v>m3</v>
      </c>
      <c r="F1146" s="668">
        <v>3</v>
      </c>
      <c r="G1146" s="688">
        <f>VLOOKUP(A1146,[33]INDICE!$A$3:$D$334,4,FALSE)</f>
        <v>530138.01220093726</v>
      </c>
      <c r="H1146" s="652">
        <f t="shared" si="124"/>
        <v>1590414.0366028119</v>
      </c>
      <c r="J1146" s="625">
        <v>630.70000000000005</v>
      </c>
    </row>
    <row r="1147" spans="1:10" s="625" customFormat="1" ht="15" customHeight="1">
      <c r="A1147" s="631" t="s">
        <v>554</v>
      </c>
      <c r="B1147" s="631" t="str">
        <f t="shared" si="123"/>
        <v>640-13</v>
      </c>
      <c r="C1147" s="631"/>
      <c r="D1147" s="729" t="str">
        <f>VLOOKUP(A1147,[33]INDICE!$A$3:$D$334,2,FALSE)</f>
        <v>ACERO DE REFUERZO FY 4200 MPA.</v>
      </c>
      <c r="E1147" s="730" t="str">
        <f>VLOOKUP(A1147,[33]INDICE!$A$3:$D$334,3,FALSE)</f>
        <v>kg</v>
      </c>
      <c r="F1147" s="654">
        <f>F1145*105</f>
        <v>420</v>
      </c>
      <c r="G1147" s="688">
        <f>VLOOKUP(A1147,[33]INDICE!$A$3:$D$334,4,FALSE)</f>
        <v>6085.8496982034649</v>
      </c>
      <c r="H1147" s="652">
        <f t="shared" si="124"/>
        <v>2556056.8732454553</v>
      </c>
      <c r="J1147" s="625">
        <v>640.1</v>
      </c>
    </row>
    <row r="1148" spans="1:10" s="625" customFormat="1" ht="26.1" customHeight="1">
      <c r="A1148" s="631" t="s">
        <v>559</v>
      </c>
      <c r="B1148" s="631" t="str">
        <f t="shared" si="123"/>
        <v>671-13</v>
      </c>
      <c r="C1148" s="631"/>
      <c r="D1148" s="729" t="str">
        <f>VLOOKUP(A1148,[33]INDICE!$A$3:$D$334,2,FALSE)</f>
        <v>CUNETA DE CONCRETO VACIADA IN SITU; INCLUYE LA CONFORMACION DE LA SUPERFICIE DE APOYO</v>
      </c>
      <c r="E1148" s="730" t="str">
        <f>VLOOKUP(A1148,[33]INDICE!$A$3:$D$334,3,FALSE)</f>
        <v>m3</v>
      </c>
      <c r="F1148" s="655">
        <f>12*0.138</f>
        <v>1.6560000000000001</v>
      </c>
      <c r="G1148" s="688">
        <f>VLOOKUP(A1148,[33]INDICE!$A$3:$D$334,4,FALSE)</f>
        <v>841791.75196838728</v>
      </c>
      <c r="H1148" s="652">
        <f t="shared" si="124"/>
        <v>1394007.1412596495</v>
      </c>
      <c r="J1148" s="625">
        <v>671.3</v>
      </c>
    </row>
    <row r="1149" spans="1:10" s="625" customFormat="1" ht="15" customHeight="1">
      <c r="A1149" s="631" t="s">
        <v>548</v>
      </c>
      <c r="B1149" s="631" t="str">
        <f>MID(A1149,1,3)&amp;"-"&amp;13</f>
        <v>673-13</v>
      </c>
      <c r="C1149" s="631"/>
      <c r="D1149" s="729" t="str">
        <f>VLOOKUP(A1149,[33]INDICE!$A$3:$D$334,2,FALSE)</f>
        <v>GEOTEXTIL  TIPO T-2400 O SIMILAR TEJIDO</v>
      </c>
      <c r="E1149" s="730" t="str">
        <f>VLOOKUP(A1149,[33]INDICE!$A$3:$D$334,3,FALSE)</f>
        <v>m2</v>
      </c>
      <c r="F1149" s="654">
        <v>12</v>
      </c>
      <c r="G1149" s="688">
        <f>VLOOKUP(A1149,[33]INDICE!$A$3:$D$334,4,FALSE)</f>
        <v>10983.835173625577</v>
      </c>
      <c r="H1149" s="652">
        <f>F1149*G1149</f>
        <v>131806.02208350692</v>
      </c>
      <c r="J1149" s="625">
        <v>673.1</v>
      </c>
    </row>
    <row r="1150" spans="1:10" s="625" customFormat="1" ht="26.1" customHeight="1" thickBot="1">
      <c r="A1150" s="631" t="s">
        <v>549</v>
      </c>
      <c r="B1150" s="631" t="str">
        <f t="shared" si="123"/>
        <v>681-13</v>
      </c>
      <c r="C1150" s="631"/>
      <c r="D1150" s="729" t="str">
        <f>VLOOKUP(A1150,[33]INDICE!$A$3:$D$334,2,FALSE)</f>
        <v xml:space="preserve">GAVIÓNES DE MALLA DE ALAMBRE DE ACERO ENTRELAZADO  CLASE 1; RECUBRIMIENTO DE ZINC (GALVANIZADO) </v>
      </c>
      <c r="E1150" s="730" t="str">
        <f>VLOOKUP(A1150,[33]INDICE!$A$3:$D$334,3,FALSE)</f>
        <v>m3</v>
      </c>
      <c r="F1150" s="673">
        <v>10</v>
      </c>
      <c r="G1150" s="732">
        <f>VLOOKUP(A1150,[33]INDICE!$A$3:$D$334,4,FALSE)</f>
        <v>400986.60185015475</v>
      </c>
      <c r="H1150" s="652">
        <f t="shared" si="124"/>
        <v>4009866.0185015476</v>
      </c>
      <c r="J1150" s="625">
        <v>681.1</v>
      </c>
    </row>
    <row r="1151" spans="1:10" s="625" customFormat="1" ht="15" customHeight="1" thickTop="1">
      <c r="A1151" s="637"/>
      <c r="B1151" s="637"/>
      <c r="C1151" s="637"/>
      <c r="D1151" s="638"/>
      <c r="E1151" s="659"/>
      <c r="G1151" s="639" t="s">
        <v>536</v>
      </c>
      <c r="H1151" s="640">
        <f>SUM(H1139:H1150)</f>
        <v>42294761.368432812</v>
      </c>
    </row>
    <row r="1152" spans="1:10" s="625" customFormat="1" ht="15" customHeight="1">
      <c r="A1152" s="641"/>
      <c r="B1152" s="641"/>
      <c r="C1152" s="641"/>
      <c r="D1152" s="642"/>
      <c r="E1152" s="621"/>
      <c r="G1152" s="643" t="s">
        <v>537</v>
      </c>
      <c r="H1152" s="644">
        <f>ROUND((+H1151*0.05*0.19)/(1+0.3),0)</f>
        <v>309077</v>
      </c>
    </row>
    <row r="1153" spans="1:10" s="625" customFormat="1" ht="15" customHeight="1" thickBot="1">
      <c r="A1153" s="620"/>
      <c r="B1153" s="619"/>
      <c r="C1153" s="619"/>
      <c r="D1153" s="620"/>
      <c r="E1153" s="621"/>
      <c r="G1153" s="643" t="s">
        <v>538</v>
      </c>
      <c r="H1153" s="645">
        <f>+ROUND(H1151+H1152,0)</f>
        <v>42603838</v>
      </c>
    </row>
    <row r="1154" spans="1:10" s="625" customFormat="1" ht="15" customHeight="1" thickTop="1">
      <c r="A1154" s="620"/>
      <c r="B1154" s="619"/>
      <c r="C1154" s="619"/>
      <c r="D1154" s="620"/>
      <c r="E1154" s="621"/>
      <c r="G1154" s="643"/>
      <c r="H1154" s="646"/>
    </row>
    <row r="1155" spans="1:10" s="625" customFormat="1" ht="15" customHeight="1" thickBot="1">
      <c r="A1155" s="626"/>
      <c r="B1155" s="627"/>
      <c r="C1155" s="626" t="s">
        <v>691</v>
      </c>
      <c r="D1155" s="626"/>
      <c r="E1155" s="627"/>
      <c r="F1155" s="626"/>
      <c r="G1155" s="691"/>
      <c r="H1155" s="629"/>
    </row>
    <row r="1156" spans="1:10" s="625" customFormat="1" ht="15" customHeight="1" thickTop="1">
      <c r="A1156" s="632" t="s">
        <v>552</v>
      </c>
      <c r="B1156" s="632" t="str">
        <f>MID(A1156,1,3)&amp;"-"&amp;13</f>
        <v>201-13</v>
      </c>
      <c r="C1156" s="632"/>
      <c r="D1156" s="734" t="str">
        <f>VLOOKUP(A1156,[33]INDICE!$A$3:$D$334,2,FALSE)</f>
        <v>DEMOLICIÓN DE ESTRUCTURAS</v>
      </c>
      <c r="E1156" s="735" t="str">
        <f>VLOOKUP(A1156,[33]INDICE!$A$3:$D$334,3,FALSE)</f>
        <v>m3</v>
      </c>
      <c r="F1156" s="662">
        <f>18*1*0.15+5</f>
        <v>7.6999999999999993</v>
      </c>
      <c r="G1156" s="736">
        <f>VLOOKUP(A1156,[33]INDICE!$A$3:$D$334,4,FALSE)</f>
        <v>240341.82659000819</v>
      </c>
      <c r="H1156" s="636">
        <f>F1156*G1156</f>
        <v>1850632.0647430629</v>
      </c>
      <c r="J1156" s="625">
        <v>201.7</v>
      </c>
    </row>
    <row r="1157" spans="1:10" s="625" customFormat="1" ht="15" customHeight="1">
      <c r="A1157" s="631" t="s">
        <v>638</v>
      </c>
      <c r="B1157" s="631" t="str">
        <f t="shared" ref="B1157:B1168" si="125">MID(A1157,1,3)&amp;"-"&amp;13</f>
        <v>201-13</v>
      </c>
      <c r="C1157" s="716"/>
      <c r="D1157" s="734" t="str">
        <f>VLOOKUP(A1157,[33]INDICE!$A$3:$D$334,2,FALSE)</f>
        <v>DEMOLICIÓN DE PAVIMENTOS RÍGIDOS</v>
      </c>
      <c r="E1157" s="735" t="str">
        <f>VLOOKUP(A1157,[33]INDICE!$A$3:$D$334,3,FALSE)</f>
        <v>m2</v>
      </c>
      <c r="F1157" s="654">
        <f>4*6*3.5</f>
        <v>84</v>
      </c>
      <c r="G1157" s="736">
        <f>VLOOKUP(A1157,[33]INDICE!$A$3:$D$334,4,FALSE)</f>
        <v>35907.63070329644</v>
      </c>
      <c r="H1157" s="652">
        <f t="shared" ref="H1157:H1168" si="126">F1157*G1157</f>
        <v>3016240.979076901</v>
      </c>
      <c r="J1157" s="625">
        <v>201.8</v>
      </c>
    </row>
    <row r="1158" spans="1:10" s="625" customFormat="1" ht="15" customHeight="1">
      <c r="A1158" s="631" t="s">
        <v>558</v>
      </c>
      <c r="B1158" s="631" t="str">
        <f>MID(A1158,1,3)&amp;"-"&amp;13</f>
        <v>330-13</v>
      </c>
      <c r="C1158" s="689"/>
      <c r="D1158" s="734" t="str">
        <f>VLOOKUP(A1158,[33]INDICE!$A$3:$D$334,2,FALSE)</f>
        <v>BASE GRANULAR CLASE A</v>
      </c>
      <c r="E1158" s="735" t="str">
        <f>VLOOKUP(A1158,[33]INDICE!$A$3:$D$334,3,FALSE)</f>
        <v>m3</v>
      </c>
      <c r="F1158" s="655">
        <f>4*6*3.5*0.35</f>
        <v>29.4</v>
      </c>
      <c r="G1158" s="736">
        <f>VLOOKUP(A1158,[33]INDICE!$A$3:$D$334,4,FALSE)</f>
        <v>375353.93049818149</v>
      </c>
      <c r="H1158" s="652">
        <f>F1158*G1158</f>
        <v>11035405.556646535</v>
      </c>
      <c r="J1158" s="625">
        <v>330.1</v>
      </c>
    </row>
    <row r="1159" spans="1:10" s="625" customFormat="1" ht="15" customHeight="1">
      <c r="A1159" s="631" t="s">
        <v>639</v>
      </c>
      <c r="B1159" s="631" t="str">
        <f>MID(A1159,1,3)&amp;"-"&amp;13</f>
        <v>500-13</v>
      </c>
      <c r="C1159" s="716"/>
      <c r="D1159" s="734" t="str">
        <f>VLOOKUP(A1159,[33]INDICE!$A$3:$D$334,2,FALSE)</f>
        <v>PAVIMENTO DE CONCRETO HIDRÁULICO.</v>
      </c>
      <c r="E1159" s="735" t="str">
        <f>VLOOKUP(A1159,[33]INDICE!$A$3:$D$334,3,FALSE)</f>
        <v>m3</v>
      </c>
      <c r="F1159" s="655">
        <f>4*6*3.5*0.2</f>
        <v>16.8</v>
      </c>
      <c r="G1159" s="736">
        <f>VLOOKUP(A1159,[33]INDICE!$A$3:$D$334,4,FALSE)</f>
        <v>780147.21001257375</v>
      </c>
      <c r="H1159" s="652">
        <f>F1159*G1159</f>
        <v>13106473.128211239</v>
      </c>
      <c r="J1159" s="625">
        <v>500.1</v>
      </c>
    </row>
    <row r="1160" spans="1:10" s="625" customFormat="1" ht="15" customHeight="1">
      <c r="A1160" s="631" t="s">
        <v>540</v>
      </c>
      <c r="B1160" s="631" t="str">
        <f t="shared" si="125"/>
        <v>600-13</v>
      </c>
      <c r="C1160" s="631"/>
      <c r="D1160" s="734" t="str">
        <f>VLOOKUP(A1160,[33]INDICE!$A$3:$D$334,2,FALSE)</f>
        <v>EXCAVACIONES VARIAS SIN CLASIFICAR</v>
      </c>
      <c r="E1160" s="735" t="str">
        <f>VLOOKUP(A1160,[33]INDICE!$A$3:$D$334,3,FALSE)</f>
        <v>m3</v>
      </c>
      <c r="F1160" s="654">
        <f>4*6*3.5*0.2+100*1.2*0.5</f>
        <v>76.8</v>
      </c>
      <c r="G1160" s="736">
        <f>VLOOKUP(A1160,[33]INDICE!$A$3:$D$334,4,FALSE)</f>
        <v>67953.950275344076</v>
      </c>
      <c r="H1160" s="652">
        <f t="shared" si="126"/>
        <v>5218863.3811464244</v>
      </c>
      <c r="J1160" s="625" t="s">
        <v>541</v>
      </c>
    </row>
    <row r="1161" spans="1:10" s="625" customFormat="1" ht="15" customHeight="1">
      <c r="A1161" s="631" t="s">
        <v>544</v>
      </c>
      <c r="B1161" s="631" t="str">
        <f>MID(A1161,1,3)&amp;"-"&amp;13</f>
        <v>610-13</v>
      </c>
      <c r="C1161" s="631"/>
      <c r="D1161" s="734" t="str">
        <f>VLOOKUP(A1161,[33]INDICE!$A$3:$D$334,2,FALSE)</f>
        <v>RELLENOS PARA ESTRUCTURAS CON SUELO.</v>
      </c>
      <c r="E1161" s="735" t="str">
        <f>VLOOKUP(A1161,[33]INDICE!$A$3:$D$334,3,FALSE)</f>
        <v>m3</v>
      </c>
      <c r="F1161" s="655">
        <v>8</v>
      </c>
      <c r="G1161" s="736">
        <f>VLOOKUP(A1161,[33]INDICE!$A$3:$D$334,4,FALSE)</f>
        <v>164362.8922747685</v>
      </c>
      <c r="H1161" s="652">
        <f>F1161*G1161</f>
        <v>1314903.138198148</v>
      </c>
      <c r="J1161" s="625">
        <v>610.1</v>
      </c>
    </row>
    <row r="1162" spans="1:10" s="625" customFormat="1" ht="15" customHeight="1">
      <c r="A1162" s="683" t="s">
        <v>545</v>
      </c>
      <c r="B1162" s="683" t="str">
        <f t="shared" si="125"/>
        <v>630-13</v>
      </c>
      <c r="C1162" s="683"/>
      <c r="D1162" s="734" t="str">
        <f>VLOOKUP(A1162,[33]INDICE!$A$3:$D$334,2,FALSE)</f>
        <v>CONCRETO RESISTENCIA 17.5MPA (E )</v>
      </c>
      <c r="E1162" s="735" t="str">
        <f>VLOOKUP(A1162,[33]INDICE!$A$3:$D$334,3,FALSE)</f>
        <v>m3</v>
      </c>
      <c r="F1162" s="685">
        <v>4</v>
      </c>
      <c r="G1162" s="736">
        <f>VLOOKUP(A1162,[33]INDICE!$A$3:$D$334,4,FALSE)</f>
        <v>735031.04931538599</v>
      </c>
      <c r="H1162" s="686">
        <f t="shared" si="126"/>
        <v>2940124.1972615439</v>
      </c>
      <c r="J1162" s="625">
        <v>630.5</v>
      </c>
    </row>
    <row r="1163" spans="1:10" s="625" customFormat="1" ht="15" customHeight="1">
      <c r="A1163" s="631" t="s">
        <v>546</v>
      </c>
      <c r="B1163" s="631" t="str">
        <f t="shared" si="125"/>
        <v>630-13</v>
      </c>
      <c r="C1163" s="631"/>
      <c r="D1163" s="734" t="str">
        <f>VLOOKUP(A1163,[33]INDICE!$A$3:$D$334,2,FALSE)</f>
        <v>CONCRETO RESISTENCIA 14MPA (G) (CICLOPEO)</v>
      </c>
      <c r="E1163" s="735" t="str">
        <f>VLOOKUP(A1163,[33]INDICE!$A$3:$D$334,3,FALSE)</f>
        <v>m3</v>
      </c>
      <c r="F1163" s="668">
        <v>3</v>
      </c>
      <c r="G1163" s="736">
        <f>VLOOKUP(A1163,[33]INDICE!$A$3:$D$334,4,FALSE)</f>
        <v>530138.01220093726</v>
      </c>
      <c r="H1163" s="652">
        <f t="shared" si="126"/>
        <v>1590414.0366028119</v>
      </c>
      <c r="J1163" s="625">
        <v>630.70000000000005</v>
      </c>
    </row>
    <row r="1164" spans="1:10" s="625" customFormat="1" ht="15" customHeight="1">
      <c r="A1164" s="631" t="s">
        <v>554</v>
      </c>
      <c r="B1164" s="631" t="str">
        <f t="shared" si="125"/>
        <v>640-13</v>
      </c>
      <c r="C1164" s="631"/>
      <c r="D1164" s="734" t="str">
        <f>VLOOKUP(A1164,[33]INDICE!$A$3:$D$334,2,FALSE)</f>
        <v>ACERO DE REFUERZO FY 4200 MPA.</v>
      </c>
      <c r="E1164" s="735" t="str">
        <f>VLOOKUP(A1164,[33]INDICE!$A$3:$D$334,3,FALSE)</f>
        <v>kg</v>
      </c>
      <c r="F1164" s="654">
        <f>F1162*105</f>
        <v>420</v>
      </c>
      <c r="G1164" s="736">
        <f>VLOOKUP(A1164,[33]INDICE!$A$3:$D$334,4,FALSE)</f>
        <v>6085.8496982034649</v>
      </c>
      <c r="H1164" s="652">
        <f t="shared" si="126"/>
        <v>2556056.8732454553</v>
      </c>
      <c r="J1164" s="625">
        <v>640.1</v>
      </c>
    </row>
    <row r="1165" spans="1:10" s="625" customFormat="1" ht="26.1" customHeight="1">
      <c r="A1165" s="631" t="s">
        <v>559</v>
      </c>
      <c r="B1165" s="631" t="str">
        <f t="shared" si="125"/>
        <v>671-13</v>
      </c>
      <c r="C1165" s="631"/>
      <c r="D1165" s="734" t="str">
        <f>VLOOKUP(A1165,[33]INDICE!$A$3:$D$334,2,FALSE)</f>
        <v>CUNETA DE CONCRETO VACIADA IN SITU; INCLUYE LA CONFORMACION DE LA SUPERFICIE DE APOYO</v>
      </c>
      <c r="E1165" s="735" t="str">
        <f>VLOOKUP(A1165,[33]INDICE!$A$3:$D$334,3,FALSE)</f>
        <v>m3</v>
      </c>
      <c r="F1165" s="655">
        <f>18*0.138</f>
        <v>2.484</v>
      </c>
      <c r="G1165" s="736">
        <f>VLOOKUP(A1165,[33]INDICE!$A$3:$D$334,4,FALSE)</f>
        <v>841791.75196838728</v>
      </c>
      <c r="H1165" s="652">
        <f t="shared" si="126"/>
        <v>2091010.711889474</v>
      </c>
      <c r="J1165" s="625">
        <v>671.3</v>
      </c>
    </row>
    <row r="1166" spans="1:10" s="625" customFormat="1" ht="15" customHeight="1">
      <c r="A1166" s="631" t="s">
        <v>548</v>
      </c>
      <c r="B1166" s="631" t="str">
        <f>MID(A1166,1,3)&amp;"-"&amp;13</f>
        <v>673-13</v>
      </c>
      <c r="C1166" s="631"/>
      <c r="D1166" s="734" t="str">
        <f>VLOOKUP(A1166,[33]INDICE!$A$3:$D$334,2,FALSE)</f>
        <v>GEOTEXTIL  TIPO T-2400 O SIMILAR TEJIDO</v>
      </c>
      <c r="E1166" s="735" t="str">
        <f>VLOOKUP(A1166,[33]INDICE!$A$3:$D$334,3,FALSE)</f>
        <v>m2</v>
      </c>
      <c r="F1166" s="654">
        <f>100*3.5+50</f>
        <v>400</v>
      </c>
      <c r="G1166" s="736">
        <f>VLOOKUP(A1166,[33]INDICE!$A$3:$D$334,4,FALSE)</f>
        <v>10983.835173625577</v>
      </c>
      <c r="H1166" s="652">
        <f>F1166*G1166</f>
        <v>4393534.0694502313</v>
      </c>
      <c r="J1166" s="625">
        <v>673.1</v>
      </c>
    </row>
    <row r="1167" spans="1:10" s="625" customFormat="1" ht="15" customHeight="1">
      <c r="A1167" s="631" t="s">
        <v>560</v>
      </c>
      <c r="B1167" s="631" t="str">
        <f>MID(A1167,1,3)&amp;"-"&amp;13</f>
        <v>673-13</v>
      </c>
      <c r="C1167" s="631"/>
      <c r="D1167" s="734" t="str">
        <f>VLOOKUP(A1167,[33]INDICE!$A$3:$D$334,2,FALSE)</f>
        <v>MATERIAL GRANULAR DRENANTE</v>
      </c>
      <c r="E1167" s="735" t="str">
        <f>VLOOKUP(A1167,[33]INDICE!$A$3:$D$334,3,FALSE)</f>
        <v>m3</v>
      </c>
      <c r="F1167" s="655">
        <f>100*0.5*1</f>
        <v>50</v>
      </c>
      <c r="G1167" s="736">
        <f>VLOOKUP(A1167,[33]INDICE!$A$3:$D$334,4,FALSE)</f>
        <v>84364.417561781069</v>
      </c>
      <c r="H1167" s="652">
        <f>F1167*G1167</f>
        <v>4218220.8780890536</v>
      </c>
      <c r="J1167" s="625">
        <v>673.2</v>
      </c>
    </row>
    <row r="1168" spans="1:10" s="625" customFormat="1" ht="26.1" customHeight="1" thickBot="1">
      <c r="A1168" s="631" t="s">
        <v>549</v>
      </c>
      <c r="B1168" s="631" t="str">
        <f t="shared" si="125"/>
        <v>681-13</v>
      </c>
      <c r="C1168" s="631"/>
      <c r="D1168" s="734" t="str">
        <f>VLOOKUP(A1168,[33]INDICE!$A$3:$D$334,2,FALSE)</f>
        <v xml:space="preserve">GAVIÓNES DE MALLA DE ALAMBRE DE ACERO ENTRELAZADO  CLASE 1; RECUBRIMIENTO DE ZINC (GALVANIZADO) </v>
      </c>
      <c r="E1168" s="735" t="str">
        <f>VLOOKUP(A1168,[33]INDICE!$A$3:$D$334,3,FALSE)</f>
        <v>m3</v>
      </c>
      <c r="F1168" s="654">
        <v>10</v>
      </c>
      <c r="G1168" s="736">
        <f>VLOOKUP(A1168,[33]INDICE!$A$3:$D$334,4,FALSE)</f>
        <v>400986.60185015475</v>
      </c>
      <c r="H1168" s="652">
        <f t="shared" si="126"/>
        <v>4009866.0185015476</v>
      </c>
      <c r="J1168" s="625">
        <v>681.1</v>
      </c>
    </row>
    <row r="1169" spans="1:10" s="625" customFormat="1" ht="15" customHeight="1" thickTop="1">
      <c r="A1169" s="637"/>
      <c r="B1169" s="637"/>
      <c r="C1169" s="637"/>
      <c r="D1169" s="638"/>
      <c r="E1169" s="659"/>
      <c r="F1169" s="669"/>
      <c r="G1169" s="670" t="s">
        <v>536</v>
      </c>
      <c r="H1169" s="640">
        <f>SUM(H1156:H1168)</f>
        <v>57341745.033062428</v>
      </c>
    </row>
    <row r="1170" spans="1:10" s="625" customFormat="1" ht="15" customHeight="1">
      <c r="A1170" s="641"/>
      <c r="B1170" s="641"/>
      <c r="C1170" s="641"/>
      <c r="D1170" s="642"/>
      <c r="E1170" s="621"/>
      <c r="G1170" s="671" t="s">
        <v>537</v>
      </c>
      <c r="H1170" s="644">
        <f>ROUND((+H1169*0.05*0.19)/(1+0.3),0)</f>
        <v>419036</v>
      </c>
    </row>
    <row r="1171" spans="1:10" s="625" customFormat="1" ht="15" customHeight="1" thickBot="1">
      <c r="A1171" s="620"/>
      <c r="B1171" s="619"/>
      <c r="C1171" s="619"/>
      <c r="D1171" s="620"/>
      <c r="E1171" s="621"/>
      <c r="G1171" s="671" t="s">
        <v>538</v>
      </c>
      <c r="H1171" s="645">
        <f>+ROUND(H1169+H1170,0)</f>
        <v>57760781</v>
      </c>
    </row>
    <row r="1172" spans="1:10" s="625" customFormat="1" ht="14.1" customHeight="1" thickTop="1">
      <c r="A1172" s="620"/>
      <c r="B1172" s="619"/>
      <c r="C1172" s="619"/>
      <c r="D1172" s="620"/>
      <c r="E1172" s="621"/>
      <c r="F1172" s="622"/>
      <c r="G1172" s="622"/>
      <c r="H1172" s="624"/>
    </row>
    <row r="1173" spans="1:10" s="625" customFormat="1" ht="12.75" hidden="1" customHeight="1">
      <c r="A1173" s="737"/>
      <c r="B1173" s="738"/>
      <c r="C1173" s="737" t="s">
        <v>692</v>
      </c>
      <c r="D1173" s="737"/>
      <c r="E1173" s="738"/>
      <c r="F1173" s="737"/>
      <c r="G1173" s="739"/>
      <c r="H1173" s="740"/>
    </row>
    <row r="1174" spans="1:10" s="625" customFormat="1" ht="60" hidden="1">
      <c r="A1174" s="741" t="s">
        <v>693</v>
      </c>
      <c r="B1174" s="741"/>
      <c r="C1174" s="741"/>
      <c r="D1174" s="742" t="s">
        <v>694</v>
      </c>
      <c r="E1174" s="743" t="s">
        <v>695</v>
      </c>
      <c r="F1174" s="744">
        <f>20000*3.14*(0.31)</f>
        <v>19468</v>
      </c>
      <c r="G1174" s="745">
        <v>21892</v>
      </c>
      <c r="H1174" s="746">
        <f>F1174*G1174</f>
        <v>426193456</v>
      </c>
    </row>
    <row r="1175" spans="1:10" s="625" customFormat="1" ht="15" hidden="1" customHeight="1">
      <c r="A1175" s="747"/>
      <c r="B1175" s="747"/>
      <c r="C1175" s="747"/>
      <c r="D1175" s="748"/>
      <c r="E1175" s="749"/>
      <c r="F1175" s="750"/>
      <c r="G1175" s="751" t="s">
        <v>536</v>
      </c>
      <c r="H1175" s="752">
        <f>SUM(H1174:H1174)</f>
        <v>426193456</v>
      </c>
    </row>
    <row r="1176" spans="1:10" s="625" customFormat="1" ht="15" hidden="1" customHeight="1">
      <c r="A1176" s="753"/>
      <c r="B1176" s="753"/>
      <c r="C1176" s="753"/>
      <c r="D1176" s="754"/>
      <c r="E1176" s="755"/>
      <c r="F1176" s="756"/>
      <c r="G1176" s="757" t="s">
        <v>537</v>
      </c>
      <c r="H1176" s="758">
        <f>SUM(H1175:H1175)*0.05*0.19/1.3</f>
        <v>3114490.64</v>
      </c>
    </row>
    <row r="1177" spans="1:10" s="625" customFormat="1" ht="15" hidden="1" customHeight="1">
      <c r="A1177" s="759"/>
      <c r="B1177" s="760"/>
      <c r="C1177" s="760"/>
      <c r="D1177" s="759"/>
      <c r="E1177" s="755"/>
      <c r="F1177" s="756"/>
      <c r="G1177" s="757" t="s">
        <v>538</v>
      </c>
      <c r="H1177" s="761">
        <f>+ROUND(H1175+H1176,0)</f>
        <v>429307947</v>
      </c>
    </row>
    <row r="1178" spans="1:10" s="625" customFormat="1" ht="14.1" customHeight="1">
      <c r="A1178" s="620"/>
      <c r="B1178" s="619"/>
      <c r="C1178" s="619"/>
      <c r="D1178" s="620"/>
      <c r="E1178" s="621"/>
      <c r="F1178" s="622"/>
      <c r="G1178" s="622"/>
      <c r="H1178" s="624"/>
    </row>
    <row r="1179" spans="1:10" s="625" customFormat="1" ht="15" customHeight="1">
      <c r="A1179" s="705" t="s">
        <v>696</v>
      </c>
      <c r="B1179" s="619"/>
      <c r="C1179" s="619"/>
      <c r="D1179" s="620"/>
      <c r="E1179" s="621"/>
      <c r="F1179" s="647"/>
      <c r="G1179" s="643"/>
      <c r="H1179" s="624"/>
    </row>
    <row r="1180" spans="1:10" s="625" customFormat="1" ht="13.5" thickBot="1">
      <c r="A1180" s="626"/>
      <c r="B1180" s="627"/>
      <c r="C1180" s="626" t="s">
        <v>697</v>
      </c>
      <c r="D1180" s="626"/>
      <c r="E1180" s="627"/>
      <c r="F1180" s="626"/>
      <c r="G1180" s="628"/>
      <c r="H1180" s="629"/>
    </row>
    <row r="1181" spans="1:10" s="625" customFormat="1" ht="13.5" customHeight="1" thickTop="1">
      <c r="A1181" s="665" t="s">
        <v>698</v>
      </c>
      <c r="B1181" s="665" t="str">
        <f t="shared" ref="B1181:B1186" si="127">MID(A1181,1,3)&amp;"-"&amp;13</f>
        <v>700-13</v>
      </c>
      <c r="C1181" s="762"/>
      <c r="D1181" s="657" t="str">
        <f>VLOOKUP(A1181,[33]INDICE!$A$3:$D$334,2,FALSE)</f>
        <v>LÍNEA DE DEMARCACIÓN CON PINTURA EN FRÍO.</v>
      </c>
      <c r="E1181" s="706" t="str">
        <f>VLOOKUP(A1181,[33]INDICE!$A$3:$D$334,3,FALSE)</f>
        <v>m</v>
      </c>
      <c r="F1181" s="763">
        <v>214800</v>
      </c>
      <c r="G1181" s="688">
        <f>VLOOKUP(A1181,[33]INDICE!$A$3:$D$334,4,FALSE)</f>
        <v>2258.525793871835</v>
      </c>
      <c r="H1181" s="667">
        <f t="shared" ref="H1181:H1186" si="128">F1181*G1181</f>
        <v>485131340.5236702</v>
      </c>
      <c r="J1181" s="625">
        <v>700.1</v>
      </c>
    </row>
    <row r="1182" spans="1:10" s="625" customFormat="1" ht="13.5" customHeight="1">
      <c r="A1182" s="631" t="s">
        <v>699</v>
      </c>
      <c r="B1182" s="631" t="str">
        <f t="shared" si="127"/>
        <v>700-13</v>
      </c>
      <c r="C1182" s="689"/>
      <c r="D1182" s="657" t="str">
        <f>VLOOKUP(A1182,[33]INDICE!$A$3:$D$334,2,FALSE)</f>
        <v>MARCA VIAL CON PINTURA EN FRÍO.</v>
      </c>
      <c r="E1182" s="706" t="str">
        <f>VLOOKUP(A1182,[33]INDICE!$A$3:$D$334,3,FALSE)</f>
        <v>m2</v>
      </c>
      <c r="F1182" s="694">
        <v>2817</v>
      </c>
      <c r="G1182" s="688">
        <f>VLOOKUP(A1182,[33]INDICE!$A$3:$D$334,4,FALSE)</f>
        <v>42694.564046556181</v>
      </c>
      <c r="H1182" s="652">
        <f t="shared" si="128"/>
        <v>120270586.91914876</v>
      </c>
      <c r="J1182" s="625">
        <v>700.3</v>
      </c>
    </row>
    <row r="1183" spans="1:10" s="625" customFormat="1" ht="13.5" customHeight="1">
      <c r="A1183" s="631" t="s">
        <v>700</v>
      </c>
      <c r="B1183" s="631" t="str">
        <f t="shared" si="127"/>
        <v>701-13</v>
      </c>
      <c r="C1183" s="689"/>
      <c r="D1183" s="657" t="str">
        <f>VLOOKUP(A1183,[33]INDICE!$A$3:$D$334,2,FALSE)</f>
        <v>TACHA REFLECTIVA.</v>
      </c>
      <c r="E1183" s="706" t="str">
        <f>VLOOKUP(A1183,[33]INDICE!$A$3:$D$334,3,FALSE)</f>
        <v>Unidad</v>
      </c>
      <c r="F1183" s="694">
        <v>8418</v>
      </c>
      <c r="G1183" s="688">
        <f>VLOOKUP(A1183,[33]INDICE!$A$3:$D$334,4,FALSE)</f>
        <v>9061.4477325600928</v>
      </c>
      <c r="H1183" s="652">
        <f t="shared" si="128"/>
        <v>76279267.012690857</v>
      </c>
      <c r="J1183" s="625">
        <v>701.1</v>
      </c>
    </row>
    <row r="1184" spans="1:10" s="625" customFormat="1" ht="24.95" customHeight="1">
      <c r="A1184" s="631" t="s">
        <v>701</v>
      </c>
      <c r="B1184" s="631" t="str">
        <f t="shared" si="127"/>
        <v>710-13</v>
      </c>
      <c r="C1184" s="689"/>
      <c r="D1184" s="657" t="str">
        <f>VLOOKUP(A1184,[33]INDICE!$A$3:$D$334,2,FALSE)</f>
        <v>SEÑAL VERTICAL DE TRANSITO TIPO 1 CON LAMINA RETRORREFLECTIVA TIPO III (75 X 75 ) CM</v>
      </c>
      <c r="E1184" s="706" t="str">
        <f>VLOOKUP(A1184,[33]INDICE!$A$3:$D$334,3,FALSE)</f>
        <v>Unidad</v>
      </c>
      <c r="F1184" s="694">
        <v>40</v>
      </c>
      <c r="G1184" s="688">
        <f>VLOOKUP(A1184,[33]INDICE!$A$3:$D$334,4,FALSE)</f>
        <v>476422.26587601355</v>
      </c>
      <c r="H1184" s="652">
        <f t="shared" si="128"/>
        <v>19056890.635040544</v>
      </c>
      <c r="J1184" s="625">
        <v>710.1</v>
      </c>
    </row>
    <row r="1185" spans="1:10" s="625" customFormat="1" ht="24.95" customHeight="1">
      <c r="A1185" s="631" t="s">
        <v>702</v>
      </c>
      <c r="B1185" s="631" t="str">
        <f t="shared" si="127"/>
        <v>710-13</v>
      </c>
      <c r="C1185" s="689"/>
      <c r="D1185" s="657" t="str">
        <f>VLOOKUP(A1185,[33]INDICE!$A$3:$D$334,2,FALSE)</f>
        <v>SEÑAL VERTICAL DE TRANSITO TIPO 2 CON LAMINA RETRORREFLECTIVA TIPO (1.20X0.40 M)</v>
      </c>
      <c r="E1185" s="706" t="str">
        <f>VLOOKUP(A1185,[33]INDICE!$A$3:$D$334,3,FALSE)</f>
        <v>m2</v>
      </c>
      <c r="F1185" s="694">
        <v>2.6</v>
      </c>
      <c r="G1185" s="688">
        <f>VLOOKUP(A1185,[33]INDICE!$A$3:$D$334,4,FALSE)</f>
        <v>427470.78428018105</v>
      </c>
      <c r="H1185" s="652">
        <f t="shared" si="128"/>
        <v>1111424.0391284707</v>
      </c>
      <c r="J1185" s="625">
        <v>710.2</v>
      </c>
    </row>
    <row r="1186" spans="1:10" s="625" customFormat="1" ht="19.5" customHeight="1" thickBot="1">
      <c r="A1186" s="672" t="s">
        <v>703</v>
      </c>
      <c r="B1186" s="672" t="str">
        <f t="shared" si="127"/>
        <v>730-13</v>
      </c>
      <c r="C1186" s="764"/>
      <c r="D1186" s="657" t="str">
        <f>VLOOKUP(A1186,[33]INDICE!$A$3:$D$334,2,FALSE)</f>
        <v>DEFENSA METÁLICA.</v>
      </c>
      <c r="E1186" s="706" t="str">
        <f>VLOOKUP(A1186,[33]INDICE!$A$3:$D$334,3,FALSE)</f>
        <v>m</v>
      </c>
      <c r="F1186" s="765">
        <v>6264</v>
      </c>
      <c r="G1186" s="688">
        <f>VLOOKUP(A1186,[33]INDICE!$A$3:$D$334,4,FALSE)</f>
        <v>187098.64084418304</v>
      </c>
      <c r="H1186" s="679">
        <f t="shared" si="128"/>
        <v>1171985886.2479625</v>
      </c>
      <c r="J1186" s="625">
        <v>730.1</v>
      </c>
    </row>
    <row r="1187" spans="1:10" s="625" customFormat="1" ht="14.1" customHeight="1" thickTop="1">
      <c r="A1187" s="637"/>
      <c r="B1187" s="637"/>
      <c r="C1187" s="638"/>
      <c r="D1187" s="638"/>
      <c r="E1187" s="659"/>
      <c r="F1187" s="718"/>
      <c r="G1187" s="670" t="s">
        <v>536</v>
      </c>
      <c r="H1187" s="710">
        <f>SUM(H1181:H1186)</f>
        <v>1873835395.3776412</v>
      </c>
    </row>
    <row r="1188" spans="1:10" s="625" customFormat="1" ht="14.1" customHeight="1">
      <c r="A1188" s="641"/>
      <c r="B1188" s="641"/>
      <c r="C1188" s="642"/>
      <c r="D1188" s="642"/>
      <c r="E1188" s="621"/>
      <c r="F1188" s="647"/>
      <c r="G1188" s="671" t="s">
        <v>537</v>
      </c>
      <c r="H1188" s="644">
        <f>ROUND((+H1187*0.05*0.19)/(1+0.3),0)</f>
        <v>13693413</v>
      </c>
    </row>
    <row r="1189" spans="1:10" s="625" customFormat="1" ht="15" customHeight="1" thickBot="1">
      <c r="A1189" s="642"/>
      <c r="B1189" s="641"/>
      <c r="C1189" s="642"/>
      <c r="D1189" s="703"/>
      <c r="E1189" s="621"/>
      <c r="F1189" s="711"/>
      <c r="G1189" s="671" t="s">
        <v>538</v>
      </c>
      <c r="H1189" s="645">
        <f>+ROUND(H1187+H1188,0)</f>
        <v>1887528808</v>
      </c>
    </row>
    <row r="1190" spans="1:10" s="625" customFormat="1" ht="15" customHeight="1" thickTop="1">
      <c r="A1190" s="705"/>
      <c r="B1190" s="619"/>
      <c r="C1190" s="619"/>
      <c r="D1190" s="620"/>
      <c r="E1190" s="621"/>
      <c r="F1190" s="647"/>
      <c r="G1190" s="643"/>
      <c r="H1190" s="624"/>
    </row>
    <row r="1191" spans="1:10" s="625" customFormat="1" ht="15" customHeight="1">
      <c r="A1191" s="62" t="s">
        <v>704</v>
      </c>
      <c r="B1191" s="619"/>
      <c r="C1191" s="619"/>
      <c r="D1191" s="620"/>
      <c r="E1191" s="621"/>
      <c r="F1191" s="622"/>
      <c r="G1191" s="623"/>
      <c r="H1191" s="624"/>
    </row>
    <row r="1192" spans="1:10" s="625" customFormat="1" ht="13.5" thickBot="1">
      <c r="A1192" s="626"/>
      <c r="B1192" s="627"/>
      <c r="C1192" s="626" t="s">
        <v>705</v>
      </c>
      <c r="D1192" s="626"/>
      <c r="E1192" s="627"/>
      <c r="F1192" s="626"/>
      <c r="G1192" s="691"/>
      <c r="H1192" s="629"/>
    </row>
    <row r="1193" spans="1:10" s="625" customFormat="1" ht="15" customHeight="1" thickTop="1">
      <c r="A1193" s="631" t="s">
        <v>540</v>
      </c>
      <c r="B1193" s="631" t="str">
        <f>MID(A1193,1,3)&amp;"-"&amp;13</f>
        <v>600-13</v>
      </c>
      <c r="C1193" s="665"/>
      <c r="D1193" s="657" t="str">
        <f>VLOOKUP(A1193,[33]INDICE!$A$3:$D$334,2,FALSE)</f>
        <v>EXCAVACIONES VARIAS SIN CLASIFICAR</v>
      </c>
      <c r="E1193" s="706" t="str">
        <f>VLOOKUP(A1193,[33]INDICE!$A$3:$D$334,3,FALSE)</f>
        <v>m3</v>
      </c>
      <c r="F1193" s="666">
        <f>5*2*3</f>
        <v>30</v>
      </c>
      <c r="G1193" s="688">
        <f>VLOOKUP(A1193,[33]INDICE!$A$3:$D$334,4,FALSE)</f>
        <v>67953.950275344076</v>
      </c>
      <c r="H1193" s="667">
        <f>F1193*G1193</f>
        <v>2038618.5082603223</v>
      </c>
      <c r="J1193" s="625" t="s">
        <v>541</v>
      </c>
    </row>
    <row r="1194" spans="1:10" s="625" customFormat="1" ht="15" customHeight="1">
      <c r="A1194" s="631" t="s">
        <v>542</v>
      </c>
      <c r="B1194" s="631" t="str">
        <f t="shared" ref="B1194:B1200" si="129">MID(A1194,1,3)&amp;"-"&amp;13</f>
        <v>600-13</v>
      </c>
      <c r="C1194" s="631"/>
      <c r="D1194" s="657" t="str">
        <f>VLOOKUP(A1194,[33]INDICE!$A$3:$D$334,2,FALSE)</f>
        <v>EXCAVACIONES VARIAS EN MATERIAL COMÚN BAJO AGUA.</v>
      </c>
      <c r="E1194" s="706" t="str">
        <f>VLOOKUP(A1194,[33]INDICE!$A$3:$D$334,3,FALSE)</f>
        <v>m3</v>
      </c>
      <c r="F1194" s="655">
        <v>20</v>
      </c>
      <c r="G1194" s="688">
        <f>VLOOKUP(A1194,[33]INDICE!$A$3:$D$334,4,FALSE)</f>
        <v>84833.800787215107</v>
      </c>
      <c r="H1194" s="652">
        <f t="shared" ref="H1194:H1200" si="130">F1194*G1194</f>
        <v>1696676.0157443022</v>
      </c>
      <c r="J1194" s="625" t="s">
        <v>543</v>
      </c>
    </row>
    <row r="1195" spans="1:10" s="625" customFormat="1" ht="15" customHeight="1">
      <c r="A1195" s="631" t="s">
        <v>544</v>
      </c>
      <c r="B1195" s="631" t="str">
        <f>MID(A1195,1,3)&amp;"-"&amp;13</f>
        <v>610-13</v>
      </c>
      <c r="C1195" s="631"/>
      <c r="D1195" s="657" t="str">
        <f>VLOOKUP(A1195,[33]INDICE!$A$3:$D$334,2,FALSE)</f>
        <v>RELLENOS PARA ESTRUCTURAS CON SUELO.</v>
      </c>
      <c r="E1195" s="706" t="str">
        <f>VLOOKUP(A1195,[33]INDICE!$A$3:$D$334,3,FALSE)</f>
        <v>m3</v>
      </c>
      <c r="F1195" s="655">
        <f>5*1*1</f>
        <v>5</v>
      </c>
      <c r="G1195" s="688">
        <f>VLOOKUP(A1195,[33]INDICE!$A$3:$D$334,4,FALSE)</f>
        <v>164362.8922747685</v>
      </c>
      <c r="H1195" s="652">
        <f>F1195*G1195</f>
        <v>821814.46137384255</v>
      </c>
      <c r="J1195" s="625">
        <v>610.1</v>
      </c>
    </row>
    <row r="1196" spans="1:10" s="625" customFormat="1" ht="15" customHeight="1">
      <c r="A1196" s="683" t="s">
        <v>545</v>
      </c>
      <c r="B1196" s="683" t="str">
        <f>MID(A1196,1,3)&amp;"-"&amp;13</f>
        <v>630-13</v>
      </c>
      <c r="C1196" s="683"/>
      <c r="D1196" s="657" t="str">
        <f>VLOOKUP(A1196,[33]INDICE!$A$3:$D$334,2,FALSE)</f>
        <v>CONCRETO RESISTENCIA 17.5MPA (E )</v>
      </c>
      <c r="E1196" s="706" t="str">
        <f>VLOOKUP(A1196,[33]INDICE!$A$3:$D$334,3,FALSE)</f>
        <v>m3</v>
      </c>
      <c r="F1196" s="685">
        <f>+(5*1)*6*0.1</f>
        <v>3</v>
      </c>
      <c r="G1196" s="688">
        <f>VLOOKUP(A1196,[33]INDICE!$A$3:$D$334,4,FALSE)</f>
        <v>735031.04931538599</v>
      </c>
      <c r="H1196" s="686">
        <f>F1196*G1196</f>
        <v>2205093.147946158</v>
      </c>
      <c r="J1196" s="625">
        <v>630.5</v>
      </c>
    </row>
    <row r="1197" spans="1:10" s="625" customFormat="1" ht="15" customHeight="1">
      <c r="A1197" s="631" t="s">
        <v>546</v>
      </c>
      <c r="B1197" s="631" t="str">
        <f>MID(A1197,1,3)&amp;"-"&amp;13</f>
        <v>630-13</v>
      </c>
      <c r="C1197" s="631"/>
      <c r="D1197" s="657" t="str">
        <f>VLOOKUP(A1197,[33]INDICE!$A$3:$D$334,2,FALSE)</f>
        <v>CONCRETO RESISTENCIA 14MPA (G) (CICLOPEO)</v>
      </c>
      <c r="E1197" s="706" t="str">
        <f>VLOOKUP(A1197,[33]INDICE!$A$3:$D$334,3,FALSE)</f>
        <v>m3</v>
      </c>
      <c r="F1197" s="655">
        <v>5</v>
      </c>
      <c r="G1197" s="688">
        <f>VLOOKUP(A1197,[33]INDICE!$A$3:$D$334,4,FALSE)</f>
        <v>530138.01220093726</v>
      </c>
      <c r="H1197" s="652">
        <f>F1197*G1197</f>
        <v>2650690.0610046862</v>
      </c>
      <c r="J1197" s="625">
        <v>630.70000000000005</v>
      </c>
    </row>
    <row r="1198" spans="1:10" s="625" customFormat="1" ht="15" customHeight="1">
      <c r="A1198" s="631" t="s">
        <v>547</v>
      </c>
      <c r="B1198" s="631" t="str">
        <f t="shared" si="129"/>
        <v>630-13</v>
      </c>
      <c r="C1198" s="631"/>
      <c r="D1198" s="657" t="str">
        <f>VLOOKUP(A1198,[33]INDICE!$A$3:$D$334,2,FALSE)</f>
        <v>BOLSACRETO 1M3(21MPA)</v>
      </c>
      <c r="E1198" s="706" t="str">
        <f>VLOOKUP(A1198,[33]INDICE!$A$3:$D$334,3,FALSE)</f>
        <v>M3</v>
      </c>
      <c r="F1198" s="694">
        <v>30</v>
      </c>
      <c r="G1198" s="688">
        <f>VLOOKUP(A1198,[33]INDICE!$A$3:$D$334,4,FALSE)</f>
        <v>1058308.5970719282</v>
      </c>
      <c r="H1198" s="652">
        <f t="shared" si="130"/>
        <v>31749257.912157845</v>
      </c>
      <c r="J1198" s="625" t="s">
        <v>547</v>
      </c>
    </row>
    <row r="1199" spans="1:10" s="625" customFormat="1" ht="15" customHeight="1">
      <c r="A1199" s="631" t="s">
        <v>548</v>
      </c>
      <c r="B1199" s="631" t="str">
        <f>MID(A1199,1,3)&amp;"-"&amp;13</f>
        <v>673-13</v>
      </c>
      <c r="C1199" s="631"/>
      <c r="D1199" s="657" t="str">
        <f>VLOOKUP(A1199,[33]INDICE!$A$3:$D$334,2,FALSE)</f>
        <v>GEOTEXTIL  TIPO T-2400 O SIMILAR TEJIDO</v>
      </c>
      <c r="E1199" s="706" t="str">
        <f>VLOOKUP(A1199,[33]INDICE!$A$3:$D$334,3,FALSE)</f>
        <v>m2</v>
      </c>
      <c r="F1199" s="654">
        <f>5*4</f>
        <v>20</v>
      </c>
      <c r="G1199" s="688">
        <f>VLOOKUP(A1199,[33]INDICE!$A$3:$D$334,4,FALSE)</f>
        <v>10983.835173625577</v>
      </c>
      <c r="H1199" s="652">
        <f>F1199*G1199</f>
        <v>219676.70347251155</v>
      </c>
      <c r="J1199" s="625">
        <v>673.1</v>
      </c>
    </row>
    <row r="1200" spans="1:10" s="625" customFormat="1" ht="26.1" customHeight="1" thickBot="1">
      <c r="A1200" s="631" t="s">
        <v>549</v>
      </c>
      <c r="B1200" s="631" t="str">
        <f t="shared" si="129"/>
        <v>681-13</v>
      </c>
      <c r="C1200" s="631"/>
      <c r="D1200" s="657" t="str">
        <f>VLOOKUP(A1200,[33]INDICE!$A$3:$D$334,2,FALSE)</f>
        <v xml:space="preserve">GAVIÓNES DE MALLA DE ALAMBRE DE ACERO ENTRELAZADO  CLASE 1; RECUBRIMIENTO DE ZINC (GALVANIZADO) </v>
      </c>
      <c r="E1200" s="706" t="str">
        <f>VLOOKUP(A1200,[33]INDICE!$A$3:$D$334,3,FALSE)</f>
        <v>m3</v>
      </c>
      <c r="F1200" s="654">
        <f>5*3*1+5*3*1+5*2*1+5*1*1</f>
        <v>45</v>
      </c>
      <c r="G1200" s="688">
        <f>VLOOKUP(A1200,[33]INDICE!$A$3:$D$334,4,FALSE)</f>
        <v>400986.60185015475</v>
      </c>
      <c r="H1200" s="652">
        <f t="shared" si="130"/>
        <v>18044397.083256964</v>
      </c>
      <c r="J1200" s="625">
        <v>681.1</v>
      </c>
    </row>
    <row r="1201" spans="1:13" s="625" customFormat="1" ht="15" customHeight="1" thickTop="1">
      <c r="A1201" s="637"/>
      <c r="B1201" s="637"/>
      <c r="C1201" s="637"/>
      <c r="D1201" s="638"/>
      <c r="E1201" s="659"/>
      <c r="F1201" s="660"/>
      <c r="G1201" s="639" t="s">
        <v>536</v>
      </c>
      <c r="H1201" s="681">
        <f>SUM(H1193:H1200)</f>
        <v>59426223.893216625</v>
      </c>
    </row>
    <row r="1202" spans="1:13" s="625" customFormat="1" ht="15" customHeight="1">
      <c r="A1202" s="641"/>
      <c r="B1202" s="641"/>
      <c r="C1202" s="641"/>
      <c r="D1202" s="642"/>
      <c r="E1202" s="621"/>
      <c r="F1202" s="647"/>
      <c r="G1202" s="643" t="s">
        <v>537</v>
      </c>
      <c r="H1202" s="644">
        <f>ROUND((+H1201*0.05*0.19)/(1+0.3),0)</f>
        <v>434269</v>
      </c>
    </row>
    <row r="1203" spans="1:13" s="625" customFormat="1" ht="15" customHeight="1" thickBot="1">
      <c r="A1203" s="620"/>
      <c r="B1203" s="619"/>
      <c r="C1203" s="619"/>
      <c r="D1203" s="620"/>
      <c r="E1203" s="621"/>
      <c r="F1203" s="647"/>
      <c r="G1203" s="643" t="s">
        <v>538</v>
      </c>
      <c r="H1203" s="645">
        <f>+ROUND(H1201+H1202,0)</f>
        <v>59860493</v>
      </c>
    </row>
    <row r="1204" spans="1:13" s="625" customFormat="1" ht="15" customHeight="1" thickTop="1">
      <c r="A1204" s="620"/>
      <c r="B1204" s="619"/>
      <c r="C1204" s="619"/>
      <c r="D1204" s="620"/>
      <c r="E1204" s="621"/>
      <c r="F1204" s="647"/>
      <c r="G1204" s="647"/>
      <c r="H1204" s="624"/>
    </row>
    <row r="1205" spans="1:13" s="625" customFormat="1" ht="14.1" customHeight="1" thickBot="1">
      <c r="A1205" s="626"/>
      <c r="B1205" s="674"/>
      <c r="C1205" s="626" t="s">
        <v>706</v>
      </c>
      <c r="D1205" s="626"/>
      <c r="E1205" s="626"/>
      <c r="F1205" s="626"/>
      <c r="G1205" s="626"/>
      <c r="H1205" s="626"/>
    </row>
    <row r="1206" spans="1:13" s="625" customFormat="1" ht="15" customHeight="1" thickTop="1">
      <c r="A1206" s="631" t="s">
        <v>540</v>
      </c>
      <c r="B1206" s="631" t="str">
        <f t="shared" ref="B1206:B1212" si="131">MID(A1206,1,3)&amp;"-"&amp;13</f>
        <v>600-13</v>
      </c>
      <c r="C1206" s="631"/>
      <c r="D1206" s="657" t="str">
        <f>VLOOKUP(A1206,[33]INDICE!$A$3:$D$334,2,FALSE)</f>
        <v>EXCAVACIONES VARIAS SIN CLASIFICAR</v>
      </c>
      <c r="E1206" s="706" t="str">
        <f>VLOOKUP(A1206,[33]INDICE!$A$3:$D$334,3,FALSE)</f>
        <v>m3</v>
      </c>
      <c r="F1206" s="654">
        <f>20*2*3</f>
        <v>120</v>
      </c>
      <c r="G1206" s="688">
        <f>VLOOKUP(A1206,[33]INDICE!$A$3:$D$334,4,FALSE)</f>
        <v>67953.950275344076</v>
      </c>
      <c r="H1206" s="652">
        <f t="shared" ref="H1206:H1212" si="132">F1206*G1206</f>
        <v>8154474.0330412891</v>
      </c>
      <c r="J1206" s="625">
        <v>2014</v>
      </c>
      <c r="K1206" s="766" t="s">
        <v>632</v>
      </c>
      <c r="L1206" s="766" t="s">
        <v>624</v>
      </c>
      <c r="M1206" s="625" t="s">
        <v>541</v>
      </c>
    </row>
    <row r="1207" spans="1:13" s="625" customFormat="1" ht="15" customHeight="1">
      <c r="A1207" s="631" t="s">
        <v>544</v>
      </c>
      <c r="B1207" s="631" t="str">
        <f t="shared" si="131"/>
        <v>610-13</v>
      </c>
      <c r="C1207" s="631"/>
      <c r="D1207" s="657" t="str">
        <f>VLOOKUP(A1207,[33]INDICE!$A$3:$D$334,2,FALSE)</f>
        <v>RELLENOS PARA ESTRUCTURAS CON SUELO.</v>
      </c>
      <c r="E1207" s="706" t="str">
        <f>VLOOKUP(A1207,[33]INDICE!$A$3:$D$334,3,FALSE)</f>
        <v>m3</v>
      </c>
      <c r="F1207" s="655">
        <f>0.3*F1206</f>
        <v>36</v>
      </c>
      <c r="G1207" s="688">
        <f>VLOOKUP(A1207,[33]INDICE!$A$3:$D$334,4,FALSE)</f>
        <v>164362.8922747685</v>
      </c>
      <c r="H1207" s="652">
        <f t="shared" si="132"/>
        <v>5917064.1218916662</v>
      </c>
      <c r="M1207" s="625">
        <v>610.1</v>
      </c>
    </row>
    <row r="1208" spans="1:13" s="625" customFormat="1" ht="15" customHeight="1">
      <c r="A1208" s="631" t="s">
        <v>545</v>
      </c>
      <c r="B1208" s="631" t="str">
        <f t="shared" si="131"/>
        <v>630-13</v>
      </c>
      <c r="C1208" s="631"/>
      <c r="D1208" s="657" t="str">
        <f>VLOOKUP(A1208,[33]INDICE!$A$3:$D$334,2,FALSE)</f>
        <v>CONCRETO RESISTENCIA 17.5MPA (E )</v>
      </c>
      <c r="E1208" s="706" t="str">
        <f>VLOOKUP(A1208,[33]INDICE!$A$3:$D$334,3,FALSE)</f>
        <v>m3</v>
      </c>
      <c r="F1208" s="655">
        <f>40*3*0.1</f>
        <v>12</v>
      </c>
      <c r="G1208" s="688">
        <f>VLOOKUP(A1208,[33]INDICE!$A$3:$D$334,4,FALSE)</f>
        <v>735031.04931538599</v>
      </c>
      <c r="H1208" s="652">
        <f t="shared" si="132"/>
        <v>8820372.5917846318</v>
      </c>
      <c r="M1208" s="625">
        <v>630.5</v>
      </c>
    </row>
    <row r="1209" spans="1:13" s="625" customFormat="1" ht="15" customHeight="1">
      <c r="A1209" s="631" t="s">
        <v>547</v>
      </c>
      <c r="B1209" s="631" t="str">
        <f t="shared" si="131"/>
        <v>630-13</v>
      </c>
      <c r="C1209" s="631"/>
      <c r="D1209" s="657" t="str">
        <f>VLOOKUP(A1209,[33]INDICE!$A$3:$D$334,2,FALSE)</f>
        <v>BOLSACRETO 1M3(21MPA)</v>
      </c>
      <c r="E1209" s="706" t="str">
        <f>VLOOKUP(A1209,[33]INDICE!$A$3:$D$334,3,FALSE)</f>
        <v>M3</v>
      </c>
      <c r="F1209" s="694">
        <f>80</f>
        <v>80</v>
      </c>
      <c r="G1209" s="688">
        <f>VLOOKUP(A1209,[33]INDICE!$A$3:$D$334,4,FALSE)</f>
        <v>1058308.5970719282</v>
      </c>
      <c r="H1209" s="652">
        <f t="shared" si="132"/>
        <v>84664687.765754253</v>
      </c>
      <c r="M1209" s="625" t="s">
        <v>547</v>
      </c>
    </row>
    <row r="1210" spans="1:13" s="625" customFormat="1" ht="15" customHeight="1">
      <c r="A1210" s="631" t="s">
        <v>548</v>
      </c>
      <c r="B1210" s="631" t="str">
        <f t="shared" si="131"/>
        <v>673-13</v>
      </c>
      <c r="C1210" s="631"/>
      <c r="D1210" s="657" t="str">
        <f>VLOOKUP(A1210,[33]INDICE!$A$3:$D$334,2,FALSE)</f>
        <v>GEOTEXTIL  TIPO T-2400 O SIMILAR TEJIDO</v>
      </c>
      <c r="E1210" s="706" t="str">
        <f>VLOOKUP(A1210,[33]INDICE!$A$3:$D$334,3,FALSE)</f>
        <v>m2</v>
      </c>
      <c r="F1210" s="654">
        <v>120</v>
      </c>
      <c r="G1210" s="688">
        <f>VLOOKUP(A1210,[33]INDICE!$A$3:$D$334,4,FALSE)</f>
        <v>10983.835173625577</v>
      </c>
      <c r="H1210" s="652">
        <f t="shared" si="132"/>
        <v>1318060.2208350692</v>
      </c>
      <c r="J1210" s="698">
        <f>K1210*L1210</f>
        <v>800</v>
      </c>
      <c r="K1210" s="699">
        <v>20</v>
      </c>
      <c r="L1210" s="700">
        <v>40</v>
      </c>
      <c r="M1210" s="625">
        <v>673.1</v>
      </c>
    </row>
    <row r="1211" spans="1:13" s="625" customFormat="1" ht="15" customHeight="1">
      <c r="A1211" s="631" t="s">
        <v>560</v>
      </c>
      <c r="B1211" s="631" t="str">
        <f t="shared" si="131"/>
        <v>673-13</v>
      </c>
      <c r="C1211" s="631"/>
      <c r="D1211" s="657" t="str">
        <f>VLOOKUP(A1211,[33]INDICE!$A$3:$D$334,2,FALSE)</f>
        <v>MATERIAL GRANULAR DRENANTE</v>
      </c>
      <c r="E1211" s="706" t="str">
        <f>VLOOKUP(A1211,[33]INDICE!$A$3:$D$334,3,FALSE)</f>
        <v>m3</v>
      </c>
      <c r="F1211" s="655">
        <f>7*20*0.2</f>
        <v>28</v>
      </c>
      <c r="G1211" s="688">
        <f>VLOOKUP(A1211,[33]INDICE!$A$3:$D$334,4,FALSE)</f>
        <v>84364.417561781069</v>
      </c>
      <c r="H1211" s="652">
        <f t="shared" si="132"/>
        <v>2362203.6917298697</v>
      </c>
      <c r="M1211" s="625">
        <v>673.2</v>
      </c>
    </row>
    <row r="1212" spans="1:13" s="625" customFormat="1" ht="26.1" customHeight="1" thickBot="1">
      <c r="A1212" s="672" t="s">
        <v>549</v>
      </c>
      <c r="B1212" s="631" t="str">
        <f t="shared" si="131"/>
        <v>681-13</v>
      </c>
      <c r="C1212" s="672"/>
      <c r="D1212" s="657" t="str">
        <f>VLOOKUP(A1212,[33]INDICE!$A$3:$D$334,2,FALSE)</f>
        <v xml:space="preserve">GAVIÓNES DE MALLA DE ALAMBRE DE ACERO ENTRELAZADO  CLASE 1; RECUBRIMIENTO DE ZINC (GALVANIZADO) </v>
      </c>
      <c r="E1212" s="706" t="str">
        <f>VLOOKUP(A1212,[33]INDICE!$A$3:$D$334,3,FALSE)</f>
        <v>m3</v>
      </c>
      <c r="F1212" s="767">
        <f>3*20*2*1+2*2*1*1+1*1*1</f>
        <v>125</v>
      </c>
      <c r="G1212" s="688">
        <f>VLOOKUP(A1212,[33]INDICE!$A$3:$D$334,4,FALSE)</f>
        <v>400986.60185015475</v>
      </c>
      <c r="H1212" s="679">
        <f t="shared" si="132"/>
        <v>50123325.231269345</v>
      </c>
      <c r="K1212" s="625">
        <v>2014</v>
      </c>
      <c r="M1212" s="625">
        <v>681.1</v>
      </c>
    </row>
    <row r="1213" spans="1:13" s="625" customFormat="1" ht="15" customHeight="1" thickTop="1">
      <c r="A1213" s="637"/>
      <c r="B1213" s="637"/>
      <c r="C1213" s="638"/>
      <c r="D1213" s="638"/>
      <c r="E1213" s="659"/>
      <c r="G1213" s="639" t="s">
        <v>536</v>
      </c>
      <c r="H1213" s="702">
        <f>SUM(H1206:H1212)</f>
        <v>161360187.65630615</v>
      </c>
    </row>
    <row r="1214" spans="1:13" s="625" customFormat="1" ht="15" customHeight="1">
      <c r="A1214" s="641"/>
      <c r="B1214" s="641"/>
      <c r="C1214" s="642"/>
      <c r="D1214" s="642"/>
      <c r="E1214" s="621"/>
      <c r="G1214" s="643" t="s">
        <v>673</v>
      </c>
      <c r="H1214" s="644">
        <f>ROUND((+H1213*0.05*0.19)/(1+0.3),0)</f>
        <v>1179171</v>
      </c>
    </row>
    <row r="1215" spans="1:13" s="625" customFormat="1" ht="15" customHeight="1" thickBot="1">
      <c r="A1215" s="642"/>
      <c r="B1215" s="641"/>
      <c r="C1215" s="642"/>
      <c r="D1215" s="703"/>
      <c r="E1215" s="621"/>
      <c r="G1215" s="643" t="s">
        <v>538</v>
      </c>
      <c r="H1215" s="645">
        <f>+ROUND(H1213+H1214,0)</f>
        <v>162539359</v>
      </c>
    </row>
    <row r="1216" spans="1:13" s="625" customFormat="1" ht="15" customHeight="1" thickTop="1">
      <c r="A1216" s="642"/>
      <c r="B1216" s="641"/>
      <c r="C1216" s="642"/>
      <c r="D1216" s="703"/>
      <c r="E1216" s="621"/>
      <c r="G1216" s="643"/>
      <c r="H1216" s="646"/>
    </row>
    <row r="1217" spans="1:10" s="769" customFormat="1" ht="13.5" hidden="1" thickBot="1">
      <c r="A1217" s="737"/>
      <c r="B1217" s="738"/>
      <c r="C1217" s="737" t="s">
        <v>707</v>
      </c>
      <c r="D1217" s="737"/>
      <c r="E1217" s="738"/>
      <c r="F1217" s="737"/>
      <c r="G1217" s="768"/>
      <c r="H1217" s="740"/>
      <c r="I1217" s="1558"/>
    </row>
    <row r="1218" spans="1:10" s="769" customFormat="1" ht="28.5" hidden="1" customHeight="1">
      <c r="A1218" s="770" t="s">
        <v>708</v>
      </c>
      <c r="B1218" s="741"/>
      <c r="C1218" s="741" t="s">
        <v>708</v>
      </c>
      <c r="D1218" s="771" t="str">
        <f>VLOOKUP(A1218,[34]INDICE!$A$2:$D$416,2,FALSE)</f>
        <v>Tratamiento De Superficies De Concreto Con Mortero Acrílico De Reparación</v>
      </c>
      <c r="E1218" s="743" t="str">
        <f>VLOOKUP(A1218,[34]INDICE!$A$2:$D$416,3,FALSE)</f>
        <v>M²</v>
      </c>
      <c r="F1218" s="772">
        <v>10</v>
      </c>
      <c r="G1218" s="773">
        <f>VLOOKUP(A1218,[34]INDICE!$A$2:$D$416,4,FALSE)</f>
        <v>490480</v>
      </c>
      <c r="H1218" s="774">
        <f>F1218*G1218</f>
        <v>4904800</v>
      </c>
    </row>
    <row r="1219" spans="1:10" s="769" customFormat="1" ht="15" hidden="1" customHeight="1">
      <c r="A1219" s="747"/>
      <c r="B1219" s="747"/>
      <c r="C1219" s="747"/>
      <c r="D1219" s="748"/>
      <c r="E1219" s="749"/>
      <c r="F1219" s="750"/>
      <c r="G1219" s="751" t="s">
        <v>536</v>
      </c>
      <c r="H1219" s="775">
        <f>SUM(H1218:H1218)</f>
        <v>4904800</v>
      </c>
    </row>
    <row r="1220" spans="1:10" s="769" customFormat="1" ht="15" hidden="1" customHeight="1">
      <c r="A1220" s="753"/>
      <c r="B1220" s="753"/>
      <c r="C1220" s="753"/>
      <c r="D1220" s="754"/>
      <c r="E1220" s="755"/>
      <c r="F1220" s="756"/>
      <c r="G1220" s="757" t="s">
        <v>537</v>
      </c>
      <c r="H1220" s="758">
        <f>SUM(H1219:H1219)*0.05*0.19/1.3</f>
        <v>35842.769230769227</v>
      </c>
    </row>
    <row r="1221" spans="1:10" s="769" customFormat="1" ht="15" hidden="1" customHeight="1">
      <c r="A1221" s="759"/>
      <c r="B1221" s="760"/>
      <c r="C1221" s="760"/>
      <c r="D1221" s="759"/>
      <c r="E1221" s="755"/>
      <c r="F1221" s="756"/>
      <c r="G1221" s="757" t="s">
        <v>538</v>
      </c>
      <c r="H1221" s="761">
        <f>+ROUND(H1219+H1220,0)</f>
        <v>4940643</v>
      </c>
      <c r="I1221" s="1558"/>
    </row>
    <row r="1222" spans="1:10" s="625" customFormat="1" ht="15" customHeight="1">
      <c r="A1222" s="620"/>
      <c r="B1222" s="619"/>
      <c r="C1222" s="619"/>
      <c r="D1222" s="620"/>
      <c r="E1222" s="621"/>
      <c r="F1222" s="622"/>
      <c r="G1222" s="623"/>
      <c r="H1222" s="624"/>
    </row>
    <row r="1223" spans="1:10" s="625" customFormat="1" ht="13.5" thickBot="1">
      <c r="A1223" s="626"/>
      <c r="B1223" s="627"/>
      <c r="C1223" s="626" t="s">
        <v>709</v>
      </c>
      <c r="D1223" s="626"/>
      <c r="E1223" s="627"/>
      <c r="F1223" s="626"/>
      <c r="G1223" s="691"/>
      <c r="H1223" s="629"/>
      <c r="I1223" s="630"/>
    </row>
    <row r="1224" spans="1:10" s="625" customFormat="1" ht="15" customHeight="1" thickTop="1">
      <c r="A1224" s="631" t="s">
        <v>542</v>
      </c>
      <c r="B1224" s="631" t="str">
        <f>MID(A1224,1,3)&amp;"-"&amp;13</f>
        <v>600-13</v>
      </c>
      <c r="C1224" s="631"/>
      <c r="D1224" s="657" t="str">
        <f>VLOOKUP(A1224,[33]INDICE!$A$3:$D$334,2,FALSE)</f>
        <v>EXCAVACIONES VARIAS EN MATERIAL COMÚN BAJO AGUA.</v>
      </c>
      <c r="E1224" s="706" t="str">
        <f>VLOOKUP(A1224,[33]INDICE!$A$3:$D$334,3,FALSE)</f>
        <v>m3</v>
      </c>
      <c r="F1224" s="655">
        <f>12*0.5*0.5</f>
        <v>3</v>
      </c>
      <c r="G1224" s="688">
        <f>VLOOKUP(A1224,[33]INDICE!$A$3:$D$334,4,FALSE)</f>
        <v>84833.800787215107</v>
      </c>
      <c r="H1224" s="652">
        <f>F1224*G1224</f>
        <v>254501.40236164531</v>
      </c>
      <c r="J1224" s="625" t="s">
        <v>543</v>
      </c>
    </row>
    <row r="1225" spans="1:10" s="625" customFormat="1" ht="15" customHeight="1">
      <c r="A1225" s="631" t="s">
        <v>545</v>
      </c>
      <c r="B1225" s="631" t="str">
        <f>MID(A1225,1,3)&amp;"-"&amp;13</f>
        <v>630-13</v>
      </c>
      <c r="C1225" s="631"/>
      <c r="D1225" s="657" t="str">
        <f>VLOOKUP(A1225,[33]INDICE!$A$3:$D$334,2,FALSE)</f>
        <v>CONCRETO RESISTENCIA 17.5MPA (E )</v>
      </c>
      <c r="E1225" s="706" t="str">
        <f>VLOOKUP(A1225,[33]INDICE!$A$3:$D$334,3,FALSE)</f>
        <v>m3</v>
      </c>
      <c r="F1225" s="655">
        <f>12*1*0.5</f>
        <v>6</v>
      </c>
      <c r="G1225" s="688">
        <f>VLOOKUP(A1225,[33]INDICE!$A$3:$D$334,4,FALSE)</f>
        <v>735031.04931538599</v>
      </c>
      <c r="H1225" s="652">
        <f>F1225*G1225</f>
        <v>4410186.2958923159</v>
      </c>
      <c r="J1225" s="625">
        <v>630.5</v>
      </c>
    </row>
    <row r="1226" spans="1:10" s="625" customFormat="1" ht="15" customHeight="1" thickBot="1">
      <c r="A1226" s="672" t="s">
        <v>546</v>
      </c>
      <c r="B1226" s="672" t="str">
        <f>MID(A1226,1,3)&amp;"-"&amp;13</f>
        <v>630-13</v>
      </c>
      <c r="C1226" s="672"/>
      <c r="D1226" s="657" t="str">
        <f>VLOOKUP(A1226,[33]INDICE!$A$3:$D$334,2,FALSE)</f>
        <v>CONCRETO RESISTENCIA 14MPA (G) (CICLOPEO)</v>
      </c>
      <c r="E1226" s="706" t="str">
        <f>VLOOKUP(A1226,[33]INDICE!$A$3:$D$334,3,FALSE)</f>
        <v>m3</v>
      </c>
      <c r="F1226" s="663">
        <v>5</v>
      </c>
      <c r="G1226" s="688">
        <f>VLOOKUP(A1226,[33]INDICE!$A$3:$D$334,4,FALSE)</f>
        <v>530138.01220093726</v>
      </c>
      <c r="H1226" s="679">
        <f>F1226*G1226</f>
        <v>2650690.0610046862</v>
      </c>
      <c r="J1226" s="625">
        <v>630.70000000000005</v>
      </c>
    </row>
    <row r="1227" spans="1:10" s="625" customFormat="1" ht="15" customHeight="1" thickTop="1">
      <c r="A1227" s="637"/>
      <c r="B1227" s="637"/>
      <c r="C1227" s="637"/>
      <c r="D1227" s="638"/>
      <c r="E1227" s="659"/>
      <c r="F1227" s="660"/>
      <c r="G1227" s="670" t="s">
        <v>536</v>
      </c>
      <c r="H1227" s="681">
        <f>SUM(H1224:H1226)</f>
        <v>7315377.7592586474</v>
      </c>
    </row>
    <row r="1228" spans="1:10" s="625" customFormat="1" ht="15" customHeight="1">
      <c r="A1228" s="641"/>
      <c r="B1228" s="641"/>
      <c r="C1228" s="641"/>
      <c r="D1228" s="642"/>
      <c r="E1228" s="621"/>
      <c r="F1228" s="647"/>
      <c r="G1228" s="671" t="s">
        <v>537</v>
      </c>
      <c r="H1228" s="644">
        <f>ROUND((+H1227*0.05*0.19)/(1+0.3),0)</f>
        <v>53459</v>
      </c>
    </row>
    <row r="1229" spans="1:10" s="625" customFormat="1" ht="15" customHeight="1" thickBot="1">
      <c r="A1229" s="620"/>
      <c r="B1229" s="619"/>
      <c r="C1229" s="619"/>
      <c r="D1229" s="620"/>
      <c r="E1229" s="621"/>
      <c r="F1229" s="647"/>
      <c r="G1229" s="671" t="s">
        <v>538</v>
      </c>
      <c r="H1229" s="645">
        <f>+ROUND(H1227+H1228,0)</f>
        <v>7368837</v>
      </c>
      <c r="I1229" s="630"/>
    </row>
    <row r="1230" spans="1:10" s="625" customFormat="1" ht="12.75" customHeight="1" thickTop="1">
      <c r="A1230" s="620"/>
      <c r="B1230" s="619"/>
      <c r="C1230" s="619"/>
      <c r="D1230" s="620"/>
      <c r="E1230" s="621"/>
      <c r="F1230" s="622"/>
      <c r="G1230" s="623"/>
      <c r="H1230" s="624"/>
    </row>
    <row r="1231" spans="1:10" s="625" customFormat="1" ht="13.5" thickBot="1">
      <c r="A1231" s="626"/>
      <c r="B1231" s="627"/>
      <c r="C1231" s="626" t="s">
        <v>710</v>
      </c>
      <c r="D1231" s="626"/>
      <c r="E1231" s="627"/>
      <c r="F1231" s="626"/>
      <c r="G1231" s="691"/>
      <c r="H1231" s="629"/>
      <c r="I1231" s="630"/>
    </row>
    <row r="1232" spans="1:10" s="625" customFormat="1" ht="15" customHeight="1" thickTop="1">
      <c r="A1232" s="631" t="s">
        <v>542</v>
      </c>
      <c r="B1232" s="631" t="str">
        <f>MID(A1232,1,3)&amp;"-"&amp;13</f>
        <v>600-13</v>
      </c>
      <c r="C1232" s="631"/>
      <c r="D1232" s="657" t="str">
        <f>VLOOKUP(A1232,[33]INDICE!$A$3:$D$334,2,FALSE)</f>
        <v>EXCAVACIONES VARIAS EN MATERIAL COMÚN BAJO AGUA.</v>
      </c>
      <c r="E1232" s="706" t="str">
        <f>VLOOKUP(A1232,[33]INDICE!$A$3:$D$334,3,FALSE)</f>
        <v>m3</v>
      </c>
      <c r="F1232" s="655">
        <f>7*1*1</f>
        <v>7</v>
      </c>
      <c r="G1232" s="688">
        <f>VLOOKUP(A1232,[33]INDICE!$A$3:$D$334,4,FALSE)</f>
        <v>84833.800787215107</v>
      </c>
      <c r="H1232" s="652">
        <f>F1232*G1232</f>
        <v>593836.60551050573</v>
      </c>
      <c r="J1232" s="625" t="s">
        <v>543</v>
      </c>
    </row>
    <row r="1233" spans="1:10" s="625" customFormat="1" ht="15" customHeight="1">
      <c r="A1233" s="631" t="s">
        <v>545</v>
      </c>
      <c r="B1233" s="631" t="str">
        <f>MID(A1233,1,3)&amp;"-"&amp;13</f>
        <v>630-13</v>
      </c>
      <c r="C1233" s="631"/>
      <c r="D1233" s="657" t="str">
        <f>VLOOKUP(A1233,[33]INDICE!$A$3:$D$334,2,FALSE)</f>
        <v>CONCRETO RESISTENCIA 17.5MPA (E )</v>
      </c>
      <c r="E1233" s="706" t="str">
        <f>VLOOKUP(A1233,[33]INDICE!$A$3:$D$334,3,FALSE)</f>
        <v>m3</v>
      </c>
      <c r="F1233" s="655">
        <f>7*1*0.2</f>
        <v>1.4000000000000001</v>
      </c>
      <c r="G1233" s="688">
        <f>VLOOKUP(A1233,[33]INDICE!$A$3:$D$334,4,FALSE)</f>
        <v>735031.04931538599</v>
      </c>
      <c r="H1233" s="652">
        <f>F1233*G1233</f>
        <v>1029043.4690415405</v>
      </c>
      <c r="J1233" s="625">
        <v>630.5</v>
      </c>
    </row>
    <row r="1234" spans="1:10" s="625" customFormat="1" ht="15" customHeight="1" thickBot="1">
      <c r="A1234" s="672" t="s">
        <v>546</v>
      </c>
      <c r="B1234" s="672" t="str">
        <f>MID(A1234,1,3)&amp;"-"&amp;13</f>
        <v>630-13</v>
      </c>
      <c r="C1234" s="672"/>
      <c r="D1234" s="657" t="str">
        <f>VLOOKUP(A1234,[33]INDICE!$A$3:$D$334,2,FALSE)</f>
        <v>CONCRETO RESISTENCIA 14MPA (G) (CICLOPEO)</v>
      </c>
      <c r="E1234" s="706" t="str">
        <f>VLOOKUP(A1234,[33]INDICE!$A$3:$D$334,3,FALSE)</f>
        <v>m3</v>
      </c>
      <c r="F1234" s="663">
        <v>5</v>
      </c>
      <c r="G1234" s="688">
        <f>VLOOKUP(A1234,[33]INDICE!$A$3:$D$334,4,FALSE)</f>
        <v>530138.01220093726</v>
      </c>
      <c r="H1234" s="679">
        <f>F1234*G1234</f>
        <v>2650690.0610046862</v>
      </c>
      <c r="J1234" s="625">
        <v>630.70000000000005</v>
      </c>
    </row>
    <row r="1235" spans="1:10" s="625" customFormat="1" ht="15" customHeight="1" thickTop="1">
      <c r="A1235" s="637"/>
      <c r="B1235" s="637"/>
      <c r="C1235" s="637"/>
      <c r="D1235" s="638"/>
      <c r="E1235" s="659"/>
      <c r="G1235" s="639" t="s">
        <v>536</v>
      </c>
      <c r="H1235" s="681">
        <f>SUM(H1232:H1234)</f>
        <v>4273570.1355567323</v>
      </c>
    </row>
    <row r="1236" spans="1:10" s="625" customFormat="1" ht="15" customHeight="1">
      <c r="A1236" s="641"/>
      <c r="B1236" s="641"/>
      <c r="C1236" s="641"/>
      <c r="D1236" s="642"/>
      <c r="E1236" s="621"/>
      <c r="G1236" s="643" t="s">
        <v>537</v>
      </c>
      <c r="H1236" s="644">
        <f>ROUND((+H1235*0.05*0.19)/(1+0.3),0)</f>
        <v>31230</v>
      </c>
    </row>
    <row r="1237" spans="1:10" s="625" customFormat="1" ht="15" customHeight="1" thickBot="1">
      <c r="A1237" s="620"/>
      <c r="B1237" s="619"/>
      <c r="C1237" s="619"/>
      <c r="D1237" s="620"/>
      <c r="E1237" s="621"/>
      <c r="G1237" s="643" t="s">
        <v>538</v>
      </c>
      <c r="H1237" s="645">
        <f>+ROUND(H1235+H1236,0)</f>
        <v>4304800</v>
      </c>
      <c r="I1237" s="630"/>
    </row>
    <row r="1238" spans="1:10" s="625" customFormat="1" ht="12.75" customHeight="1" thickTop="1">
      <c r="A1238" s="620"/>
      <c r="B1238" s="619"/>
      <c r="C1238" s="619"/>
      <c r="D1238" s="620"/>
      <c r="E1238" s="621"/>
      <c r="F1238" s="622"/>
      <c r="G1238" s="623"/>
      <c r="H1238" s="624"/>
    </row>
    <row r="1239" spans="1:10" s="625" customFormat="1" ht="13.5" thickBot="1">
      <c r="A1239" s="626"/>
      <c r="B1239" s="627"/>
      <c r="C1239" s="626" t="s">
        <v>711</v>
      </c>
      <c r="D1239" s="626"/>
      <c r="E1239" s="627"/>
      <c r="F1239" s="626"/>
      <c r="G1239" s="691"/>
      <c r="H1239" s="629"/>
    </row>
    <row r="1240" spans="1:10" s="625" customFormat="1" ht="15" customHeight="1" thickTop="1">
      <c r="A1240" s="631" t="s">
        <v>552</v>
      </c>
      <c r="B1240" s="631" t="str">
        <f>MID(A1240,1,3)&amp;"-"&amp;13</f>
        <v>201-13</v>
      </c>
      <c r="C1240" s="632"/>
      <c r="D1240" s="657" t="str">
        <f>VLOOKUP(A1240,[33]INDICE!$A$3:$D$334,2,FALSE)</f>
        <v>DEMOLICIÓN DE ESTRUCTURAS</v>
      </c>
      <c r="E1240" s="706" t="str">
        <f>VLOOKUP(A1240,[33]INDICE!$A$3:$D$334,3,FALSE)</f>
        <v>m3</v>
      </c>
      <c r="F1240" s="662">
        <f>10*2.5*0.8</f>
        <v>20</v>
      </c>
      <c r="G1240" s="688">
        <f>VLOOKUP(A1240,[33]INDICE!$A$3:$D$334,4,FALSE)</f>
        <v>240341.82659000819</v>
      </c>
      <c r="H1240" s="636">
        <f>F1240*G1240</f>
        <v>4806836.5318001639</v>
      </c>
      <c r="J1240" s="625">
        <v>201.7</v>
      </c>
    </row>
    <row r="1241" spans="1:10" s="625" customFormat="1" ht="15" customHeight="1">
      <c r="A1241" s="631" t="s">
        <v>540</v>
      </c>
      <c r="B1241" s="631" t="str">
        <f t="shared" ref="B1241:B1249" si="133">MID(A1241,1,3)&amp;"-"&amp;13</f>
        <v>600-13</v>
      </c>
      <c r="C1241" s="631"/>
      <c r="D1241" s="657" t="str">
        <f>VLOOKUP(A1241,[33]INDICE!$A$3:$D$334,2,FALSE)</f>
        <v>EXCAVACIONES VARIAS SIN CLASIFICAR</v>
      </c>
      <c r="E1241" s="706" t="str">
        <f>VLOOKUP(A1241,[33]INDICE!$A$3:$D$334,3,FALSE)</f>
        <v>m3</v>
      </c>
      <c r="F1241" s="654">
        <v>50</v>
      </c>
      <c r="G1241" s="688">
        <f>VLOOKUP(A1241,[33]INDICE!$A$3:$D$334,4,FALSE)</f>
        <v>67953.950275344076</v>
      </c>
      <c r="H1241" s="652">
        <f t="shared" ref="H1241:H1249" si="134">F1241*G1241</f>
        <v>3397697.5137672038</v>
      </c>
      <c r="J1241" s="625" t="s">
        <v>541</v>
      </c>
    </row>
    <row r="1242" spans="1:10" s="625" customFormat="1" ht="15" customHeight="1">
      <c r="A1242" s="631" t="s">
        <v>542</v>
      </c>
      <c r="B1242" s="631" t="str">
        <f t="shared" si="133"/>
        <v>600-13</v>
      </c>
      <c r="C1242" s="631"/>
      <c r="D1242" s="657" t="str">
        <f>VLOOKUP(A1242,[33]INDICE!$A$3:$D$334,2,FALSE)</f>
        <v>EXCAVACIONES VARIAS EN MATERIAL COMÚN BAJO AGUA.</v>
      </c>
      <c r="E1242" s="706" t="str">
        <f>VLOOKUP(A1242,[33]INDICE!$A$3:$D$334,3,FALSE)</f>
        <v>m3</v>
      </c>
      <c r="F1242" s="655">
        <v>20</v>
      </c>
      <c r="G1242" s="688">
        <f>VLOOKUP(A1242,[33]INDICE!$A$3:$D$334,4,FALSE)</f>
        <v>84833.800787215107</v>
      </c>
      <c r="H1242" s="652">
        <f t="shared" si="134"/>
        <v>1696676.0157443022</v>
      </c>
      <c r="J1242" s="625" t="s">
        <v>543</v>
      </c>
    </row>
    <row r="1243" spans="1:10" s="625" customFormat="1" ht="15" customHeight="1">
      <c r="A1243" s="631" t="s">
        <v>544</v>
      </c>
      <c r="B1243" s="631" t="str">
        <f>MID(A1243,1,3)&amp;"-"&amp;13</f>
        <v>610-13</v>
      </c>
      <c r="C1243" s="631"/>
      <c r="D1243" s="657" t="str">
        <f>VLOOKUP(A1243,[33]INDICE!$A$3:$D$334,2,FALSE)</f>
        <v>RELLENOS PARA ESTRUCTURAS CON SUELO.</v>
      </c>
      <c r="E1243" s="706" t="str">
        <f>VLOOKUP(A1243,[33]INDICE!$A$3:$D$334,3,FALSE)</f>
        <v>m3</v>
      </c>
      <c r="F1243" s="655">
        <f>+F1241*1.5</f>
        <v>75</v>
      </c>
      <c r="G1243" s="688">
        <f>VLOOKUP(A1243,[33]INDICE!$A$3:$D$334,4,FALSE)</f>
        <v>164362.8922747685</v>
      </c>
      <c r="H1243" s="652">
        <f t="shared" si="134"/>
        <v>12327216.920607638</v>
      </c>
      <c r="J1243" s="625">
        <v>610.1</v>
      </c>
    </row>
    <row r="1244" spans="1:10" s="625" customFormat="1" ht="15" customHeight="1">
      <c r="A1244" s="631" t="s">
        <v>553</v>
      </c>
      <c r="B1244" s="631" t="str">
        <f t="shared" si="133"/>
        <v>630-13</v>
      </c>
      <c r="C1244" s="631"/>
      <c r="D1244" s="657" t="str">
        <f>VLOOKUP(A1244,[33]INDICE!$A$3:$D$334,2,FALSE)</f>
        <v>CONCRETO RESISTENCIA 21MPA (D)</v>
      </c>
      <c r="E1244" s="706" t="str">
        <f>VLOOKUP(A1244,[33]INDICE!$A$3:$D$334,3,FALSE)</f>
        <v>m3</v>
      </c>
      <c r="F1244" s="655">
        <f>0.25*5*2</f>
        <v>2.5</v>
      </c>
      <c r="G1244" s="688">
        <f>VLOOKUP(A1244,[33]INDICE!$A$3:$D$334,4,FALSE)</f>
        <v>871855.23056364793</v>
      </c>
      <c r="H1244" s="652">
        <f t="shared" si="134"/>
        <v>2179638.0764091196</v>
      </c>
      <c r="J1244" s="658">
        <v>630.4</v>
      </c>
    </row>
    <row r="1245" spans="1:10" s="625" customFormat="1" ht="15" customHeight="1">
      <c r="A1245" s="631" t="s">
        <v>545</v>
      </c>
      <c r="B1245" s="631" t="str">
        <f t="shared" si="133"/>
        <v>630-13</v>
      </c>
      <c r="C1245" s="631"/>
      <c r="D1245" s="657" t="str">
        <f>VLOOKUP(A1245,[33]INDICE!$A$3:$D$334,2,FALSE)</f>
        <v>CONCRETO RESISTENCIA 17.5MPA (E )</v>
      </c>
      <c r="E1245" s="706" t="str">
        <f>VLOOKUP(A1245,[33]INDICE!$A$3:$D$334,3,FALSE)</f>
        <v>m3</v>
      </c>
      <c r="F1245" s="655">
        <f>20*1*1</f>
        <v>20</v>
      </c>
      <c r="G1245" s="688">
        <f>VLOOKUP(A1245,[33]INDICE!$A$3:$D$334,4,FALSE)</f>
        <v>735031.04931538599</v>
      </c>
      <c r="H1245" s="652">
        <f t="shared" si="134"/>
        <v>14700620.98630772</v>
      </c>
      <c r="J1245" s="625">
        <v>630.5</v>
      </c>
    </row>
    <row r="1246" spans="1:10" s="625" customFormat="1" ht="15" customHeight="1">
      <c r="A1246" s="728" t="s">
        <v>547</v>
      </c>
      <c r="B1246" s="631" t="str">
        <f>MID(A1246,1,3)&amp;"-"&amp;13</f>
        <v>630-13</v>
      </c>
      <c r="C1246" s="631"/>
      <c r="D1246" s="657" t="str">
        <f>VLOOKUP(A1246,[33]INDICE!$A$3:$D$334,2,FALSE)</f>
        <v>BOLSACRETO 1M3(21MPA)</v>
      </c>
      <c r="E1246" s="706" t="str">
        <f>VLOOKUP(A1246,[33]INDICE!$A$3:$D$334,3,FALSE)</f>
        <v>M3</v>
      </c>
      <c r="F1246" s="717">
        <f>5*5</f>
        <v>25</v>
      </c>
      <c r="G1246" s="688">
        <f>VLOOKUP(A1246,[33]INDICE!$A$3:$D$334,4,FALSE)</f>
        <v>1058308.5970719282</v>
      </c>
      <c r="H1246" s="686">
        <f>F1246*G1246</f>
        <v>26457714.926798206</v>
      </c>
      <c r="J1246" s="625" t="s">
        <v>547</v>
      </c>
    </row>
    <row r="1247" spans="1:10" s="625" customFormat="1" ht="15" customHeight="1">
      <c r="A1247" s="631" t="s">
        <v>554</v>
      </c>
      <c r="B1247" s="631" t="str">
        <f t="shared" si="133"/>
        <v>640-13</v>
      </c>
      <c r="C1247" s="631"/>
      <c r="D1247" s="657" t="str">
        <f>VLOOKUP(A1247,[33]INDICE!$A$3:$D$334,2,FALSE)</f>
        <v>ACERO DE REFUERZO FY 4200 MPA.</v>
      </c>
      <c r="E1247" s="706" t="str">
        <f>VLOOKUP(A1247,[33]INDICE!$A$3:$D$334,3,FALSE)</f>
        <v>kg</v>
      </c>
      <c r="F1247" s="654">
        <f>(F1244+F1245)*105</f>
        <v>2362.5</v>
      </c>
      <c r="G1247" s="688">
        <f>VLOOKUP(A1247,[33]INDICE!$A$3:$D$334,4,FALSE)</f>
        <v>6085.8496982034649</v>
      </c>
      <c r="H1247" s="652">
        <f t="shared" si="134"/>
        <v>14377819.912005685</v>
      </c>
      <c r="J1247" s="625">
        <v>640.1</v>
      </c>
    </row>
    <row r="1248" spans="1:10" s="625" customFormat="1" ht="15" customHeight="1">
      <c r="A1248" s="631" t="s">
        <v>548</v>
      </c>
      <c r="B1248" s="631" t="str">
        <f>MID(A1248,1,3)&amp;"-"&amp;13</f>
        <v>673-13</v>
      </c>
      <c r="C1248" s="631"/>
      <c r="D1248" s="657" t="str">
        <f>VLOOKUP(A1248,[33]INDICE!$A$3:$D$334,2,FALSE)</f>
        <v>GEOTEXTIL  TIPO T-2400 O SIMILAR TEJIDO</v>
      </c>
      <c r="E1248" s="706" t="str">
        <f>VLOOKUP(A1248,[33]INDICE!$A$3:$D$334,3,FALSE)</f>
        <v>m2</v>
      </c>
      <c r="F1248" s="654">
        <f>20*3*1</f>
        <v>60</v>
      </c>
      <c r="G1248" s="688">
        <f>VLOOKUP(A1248,[33]INDICE!$A$3:$D$334,4,FALSE)</f>
        <v>10983.835173625577</v>
      </c>
      <c r="H1248" s="652">
        <f t="shared" si="134"/>
        <v>659030.1104175346</v>
      </c>
      <c r="J1248" s="625">
        <v>673.1</v>
      </c>
    </row>
    <row r="1249" spans="1:10" s="625" customFormat="1" ht="26.1" customHeight="1" thickBot="1">
      <c r="A1249" s="632" t="s">
        <v>549</v>
      </c>
      <c r="B1249" s="631" t="str">
        <f t="shared" si="133"/>
        <v>681-13</v>
      </c>
      <c r="C1249" s="631"/>
      <c r="D1249" s="657" t="str">
        <f>VLOOKUP(A1249,[33]INDICE!$A$3:$D$334,2,FALSE)</f>
        <v xml:space="preserve">GAVIÓNES DE MALLA DE ALAMBRE DE ACERO ENTRELAZADO  CLASE 1; RECUBRIMIENTO DE ZINC (GALVANIZADO) </v>
      </c>
      <c r="E1249" s="706" t="str">
        <f>VLOOKUP(A1249,[33]INDICE!$A$3:$D$334,3,FALSE)</f>
        <v>m3</v>
      </c>
      <c r="F1249" s="654">
        <f>20*3*3*1</f>
        <v>180</v>
      </c>
      <c r="G1249" s="688">
        <f>VLOOKUP(A1249,[33]INDICE!$A$3:$D$334,4,FALSE)</f>
        <v>400986.60185015475</v>
      </c>
      <c r="H1249" s="652">
        <f t="shared" si="134"/>
        <v>72177588.333027855</v>
      </c>
      <c r="J1249" s="625">
        <v>681.1</v>
      </c>
    </row>
    <row r="1250" spans="1:10" s="625" customFormat="1" ht="15" customHeight="1" thickTop="1">
      <c r="A1250" s="637"/>
      <c r="B1250" s="637"/>
      <c r="C1250" s="637"/>
      <c r="D1250" s="638"/>
      <c r="E1250" s="659"/>
      <c r="F1250" s="660"/>
      <c r="G1250" s="639" t="s">
        <v>536</v>
      </c>
      <c r="H1250" s="640">
        <f>SUM(H1240:H1249)</f>
        <v>152780839.32688543</v>
      </c>
    </row>
    <row r="1251" spans="1:10" s="625" customFormat="1" ht="15" customHeight="1">
      <c r="A1251" s="641"/>
      <c r="B1251" s="641"/>
      <c r="C1251" s="641"/>
      <c r="D1251" s="642"/>
      <c r="E1251" s="621"/>
      <c r="F1251" s="647"/>
      <c r="G1251" s="643" t="s">
        <v>537</v>
      </c>
      <c r="H1251" s="644">
        <f>ROUND((+H1250*0.05*0.19)/(1+0.3),0)</f>
        <v>1116475</v>
      </c>
    </row>
    <row r="1252" spans="1:10" s="625" customFormat="1" ht="15" customHeight="1" thickBot="1">
      <c r="A1252" s="620"/>
      <c r="B1252" s="619"/>
      <c r="C1252" s="619"/>
      <c r="D1252" s="620"/>
      <c r="E1252" s="621"/>
      <c r="F1252" s="647"/>
      <c r="G1252" s="643" t="s">
        <v>538</v>
      </c>
      <c r="H1252" s="645">
        <f>+ROUND(H1250+H1251,0)</f>
        <v>153897314</v>
      </c>
    </row>
    <row r="1253" spans="1:10" s="625" customFormat="1" ht="14.25" thickTop="1" thickBot="1">
      <c r="A1253" s="626"/>
      <c r="B1253" s="627"/>
      <c r="C1253" s="626" t="s">
        <v>712</v>
      </c>
      <c r="D1253" s="626"/>
      <c r="E1253" s="627"/>
      <c r="F1253" s="626"/>
      <c r="G1253" s="628"/>
      <c r="H1253" s="629"/>
      <c r="I1253" s="630"/>
    </row>
    <row r="1254" spans="1:10" s="625" customFormat="1" ht="25.5" thickTop="1" thickBot="1">
      <c r="A1254" s="631" t="s">
        <v>574</v>
      </c>
      <c r="B1254" s="631" t="str">
        <f>MID(A1254,1,3)&amp;"-"&amp;13</f>
        <v>450-13</v>
      </c>
      <c r="C1254" s="631"/>
      <c r="D1254" s="657" t="str">
        <f>VLOOKUP(A1254,[33]INDICE!$A$3:$D$334,2,FALSE)</f>
        <v>Mezcla Densa en Caliente tipo MDC-19 INCLUYE TRANSPORTE</v>
      </c>
      <c r="E1254" s="706" t="str">
        <f>VLOOKUP(A1254,[33]INDICE!$A$3:$D$334,3,FALSE)</f>
        <v>M3</v>
      </c>
      <c r="F1254" s="666">
        <f>11.5*7.4*0.08</f>
        <v>6.8080000000000007</v>
      </c>
      <c r="G1254" s="688">
        <f>VLOOKUP(A1254,[33]INDICE!$A$3:$D$334,4,FALSE)</f>
        <v>1299990.5178796239</v>
      </c>
      <c r="H1254" s="667">
        <f>F1254*G1254</f>
        <v>8850335.4457244799</v>
      </c>
      <c r="J1254" s="625" t="s">
        <v>713</v>
      </c>
    </row>
    <row r="1255" spans="1:10" s="625" customFormat="1" ht="15" customHeight="1" thickTop="1">
      <c r="A1255" s="637"/>
      <c r="B1255" s="637"/>
      <c r="C1255" s="637"/>
      <c r="D1255" s="638"/>
      <c r="E1255" s="659"/>
      <c r="F1255" s="660"/>
      <c r="G1255" s="670" t="s">
        <v>536</v>
      </c>
      <c r="H1255" s="640">
        <f>SUM(H1254:H1254)</f>
        <v>8850335.4457244799</v>
      </c>
    </row>
    <row r="1256" spans="1:10" s="625" customFormat="1" ht="15" customHeight="1">
      <c r="A1256" s="641"/>
      <c r="B1256" s="641"/>
      <c r="C1256" s="641"/>
      <c r="D1256" s="642"/>
      <c r="E1256" s="621"/>
      <c r="F1256" s="647"/>
      <c r="G1256" s="671" t="s">
        <v>537</v>
      </c>
      <c r="H1256" s="644">
        <f>ROUND((+H1255*0.05*0.19)/(1+0.3),0)</f>
        <v>64676</v>
      </c>
    </row>
    <row r="1257" spans="1:10" s="625" customFormat="1" ht="15" customHeight="1" thickBot="1">
      <c r="A1257" s="620"/>
      <c r="B1257" s="619"/>
      <c r="C1257" s="619"/>
      <c r="D1257" s="620"/>
      <c r="E1257" s="621"/>
      <c r="F1257" s="647"/>
      <c r="G1257" s="671" t="s">
        <v>538</v>
      </c>
      <c r="H1257" s="645">
        <f>+ROUND(H1255+H1256,0)</f>
        <v>8915011</v>
      </c>
      <c r="I1257" s="630"/>
    </row>
    <row r="1258" spans="1:10" s="625" customFormat="1" ht="15" customHeight="1" thickTop="1">
      <c r="A1258" s="620"/>
      <c r="B1258" s="619"/>
      <c r="C1258" s="619"/>
      <c r="D1258" s="620"/>
      <c r="E1258" s="621"/>
      <c r="F1258" s="622"/>
      <c r="G1258" s="693"/>
      <c r="H1258" s="624"/>
    </row>
    <row r="1259" spans="1:10" s="625" customFormat="1" ht="13.5" thickBot="1">
      <c r="A1259" s="626"/>
      <c r="B1259" s="627"/>
      <c r="C1259" s="626" t="s">
        <v>714</v>
      </c>
      <c r="D1259" s="626"/>
      <c r="E1259" s="627"/>
      <c r="F1259" s="626"/>
      <c r="G1259" s="628"/>
      <c r="H1259" s="629"/>
      <c r="I1259" s="630"/>
    </row>
    <row r="1260" spans="1:10" s="625" customFormat="1" ht="15" customHeight="1" thickTop="1" thickBot="1">
      <c r="A1260" s="776" t="s">
        <v>715</v>
      </c>
      <c r="B1260" s="631" t="str">
        <f>MID(A1260,1,3)&amp;"-"&amp;13</f>
        <v>632-13</v>
      </c>
      <c r="C1260" s="776"/>
      <c r="D1260" s="657" t="str">
        <f>VLOOKUP(A1260,[33]INDICE!$A$3:$D$334,2,FALSE)</f>
        <v>Baranda Metalica</v>
      </c>
      <c r="E1260" s="706" t="str">
        <f>VLOOKUP(A1260,[33]INDICE!$A$3:$D$334,3,FALSE)</f>
        <v>m</v>
      </c>
      <c r="F1260" s="666">
        <v>2</v>
      </c>
      <c r="G1260" s="688">
        <f>VLOOKUP(A1260,[33]INDICE!$A$3:$D$334,4,FALSE)</f>
        <v>728266.59139089473</v>
      </c>
      <c r="H1260" s="667">
        <f>F1260*G1260</f>
        <v>1456533.1827817895</v>
      </c>
    </row>
    <row r="1261" spans="1:10" s="625" customFormat="1" ht="15" customHeight="1" thickTop="1">
      <c r="A1261" s="637"/>
      <c r="B1261" s="637"/>
      <c r="C1261" s="637"/>
      <c r="D1261" s="638"/>
      <c r="E1261" s="659"/>
      <c r="F1261" s="660"/>
      <c r="G1261" s="670" t="s">
        <v>536</v>
      </c>
      <c r="H1261" s="640">
        <f>SUM(H1260:H1260)</f>
        <v>1456533.1827817895</v>
      </c>
    </row>
    <row r="1262" spans="1:10" s="625" customFormat="1" ht="15" customHeight="1">
      <c r="A1262" s="641"/>
      <c r="B1262" s="641"/>
      <c r="C1262" s="641"/>
      <c r="D1262" s="642"/>
      <c r="E1262" s="621"/>
      <c r="F1262" s="647"/>
      <c r="G1262" s="671" t="s">
        <v>537</v>
      </c>
      <c r="H1262" s="644">
        <f>ROUND((+H1261*0.05*0.19)/(1+0.3),0)</f>
        <v>10644</v>
      </c>
    </row>
    <row r="1263" spans="1:10" s="625" customFormat="1" ht="15" customHeight="1" thickBot="1">
      <c r="A1263" s="620"/>
      <c r="B1263" s="619"/>
      <c r="C1263" s="619"/>
      <c r="D1263" s="620"/>
      <c r="E1263" s="621"/>
      <c r="F1263" s="647"/>
      <c r="G1263" s="671" t="s">
        <v>538</v>
      </c>
      <c r="H1263" s="645">
        <f>+ROUND(H1261+H1262,0)</f>
        <v>1467177</v>
      </c>
      <c r="I1263" s="777"/>
    </row>
    <row r="1264" spans="1:10" s="625" customFormat="1" ht="12.75" customHeight="1" thickTop="1">
      <c r="A1264" s="620"/>
      <c r="B1264" s="619"/>
      <c r="C1264" s="619"/>
      <c r="D1264" s="620"/>
      <c r="E1264" s="621"/>
      <c r="F1264" s="622"/>
      <c r="G1264" s="693"/>
      <c r="H1264" s="624"/>
    </row>
    <row r="1265" spans="1:18" s="625" customFormat="1" ht="15" customHeight="1">
      <c r="A1265" s="620" t="s">
        <v>716</v>
      </c>
      <c r="B1265" s="619"/>
      <c r="C1265" s="619"/>
      <c r="D1265" s="620"/>
      <c r="E1265" s="621"/>
      <c r="F1265" s="647"/>
      <c r="G1265" s="647"/>
      <c r="H1265" s="624"/>
    </row>
    <row r="1266" spans="1:18" s="625" customFormat="1" ht="13.5" thickBot="1">
      <c r="A1266" s="626"/>
      <c r="B1266" s="627"/>
      <c r="C1266" s="626" t="s">
        <v>717</v>
      </c>
      <c r="D1266" s="626"/>
      <c r="E1266" s="627"/>
      <c r="F1266" s="626"/>
      <c r="G1266" s="691"/>
      <c r="H1266" s="629"/>
    </row>
    <row r="1267" spans="1:18" s="625" customFormat="1" ht="15" customHeight="1" thickTop="1">
      <c r="A1267" s="683" t="s">
        <v>540</v>
      </c>
      <c r="B1267" s="631" t="str">
        <f>MID(A1267,1,3)&amp;"-"&amp;13</f>
        <v>600-13</v>
      </c>
      <c r="C1267" s="683"/>
      <c r="D1267" s="657" t="str">
        <f>VLOOKUP(A1267,[33]INDICE!$A$3:$D$334,2,FALSE)</f>
        <v>EXCAVACIONES VARIAS SIN CLASIFICAR</v>
      </c>
      <c r="E1267" s="706" t="str">
        <f>VLOOKUP(A1267,[33]INDICE!$A$3:$D$334,3,FALSE)</f>
        <v>m3</v>
      </c>
      <c r="F1267" s="687">
        <v>4</v>
      </c>
      <c r="G1267" s="688">
        <f>VLOOKUP(A1267,[33]INDICE!$A$3:$D$334,4,FALSE)</f>
        <v>67953.950275344076</v>
      </c>
      <c r="H1267" s="686">
        <f>F1267*G1267</f>
        <v>271815.8011013763</v>
      </c>
      <c r="J1267" s="625" t="s">
        <v>541</v>
      </c>
    </row>
    <row r="1268" spans="1:18" s="625" customFormat="1" ht="15" customHeight="1">
      <c r="A1268" s="631" t="s">
        <v>542</v>
      </c>
      <c r="B1268" s="631" t="str">
        <f>MID(A1268,1,3)&amp;"-"&amp;13</f>
        <v>600-13</v>
      </c>
      <c r="C1268" s="631"/>
      <c r="D1268" s="657" t="str">
        <f>VLOOKUP(A1268,[33]INDICE!$A$3:$D$334,2,FALSE)</f>
        <v>EXCAVACIONES VARIAS EN MATERIAL COMÚN BAJO AGUA.</v>
      </c>
      <c r="E1268" s="706" t="str">
        <f>VLOOKUP(A1268,[33]INDICE!$A$3:$D$334,3,FALSE)</f>
        <v>m3</v>
      </c>
      <c r="F1268" s="655">
        <v>5</v>
      </c>
      <c r="G1268" s="688">
        <f>VLOOKUP(A1268,[33]INDICE!$A$3:$D$334,4,FALSE)</f>
        <v>84833.800787215107</v>
      </c>
      <c r="H1268" s="652">
        <f>F1268*G1268</f>
        <v>424169.00393607555</v>
      </c>
      <c r="J1268" s="625" t="s">
        <v>543</v>
      </c>
    </row>
    <row r="1269" spans="1:18" s="625" customFormat="1" ht="15" customHeight="1">
      <c r="A1269" s="631" t="s">
        <v>545</v>
      </c>
      <c r="B1269" s="631" t="str">
        <f>MID(A1269,1,3)&amp;"-"&amp;13</f>
        <v>630-13</v>
      </c>
      <c r="C1269" s="631"/>
      <c r="D1269" s="657" t="str">
        <f>VLOOKUP(A1269,[33]INDICE!$A$3:$D$334,2,FALSE)</f>
        <v>CONCRETO RESISTENCIA 17.5MPA (E )</v>
      </c>
      <c r="E1269" s="706" t="str">
        <f>VLOOKUP(A1269,[33]INDICE!$A$3:$D$334,3,FALSE)</f>
        <v>m3</v>
      </c>
      <c r="F1269" s="655">
        <f>6*0.8*0.5</f>
        <v>2.4000000000000004</v>
      </c>
      <c r="G1269" s="688">
        <f>VLOOKUP(A1269,[33]INDICE!$A$3:$D$334,4,FALSE)</f>
        <v>735031.04931538599</v>
      </c>
      <c r="H1269" s="652">
        <f>F1269*G1269</f>
        <v>1764074.5183569267</v>
      </c>
      <c r="J1269" s="625">
        <v>630.5</v>
      </c>
    </row>
    <row r="1270" spans="1:18" s="625" customFormat="1" ht="15" customHeight="1" thickBot="1">
      <c r="A1270" s="672" t="s">
        <v>546</v>
      </c>
      <c r="B1270" s="672" t="str">
        <f>MID(A1270,1,3)&amp;"-"&amp;13</f>
        <v>630-13</v>
      </c>
      <c r="C1270" s="672"/>
      <c r="D1270" s="657" t="str">
        <f>VLOOKUP(A1270,[33]INDICE!$A$3:$D$334,2,FALSE)</f>
        <v>CONCRETO RESISTENCIA 14MPA (G) (CICLOPEO)</v>
      </c>
      <c r="E1270" s="706" t="str">
        <f>VLOOKUP(A1270,[33]INDICE!$A$3:$D$334,3,FALSE)</f>
        <v>m3</v>
      </c>
      <c r="F1270" s="663">
        <v>2</v>
      </c>
      <c r="G1270" s="688">
        <f>VLOOKUP(A1270,[33]INDICE!$A$3:$D$334,4,FALSE)</f>
        <v>530138.01220093726</v>
      </c>
      <c r="H1270" s="679">
        <f>F1270*G1270</f>
        <v>1060276.0244018745</v>
      </c>
      <c r="J1270" s="625">
        <v>630.70000000000005</v>
      </c>
    </row>
    <row r="1271" spans="1:18" s="625" customFormat="1" ht="15" customHeight="1" thickTop="1">
      <c r="A1271" s="637"/>
      <c r="B1271" s="637"/>
      <c r="C1271" s="637"/>
      <c r="D1271" s="638"/>
      <c r="E1271" s="659"/>
      <c r="F1271" s="660"/>
      <c r="G1271" s="639" t="s">
        <v>536</v>
      </c>
      <c r="H1271" s="681">
        <f>SUM(H1267:H1270)</f>
        <v>3520335.3477962529</v>
      </c>
      <c r="J1271" s="1380" t="e">
        <f>+H17+#REF!+#REF!+H60+H72+#REF!+H97+H191+H232+H244+H253+#REF!+#REF!+#REF!+H288+H314+H324+H341+H366+H394+H428+H440+H449+#REF!+H482+#REF!+#REF!+#REF!+H510+#REF!+H528+#REF!+#REF!+#REF!+#REF!+H595+H602+#REF!+#REF!+#REF!+#REF!+#REF!+#REF!+#REF!+H1018+#REF!+#REF!+#REF!+#REF!+#REF!+#REF!+#REF!+#REF!+#REF!+#REF!+#REF!+#REF!+#REF!+#REF!+#REF!+#REF!+#REF!+#REF!+#REF!+#REF!+#REF!+H1032+H1041+H1050+#REF!+H1060+H1075+H1084+H1093+H1107+H1113+H1125+H1134+H1151+H1169+H1175+H1187+H1201+H1213+H1219+H1227+H1235+H1250+H1255+H1261+H1271</f>
        <v>#REF!</v>
      </c>
      <c r="K1271" s="1380"/>
      <c r="L1271" s="1380"/>
      <c r="M1271" s="624"/>
      <c r="N1271" s="779"/>
    </row>
    <row r="1272" spans="1:18" s="625" customFormat="1" ht="15" customHeight="1">
      <c r="A1272" s="641"/>
      <c r="B1272" s="641"/>
      <c r="C1272" s="641"/>
      <c r="D1272" s="642"/>
      <c r="E1272" s="621"/>
      <c r="F1272" s="647"/>
      <c r="G1272" s="643" t="s">
        <v>537</v>
      </c>
      <c r="H1272" s="644">
        <f>SUM(H1271:H1271)*0.05*0.19/1.3</f>
        <v>25725.527541588006</v>
      </c>
      <c r="J1272" s="1381" t="s">
        <v>718</v>
      </c>
      <c r="K1272" s="1381"/>
      <c r="L1272" s="1381"/>
      <c r="M1272" s="766" t="s">
        <v>719</v>
      </c>
      <c r="N1272" s="625" t="s">
        <v>720</v>
      </c>
      <c r="O1272" s="625" t="s">
        <v>721</v>
      </c>
      <c r="P1272" s="625" t="s">
        <v>722</v>
      </c>
      <c r="Q1272" s="625" t="s">
        <v>723</v>
      </c>
      <c r="R1272" s="625" t="s">
        <v>724</v>
      </c>
    </row>
    <row r="1273" spans="1:18" s="625" customFormat="1" ht="15" customHeight="1" thickBot="1">
      <c r="A1273" s="620"/>
      <c r="B1273" s="619"/>
      <c r="C1273" s="619"/>
      <c r="D1273" s="620"/>
      <c r="E1273" s="621"/>
      <c r="F1273" s="647"/>
      <c r="G1273" s="643" t="s">
        <v>538</v>
      </c>
      <c r="H1273" s="645">
        <f>+ROUND(H1271+H1272,0)</f>
        <v>3546061</v>
      </c>
      <c r="J1273" s="1380" t="e">
        <f>+H19+#REF!+#REF!+H62+H74+#REF!+H99+H193+H234+H255+#REF!+H246+#REF!+H1257+#REF!+H290+H316+H326+H343+H368+H396+H430+H442+H451+#REF!+H484+#REF!+#REF!+#REF!+H512+#REF!+H530+#REF!+#REF!+#REF!+#REF!++H597+H604+#REF!+#REF!+#REF!+#REF!+#REF!+#REF!+#REF!+H1020+#REF!+#REF!+#REF!+#REF!+#REF!+#REF!+#REF!+#REF!+#REF!+#REF!+#REF!+#REF!+#REF!+#REF!+#REF!+#REF!+#REF!+#REF!+#REF!+#REF!+#REF!+H1034+H1043+H1052+#REF!+H1062+H1077+H1086+H1095+H1109+H1115+H1127+H1136+H1153+H1171+H1177+H1189+H1203+H1215++H1221+H1229+H1237+H1252+H1263+H1273</f>
        <v>#REF!</v>
      </c>
      <c r="K1273" s="1380"/>
      <c r="L1273" s="1380"/>
      <c r="M1273" s="779">
        <f>+'[35]NEC PTES'!N20</f>
        <v>1288070</v>
      </c>
      <c r="N1273" s="780">
        <f>+H1189</f>
        <v>1887528808</v>
      </c>
      <c r="O1273" s="779">
        <f>+'[35]NEC. PONTONES'!F12</f>
        <v>4109880</v>
      </c>
      <c r="P1273" s="779">
        <f>+'[35]NECESIDAD VIA'!F45</f>
        <v>4551388087</v>
      </c>
      <c r="Q1273" s="780">
        <f>+'[35]NECESIDADES CRITICAS'!F59</f>
        <v>3043607778</v>
      </c>
      <c r="R1273" s="781">
        <f>SUM(M1273:Q1273)</f>
        <v>9487922623</v>
      </c>
    </row>
    <row r="1274" spans="1:18" s="625" customFormat="1" ht="15" customHeight="1" thickTop="1">
      <c r="A1274" s="620"/>
      <c r="B1274" s="619"/>
      <c r="C1274" s="619"/>
      <c r="D1274" s="620"/>
      <c r="E1274" s="621"/>
      <c r="F1274" s="647"/>
      <c r="G1274" s="643"/>
      <c r="H1274" s="624"/>
      <c r="J1274" s="778"/>
      <c r="K1274" s="778"/>
      <c r="L1274" s="778"/>
      <c r="M1274" s="779"/>
      <c r="N1274" s="780"/>
      <c r="O1274" s="779"/>
      <c r="P1274" s="779"/>
      <c r="Q1274" s="780"/>
    </row>
    <row r="1275" spans="1:18" s="625" customFormat="1" ht="15" customHeight="1" thickBot="1">
      <c r="A1275" s="620"/>
      <c r="B1275" s="619"/>
      <c r="C1275" s="104" t="s">
        <v>725</v>
      </c>
      <c r="D1275"/>
      <c r="E1275" s="782"/>
      <c r="F1275" s="782"/>
      <c r="G1275" s="783"/>
      <c r="H1275" s="784"/>
      <c r="I1275"/>
      <c r="J1275" s="778"/>
      <c r="K1275" s="778"/>
      <c r="L1275" s="778"/>
      <c r="M1275" s="779"/>
      <c r="N1275" s="780"/>
      <c r="O1275" s="779"/>
      <c r="P1275" s="779"/>
      <c r="Q1275" s="780"/>
    </row>
    <row r="1276" spans="1:18" s="625" customFormat="1" ht="15" customHeight="1">
      <c r="A1276" s="620"/>
      <c r="B1276" s="619"/>
      <c r="C1276" s="785"/>
      <c r="D1276" s="786"/>
      <c r="E1276" s="1382" t="s">
        <v>726</v>
      </c>
      <c r="F1276" s="1383"/>
      <c r="G1276" s="787" t="s">
        <v>727</v>
      </c>
      <c r="H1276" s="788" t="s">
        <v>728</v>
      </c>
      <c r="I1276" s="789" t="s">
        <v>729</v>
      </c>
      <c r="J1276" s="778"/>
      <c r="K1276" s="790"/>
      <c r="L1276" s="790"/>
      <c r="M1276" s="790"/>
      <c r="N1276" s="780"/>
      <c r="O1276" s="779"/>
      <c r="P1276" s="779"/>
      <c r="Q1276" s="780"/>
    </row>
    <row r="1277" spans="1:18" s="625" customFormat="1" ht="15" customHeight="1">
      <c r="A1277" s="620"/>
      <c r="B1277" s="619"/>
      <c r="C1277" s="93" t="s">
        <v>730</v>
      </c>
      <c r="D1277" s="791" t="s">
        <v>731</v>
      </c>
      <c r="E1277" s="1389" t="s">
        <v>732</v>
      </c>
      <c r="F1277" s="1390"/>
      <c r="G1277" s="792" t="s">
        <v>733</v>
      </c>
      <c r="H1277" s="793" t="s">
        <v>734</v>
      </c>
      <c r="I1277" s="794" t="s">
        <v>735</v>
      </c>
      <c r="J1277" s="778"/>
      <c r="K1277" s="778"/>
      <c r="L1277" s="778"/>
      <c r="M1277" s="779"/>
      <c r="N1277" s="780"/>
      <c r="O1277" s="779"/>
      <c r="P1277" s="779"/>
      <c r="Q1277" s="780"/>
    </row>
    <row r="1278" spans="1:18" s="625" customFormat="1" ht="15" customHeight="1" thickBot="1">
      <c r="A1278" s="620"/>
      <c r="B1278" s="619"/>
      <c r="C1278" s="795"/>
      <c r="D1278" s="612"/>
      <c r="E1278" s="1386" t="s">
        <v>736</v>
      </c>
      <c r="F1278" s="1387"/>
      <c r="G1278" s="796" t="s">
        <v>737</v>
      </c>
      <c r="H1278" s="797" t="s">
        <v>738</v>
      </c>
      <c r="I1278" s="798" t="s">
        <v>739</v>
      </c>
      <c r="J1278" s="778"/>
      <c r="K1278" s="778"/>
      <c r="L1278" s="778"/>
      <c r="M1278" s="779"/>
      <c r="N1278" s="780"/>
      <c r="O1278" s="779"/>
      <c r="P1278" s="779"/>
      <c r="Q1278" s="780"/>
    </row>
    <row r="1279" spans="1:18" s="625" customFormat="1" ht="15" customHeight="1">
      <c r="A1279" s="620"/>
      <c r="B1279" s="619"/>
      <c r="C1279" s="799"/>
      <c r="D1279" s="188" t="s">
        <v>740</v>
      </c>
      <c r="E1279" s="1384"/>
      <c r="F1279" s="1385"/>
      <c r="G1279" s="800"/>
      <c r="H1279" s="801"/>
      <c r="I1279" s="802"/>
      <c r="J1279" s="778"/>
      <c r="K1279" s="778"/>
      <c r="L1279" s="778"/>
      <c r="M1279" s="779"/>
      <c r="N1279" s="780"/>
      <c r="O1279" s="779"/>
      <c r="P1279" s="779"/>
      <c r="Q1279" s="780"/>
    </row>
    <row r="1280" spans="1:18" s="625" customFormat="1" ht="15" customHeight="1">
      <c r="A1280" s="620"/>
      <c r="B1280" s="619"/>
      <c r="C1280" s="91"/>
      <c r="D1280" s="488" t="s">
        <v>741</v>
      </c>
      <c r="E1280" s="1559"/>
      <c r="F1280" s="1560"/>
      <c r="G1280" s="803"/>
      <c r="H1280" s="804"/>
      <c r="I1280" s="805"/>
      <c r="J1280" s="778"/>
      <c r="K1280" s="778"/>
      <c r="L1280" s="778"/>
      <c r="M1280" s="779"/>
      <c r="N1280" s="780"/>
      <c r="O1280" s="779"/>
      <c r="P1280" s="779"/>
      <c r="Q1280" s="780"/>
    </row>
    <row r="1281" spans="1:17" s="625" customFormat="1" ht="15" customHeight="1">
      <c r="A1281" s="620"/>
      <c r="B1281" s="619"/>
      <c r="C1281" s="806">
        <v>1</v>
      </c>
      <c r="D1281" s="807" t="s">
        <v>742</v>
      </c>
      <c r="E1281" s="1355">
        <v>6000000</v>
      </c>
      <c r="F1281" s="1355"/>
      <c r="G1281" s="809"/>
      <c r="H1281" s="810">
        <v>0.5</v>
      </c>
      <c r="I1281" s="811">
        <f>(E1281+G1281)*H1281</f>
        <v>3000000</v>
      </c>
      <c r="J1281" s="778"/>
      <c r="K1281" s="778"/>
      <c r="L1281" s="778"/>
      <c r="M1281" s="779"/>
      <c r="N1281" s="780"/>
      <c r="O1281" s="779"/>
      <c r="P1281" s="779"/>
      <c r="Q1281" s="780"/>
    </row>
    <row r="1282" spans="1:17" s="625" customFormat="1" ht="15" customHeight="1">
      <c r="A1282" s="620"/>
      <c r="B1282" s="619"/>
      <c r="C1282" s="806">
        <v>1</v>
      </c>
      <c r="D1282" s="807" t="s">
        <v>743</v>
      </c>
      <c r="E1282" s="808">
        <v>5000000</v>
      </c>
      <c r="F1282" s="808"/>
      <c r="G1282" s="808">
        <v>400000</v>
      </c>
      <c r="H1282" s="810">
        <v>0.5</v>
      </c>
      <c r="I1282" s="811">
        <f>(E1282+G1282)*H1282</f>
        <v>2700000</v>
      </c>
      <c r="J1282" s="778"/>
      <c r="K1282" s="778"/>
      <c r="L1282" s="778"/>
      <c r="M1282" s="779"/>
      <c r="N1282" s="780"/>
      <c r="O1282" s="779"/>
      <c r="P1282" s="779"/>
      <c r="Q1282" s="780"/>
    </row>
    <row r="1283" spans="1:17" s="625" customFormat="1" ht="15" customHeight="1">
      <c r="A1283" s="620"/>
      <c r="B1283" s="619"/>
      <c r="C1283" s="806">
        <v>1</v>
      </c>
      <c r="D1283" s="807" t="s">
        <v>744</v>
      </c>
      <c r="E1283" s="808">
        <f>+E1281</f>
        <v>6000000</v>
      </c>
      <c r="F1283" s="808"/>
      <c r="G1283" s="812"/>
      <c r="H1283" s="810">
        <v>0.5</v>
      </c>
      <c r="I1283" s="811">
        <f>(E1283+G1283)*H1283</f>
        <v>3000000</v>
      </c>
      <c r="J1283" s="778"/>
      <c r="K1283" s="778"/>
      <c r="L1283" s="778"/>
      <c r="M1283" s="779"/>
      <c r="N1283" s="780"/>
      <c r="O1283" s="779"/>
      <c r="P1283" s="779"/>
      <c r="Q1283" s="780"/>
    </row>
    <row r="1284" spans="1:17" s="625" customFormat="1" ht="15" customHeight="1">
      <c r="A1284" s="620"/>
      <c r="B1284" s="619"/>
      <c r="C1284" s="806"/>
      <c r="D1284" s="807" t="s">
        <v>745</v>
      </c>
      <c r="E1284" s="1355">
        <f>+E1281</f>
        <v>6000000</v>
      </c>
      <c r="F1284" s="1355"/>
      <c r="G1284" s="812"/>
      <c r="H1284" s="810">
        <v>0.5</v>
      </c>
      <c r="I1284" s="811">
        <f>(E1284+G1284)*H1284</f>
        <v>3000000</v>
      </c>
      <c r="J1284" s="778"/>
      <c r="K1284" s="778"/>
      <c r="L1284" s="778"/>
      <c r="M1284" s="779"/>
      <c r="N1284" s="780"/>
      <c r="O1284" s="779"/>
      <c r="P1284" s="779"/>
      <c r="Q1284" s="780"/>
    </row>
    <row r="1285" spans="1:17" s="625" customFormat="1" ht="15" customHeight="1">
      <c r="A1285" s="620"/>
      <c r="B1285" s="619"/>
      <c r="C1285" s="806"/>
      <c r="D1285" s="807" t="s">
        <v>746</v>
      </c>
      <c r="E1285" s="1561"/>
      <c r="F1285" s="1562"/>
      <c r="G1285" s="813"/>
      <c r="H1285" s="814"/>
      <c r="I1285" s="811"/>
      <c r="J1285" s="778"/>
      <c r="K1285" s="778"/>
      <c r="L1285" s="778"/>
      <c r="M1285" s="779"/>
      <c r="N1285" s="780"/>
      <c r="O1285" s="779"/>
      <c r="P1285" s="779"/>
      <c r="Q1285" s="780"/>
    </row>
    <row r="1286" spans="1:17" s="625" customFormat="1" ht="15" customHeight="1">
      <c r="A1286" s="620"/>
      <c r="B1286" s="619"/>
      <c r="C1286" s="815"/>
      <c r="D1286" s="488" t="s">
        <v>747</v>
      </c>
      <c r="E1286" s="816"/>
      <c r="F1286" s="816"/>
      <c r="G1286" s="488"/>
      <c r="H1286" s="817"/>
      <c r="I1286" s="818">
        <f>SUM(I1281:I1285)</f>
        <v>11700000</v>
      </c>
      <c r="J1286" s="778"/>
      <c r="K1286" s="778"/>
      <c r="L1286" s="778"/>
      <c r="M1286" s="779"/>
      <c r="N1286" s="780"/>
      <c r="O1286" s="779"/>
      <c r="P1286" s="779"/>
      <c r="Q1286" s="780"/>
    </row>
    <row r="1287" spans="1:17" s="625" customFormat="1" ht="15" customHeight="1" thickBot="1">
      <c r="A1287" s="620"/>
      <c r="B1287" s="619"/>
      <c r="C1287" s="819"/>
      <c r="D1287" s="820" t="s">
        <v>748</v>
      </c>
      <c r="E1287" s="1563"/>
      <c r="F1287" s="1564"/>
      <c r="G1287" s="821"/>
      <c r="H1287" s="822"/>
      <c r="I1287" s="823">
        <v>2.4</v>
      </c>
      <c r="J1287" s="778"/>
      <c r="K1287" s="778"/>
      <c r="L1287" s="778"/>
      <c r="M1287" s="779"/>
      <c r="N1287" s="780"/>
      <c r="O1287" s="779"/>
      <c r="P1287" s="779"/>
      <c r="Q1287" s="780"/>
    </row>
    <row r="1288" spans="1:17" s="625" customFormat="1" ht="15" customHeight="1" thickBot="1">
      <c r="A1288" s="620"/>
      <c r="B1288" s="619"/>
      <c r="C1288" s="310"/>
      <c r="D1288" s="824" t="s">
        <v>749</v>
      </c>
      <c r="E1288" s="1565"/>
      <c r="F1288" s="1565"/>
      <c r="G1288" s="825"/>
      <c r="H1288" s="826"/>
      <c r="I1288" s="827">
        <f>(I1286*I1287)</f>
        <v>28080000</v>
      </c>
      <c r="J1288" s="778"/>
      <c r="K1288" s="778"/>
      <c r="L1288" s="778"/>
      <c r="M1288" s="779"/>
      <c r="N1288" s="780"/>
      <c r="O1288" s="779"/>
      <c r="P1288" s="779"/>
      <c r="Q1288" s="780"/>
    </row>
    <row r="1289" spans="1:17" s="625" customFormat="1" ht="15" customHeight="1" thickBot="1">
      <c r="A1289" s="620"/>
      <c r="B1289" s="619"/>
      <c r="C1289" s="828"/>
      <c r="D1289" s="158"/>
      <c r="E1289" s="1566"/>
      <c r="F1289" s="1566"/>
      <c r="G1289" s="158"/>
      <c r="H1289" s="829"/>
      <c r="I1289"/>
      <c r="J1289" s="778"/>
      <c r="K1289" s="778"/>
      <c r="L1289" s="778"/>
      <c r="M1289" s="779"/>
      <c r="N1289" s="780"/>
      <c r="O1289" s="779"/>
      <c r="P1289" s="779"/>
      <c r="Q1289" s="780"/>
    </row>
    <row r="1290" spans="1:17" s="625" customFormat="1" ht="15" customHeight="1">
      <c r="A1290" s="620"/>
      <c r="B1290" s="619"/>
      <c r="C1290" s="830"/>
      <c r="D1290" s="831"/>
      <c r="E1290" s="1374"/>
      <c r="F1290" s="1375"/>
      <c r="G1290" s="832" t="s">
        <v>750</v>
      </c>
      <c r="H1290" s="833" t="s">
        <v>751</v>
      </c>
      <c r="I1290" s="834" t="s">
        <v>729</v>
      </c>
      <c r="J1290" s="778"/>
      <c r="K1290" s="778"/>
      <c r="L1290" s="778"/>
      <c r="M1290" s="779"/>
      <c r="N1290" s="780"/>
      <c r="O1290" s="779"/>
      <c r="P1290" s="779"/>
      <c r="Q1290" s="780"/>
    </row>
    <row r="1291" spans="1:17" s="625" customFormat="1" ht="15" customHeight="1">
      <c r="A1291" s="620"/>
      <c r="B1291" s="619"/>
      <c r="C1291" s="835" t="s">
        <v>730</v>
      </c>
      <c r="D1291" s="836" t="s">
        <v>752</v>
      </c>
      <c r="E1291" s="1376" t="s">
        <v>753</v>
      </c>
      <c r="F1291" s="1377"/>
      <c r="G1291" s="837" t="s">
        <v>754</v>
      </c>
      <c r="H1291" s="838" t="s">
        <v>755</v>
      </c>
      <c r="I1291" s="839" t="s">
        <v>735</v>
      </c>
      <c r="J1291" s="778"/>
      <c r="K1291" s="778"/>
      <c r="L1291" s="778"/>
      <c r="M1291" s="779"/>
      <c r="N1291" s="780"/>
      <c r="O1291" s="779"/>
      <c r="P1291" s="779"/>
      <c r="Q1291" s="780"/>
    </row>
    <row r="1292" spans="1:17" s="625" customFormat="1" ht="15" customHeight="1" thickBot="1">
      <c r="A1292" s="620"/>
      <c r="B1292" s="619"/>
      <c r="C1292" s="840"/>
      <c r="D1292" s="841"/>
      <c r="E1292" s="1378"/>
      <c r="F1292" s="1379"/>
      <c r="G1292" s="842" t="s">
        <v>756</v>
      </c>
      <c r="H1292" s="843" t="s">
        <v>757</v>
      </c>
      <c r="I1292" s="798" t="s">
        <v>758</v>
      </c>
      <c r="J1292" s="778"/>
      <c r="K1292" s="778"/>
      <c r="L1292" s="778"/>
      <c r="M1292" s="779"/>
      <c r="N1292" s="780"/>
      <c r="O1292" s="779"/>
      <c r="P1292" s="779"/>
      <c r="Q1292" s="780"/>
    </row>
    <row r="1293" spans="1:17" s="625" customFormat="1" ht="15" customHeight="1">
      <c r="A1293" s="620"/>
      <c r="B1293" s="619"/>
      <c r="C1293" s="819"/>
      <c r="D1293" s="844" t="s">
        <v>759</v>
      </c>
      <c r="E1293" s="1567"/>
      <c r="F1293" s="1568"/>
      <c r="G1293" s="845"/>
      <c r="H1293" s="846"/>
      <c r="I1293" s="847"/>
      <c r="J1293" s="778"/>
      <c r="K1293" s="778"/>
      <c r="L1293" s="778"/>
      <c r="M1293" s="779"/>
      <c r="N1293" s="780"/>
      <c r="O1293" s="779"/>
      <c r="P1293" s="779"/>
      <c r="Q1293" s="780"/>
    </row>
    <row r="1294" spans="1:17" s="625" customFormat="1" ht="15" customHeight="1">
      <c r="A1294" s="620"/>
      <c r="B1294" s="619"/>
      <c r="C1294" s="848"/>
      <c r="D1294" s="849" t="s">
        <v>760</v>
      </c>
      <c r="E1294" s="1569"/>
      <c r="F1294" s="1570"/>
      <c r="G1294" s="850"/>
      <c r="H1294" s="851"/>
      <c r="I1294" s="852"/>
      <c r="J1294" s="778"/>
      <c r="K1294" s="778"/>
      <c r="L1294" s="778"/>
      <c r="M1294" s="779"/>
      <c r="N1294" s="780"/>
      <c r="O1294" s="779"/>
      <c r="P1294" s="779"/>
      <c r="Q1294" s="780"/>
    </row>
    <row r="1295" spans="1:17" s="625" customFormat="1" ht="15" customHeight="1">
      <c r="A1295" s="620"/>
      <c r="B1295" s="619"/>
      <c r="C1295" s="853">
        <v>1</v>
      </c>
      <c r="D1295" s="854" t="s">
        <v>761</v>
      </c>
      <c r="E1295" s="1360" t="s">
        <v>762</v>
      </c>
      <c r="F1295" s="1360"/>
      <c r="G1295" s="808">
        <v>5500000</v>
      </c>
      <c r="H1295" s="855">
        <v>1</v>
      </c>
      <c r="I1295" s="856">
        <f>(G1295*H1295*C1295)</f>
        <v>5500000</v>
      </c>
      <c r="J1295" s="778"/>
      <c r="K1295" s="778"/>
      <c r="L1295" s="778"/>
      <c r="M1295" s="779"/>
      <c r="N1295" s="780"/>
      <c r="O1295" s="779"/>
      <c r="P1295" s="779"/>
      <c r="Q1295" s="780"/>
    </row>
    <row r="1296" spans="1:17" s="625" customFormat="1" ht="15" customHeight="1">
      <c r="A1296" s="620"/>
      <c r="B1296" s="619"/>
      <c r="C1296" s="848"/>
      <c r="D1296" s="857" t="s">
        <v>763</v>
      </c>
      <c r="E1296" s="1361"/>
      <c r="F1296" s="1362"/>
      <c r="G1296" s="858"/>
      <c r="H1296" s="859"/>
      <c r="I1296" s="860"/>
      <c r="J1296" s="778"/>
      <c r="K1296" s="778"/>
      <c r="L1296" s="778"/>
      <c r="M1296" s="779"/>
      <c r="N1296" s="780"/>
      <c r="O1296" s="779"/>
      <c r="P1296" s="779"/>
      <c r="Q1296" s="780"/>
    </row>
    <row r="1297" spans="1:17" s="625" customFormat="1" ht="15" customHeight="1">
      <c r="A1297" s="620"/>
      <c r="B1297" s="619"/>
      <c r="C1297" s="1363">
        <v>1</v>
      </c>
      <c r="D1297" s="1364" t="s">
        <v>764</v>
      </c>
      <c r="E1297" s="1365" t="s">
        <v>765</v>
      </c>
      <c r="F1297" s="1366"/>
      <c r="G1297" s="1355">
        <v>2300000</v>
      </c>
      <c r="H1297" s="1356">
        <v>1</v>
      </c>
      <c r="I1297" s="862">
        <f>H1297*G1297</f>
        <v>2300000</v>
      </c>
      <c r="J1297" s="778"/>
      <c r="K1297" s="778"/>
      <c r="L1297" s="778"/>
      <c r="M1297" s="779"/>
      <c r="N1297" s="780"/>
      <c r="O1297" s="779"/>
      <c r="P1297" s="779"/>
      <c r="Q1297" s="780"/>
    </row>
    <row r="1298" spans="1:17" s="625" customFormat="1" ht="15" customHeight="1">
      <c r="A1298" s="620"/>
      <c r="B1298" s="619"/>
      <c r="C1298" s="1363"/>
      <c r="D1298" s="1364"/>
      <c r="E1298" s="1367"/>
      <c r="F1298" s="1368"/>
      <c r="G1298" s="1355"/>
      <c r="H1298" s="1357"/>
      <c r="I1298" s="863"/>
      <c r="J1298" s="778"/>
      <c r="K1298" s="778"/>
      <c r="L1298" s="778"/>
      <c r="M1298" s="779"/>
      <c r="N1298" s="780"/>
      <c r="O1298" s="779"/>
      <c r="P1298" s="779"/>
      <c r="Q1298" s="780"/>
    </row>
    <row r="1299" spans="1:17" s="625" customFormat="1" ht="36.75" customHeight="1">
      <c r="A1299" s="620"/>
      <c r="B1299" s="619"/>
      <c r="C1299" s="864"/>
      <c r="D1299" s="861" t="s">
        <v>766</v>
      </c>
      <c r="E1299" s="1358" t="s">
        <v>767</v>
      </c>
      <c r="F1299" s="1358"/>
      <c r="G1299" s="808">
        <v>4500000</v>
      </c>
      <c r="H1299" s="865">
        <v>1</v>
      </c>
      <c r="I1299" s="866">
        <f>(G1299*H1299)</f>
        <v>4500000</v>
      </c>
      <c r="J1299" s="778"/>
      <c r="K1299" s="778"/>
      <c r="L1299" s="778"/>
      <c r="M1299" s="779"/>
      <c r="N1299" s="780"/>
      <c r="O1299" s="779"/>
      <c r="P1299" s="779"/>
      <c r="Q1299" s="780"/>
    </row>
    <row r="1300" spans="1:17" s="625" customFormat="1" ht="15" customHeight="1">
      <c r="A1300" s="620"/>
      <c r="B1300" s="619"/>
      <c r="C1300" s="867">
        <v>1</v>
      </c>
      <c r="D1300" s="868" t="s">
        <v>768</v>
      </c>
      <c r="E1300" s="1359" t="s">
        <v>765</v>
      </c>
      <c r="F1300" s="1359"/>
      <c r="G1300" s="808">
        <v>3200000</v>
      </c>
      <c r="H1300" s="869">
        <v>1</v>
      </c>
      <c r="I1300" s="870">
        <f>(G1300*H1300)</f>
        <v>3200000</v>
      </c>
      <c r="J1300" s="778"/>
      <c r="K1300" s="778"/>
      <c r="L1300" s="778"/>
      <c r="M1300" s="779"/>
      <c r="N1300" s="780"/>
      <c r="O1300" s="779"/>
      <c r="P1300" s="779"/>
      <c r="Q1300" s="780"/>
    </row>
    <row r="1301" spans="1:17" s="625" customFormat="1" ht="15" customHeight="1" thickBot="1">
      <c r="A1301" s="620"/>
      <c r="B1301" s="619"/>
      <c r="C1301" s="871"/>
      <c r="D1301" s="872" t="s">
        <v>769</v>
      </c>
      <c r="E1301" s="1571"/>
      <c r="F1301" s="1571"/>
      <c r="G1301" s="873"/>
      <c r="H1301" s="873"/>
      <c r="I1301" s="874">
        <f>SUM(I1294:I1300)</f>
        <v>15500000</v>
      </c>
      <c r="J1301" s="778"/>
      <c r="K1301" s="778"/>
      <c r="L1301" s="778"/>
      <c r="M1301" s="779"/>
      <c r="N1301" s="780"/>
      <c r="O1301" s="779"/>
      <c r="P1301" s="779"/>
      <c r="Q1301" s="780"/>
    </row>
    <row r="1302" spans="1:17" s="625" customFormat="1" ht="15" customHeight="1">
      <c r="A1302" s="620"/>
      <c r="B1302" s="619"/>
      <c r="C1302" s="875"/>
      <c r="D1302" s="876" t="s">
        <v>770</v>
      </c>
      <c r="E1302" s="1572"/>
      <c r="F1302" s="1572"/>
      <c r="G1302" s="877"/>
      <c r="H1302" s="877"/>
      <c r="I1302" s="878">
        <f>(I1288+I1301)</f>
        <v>43580000</v>
      </c>
      <c r="J1302" s="778"/>
      <c r="K1302" s="778"/>
      <c r="L1302" s="778"/>
      <c r="M1302" s="779"/>
      <c r="N1302" s="780"/>
      <c r="O1302" s="779"/>
      <c r="P1302" s="779"/>
      <c r="Q1302" s="780"/>
    </row>
    <row r="1303" spans="1:17" s="625" customFormat="1" ht="15" customHeight="1">
      <c r="A1303" s="620"/>
      <c r="B1303" s="619"/>
      <c r="C1303" s="879"/>
      <c r="D1303" s="880" t="s">
        <v>771</v>
      </c>
      <c r="E1303" s="1569"/>
      <c r="F1303" s="1570"/>
      <c r="G1303" s="881"/>
      <c r="H1303" s="881"/>
      <c r="I1303" s="882">
        <f>ROUNDDOWN(I1302*0.19,0)</f>
        <v>8280200</v>
      </c>
      <c r="J1303" s="778"/>
      <c r="K1303" s="778"/>
      <c r="L1303" s="778"/>
      <c r="M1303" s="779"/>
      <c r="N1303" s="780"/>
      <c r="O1303" s="779"/>
      <c r="P1303" s="779"/>
      <c r="Q1303" s="780"/>
    </row>
    <row r="1304" spans="1:17" s="625" customFormat="1" ht="15" customHeight="1" thickBot="1">
      <c r="A1304" s="620"/>
      <c r="B1304" s="619"/>
      <c r="C1304" s="883"/>
      <c r="D1304" s="884" t="s">
        <v>772</v>
      </c>
      <c r="E1304" s="1573"/>
      <c r="F1304" s="1573"/>
      <c r="G1304" s="301"/>
      <c r="H1304" s="301"/>
      <c r="I1304" s="885">
        <f>ROUND(SUM(I1302:I1303),0)</f>
        <v>51860200</v>
      </c>
      <c r="J1304" s="778"/>
      <c r="K1304" s="778"/>
      <c r="L1304" s="778"/>
      <c r="M1304" s="779"/>
      <c r="N1304" s="780"/>
      <c r="O1304" s="779"/>
      <c r="P1304" s="779"/>
      <c r="Q1304" s="780"/>
    </row>
    <row r="1313" spans="1:8" ht="13.5" thickBot="1">
      <c r="D1313" s="20"/>
      <c r="F1313" s="20"/>
      <c r="G1313" s="20"/>
    </row>
    <row r="1314" spans="1:8" ht="15">
      <c r="B1314" s="97"/>
      <c r="C1314" s="97"/>
      <c r="D1314" s="441" t="s">
        <v>773</v>
      </c>
      <c r="E1314" s="97"/>
      <c r="F1314" s="1369" t="s">
        <v>774</v>
      </c>
      <c r="G1314" s="1369"/>
    </row>
    <row r="1315" spans="1:8" ht="15">
      <c r="A1315" s="97"/>
      <c r="B1315" s="97"/>
      <c r="C1315" s="97"/>
      <c r="D1315" s="97"/>
      <c r="E1315" s="97"/>
      <c r="F1315" s="97"/>
      <c r="G1315" s="97"/>
    </row>
    <row r="1316" spans="1:8" ht="16.5" customHeight="1">
      <c r="A1316" s="1370" t="s">
        <v>775</v>
      </c>
      <c r="B1316" s="1370"/>
      <c r="C1316" s="1370"/>
      <c r="D1316" s="1370"/>
      <c r="E1316" s="1370"/>
      <c r="F1316" s="1370"/>
      <c r="G1316" s="1370"/>
      <c r="H1316" s="1370"/>
    </row>
    <row r="1317" spans="1:8" ht="16.5" customHeight="1">
      <c r="A1317" s="1370"/>
      <c r="B1317" s="1370"/>
      <c r="C1317" s="1370"/>
      <c r="D1317" s="1370"/>
      <c r="E1317" s="1370"/>
      <c r="F1317" s="1370"/>
      <c r="G1317" s="1370"/>
      <c r="H1317" s="1370"/>
    </row>
    <row r="1318" spans="1:8" ht="20.25" customHeight="1">
      <c r="A1318" s="1370"/>
      <c r="B1318" s="1370"/>
      <c r="C1318" s="1370"/>
      <c r="D1318" s="1370"/>
      <c r="E1318" s="1370"/>
      <c r="F1318" s="1370"/>
      <c r="G1318" s="1370"/>
      <c r="H1318" s="1370"/>
    </row>
    <row r="1319" spans="1:8">
      <c r="G1319" s="1262" t="s">
        <v>125</v>
      </c>
      <c r="H1319" s="1262"/>
    </row>
  </sheetData>
  <mergeCells count="42">
    <mergeCell ref="A1:H1"/>
    <mergeCell ref="A2:H2"/>
    <mergeCell ref="A3:H3"/>
    <mergeCell ref="A6:H6"/>
    <mergeCell ref="E1277:F1277"/>
    <mergeCell ref="A10:A11"/>
    <mergeCell ref="J1271:L1271"/>
    <mergeCell ref="J1272:L1272"/>
    <mergeCell ref="J1273:L1273"/>
    <mergeCell ref="E1276:F1276"/>
    <mergeCell ref="E1279:F1279"/>
    <mergeCell ref="E1278:F1278"/>
    <mergeCell ref="G1319:H1319"/>
    <mergeCell ref="F1314:G1314"/>
    <mergeCell ref="A1316:H1318"/>
    <mergeCell ref="A5:H5"/>
    <mergeCell ref="B10:C10"/>
    <mergeCell ref="E1294:F1294"/>
    <mergeCell ref="E1280:F1280"/>
    <mergeCell ref="E1281:F1281"/>
    <mergeCell ref="E1284:F1284"/>
    <mergeCell ref="E1285:F1285"/>
    <mergeCell ref="E1287:F1287"/>
    <mergeCell ref="E1288:F1288"/>
    <mergeCell ref="E1289:F1289"/>
    <mergeCell ref="E1290:F1290"/>
    <mergeCell ref="E1291:F1291"/>
    <mergeCell ref="E1292:F1292"/>
    <mergeCell ref="E1293:F1293"/>
    <mergeCell ref="E1295:F1295"/>
    <mergeCell ref="E1296:F1296"/>
    <mergeCell ref="C1297:C1298"/>
    <mergeCell ref="D1297:D1298"/>
    <mergeCell ref="E1297:F1298"/>
    <mergeCell ref="E1304:F1304"/>
    <mergeCell ref="G1297:G1298"/>
    <mergeCell ref="H1297:H1298"/>
    <mergeCell ref="E1299:F1299"/>
    <mergeCell ref="E1300:F1300"/>
    <mergeCell ref="E1301:F1301"/>
    <mergeCell ref="E1302:F1302"/>
    <mergeCell ref="E1303:F1303"/>
  </mergeCells>
  <phoneticPr fontId="4" type="noConversion"/>
  <hyperlinks>
    <hyperlink ref="G1319" location="'TABLA DE CONTENIDO'!A1" display="VOLVER A TABLA DE CONTENIDO" xr:uid="{00000000-0004-0000-0D00-000000000000}"/>
  </hyperlinks>
  <printOptions horizontalCentered="1" verticalCentered="1"/>
  <pageMargins left="0.47244094488188981" right="0.78740157480314965" top="0.23622047244094491" bottom="0.55118110236220474" header="0.27559055118110237" footer="0.51181102362204722"/>
  <pageSetup scale="10" orientation="landscape" horizontalDpi="120" verticalDpi="14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24"/>
  <sheetViews>
    <sheetView topLeftCell="A2" workbookViewId="0">
      <selection activeCell="D20" sqref="D20"/>
    </sheetView>
  </sheetViews>
  <sheetFormatPr defaultColWidth="11.42578125" defaultRowHeight="12.75"/>
  <cols>
    <col min="1" max="1" width="9.28515625" style="58" customWidth="1"/>
    <col min="2" max="2" width="26.42578125" customWidth="1"/>
    <col min="3" max="4" width="8.42578125" customWidth="1"/>
    <col min="5" max="5" width="7.140625" customWidth="1"/>
    <col min="6" max="6" width="22.42578125" customWidth="1"/>
    <col min="7" max="7" width="17.5703125" customWidth="1"/>
    <col min="8" max="8" width="15.140625" customWidth="1"/>
    <col min="9" max="9" width="21.5703125" customWidth="1"/>
  </cols>
  <sheetData>
    <row r="1" spans="1:9" s="34" customFormat="1" ht="23.25">
      <c r="A1" s="1259" t="s">
        <v>1</v>
      </c>
      <c r="B1" s="1259"/>
      <c r="C1" s="1259"/>
      <c r="D1" s="1259"/>
      <c r="E1" s="1259"/>
      <c r="F1" s="1259"/>
      <c r="G1" s="1259"/>
      <c r="H1" s="1259"/>
      <c r="I1" s="1259"/>
    </row>
    <row r="2" spans="1:9" s="34" customFormat="1" ht="18">
      <c r="A2" s="1260" t="s">
        <v>776</v>
      </c>
      <c r="B2" s="1260"/>
      <c r="C2" s="1260"/>
      <c r="D2" s="1260"/>
      <c r="E2" s="1260"/>
      <c r="F2" s="1260"/>
      <c r="G2" s="1260"/>
      <c r="H2" s="1260"/>
      <c r="I2" s="1260"/>
    </row>
    <row r="3" spans="1:9" s="34" customFormat="1">
      <c r="A3" s="57"/>
      <c r="B3" s="45"/>
      <c r="C3" s="45"/>
      <c r="D3" s="45"/>
      <c r="E3" s="45"/>
      <c r="F3" s="33"/>
      <c r="G3" s="33"/>
      <c r="H3" s="33"/>
      <c r="I3" s="33"/>
    </row>
    <row r="4" spans="1:9" s="34" customFormat="1" ht="18">
      <c r="A4" s="1260" t="s">
        <v>777</v>
      </c>
      <c r="B4" s="1260"/>
      <c r="C4" s="1260"/>
      <c r="D4" s="1260"/>
      <c r="E4" s="1260"/>
      <c r="F4" s="1260"/>
      <c r="G4" s="1260"/>
      <c r="H4" s="1260"/>
      <c r="I4" s="1260"/>
    </row>
    <row r="5" spans="1:9" s="34" customFormat="1">
      <c r="A5" s="173"/>
      <c r="B5" s="45"/>
      <c r="C5" s="45"/>
      <c r="D5" s="45"/>
      <c r="E5" s="45"/>
      <c r="F5" s="33"/>
      <c r="G5" s="33"/>
      <c r="H5" s="33"/>
      <c r="I5" s="33"/>
    </row>
    <row r="6" spans="1:9" s="34" customFormat="1" ht="18">
      <c r="A6" s="1260" t="s">
        <v>778</v>
      </c>
      <c r="B6" s="1260"/>
      <c r="C6" s="1260"/>
      <c r="D6" s="1260"/>
      <c r="E6" s="1260"/>
      <c r="F6" s="1260"/>
      <c r="G6" s="1260"/>
      <c r="H6" s="1260"/>
      <c r="I6" s="1260"/>
    </row>
    <row r="7" spans="1:9" ht="18">
      <c r="B7" s="44"/>
      <c r="C7" s="44"/>
      <c r="D7" s="44"/>
      <c r="E7" s="44"/>
      <c r="F7" s="1"/>
      <c r="G7" s="1"/>
      <c r="H7" s="1"/>
      <c r="I7" s="1"/>
    </row>
    <row r="8" spans="1:9" s="34" customFormat="1">
      <c r="A8" s="190" t="s">
        <v>129</v>
      </c>
      <c r="B8"/>
      <c r="C8" s="51" t="s">
        <v>88</v>
      </c>
      <c r="D8" s="51"/>
      <c r="E8" s="51"/>
      <c r="G8" s="188" t="s">
        <v>159</v>
      </c>
      <c r="I8" s="34" t="s">
        <v>779</v>
      </c>
    </row>
    <row r="9" spans="1:9" ht="13.5" thickBot="1"/>
    <row r="10" spans="1:9" s="24" customFormat="1" ht="44.45" customHeight="1" thickBot="1">
      <c r="A10" s="126" t="s">
        <v>780</v>
      </c>
      <c r="B10" s="133" t="s">
        <v>104</v>
      </c>
      <c r="C10" s="133" t="s">
        <v>105</v>
      </c>
      <c r="D10" s="189" t="s">
        <v>107</v>
      </c>
      <c r="E10" s="189" t="s">
        <v>108</v>
      </c>
      <c r="F10" s="164" t="s">
        <v>781</v>
      </c>
      <c r="G10" s="127" t="s">
        <v>782</v>
      </c>
      <c r="H10" s="140" t="s">
        <v>377</v>
      </c>
      <c r="I10" s="135" t="s">
        <v>111</v>
      </c>
    </row>
    <row r="11" spans="1:9" ht="89.25">
      <c r="A11" s="1105">
        <v>44016</v>
      </c>
      <c r="B11" s="1030" t="s">
        <v>310</v>
      </c>
      <c r="C11" s="1030">
        <v>5601</v>
      </c>
      <c r="D11" s="1106" t="s">
        <v>783</v>
      </c>
      <c r="E11" s="1106" t="s">
        <v>784</v>
      </c>
      <c r="F11" s="1107" t="s">
        <v>785</v>
      </c>
      <c r="G11" s="1108" t="s">
        <v>786</v>
      </c>
      <c r="H11" s="1109">
        <f>26000000+1900000</f>
        <v>27900000</v>
      </c>
      <c r="I11" s="1104" t="s">
        <v>787</v>
      </c>
    </row>
    <row r="12" spans="1:9" ht="18" customHeight="1">
      <c r="A12" s="136"/>
      <c r="B12" s="15"/>
      <c r="C12" s="15"/>
      <c r="D12" s="15"/>
      <c r="E12" s="15"/>
      <c r="F12" s="6"/>
      <c r="G12" s="14"/>
      <c r="H12" s="6"/>
      <c r="I12" s="98"/>
    </row>
    <row r="13" spans="1:9" ht="18" customHeight="1">
      <c r="A13" s="136"/>
      <c r="B13" s="15"/>
      <c r="C13" s="15"/>
      <c r="D13" s="15"/>
      <c r="E13" s="15"/>
      <c r="F13" s="6"/>
      <c r="G13" s="31"/>
      <c r="H13" s="6"/>
      <c r="I13" s="98"/>
    </row>
    <row r="14" spans="1:9" ht="18" customHeight="1">
      <c r="A14" s="136"/>
      <c r="B14" s="15"/>
      <c r="C14" s="15"/>
      <c r="D14" s="15"/>
      <c r="E14" s="15"/>
      <c r="F14" s="6"/>
      <c r="G14" s="14"/>
      <c r="H14" s="6"/>
      <c r="I14" s="98"/>
    </row>
    <row r="15" spans="1:9" ht="18" customHeight="1">
      <c r="A15" s="136"/>
      <c r="B15" s="15"/>
      <c r="C15" s="15"/>
      <c r="D15" s="15"/>
      <c r="E15" s="15"/>
      <c r="F15" s="6"/>
      <c r="G15" s="14"/>
      <c r="H15" s="6"/>
      <c r="I15" s="98"/>
    </row>
    <row r="16" spans="1:9" ht="18" customHeight="1">
      <c r="A16" s="136"/>
      <c r="B16" s="15"/>
      <c r="C16" s="15"/>
      <c r="D16" s="15"/>
      <c r="E16" s="15"/>
      <c r="F16" s="6"/>
      <c r="G16" s="14"/>
      <c r="H16" s="6"/>
      <c r="I16" s="98"/>
    </row>
    <row r="17" spans="1:9" ht="18" customHeight="1">
      <c r="A17" s="136"/>
      <c r="B17" s="15"/>
      <c r="C17" s="15"/>
      <c r="D17" s="15"/>
      <c r="E17" s="15"/>
      <c r="F17" s="6"/>
      <c r="G17" s="14"/>
      <c r="H17" s="6"/>
      <c r="I17" s="98"/>
    </row>
    <row r="18" spans="1:9" ht="18" customHeight="1">
      <c r="A18" s="136"/>
      <c r="B18" s="15"/>
      <c r="C18" s="15"/>
      <c r="D18" s="15"/>
      <c r="E18" s="15"/>
      <c r="F18" s="6"/>
      <c r="G18" s="14"/>
      <c r="H18" s="6"/>
      <c r="I18" s="98"/>
    </row>
    <row r="19" spans="1:9" ht="18" customHeight="1">
      <c r="A19" s="136"/>
      <c r="B19" s="15"/>
      <c r="C19" s="15"/>
      <c r="D19" s="15"/>
      <c r="E19" s="15"/>
      <c r="F19" s="6"/>
      <c r="G19" s="14"/>
      <c r="H19" s="6"/>
      <c r="I19" s="98"/>
    </row>
    <row r="20" spans="1:9" ht="18" customHeight="1">
      <c r="A20" s="136"/>
      <c r="B20" s="15"/>
      <c r="C20" s="15"/>
      <c r="D20" s="15"/>
      <c r="E20" s="15"/>
      <c r="F20" s="6"/>
      <c r="G20" s="14"/>
      <c r="H20" s="6"/>
      <c r="I20" s="98"/>
    </row>
    <row r="21" spans="1:9" ht="18" customHeight="1" thickBot="1">
      <c r="A21" s="137"/>
      <c r="B21" s="131"/>
      <c r="C21" s="131"/>
      <c r="D21" s="131"/>
      <c r="E21" s="131"/>
      <c r="F21" s="138"/>
      <c r="G21" s="132"/>
      <c r="H21" s="138"/>
      <c r="I21" s="99"/>
    </row>
    <row r="23" spans="1:9">
      <c r="A23" s="67" t="s">
        <v>431</v>
      </c>
    </row>
    <row r="24" spans="1:9">
      <c r="H24" s="1262" t="s">
        <v>125</v>
      </c>
      <c r="I24" s="1262"/>
    </row>
  </sheetData>
  <mergeCells count="5">
    <mergeCell ref="A1:I1"/>
    <mergeCell ref="A2:I2"/>
    <mergeCell ref="A4:I4"/>
    <mergeCell ref="A6:I6"/>
    <mergeCell ref="H24:I24"/>
  </mergeCells>
  <phoneticPr fontId="4" type="noConversion"/>
  <hyperlinks>
    <hyperlink ref="H24" location="'TABLA DE CONTENIDO'!A1" display="VOLVER A TABLA DE CONTENIDO" xr:uid="{00000000-0004-0000-0E00-000000000000}"/>
  </hyperlinks>
  <printOptions horizontalCentered="1" verticalCentered="1"/>
  <pageMargins left="0.39370078740157483" right="0.47244094488188981" top="0.78740157480314965" bottom="0.98425196850393704" header="0.51181102362204722" footer="0.51181102362204722"/>
  <pageSetup scale="96" orientation="landscape" horizontalDpi="120" verticalDpi="144"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N26"/>
  <sheetViews>
    <sheetView topLeftCell="A3" workbookViewId="0">
      <selection activeCell="D20" sqref="D20"/>
    </sheetView>
  </sheetViews>
  <sheetFormatPr defaultColWidth="11.42578125" defaultRowHeight="12.75"/>
  <cols>
    <col min="1" max="1" width="5.28515625" customWidth="1"/>
    <col min="2" max="2" width="16.5703125" customWidth="1"/>
    <col min="3" max="3" width="12.140625" customWidth="1"/>
    <col min="4" max="5" width="10.7109375" customWidth="1"/>
    <col min="6" max="6" width="21.85546875" customWidth="1"/>
    <col min="7" max="7" width="8.140625" customWidth="1"/>
    <col min="8" max="9" width="7.28515625" customWidth="1"/>
    <col min="10" max="10" width="8" customWidth="1"/>
    <col min="11" max="11" width="6.28515625" customWidth="1"/>
    <col min="12" max="12" width="8.85546875" customWidth="1"/>
    <col min="13" max="13" width="8.7109375" customWidth="1"/>
    <col min="14" max="14" width="49.42578125" customWidth="1"/>
  </cols>
  <sheetData>
    <row r="1" spans="1:14" s="34" customFormat="1" ht="23.25">
      <c r="A1" s="1259" t="s">
        <v>1</v>
      </c>
      <c r="B1" s="1259"/>
      <c r="C1" s="1259"/>
      <c r="D1" s="1259"/>
      <c r="E1" s="1259"/>
      <c r="F1" s="1259"/>
      <c r="G1" s="1259"/>
      <c r="H1" s="1259"/>
      <c r="I1" s="1259"/>
      <c r="J1" s="1259"/>
      <c r="K1" s="1259"/>
      <c r="L1" s="1259"/>
      <c r="M1" s="1259"/>
      <c r="N1" s="1259"/>
    </row>
    <row r="2" spans="1:14" s="34" customFormat="1" ht="18">
      <c r="A2" s="1260" t="s">
        <v>84</v>
      </c>
      <c r="B2" s="1260"/>
      <c r="C2" s="1260"/>
      <c r="D2" s="1260"/>
      <c r="E2" s="1260"/>
      <c r="F2" s="1260"/>
      <c r="G2" s="1260"/>
      <c r="H2" s="1260"/>
      <c r="I2" s="1260"/>
      <c r="J2" s="1260"/>
      <c r="K2" s="1260"/>
      <c r="L2" s="1260"/>
      <c r="M2" s="1260"/>
      <c r="N2" s="1260"/>
    </row>
    <row r="3" spans="1:14" s="34" customFormat="1" ht="12.75" customHeight="1">
      <c r="A3" s="44"/>
      <c r="B3" s="45"/>
      <c r="C3" s="45"/>
      <c r="D3" s="33"/>
      <c r="E3" s="33"/>
      <c r="F3" s="33"/>
      <c r="G3" s="33"/>
      <c r="H3" s="33"/>
      <c r="I3" s="33"/>
      <c r="J3" s="33"/>
      <c r="K3" s="33"/>
      <c r="L3" s="33"/>
      <c r="M3" s="33"/>
      <c r="N3" s="33"/>
    </row>
    <row r="4" spans="1:14" s="34" customFormat="1" ht="18" customHeight="1">
      <c r="A4" s="1260" t="s">
        <v>788</v>
      </c>
      <c r="B4" s="1260"/>
      <c r="C4" s="1260"/>
      <c r="D4" s="1260"/>
      <c r="E4" s="1260"/>
      <c r="F4" s="1260"/>
      <c r="G4" s="1260"/>
      <c r="H4" s="1260"/>
      <c r="I4" s="1260"/>
      <c r="J4" s="1260"/>
      <c r="K4" s="1260"/>
      <c r="L4" s="1260"/>
      <c r="M4" s="1260"/>
      <c r="N4" s="1260"/>
    </row>
    <row r="5" spans="1:14" s="34" customFormat="1">
      <c r="A5" s="51"/>
      <c r="B5" s="51"/>
      <c r="C5" s="51"/>
      <c r="M5" s="42"/>
    </row>
    <row r="6" spans="1:14" s="34" customFormat="1" ht="18">
      <c r="A6" s="1260" t="s">
        <v>789</v>
      </c>
      <c r="B6" s="1260"/>
      <c r="C6" s="1260"/>
      <c r="D6" s="1260"/>
      <c r="E6" s="1260"/>
      <c r="F6" s="1260"/>
      <c r="G6" s="1260"/>
      <c r="H6" s="1260"/>
      <c r="I6" s="1260"/>
      <c r="J6" s="1260"/>
      <c r="K6" s="1260"/>
      <c r="L6" s="1260"/>
      <c r="M6" s="1260"/>
      <c r="N6" s="1260"/>
    </row>
    <row r="7" spans="1:14" s="34" customFormat="1">
      <c r="K7" s="42"/>
      <c r="L7" s="42"/>
      <c r="M7" s="42"/>
      <c r="N7" s="42"/>
    </row>
    <row r="8" spans="1:14" s="34" customFormat="1">
      <c r="A8" s="190" t="s">
        <v>129</v>
      </c>
      <c r="D8" s="331" t="s">
        <v>88</v>
      </c>
      <c r="E8" s="331"/>
      <c r="F8" s="331"/>
      <c r="G8" s="331"/>
      <c r="H8" s="331"/>
      <c r="J8" s="188" t="s">
        <v>159</v>
      </c>
      <c r="M8" s="331" t="s">
        <v>779</v>
      </c>
      <c r="N8" s="331"/>
    </row>
    <row r="10" spans="1:14" s="24" customFormat="1" ht="21.75" customHeight="1">
      <c r="A10" s="1394" t="s">
        <v>790</v>
      </c>
      <c r="B10" s="1396" t="s">
        <v>791</v>
      </c>
      <c r="C10" s="1394" t="s">
        <v>374</v>
      </c>
      <c r="D10" s="1394" t="s">
        <v>375</v>
      </c>
      <c r="E10" s="1396" t="s">
        <v>792</v>
      </c>
      <c r="F10" s="1394" t="s">
        <v>104</v>
      </c>
      <c r="G10" s="1396" t="s">
        <v>793</v>
      </c>
      <c r="H10" s="1398" t="s">
        <v>794</v>
      </c>
      <c r="I10" s="1399"/>
      <c r="J10" s="1400" t="s">
        <v>795</v>
      </c>
      <c r="K10" s="1401"/>
      <c r="L10" s="1401"/>
      <c r="M10" s="1402"/>
      <c r="N10" s="1394" t="s">
        <v>111</v>
      </c>
    </row>
    <row r="11" spans="1:14" s="24" customFormat="1" ht="37.5" customHeight="1">
      <c r="A11" s="1395"/>
      <c r="B11" s="1397"/>
      <c r="C11" s="1395"/>
      <c r="D11" s="1395"/>
      <c r="E11" s="1397"/>
      <c r="F11" s="1395"/>
      <c r="G11" s="1397"/>
      <c r="H11" s="54" t="s">
        <v>796</v>
      </c>
      <c r="I11" s="415" t="s">
        <v>797</v>
      </c>
      <c r="J11" s="415" t="s">
        <v>798</v>
      </c>
      <c r="K11" s="415" t="s">
        <v>799</v>
      </c>
      <c r="L11" s="415" t="s">
        <v>800</v>
      </c>
      <c r="M11" s="415" t="s">
        <v>801</v>
      </c>
      <c r="N11" s="1403"/>
    </row>
    <row r="12" spans="1:14" s="24" customFormat="1" ht="60">
      <c r="A12" s="986">
        <v>1</v>
      </c>
      <c r="B12" s="987" t="s">
        <v>802</v>
      </c>
      <c r="C12" s="988" t="s">
        <v>803</v>
      </c>
      <c r="D12" s="988" t="s">
        <v>804</v>
      </c>
      <c r="E12" s="989">
        <v>13.45</v>
      </c>
      <c r="F12" s="990" t="s">
        <v>115</v>
      </c>
      <c r="G12" s="990">
        <v>5601</v>
      </c>
      <c r="H12" s="991" t="s">
        <v>805</v>
      </c>
      <c r="I12" s="992"/>
      <c r="J12" s="993"/>
      <c r="K12" s="986"/>
      <c r="L12" s="986"/>
      <c r="M12" s="986"/>
      <c r="N12" s="994" t="s">
        <v>806</v>
      </c>
    </row>
    <row r="13" spans="1:14" s="24" customFormat="1" ht="36">
      <c r="A13" s="986">
        <v>2</v>
      </c>
      <c r="B13" s="987" t="s">
        <v>807</v>
      </c>
      <c r="C13" s="988" t="s">
        <v>808</v>
      </c>
      <c r="D13" s="988" t="s">
        <v>809</v>
      </c>
      <c r="E13" s="989">
        <v>14</v>
      </c>
      <c r="F13" s="995" t="s">
        <v>115</v>
      </c>
      <c r="G13" s="995">
        <v>5601</v>
      </c>
      <c r="H13" s="991" t="s">
        <v>805</v>
      </c>
      <c r="I13" s="992"/>
      <c r="J13" s="986"/>
      <c r="K13" s="993"/>
      <c r="L13" s="986"/>
      <c r="M13" s="986"/>
      <c r="N13" s="994" t="s">
        <v>810</v>
      </c>
    </row>
    <row r="14" spans="1:14" s="24" customFormat="1" ht="24">
      <c r="A14" s="986">
        <v>3</v>
      </c>
      <c r="B14" s="987" t="s">
        <v>811</v>
      </c>
      <c r="C14" s="988" t="s">
        <v>812</v>
      </c>
      <c r="D14" s="988" t="s">
        <v>813</v>
      </c>
      <c r="E14" s="989">
        <v>9.8000000000000007</v>
      </c>
      <c r="F14" s="995" t="s">
        <v>115</v>
      </c>
      <c r="G14" s="995">
        <v>5601</v>
      </c>
      <c r="H14" s="991" t="s">
        <v>805</v>
      </c>
      <c r="I14" s="992"/>
      <c r="J14" s="986"/>
      <c r="K14" s="986"/>
      <c r="L14" s="986"/>
      <c r="M14" s="986"/>
      <c r="N14" s="994" t="s">
        <v>814</v>
      </c>
    </row>
    <row r="15" spans="1:14" s="24" customFormat="1" ht="24">
      <c r="A15" s="986">
        <v>4</v>
      </c>
      <c r="B15" s="987" t="s">
        <v>815</v>
      </c>
      <c r="C15" s="988" t="s">
        <v>816</v>
      </c>
      <c r="D15" s="988" t="s">
        <v>817</v>
      </c>
      <c r="E15" s="989">
        <v>9</v>
      </c>
      <c r="F15" s="995" t="s">
        <v>115</v>
      </c>
      <c r="G15" s="995">
        <v>5601</v>
      </c>
      <c r="H15" s="991" t="s">
        <v>805</v>
      </c>
      <c r="I15" s="992"/>
      <c r="J15" s="986"/>
      <c r="K15" s="986"/>
      <c r="L15" s="986"/>
      <c r="M15" s="986"/>
      <c r="N15" s="994" t="s">
        <v>818</v>
      </c>
    </row>
    <row r="16" spans="1:14" s="24" customFormat="1" ht="48">
      <c r="A16" s="996">
        <v>5</v>
      </c>
      <c r="B16" s="987" t="s">
        <v>819</v>
      </c>
      <c r="C16" s="988" t="s">
        <v>820</v>
      </c>
      <c r="D16" s="988" t="s">
        <v>821</v>
      </c>
      <c r="E16" s="989">
        <v>11.2</v>
      </c>
      <c r="F16" s="995" t="s">
        <v>115</v>
      </c>
      <c r="G16" s="995">
        <v>5601</v>
      </c>
      <c r="H16" s="991" t="s">
        <v>805</v>
      </c>
      <c r="I16" s="992"/>
      <c r="J16" s="986"/>
      <c r="K16" s="986"/>
      <c r="L16" s="986"/>
      <c r="M16" s="986"/>
      <c r="N16" s="994" t="s">
        <v>822</v>
      </c>
    </row>
    <row r="17" spans="1:14" s="24" customFormat="1" ht="72">
      <c r="A17" s="997">
        <v>6</v>
      </c>
      <c r="B17" s="987" t="s">
        <v>823</v>
      </c>
      <c r="C17" s="988" t="s">
        <v>343</v>
      </c>
      <c r="D17" s="988" t="s">
        <v>824</v>
      </c>
      <c r="E17" s="989">
        <v>11</v>
      </c>
      <c r="F17" s="995" t="s">
        <v>115</v>
      </c>
      <c r="G17" s="995">
        <v>5601</v>
      </c>
      <c r="H17" s="991" t="s">
        <v>805</v>
      </c>
      <c r="I17" s="992"/>
      <c r="J17" s="998"/>
      <c r="K17" s="999"/>
      <c r="L17" s="986"/>
      <c r="M17" s="999"/>
      <c r="N17" s="1000" t="s">
        <v>825</v>
      </c>
    </row>
    <row r="18" spans="1:14" s="24" customFormat="1" ht="36">
      <c r="A18" s="1001">
        <v>7</v>
      </c>
      <c r="B18" s="987" t="s">
        <v>826</v>
      </c>
      <c r="C18" s="988" t="s">
        <v>827</v>
      </c>
      <c r="D18" s="988" t="s">
        <v>828</v>
      </c>
      <c r="E18" s="989">
        <v>11.5</v>
      </c>
      <c r="F18" s="995" t="s">
        <v>115</v>
      </c>
      <c r="G18" s="995">
        <v>5601</v>
      </c>
      <c r="H18" s="991" t="s">
        <v>805</v>
      </c>
      <c r="I18" s="992"/>
      <c r="J18" s="986"/>
      <c r="K18" s="993"/>
      <c r="L18" s="986"/>
      <c r="M18" s="986"/>
      <c r="N18" s="994" t="s">
        <v>829</v>
      </c>
    </row>
    <row r="19" spans="1:14" s="24" customFormat="1" ht="48">
      <c r="A19" s="1001">
        <v>8</v>
      </c>
      <c r="B19" s="987" t="s">
        <v>830</v>
      </c>
      <c r="C19" s="988" t="s">
        <v>831</v>
      </c>
      <c r="D19" s="988" t="s">
        <v>832</v>
      </c>
      <c r="E19" s="989">
        <v>23</v>
      </c>
      <c r="F19" s="995" t="s">
        <v>115</v>
      </c>
      <c r="G19" s="995">
        <v>5601</v>
      </c>
      <c r="H19" s="991" t="s">
        <v>805</v>
      </c>
      <c r="I19" s="992"/>
      <c r="J19" s="986"/>
      <c r="K19" s="986"/>
      <c r="L19" s="1002"/>
      <c r="M19" s="986"/>
      <c r="N19" s="994" t="s">
        <v>833</v>
      </c>
    </row>
    <row r="20" spans="1:14">
      <c r="A20" s="10"/>
      <c r="N20" s="7"/>
    </row>
    <row r="21" spans="1:14">
      <c r="A21" s="10"/>
      <c r="B21" s="192" t="s">
        <v>834</v>
      </c>
      <c r="C21" s="192"/>
      <c r="N21" s="7"/>
    </row>
    <row r="22" spans="1:14">
      <c r="A22" s="10"/>
      <c r="B22" s="340" t="s">
        <v>835</v>
      </c>
      <c r="C22" s="340"/>
      <c r="D22" s="29"/>
      <c r="E22" s="29"/>
      <c r="F22" s="337" t="s">
        <v>836</v>
      </c>
      <c r="G22" s="1393" t="s">
        <v>837</v>
      </c>
      <c r="H22" s="1393"/>
      <c r="I22" s="1393"/>
      <c r="J22" s="1404" t="s">
        <v>838</v>
      </c>
      <c r="K22" s="1404"/>
      <c r="L22" s="1404"/>
      <c r="M22" s="338" t="s">
        <v>839</v>
      </c>
      <c r="N22" s="339" t="s">
        <v>840</v>
      </c>
    </row>
    <row r="23" spans="1:14">
      <c r="A23" s="8"/>
      <c r="B23" s="3"/>
      <c r="C23" s="3"/>
      <c r="D23" s="3"/>
      <c r="E23" s="3"/>
      <c r="F23" s="3"/>
      <c r="G23" s="3"/>
      <c r="H23" s="3"/>
      <c r="I23" s="3"/>
      <c r="J23" s="3"/>
      <c r="K23" s="3"/>
      <c r="L23" s="3"/>
      <c r="M23" s="3"/>
      <c r="N23" s="4"/>
    </row>
    <row r="25" spans="1:14">
      <c r="A25" s="66" t="s">
        <v>841</v>
      </c>
    </row>
    <row r="26" spans="1:14">
      <c r="L26" s="1262" t="s">
        <v>125</v>
      </c>
      <c r="M26" s="1262"/>
      <c r="N26" s="1262"/>
    </row>
  </sheetData>
  <mergeCells count="17">
    <mergeCell ref="G10:G11"/>
    <mergeCell ref="G22:I22"/>
    <mergeCell ref="L26:N26"/>
    <mergeCell ref="C10:C11"/>
    <mergeCell ref="E10:E11"/>
    <mergeCell ref="A1:N1"/>
    <mergeCell ref="A2:N2"/>
    <mergeCell ref="A4:N4"/>
    <mergeCell ref="A6:N6"/>
    <mergeCell ref="H10:I10"/>
    <mergeCell ref="J10:M10"/>
    <mergeCell ref="N10:N11"/>
    <mergeCell ref="J22:L22"/>
    <mergeCell ref="F10:F11"/>
    <mergeCell ref="D10:D11"/>
    <mergeCell ref="B10:B11"/>
    <mergeCell ref="A10:A11"/>
  </mergeCells>
  <phoneticPr fontId="4" type="noConversion"/>
  <hyperlinks>
    <hyperlink ref="L26" location="'TABLA DE CONTENIDO'!A1" display="VOLVER A TABLA DE CONTENIDO" xr:uid="{00000000-0004-0000-0F00-000000000000}"/>
  </hyperlinks>
  <printOptions horizontalCentered="1" verticalCentered="1"/>
  <pageMargins left="0.51181102362204722" right="0.59055118110236227" top="0.78740157480314965" bottom="0.98425196850393704" header="0.51181102362204722" footer="0.51181102362204722"/>
  <pageSetup scale="71" orientation="landscape" horizontalDpi="120" verticalDpi="144"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O30"/>
  <sheetViews>
    <sheetView topLeftCell="F17" workbookViewId="0">
      <selection activeCell="D20" sqref="D20"/>
    </sheetView>
  </sheetViews>
  <sheetFormatPr defaultColWidth="11.42578125" defaultRowHeight="12.75"/>
  <cols>
    <col min="1" max="1" width="5" customWidth="1"/>
    <col min="2" max="2" width="13.28515625" customWidth="1"/>
    <col min="3" max="3" width="10.140625" customWidth="1"/>
    <col min="4" max="4" width="14.28515625" customWidth="1"/>
    <col min="5" max="5" width="14.140625" bestFit="1" customWidth="1"/>
    <col min="7" max="7" width="10.5703125" customWidth="1"/>
    <col min="8" max="8" width="19.28515625" customWidth="1"/>
    <col min="12" max="12" width="14.28515625" bestFit="1" customWidth="1"/>
    <col min="13" max="13" width="16.28515625" customWidth="1"/>
    <col min="14" max="14" width="19.140625" customWidth="1"/>
    <col min="15" max="15" width="17.140625" bestFit="1" customWidth="1"/>
  </cols>
  <sheetData>
    <row r="1" spans="1:15" ht="23.25">
      <c r="A1" s="1259" t="s">
        <v>1</v>
      </c>
      <c r="B1" s="1259"/>
      <c r="C1" s="1259"/>
      <c r="D1" s="1259"/>
      <c r="E1" s="1259"/>
      <c r="F1" s="1259"/>
      <c r="G1" s="1259"/>
      <c r="H1" s="1259"/>
      <c r="I1" s="1259"/>
      <c r="J1" s="1259"/>
      <c r="K1" s="1259"/>
      <c r="L1" s="1259"/>
      <c r="M1" s="1259"/>
      <c r="N1" s="1259"/>
      <c r="O1" s="1259"/>
    </row>
    <row r="2" spans="1:15" ht="18">
      <c r="A2" s="1260" t="s">
        <v>84</v>
      </c>
      <c r="B2" s="1260"/>
      <c r="C2" s="1260"/>
      <c r="D2" s="1260"/>
      <c r="E2" s="1260"/>
      <c r="F2" s="1260"/>
      <c r="G2" s="1260"/>
      <c r="H2" s="1260"/>
      <c r="I2" s="1260"/>
      <c r="J2" s="1260"/>
      <c r="K2" s="1260"/>
      <c r="L2" s="1260"/>
      <c r="M2" s="1260"/>
      <c r="N2" s="1260"/>
      <c r="O2" s="1260"/>
    </row>
    <row r="3" spans="1:15" ht="18">
      <c r="A3" s="1260" t="s">
        <v>842</v>
      </c>
      <c r="B3" s="1260"/>
      <c r="C3" s="1260"/>
      <c r="D3" s="1260"/>
      <c r="E3" s="1260"/>
      <c r="F3" s="1260"/>
      <c r="G3" s="1260"/>
      <c r="H3" s="1260"/>
      <c r="I3" s="1260"/>
      <c r="J3" s="1260"/>
      <c r="K3" s="1260"/>
      <c r="L3" s="1260"/>
      <c r="M3" s="1260"/>
      <c r="N3" s="1260"/>
      <c r="O3" s="1260"/>
    </row>
    <row r="4" spans="1:15">
      <c r="A4" s="45"/>
      <c r="B4" s="45"/>
      <c r="C4" s="45"/>
      <c r="D4" s="38"/>
      <c r="E4" s="38"/>
      <c r="F4" s="38"/>
      <c r="G4" s="38"/>
    </row>
    <row r="5" spans="1:15" ht="18">
      <c r="A5" s="1260" t="s">
        <v>843</v>
      </c>
      <c r="B5" s="1260"/>
      <c r="C5" s="1260"/>
      <c r="D5" s="1260"/>
      <c r="E5" s="1260"/>
      <c r="F5" s="1260"/>
      <c r="G5" s="1260"/>
      <c r="H5" s="1260"/>
      <c r="I5" s="1260"/>
      <c r="J5" s="1260"/>
      <c r="K5" s="1260"/>
      <c r="L5" s="1260"/>
      <c r="M5" s="1260"/>
      <c r="N5" s="1260"/>
      <c r="O5" s="1260"/>
    </row>
    <row r="6" spans="1:15">
      <c r="A6" s="45"/>
      <c r="B6" s="45"/>
      <c r="C6" s="45"/>
      <c r="D6" s="38"/>
      <c r="E6" s="38"/>
      <c r="F6" s="38"/>
      <c r="G6" s="38"/>
    </row>
    <row r="7" spans="1:15">
      <c r="C7" s="51"/>
      <c r="D7" s="39"/>
      <c r="E7" s="39"/>
      <c r="G7" s="39"/>
    </row>
    <row r="8" spans="1:15">
      <c r="A8" s="190" t="s">
        <v>129</v>
      </c>
      <c r="B8" s="51"/>
      <c r="C8" s="51"/>
      <c r="D8" s="333" t="s">
        <v>88</v>
      </c>
      <c r="E8" s="333"/>
      <c r="F8" s="333"/>
      <c r="G8" s="334"/>
      <c r="I8" s="188" t="s">
        <v>159</v>
      </c>
      <c r="J8" s="188"/>
      <c r="L8" s="467" t="s">
        <v>844</v>
      </c>
      <c r="M8" s="3"/>
      <c r="N8" s="3"/>
    </row>
    <row r="9" spans="1:15" ht="13.5" thickBot="1">
      <c r="L9" s="20"/>
    </row>
    <row r="10" spans="1:15" ht="18" customHeight="1">
      <c r="A10" s="1416" t="s">
        <v>790</v>
      </c>
      <c r="B10" s="1413" t="s">
        <v>845</v>
      </c>
      <c r="C10" s="1406" t="s">
        <v>846</v>
      </c>
      <c r="D10" s="1406" t="s">
        <v>791</v>
      </c>
      <c r="E10" s="1413" t="s">
        <v>847</v>
      </c>
      <c r="F10" s="1413" t="s">
        <v>848</v>
      </c>
      <c r="G10" s="1406" t="s">
        <v>849</v>
      </c>
      <c r="H10" s="1406" t="s">
        <v>104</v>
      </c>
      <c r="I10" s="1406" t="s">
        <v>374</v>
      </c>
      <c r="J10" s="1406" t="s">
        <v>375</v>
      </c>
      <c r="K10" s="1406" t="s">
        <v>850</v>
      </c>
      <c r="L10" s="1406" t="s">
        <v>851</v>
      </c>
      <c r="M10" s="1411" t="s">
        <v>852</v>
      </c>
      <c r="N10" s="1412"/>
      <c r="O10" s="1406" t="s">
        <v>111</v>
      </c>
    </row>
    <row r="11" spans="1:15" ht="21" customHeight="1">
      <c r="A11" s="1417"/>
      <c r="B11" s="1414"/>
      <c r="C11" s="1407"/>
      <c r="D11" s="1407"/>
      <c r="E11" s="1414"/>
      <c r="F11" s="1414"/>
      <c r="G11" s="1407"/>
      <c r="H11" s="1407"/>
      <c r="I11" s="1407"/>
      <c r="J11" s="1407"/>
      <c r="K11" s="1407"/>
      <c r="L11" s="1407"/>
      <c r="M11" s="1409" t="s">
        <v>853</v>
      </c>
      <c r="N11" s="1410"/>
      <c r="O11" s="1407"/>
    </row>
    <row r="12" spans="1:15" ht="19.5" customHeight="1">
      <c r="A12" s="1418"/>
      <c r="B12" s="1415"/>
      <c r="C12" s="1408"/>
      <c r="D12" s="1408"/>
      <c r="E12" s="1415"/>
      <c r="F12" s="1415"/>
      <c r="G12" s="1408"/>
      <c r="H12" s="1408"/>
      <c r="I12" s="1408"/>
      <c r="J12" s="1408"/>
      <c r="K12" s="1408"/>
      <c r="L12" s="1408"/>
      <c r="M12" s="416" t="s">
        <v>854</v>
      </c>
      <c r="N12" s="417" t="s">
        <v>855</v>
      </c>
      <c r="O12" s="1408"/>
    </row>
    <row r="13" spans="1:15" ht="60">
      <c r="A13" s="1003">
        <v>1</v>
      </c>
      <c r="B13" s="1004" t="s">
        <v>856</v>
      </c>
      <c r="C13" s="1005" t="s">
        <v>857</v>
      </c>
      <c r="D13" s="1006" t="s">
        <v>802</v>
      </c>
      <c r="E13" s="1007">
        <v>2</v>
      </c>
      <c r="F13" s="1007">
        <v>1935</v>
      </c>
      <c r="G13" s="1007">
        <v>13.5</v>
      </c>
      <c r="H13" s="1008" t="s">
        <v>115</v>
      </c>
      <c r="I13" s="1004" t="s">
        <v>803</v>
      </c>
      <c r="J13" s="988" t="s">
        <v>804</v>
      </c>
      <c r="K13" s="1008" t="s">
        <v>858</v>
      </c>
      <c r="L13" s="1009" t="s">
        <v>859</v>
      </c>
      <c r="M13" s="1008"/>
      <c r="N13" s="1012">
        <f>+'CANT OBRA'!H1203</f>
        <v>59860493</v>
      </c>
      <c r="O13" s="1010"/>
    </row>
    <row r="14" spans="1:15" ht="48">
      <c r="A14" s="1003">
        <v>2</v>
      </c>
      <c r="B14" s="1004" t="s">
        <v>856</v>
      </c>
      <c r="C14" s="1005" t="s">
        <v>860</v>
      </c>
      <c r="D14" s="1006" t="s">
        <v>807</v>
      </c>
      <c r="E14" s="1007">
        <v>2</v>
      </c>
      <c r="F14" s="1007">
        <v>1935</v>
      </c>
      <c r="G14" s="1007">
        <v>14</v>
      </c>
      <c r="H14" s="1008" t="s">
        <v>115</v>
      </c>
      <c r="I14" s="1004" t="s">
        <v>808</v>
      </c>
      <c r="J14" s="988" t="s">
        <v>809</v>
      </c>
      <c r="K14" s="1008" t="s">
        <v>861</v>
      </c>
      <c r="L14" s="1009" t="s">
        <v>862</v>
      </c>
      <c r="M14" s="1008"/>
      <c r="N14" s="1012">
        <f>+'CANT OBRA'!H1215</f>
        <v>162539359</v>
      </c>
      <c r="O14" s="1010" t="s">
        <v>863</v>
      </c>
    </row>
    <row r="15" spans="1:15" ht="38.1" customHeight="1">
      <c r="A15" s="1003">
        <v>3</v>
      </c>
      <c r="B15" s="1004" t="s">
        <v>856</v>
      </c>
      <c r="C15" s="1005"/>
      <c r="D15" s="1006" t="s">
        <v>815</v>
      </c>
      <c r="E15" s="1007">
        <v>2</v>
      </c>
      <c r="F15" s="1007">
        <v>511</v>
      </c>
      <c r="G15" s="1007">
        <v>9</v>
      </c>
      <c r="H15" s="1008" t="s">
        <v>115</v>
      </c>
      <c r="I15" s="1004" t="s">
        <v>816</v>
      </c>
      <c r="J15" s="988" t="s">
        <v>817</v>
      </c>
      <c r="K15" s="1008" t="s">
        <v>858</v>
      </c>
      <c r="L15" s="1009" t="s">
        <v>864</v>
      </c>
      <c r="M15" s="1008"/>
      <c r="N15" s="1012">
        <f>+'CANT OBRA'!H1229</f>
        <v>7368837</v>
      </c>
      <c r="O15" s="1010" t="s">
        <v>865</v>
      </c>
    </row>
    <row r="16" spans="1:15" ht="24">
      <c r="A16" s="1003">
        <v>4</v>
      </c>
      <c r="B16" s="1004" t="s">
        <v>856</v>
      </c>
      <c r="C16" s="1005" t="s">
        <v>866</v>
      </c>
      <c r="D16" s="1006" t="s">
        <v>819</v>
      </c>
      <c r="E16" s="1007">
        <v>2</v>
      </c>
      <c r="F16" s="1007">
        <v>511</v>
      </c>
      <c r="G16" s="1007">
        <v>11.2</v>
      </c>
      <c r="H16" s="1008" t="s">
        <v>115</v>
      </c>
      <c r="I16" s="1004" t="s">
        <v>820</v>
      </c>
      <c r="J16" s="988" t="s">
        <v>821</v>
      </c>
      <c r="K16" s="1008" t="s">
        <v>867</v>
      </c>
      <c r="L16" s="1009" t="s">
        <v>868</v>
      </c>
      <c r="M16" s="1008"/>
      <c r="N16" s="1012">
        <f>+'CANT OBRA'!H1237</f>
        <v>4304800</v>
      </c>
      <c r="O16" s="1010" t="s">
        <v>869</v>
      </c>
    </row>
    <row r="17" spans="1:15" ht="124.5" customHeight="1">
      <c r="A17" s="1003">
        <v>5</v>
      </c>
      <c r="B17" s="1004" t="s">
        <v>856</v>
      </c>
      <c r="C17" s="1005" t="s">
        <v>870</v>
      </c>
      <c r="D17" s="1006" t="s">
        <v>823</v>
      </c>
      <c r="E17" s="1007">
        <v>4</v>
      </c>
      <c r="F17" s="1007">
        <v>511</v>
      </c>
      <c r="G17" s="1007">
        <v>11</v>
      </c>
      <c r="H17" s="1008" t="s">
        <v>115</v>
      </c>
      <c r="I17" s="1004" t="s">
        <v>343</v>
      </c>
      <c r="J17" s="988" t="s">
        <v>824</v>
      </c>
      <c r="K17" s="1008" t="s">
        <v>871</v>
      </c>
      <c r="L17" s="1009" t="s">
        <v>872</v>
      </c>
      <c r="M17" s="1011">
        <f>+'CANT OBRA'!I1304</f>
        <v>51860200</v>
      </c>
      <c r="N17" s="1012">
        <f>+'CANT OBRA'!H1252</f>
        <v>153897314</v>
      </c>
      <c r="O17" s="1010" t="s">
        <v>873</v>
      </c>
    </row>
    <row r="18" spans="1:15" ht="60">
      <c r="A18" s="1003">
        <v>6</v>
      </c>
      <c r="B18" s="1004" t="s">
        <v>856</v>
      </c>
      <c r="C18" s="1005" t="s">
        <v>874</v>
      </c>
      <c r="D18" s="1008" t="s">
        <v>826</v>
      </c>
      <c r="E18" s="1007">
        <v>2</v>
      </c>
      <c r="F18" s="1007">
        <v>511</v>
      </c>
      <c r="G18" s="1007">
        <v>11.5</v>
      </c>
      <c r="H18" s="1008" t="s">
        <v>115</v>
      </c>
      <c r="I18" s="1004" t="s">
        <v>827</v>
      </c>
      <c r="J18" s="988" t="s">
        <v>828</v>
      </c>
      <c r="K18" s="1008" t="s">
        <v>861</v>
      </c>
      <c r="L18" s="1009" t="s">
        <v>875</v>
      </c>
      <c r="M18" s="1008"/>
      <c r="N18" s="1012">
        <f>+'CANT OBRA'!H1257</f>
        <v>8915011</v>
      </c>
      <c r="O18" s="1010" t="s">
        <v>876</v>
      </c>
    </row>
    <row r="19" spans="1:15" ht="42" customHeight="1">
      <c r="A19" s="1003">
        <v>7</v>
      </c>
      <c r="B19" s="1004" t="s">
        <v>856</v>
      </c>
      <c r="C19" s="1005" t="s">
        <v>877</v>
      </c>
      <c r="D19" s="1006" t="s">
        <v>830</v>
      </c>
      <c r="E19" s="1007">
        <v>2</v>
      </c>
      <c r="F19" s="1007">
        <v>511</v>
      </c>
      <c r="G19" s="1007">
        <v>23</v>
      </c>
      <c r="H19" s="1008" t="s">
        <v>115</v>
      </c>
      <c r="I19" s="1004" t="s">
        <v>831</v>
      </c>
      <c r="J19" s="988" t="s">
        <v>832</v>
      </c>
      <c r="K19" s="1008" t="s">
        <v>800</v>
      </c>
      <c r="L19" s="1009" t="s">
        <v>878</v>
      </c>
      <c r="M19" s="1008"/>
      <c r="N19" s="897">
        <f>+'CANT OBRA'!H1263</f>
        <v>1467177</v>
      </c>
      <c r="O19" s="1010"/>
    </row>
    <row r="20" spans="1:15" ht="18" customHeight="1">
      <c r="A20" s="275"/>
      <c r="B20" s="275"/>
      <c r="C20" s="276"/>
      <c r="D20" s="277"/>
      <c r="E20" s="278"/>
      <c r="F20" s="278"/>
      <c r="G20" s="278"/>
      <c r="H20" s="275"/>
      <c r="I20" s="278"/>
      <c r="J20" s="278"/>
      <c r="K20" s="277"/>
      <c r="L20" s="279"/>
      <c r="M20" s="278"/>
      <c r="N20" s="278"/>
      <c r="O20" s="280"/>
    </row>
    <row r="21" spans="1:15" ht="18" customHeight="1">
      <c r="A21" s="281"/>
      <c r="B21" s="275"/>
      <c r="C21" s="283"/>
      <c r="D21" s="275"/>
      <c r="E21" s="284"/>
      <c r="F21" s="284"/>
      <c r="G21" s="284"/>
      <c r="H21" s="275"/>
      <c r="I21" s="284"/>
      <c r="J21" s="284"/>
      <c r="K21" s="282"/>
      <c r="L21" s="282"/>
      <c r="M21" s="278"/>
      <c r="N21" s="288"/>
      <c r="O21" s="280"/>
    </row>
    <row r="22" spans="1:15" ht="18" customHeight="1">
      <c r="A22" s="281"/>
      <c r="B22" s="275"/>
      <c r="C22" s="283"/>
      <c r="D22" s="275"/>
      <c r="E22" s="284"/>
      <c r="F22" s="284"/>
      <c r="G22" s="284"/>
      <c r="H22" s="275"/>
      <c r="I22" s="284"/>
      <c r="J22" s="284"/>
      <c r="K22" s="282"/>
      <c r="L22" s="282"/>
      <c r="M22" s="278"/>
      <c r="N22" s="288"/>
      <c r="O22" s="280"/>
    </row>
    <row r="23" spans="1:15" ht="18" customHeight="1">
      <c r="A23" s="281"/>
      <c r="B23" s="281"/>
      <c r="C23" s="287"/>
      <c r="D23" s="287"/>
      <c r="E23" s="286"/>
      <c r="F23" s="286"/>
      <c r="G23" s="286"/>
      <c r="H23" s="285"/>
      <c r="I23" s="286"/>
      <c r="J23" s="286"/>
      <c r="K23" s="285"/>
      <c r="L23" s="285"/>
      <c r="M23" s="286"/>
      <c r="N23" s="286"/>
      <c r="O23" s="289"/>
    </row>
    <row r="24" spans="1:15">
      <c r="A24" s="1405"/>
      <c r="B24" s="1405"/>
      <c r="C24" s="1405"/>
      <c r="D24" s="1405"/>
      <c r="E24" s="1405"/>
      <c r="F24" s="1405"/>
      <c r="G24" s="1405"/>
      <c r="H24" s="1405"/>
      <c r="I24" s="1405"/>
      <c r="J24" s="1405"/>
      <c r="K24" s="1405"/>
      <c r="L24" s="1405"/>
      <c r="M24" s="1013">
        <f>SUM(M17:M23)</f>
        <v>51860200</v>
      </c>
      <c r="N24" s="1013">
        <f>SUM(N13:N23)</f>
        <v>398352991</v>
      </c>
      <c r="O24" s="292"/>
    </row>
    <row r="25" spans="1:15" ht="27" customHeight="1">
      <c r="A25" s="1354" t="s">
        <v>430</v>
      </c>
      <c r="B25" s="1354"/>
      <c r="C25" s="1354"/>
      <c r="D25" s="1354"/>
      <c r="E25" s="1354"/>
      <c r="F25" s="1354"/>
      <c r="G25" s="1354"/>
      <c r="H25" s="1354"/>
      <c r="I25" s="1354"/>
      <c r="J25" s="1354"/>
      <c r="K25" s="1354"/>
      <c r="L25" s="1354"/>
      <c r="M25" s="1354"/>
      <c r="N25" s="1354"/>
      <c r="O25" s="1354"/>
    </row>
    <row r="26" spans="1:15">
      <c r="A26" s="290"/>
      <c r="B26" s="290"/>
      <c r="C26" s="290"/>
      <c r="D26" s="290"/>
      <c r="E26" s="290"/>
      <c r="F26" s="290"/>
      <c r="G26" s="290"/>
      <c r="H26" s="290"/>
      <c r="I26" s="290"/>
      <c r="J26" s="290"/>
      <c r="K26" s="290"/>
      <c r="L26" s="1419" t="s">
        <v>879</v>
      </c>
      <c r="M26" s="1419"/>
      <c r="N26" s="1014">
        <f>0.2*(N24-N25)</f>
        <v>79670598.200000003</v>
      </c>
      <c r="O26" s="292"/>
    </row>
    <row r="27" spans="1:15" ht="13.5" thickBot="1">
      <c r="A27" s="290"/>
      <c r="B27" s="290"/>
      <c r="C27" s="290"/>
      <c r="D27" s="290"/>
      <c r="E27" s="290"/>
      <c r="F27" s="290"/>
      <c r="G27" s="290"/>
      <c r="H27" s="290"/>
      <c r="I27" s="290"/>
      <c r="J27" s="290"/>
      <c r="K27" s="290"/>
      <c r="L27" s="290"/>
      <c r="M27" s="291"/>
      <c r="N27" s="293"/>
      <c r="O27" s="292"/>
    </row>
    <row r="28" spans="1:15" ht="13.5" thickTop="1">
      <c r="A28" s="294"/>
      <c r="B28" s="292"/>
      <c r="C28" s="295"/>
      <c r="D28" s="292"/>
      <c r="E28" s="292"/>
      <c r="F28" s="292"/>
      <c r="G28" s="292"/>
      <c r="H28" s="292"/>
      <c r="I28" s="292"/>
      <c r="J28" s="292"/>
      <c r="K28" s="296"/>
      <c r="L28" s="1419" t="s">
        <v>880</v>
      </c>
      <c r="M28" s="1419"/>
      <c r="N28" s="1015">
        <f>+N24-N25+N26</f>
        <v>478023589.19999999</v>
      </c>
      <c r="O28" s="292"/>
    </row>
    <row r="30" spans="1:15">
      <c r="M30" s="1262" t="s">
        <v>125</v>
      </c>
      <c r="N30" s="1262"/>
      <c r="O30" s="1262"/>
    </row>
  </sheetData>
  <mergeCells count="24">
    <mergeCell ref="M30:O30"/>
    <mergeCell ref="A10:A12"/>
    <mergeCell ref="B10:B12"/>
    <mergeCell ref="C10:C12"/>
    <mergeCell ref="D10:D12"/>
    <mergeCell ref="E10:E12"/>
    <mergeCell ref="I10:I12"/>
    <mergeCell ref="A25:O25"/>
    <mergeCell ref="L28:M28"/>
    <mergeCell ref="L26:M26"/>
    <mergeCell ref="A1:O1"/>
    <mergeCell ref="A3:O3"/>
    <mergeCell ref="A24:L24"/>
    <mergeCell ref="A2:O2"/>
    <mergeCell ref="J10:J12"/>
    <mergeCell ref="G10:G12"/>
    <mergeCell ref="H10:H12"/>
    <mergeCell ref="M11:N11"/>
    <mergeCell ref="K10:K12"/>
    <mergeCell ref="L10:L12"/>
    <mergeCell ref="A5:O5"/>
    <mergeCell ref="M10:N10"/>
    <mergeCell ref="F10:F12"/>
    <mergeCell ref="O10:O12"/>
  </mergeCells>
  <phoneticPr fontId="4" type="noConversion"/>
  <hyperlinks>
    <hyperlink ref="M30" location="'TABLA DE CONTENIDO'!A1" display="VOLVER A TABLA DE CONTENIDO" xr:uid="{00000000-0004-0000-1000-000000000000}"/>
  </hyperlinks>
  <printOptions horizontalCentered="1" verticalCentered="1"/>
  <pageMargins left="0.43" right="0.34" top="0.98425196850393704" bottom="0.98425196850393704" header="0" footer="0"/>
  <pageSetup scale="10"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L28"/>
  <sheetViews>
    <sheetView workbookViewId="0">
      <selection activeCell="D20" sqref="D20"/>
    </sheetView>
  </sheetViews>
  <sheetFormatPr defaultColWidth="11.42578125" defaultRowHeight="12.75"/>
  <cols>
    <col min="1" max="1" width="5.5703125" customWidth="1"/>
    <col min="2" max="2" width="9.7109375" bestFit="1" customWidth="1"/>
    <col min="3" max="3" width="8.140625" bestFit="1" customWidth="1"/>
    <col min="4" max="4" width="22.28515625" customWidth="1"/>
    <col min="5" max="5" width="8.42578125" bestFit="1" customWidth="1"/>
    <col min="6" max="6" width="6.85546875" bestFit="1" customWidth="1"/>
    <col min="7" max="7" width="6.7109375" customWidth="1"/>
    <col min="8" max="8" width="8.5703125" customWidth="1"/>
    <col min="12" max="12" width="20" customWidth="1"/>
  </cols>
  <sheetData>
    <row r="1" spans="1:12" ht="23.25">
      <c r="A1" s="1259" t="s">
        <v>1</v>
      </c>
      <c r="B1" s="1259"/>
      <c r="C1" s="1259"/>
      <c r="D1" s="1259"/>
      <c r="E1" s="1259"/>
      <c r="F1" s="1259"/>
      <c r="G1" s="1259"/>
      <c r="H1" s="1259"/>
      <c r="I1" s="1259"/>
      <c r="J1" s="1259"/>
      <c r="K1" s="1259"/>
      <c r="L1" s="1259"/>
    </row>
    <row r="2" spans="1:12" ht="18">
      <c r="A2" s="1260" t="s">
        <v>84</v>
      </c>
      <c r="B2" s="1260"/>
      <c r="C2" s="1260"/>
      <c r="D2" s="1260"/>
      <c r="E2" s="1260"/>
      <c r="F2" s="1260"/>
      <c r="G2" s="1260"/>
      <c r="H2" s="1260"/>
      <c r="I2" s="1260"/>
      <c r="J2" s="1260"/>
      <c r="K2" s="1260"/>
      <c r="L2" s="1260"/>
    </row>
    <row r="3" spans="1:12" ht="18">
      <c r="A3" s="44"/>
      <c r="B3" s="45"/>
      <c r="C3" s="33"/>
      <c r="D3" s="33"/>
      <c r="E3" s="33"/>
      <c r="F3" s="33"/>
      <c r="G3" s="33"/>
      <c r="H3" s="33"/>
      <c r="I3" s="33"/>
      <c r="J3" s="33"/>
      <c r="K3" s="33"/>
      <c r="L3" s="33"/>
    </row>
    <row r="4" spans="1:12" s="97" customFormat="1" ht="18">
      <c r="A4" s="1260" t="s">
        <v>881</v>
      </c>
      <c r="B4" s="1260"/>
      <c r="C4" s="1260"/>
      <c r="D4" s="1260"/>
      <c r="E4" s="1260"/>
      <c r="F4" s="1260"/>
      <c r="G4" s="1260"/>
      <c r="H4" s="1260"/>
      <c r="I4" s="1260"/>
      <c r="J4" s="1260"/>
      <c r="K4" s="1260"/>
      <c r="L4" s="1260"/>
    </row>
    <row r="5" spans="1:12">
      <c r="A5" s="51"/>
      <c r="B5" s="51"/>
      <c r="C5" s="34"/>
      <c r="D5" s="34"/>
      <c r="E5" s="34"/>
      <c r="F5" s="34"/>
      <c r="G5" s="34"/>
      <c r="H5" s="34"/>
      <c r="I5" s="34"/>
      <c r="J5" s="34"/>
      <c r="K5" s="42"/>
      <c r="L5" s="34"/>
    </row>
    <row r="6" spans="1:12" ht="18">
      <c r="A6" s="1260" t="s">
        <v>882</v>
      </c>
      <c r="B6" s="1260"/>
      <c r="C6" s="1260"/>
      <c r="D6" s="1260"/>
      <c r="E6" s="1260"/>
      <c r="F6" s="1260"/>
      <c r="G6" s="1260"/>
      <c r="H6" s="1260"/>
      <c r="I6" s="1260"/>
      <c r="J6" s="1260"/>
      <c r="K6" s="1260"/>
      <c r="L6" s="1260"/>
    </row>
    <row r="7" spans="1:12" ht="18">
      <c r="A7" s="298"/>
      <c r="B7" s="298"/>
      <c r="C7" s="298"/>
      <c r="D7" s="298"/>
      <c r="E7" s="298"/>
      <c r="F7" s="298"/>
      <c r="G7" s="298"/>
      <c r="H7" s="298"/>
      <c r="I7" s="298"/>
      <c r="J7" s="298"/>
      <c r="K7" s="298"/>
      <c r="L7" s="298"/>
    </row>
    <row r="8" spans="1:12">
      <c r="A8" s="34"/>
      <c r="B8" s="34"/>
      <c r="C8" s="34"/>
      <c r="D8" s="34"/>
      <c r="E8" s="34"/>
      <c r="F8" s="34"/>
      <c r="G8" s="34"/>
      <c r="H8" s="34"/>
      <c r="I8" s="42"/>
      <c r="J8" s="42"/>
      <c r="K8" s="42"/>
      <c r="L8" s="42"/>
    </row>
    <row r="9" spans="1:12">
      <c r="A9" s="51" t="s">
        <v>129</v>
      </c>
      <c r="B9" s="34"/>
      <c r="C9" s="34"/>
      <c r="D9" s="34" t="s">
        <v>88</v>
      </c>
      <c r="E9" s="34"/>
      <c r="F9" s="34"/>
      <c r="G9" s="34"/>
      <c r="H9" s="34"/>
      <c r="I9" s="188" t="s">
        <v>159</v>
      </c>
      <c r="J9" s="34"/>
      <c r="K9" s="331" t="s">
        <v>779</v>
      </c>
      <c r="L9" s="331"/>
    </row>
    <row r="11" spans="1:12">
      <c r="A11" s="43"/>
      <c r="B11" s="43"/>
      <c r="C11" s="43"/>
      <c r="D11" s="43"/>
      <c r="E11" s="36"/>
      <c r="F11" s="52" t="s">
        <v>794</v>
      </c>
      <c r="G11" s="53"/>
      <c r="H11" s="119" t="s">
        <v>795</v>
      </c>
      <c r="I11" s="120"/>
      <c r="J11" s="121"/>
      <c r="K11" s="122"/>
      <c r="L11" s="37"/>
    </row>
    <row r="12" spans="1:12" ht="36">
      <c r="A12" s="117" t="s">
        <v>790</v>
      </c>
      <c r="B12" s="117" t="s">
        <v>374</v>
      </c>
      <c r="C12" s="117" t="s">
        <v>375</v>
      </c>
      <c r="D12" s="117" t="s">
        <v>104</v>
      </c>
      <c r="E12" s="117" t="s">
        <v>105</v>
      </c>
      <c r="F12" s="369" t="s">
        <v>796</v>
      </c>
      <c r="G12" s="370" t="s">
        <v>797</v>
      </c>
      <c r="H12" s="370" t="s">
        <v>798</v>
      </c>
      <c r="I12" s="370" t="s">
        <v>799</v>
      </c>
      <c r="J12" s="370" t="s">
        <v>800</v>
      </c>
      <c r="K12" s="370" t="s">
        <v>801</v>
      </c>
      <c r="L12" s="118" t="s">
        <v>111</v>
      </c>
    </row>
    <row r="13" spans="1:12" ht="24.95" customHeight="1">
      <c r="A13" s="986">
        <v>1</v>
      </c>
      <c r="B13" s="976" t="s">
        <v>883</v>
      </c>
      <c r="C13" s="976" t="s">
        <v>884</v>
      </c>
      <c r="D13" s="1016" t="s">
        <v>115</v>
      </c>
      <c r="E13" s="1017">
        <v>5601</v>
      </c>
      <c r="F13" s="1016" t="s">
        <v>805</v>
      </c>
      <c r="G13" s="1016"/>
      <c r="H13" s="986"/>
      <c r="I13" s="986"/>
      <c r="J13" s="1018" t="s">
        <v>885</v>
      </c>
      <c r="K13" s="986"/>
      <c r="L13" s="994" t="s">
        <v>886</v>
      </c>
    </row>
    <row r="14" spans="1:12" ht="24.95" customHeight="1">
      <c r="A14" s="986">
        <v>2</v>
      </c>
      <c r="B14" s="976" t="s">
        <v>887</v>
      </c>
      <c r="C14" s="976" t="s">
        <v>888</v>
      </c>
      <c r="D14" s="1016" t="s">
        <v>115</v>
      </c>
      <c r="E14" s="1017">
        <v>5601</v>
      </c>
      <c r="F14" s="1016" t="s">
        <v>805</v>
      </c>
      <c r="G14" s="1016"/>
      <c r="H14" s="986"/>
      <c r="I14" s="986"/>
      <c r="J14" s="986"/>
      <c r="K14" s="986"/>
      <c r="L14" s="1019"/>
    </row>
    <row r="15" spans="1:12" ht="24.95" customHeight="1">
      <c r="A15" s="986">
        <v>3</v>
      </c>
      <c r="B15" s="976" t="s">
        <v>889</v>
      </c>
      <c r="C15" s="976" t="s">
        <v>890</v>
      </c>
      <c r="D15" s="1016" t="s">
        <v>115</v>
      </c>
      <c r="E15" s="1017">
        <v>5601</v>
      </c>
      <c r="F15" s="1016" t="s">
        <v>805</v>
      </c>
      <c r="G15" s="1016"/>
      <c r="H15" s="986"/>
      <c r="I15" s="986"/>
      <c r="J15" s="48" t="s">
        <v>885</v>
      </c>
      <c r="K15" s="986"/>
      <c r="L15" s="994" t="s">
        <v>891</v>
      </c>
    </row>
    <row r="16" spans="1:12" ht="24.95" customHeight="1">
      <c r="A16" s="986">
        <v>4</v>
      </c>
      <c r="B16" s="976" t="s">
        <v>892</v>
      </c>
      <c r="C16" s="976" t="s">
        <v>893</v>
      </c>
      <c r="D16" s="1016" t="s">
        <v>115</v>
      </c>
      <c r="E16" s="1017">
        <v>5601</v>
      </c>
      <c r="F16" s="1016" t="s">
        <v>805</v>
      </c>
      <c r="G16" s="1016"/>
      <c r="H16" s="986"/>
      <c r="I16" s="986"/>
      <c r="J16" s="986"/>
      <c r="K16" s="986"/>
      <c r="L16" s="994"/>
    </row>
    <row r="17" spans="1:12" ht="18" customHeight="1">
      <c r="A17" s="336">
        <v>5</v>
      </c>
      <c r="B17" s="6"/>
      <c r="C17" s="22"/>
      <c r="D17" s="6"/>
      <c r="E17" s="6"/>
      <c r="F17" s="27"/>
      <c r="G17" s="27"/>
      <c r="H17" s="27"/>
      <c r="I17" s="27"/>
      <c r="J17" s="28"/>
      <c r="K17" s="27"/>
      <c r="L17" s="1574"/>
    </row>
    <row r="18" spans="1:12" ht="18" customHeight="1">
      <c r="A18" s="336">
        <v>6</v>
      </c>
      <c r="B18" s="6"/>
      <c r="C18" s="22"/>
      <c r="D18" s="6"/>
      <c r="E18" s="6"/>
      <c r="F18" s="27"/>
      <c r="G18" s="27"/>
      <c r="H18" s="27"/>
      <c r="I18" s="27"/>
      <c r="J18" s="90"/>
      <c r="K18" s="27"/>
      <c r="L18" s="1574"/>
    </row>
    <row r="19" spans="1:12" ht="18" customHeight="1">
      <c r="A19" s="123">
        <v>7</v>
      </c>
      <c r="B19" s="6"/>
      <c r="C19" s="22"/>
      <c r="D19" s="6"/>
      <c r="E19" s="6"/>
      <c r="F19" s="27"/>
      <c r="G19" s="27"/>
      <c r="H19" s="28"/>
      <c r="I19" s="27"/>
      <c r="J19" s="27"/>
      <c r="K19" s="28"/>
      <c r="L19" s="1574"/>
    </row>
    <row r="20" spans="1:12" ht="18" customHeight="1">
      <c r="A20" s="124">
        <v>8</v>
      </c>
      <c r="B20" s="6"/>
      <c r="C20" s="22"/>
      <c r="D20" s="6"/>
      <c r="E20" s="6"/>
      <c r="F20" s="27"/>
      <c r="G20" s="27"/>
      <c r="H20" s="27"/>
      <c r="I20" s="27"/>
      <c r="J20" s="27"/>
      <c r="K20" s="27"/>
      <c r="L20" s="6"/>
    </row>
    <row r="21" spans="1:12" ht="18" customHeight="1">
      <c r="A21" s="124">
        <v>9</v>
      </c>
      <c r="B21" s="6"/>
      <c r="C21" s="22"/>
      <c r="D21" s="6"/>
      <c r="E21" s="6"/>
      <c r="F21" s="27"/>
      <c r="G21" s="27"/>
      <c r="H21" s="27"/>
      <c r="I21" s="27"/>
      <c r="J21" s="27"/>
      <c r="K21" s="27"/>
      <c r="L21" s="6"/>
    </row>
    <row r="22" spans="1:12" ht="18" customHeight="1">
      <c r="A22" s="125">
        <v>10</v>
      </c>
      <c r="B22" s="6"/>
      <c r="C22" s="22"/>
      <c r="D22" s="6"/>
      <c r="E22" s="6"/>
      <c r="F22" s="27"/>
      <c r="G22" s="27"/>
      <c r="H22" s="27"/>
      <c r="I22" s="27"/>
      <c r="J22" s="27"/>
      <c r="K22" s="27"/>
      <c r="L22" s="6"/>
    </row>
    <row r="23" spans="1:12">
      <c r="A23" s="12"/>
      <c r="B23" s="26"/>
      <c r="C23" s="26"/>
      <c r="D23" s="26"/>
      <c r="E23" s="26"/>
      <c r="F23" s="26"/>
      <c r="G23" s="26"/>
      <c r="H23" s="26"/>
      <c r="I23" s="26"/>
      <c r="J23" s="26"/>
      <c r="K23" s="26"/>
      <c r="L23" s="13"/>
    </row>
    <row r="24" spans="1:12">
      <c r="A24" s="193" t="s">
        <v>834</v>
      </c>
      <c r="L24" s="7"/>
    </row>
    <row r="25" spans="1:12" ht="25.5">
      <c r="A25" s="1422" t="s">
        <v>835</v>
      </c>
      <c r="B25" s="1423"/>
      <c r="C25" s="1423"/>
      <c r="D25" s="341" t="s">
        <v>836</v>
      </c>
      <c r="E25" s="1420" t="s">
        <v>894</v>
      </c>
      <c r="F25" s="1420"/>
      <c r="G25" s="1420"/>
      <c r="H25" s="1421" t="s">
        <v>838</v>
      </c>
      <c r="I25" s="1421"/>
      <c r="J25" s="1421"/>
      <c r="K25" s="338" t="s">
        <v>839</v>
      </c>
      <c r="L25" s="342" t="s">
        <v>840</v>
      </c>
    </row>
    <row r="28" spans="1:12">
      <c r="A28" s="66" t="s">
        <v>841</v>
      </c>
      <c r="K28" s="1262" t="s">
        <v>125</v>
      </c>
      <c r="L28" s="1262"/>
    </row>
  </sheetData>
  <mergeCells count="8">
    <mergeCell ref="K28:L28"/>
    <mergeCell ref="E25:G25"/>
    <mergeCell ref="H25:J25"/>
    <mergeCell ref="A25:C25"/>
    <mergeCell ref="A1:L1"/>
    <mergeCell ref="A2:L2"/>
    <mergeCell ref="A4:L4"/>
    <mergeCell ref="A6:L6"/>
  </mergeCells>
  <phoneticPr fontId="4" type="noConversion"/>
  <hyperlinks>
    <hyperlink ref="K28" location="'TABLA DE CONTENIDO'!A1" display="VOLVER A TABLA DE CONTENIDO" xr:uid="{00000000-0004-0000-1100-000000000000}"/>
  </hyperlinks>
  <printOptions horizontalCentered="1" verticalCentered="1"/>
  <pageMargins left="0.39370078740157483" right="0.25" top="0.59055118110236227" bottom="0.98425196850393704" header="0" footer="0"/>
  <pageSetup orientation="landscape"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30"/>
  <sheetViews>
    <sheetView topLeftCell="A3" workbookViewId="0">
      <selection activeCell="D20" sqref="D20"/>
    </sheetView>
  </sheetViews>
  <sheetFormatPr defaultColWidth="11.42578125" defaultRowHeight="12.75"/>
  <cols>
    <col min="1" max="1" width="27.7109375" customWidth="1"/>
    <col min="3" max="4" width="10.7109375" customWidth="1"/>
    <col min="5" max="5" width="27.28515625" customWidth="1"/>
    <col min="6" max="6" width="14" customWidth="1"/>
    <col min="7" max="7" width="24.7109375" customWidth="1"/>
  </cols>
  <sheetData>
    <row r="1" spans="1:9" ht="23.25">
      <c r="A1" s="1259" t="s">
        <v>1</v>
      </c>
      <c r="B1" s="1259"/>
      <c r="C1" s="1259"/>
      <c r="D1" s="1259"/>
      <c r="E1" s="1259"/>
      <c r="F1" s="1259"/>
      <c r="G1" s="1259"/>
    </row>
    <row r="2" spans="1:9" ht="18">
      <c r="A2" s="1260" t="s">
        <v>84</v>
      </c>
      <c r="B2" s="1260"/>
      <c r="C2" s="1260"/>
      <c r="D2" s="1260"/>
      <c r="E2" s="1260"/>
      <c r="F2" s="1260"/>
      <c r="G2" s="1260"/>
    </row>
    <row r="3" spans="1:9">
      <c r="A3" s="45"/>
      <c r="B3" s="45"/>
      <c r="C3" s="38"/>
      <c r="D3" s="38"/>
      <c r="E3" s="38"/>
      <c r="F3" s="38"/>
      <c r="G3" s="38"/>
    </row>
    <row r="4" spans="1:9" ht="15.75" customHeight="1">
      <c r="A4" s="1260" t="s">
        <v>895</v>
      </c>
      <c r="B4" s="1260"/>
      <c r="C4" s="1260"/>
      <c r="D4" s="1260"/>
      <c r="E4" s="1260"/>
      <c r="F4" s="1260"/>
      <c r="G4" s="1260"/>
    </row>
    <row r="5" spans="1:9">
      <c r="A5" s="45"/>
      <c r="B5" s="45"/>
      <c r="C5" s="38"/>
      <c r="D5" s="38"/>
      <c r="E5" s="38"/>
      <c r="F5" s="38"/>
      <c r="G5" s="38"/>
    </row>
    <row r="6" spans="1:9" ht="18">
      <c r="A6" s="1260" t="s">
        <v>896</v>
      </c>
      <c r="B6" s="1260"/>
      <c r="C6" s="1260"/>
      <c r="D6" s="1260"/>
      <c r="E6" s="1260"/>
      <c r="F6" s="1260"/>
      <c r="G6" s="1260"/>
    </row>
    <row r="7" spans="1:9" ht="18">
      <c r="A7" s="44"/>
      <c r="B7" s="44"/>
      <c r="C7" s="40"/>
      <c r="D7" s="40"/>
      <c r="E7" s="38"/>
      <c r="F7" s="38"/>
      <c r="G7" s="38"/>
    </row>
    <row r="8" spans="1:9">
      <c r="B8" s="51"/>
      <c r="C8" s="39"/>
      <c r="D8" s="39"/>
      <c r="E8" s="39"/>
      <c r="F8" s="39"/>
      <c r="G8" s="39"/>
    </row>
    <row r="9" spans="1:9">
      <c r="A9" s="190" t="s">
        <v>129</v>
      </c>
      <c r="B9" s="51" t="s">
        <v>299</v>
      </c>
      <c r="C9" s="39"/>
      <c r="D9" s="39"/>
      <c r="E9" s="343" t="s">
        <v>159</v>
      </c>
      <c r="F9" s="467" t="s">
        <v>217</v>
      </c>
      <c r="G9" s="334"/>
    </row>
    <row r="10" spans="1:9" ht="13.5" thickBot="1"/>
    <row r="11" spans="1:9" ht="26.25" thickBot="1">
      <c r="A11" s="139" t="s">
        <v>104</v>
      </c>
      <c r="B11" s="134" t="s">
        <v>105</v>
      </c>
      <c r="C11" s="134" t="s">
        <v>374</v>
      </c>
      <c r="D11" s="134" t="s">
        <v>375</v>
      </c>
      <c r="E11" s="140" t="s">
        <v>376</v>
      </c>
      <c r="F11" s="140" t="s">
        <v>377</v>
      </c>
      <c r="G11" s="141" t="s">
        <v>111</v>
      </c>
    </row>
    <row r="12" spans="1:9" ht="18" customHeight="1">
      <c r="A12" s="1020" t="s">
        <v>115</v>
      </c>
      <c r="B12" s="909">
        <v>5601</v>
      </c>
      <c r="C12" s="895" t="s">
        <v>897</v>
      </c>
      <c r="D12" s="895" t="s">
        <v>898</v>
      </c>
      <c r="E12" s="388" t="s">
        <v>899</v>
      </c>
      <c r="F12" s="1021">
        <f>+'CANT OBRA'!H1273</f>
        <v>3546061</v>
      </c>
      <c r="G12" s="1022"/>
      <c r="I12" s="1023"/>
    </row>
    <row r="13" spans="1:9" ht="18" customHeight="1">
      <c r="A13" s="91"/>
      <c r="B13" s="6"/>
      <c r="C13" s="6"/>
      <c r="D13" s="6"/>
      <c r="E13" s="6"/>
      <c r="F13" s="6"/>
      <c r="G13" s="23"/>
    </row>
    <row r="14" spans="1:9" ht="18" customHeight="1">
      <c r="A14" s="91"/>
      <c r="B14" s="6"/>
      <c r="C14" s="22"/>
      <c r="D14" s="22"/>
      <c r="E14" s="6"/>
      <c r="F14" s="32"/>
      <c r="G14" s="23"/>
    </row>
    <row r="15" spans="1:9" ht="18" customHeight="1">
      <c r="A15" s="91"/>
      <c r="B15" s="6"/>
      <c r="C15" s="22"/>
      <c r="D15" s="22"/>
      <c r="E15" s="6"/>
      <c r="F15" s="6"/>
      <c r="G15" s="23"/>
    </row>
    <row r="16" spans="1:9" ht="18" customHeight="1">
      <c r="A16" s="91"/>
      <c r="B16" s="6"/>
      <c r="C16" s="22"/>
      <c r="D16" s="22"/>
      <c r="E16" s="6"/>
      <c r="F16" s="32"/>
      <c r="G16" s="23"/>
    </row>
    <row r="17" spans="1:7" ht="18" customHeight="1">
      <c r="A17" s="91"/>
      <c r="B17" s="6"/>
      <c r="C17" s="22"/>
      <c r="D17" s="22"/>
      <c r="E17" s="6"/>
      <c r="F17" s="32"/>
      <c r="G17" s="23"/>
    </row>
    <row r="18" spans="1:7" ht="18" customHeight="1">
      <c r="A18" s="91"/>
      <c r="B18" s="6"/>
      <c r="C18" s="22"/>
      <c r="D18" s="22"/>
      <c r="E18" s="6"/>
      <c r="F18" s="6"/>
      <c r="G18" s="23"/>
    </row>
    <row r="19" spans="1:7" ht="18" customHeight="1">
      <c r="A19" s="91"/>
      <c r="B19" s="6"/>
      <c r="C19" s="22"/>
      <c r="D19" s="22"/>
      <c r="E19" s="6"/>
      <c r="F19" s="32"/>
      <c r="G19" s="23"/>
    </row>
    <row r="20" spans="1:7" ht="18" customHeight="1">
      <c r="A20" s="91"/>
      <c r="B20" s="6"/>
      <c r="C20" s="22"/>
      <c r="D20" s="22"/>
      <c r="E20" s="6"/>
      <c r="F20" s="6"/>
      <c r="G20" s="23"/>
    </row>
    <row r="21" spans="1:7" ht="18" customHeight="1">
      <c r="A21" s="91"/>
      <c r="B21" s="6"/>
      <c r="C21" s="22"/>
      <c r="D21" s="22"/>
      <c r="E21" s="30"/>
      <c r="F21" s="32"/>
      <c r="G21" s="142"/>
    </row>
    <row r="22" spans="1:7" ht="18" customHeight="1">
      <c r="A22" s="91"/>
      <c r="B22" s="6"/>
      <c r="C22" s="6"/>
      <c r="D22" s="6"/>
      <c r="E22" s="6"/>
      <c r="F22" s="6"/>
      <c r="G22" s="23"/>
    </row>
    <row r="23" spans="1:7" ht="18" customHeight="1">
      <c r="A23" s="91"/>
      <c r="B23" s="6"/>
      <c r="C23" s="6"/>
      <c r="D23" s="6"/>
      <c r="E23" s="6"/>
      <c r="F23" s="6"/>
      <c r="G23" s="23"/>
    </row>
    <row r="24" spans="1:7" ht="18" customHeight="1">
      <c r="A24" s="91"/>
      <c r="B24" s="6"/>
      <c r="C24" s="6"/>
      <c r="D24" s="6"/>
      <c r="E24" s="6"/>
      <c r="F24" s="6"/>
      <c r="G24" s="23"/>
    </row>
    <row r="25" spans="1:7" ht="18" customHeight="1">
      <c r="A25" s="91"/>
      <c r="B25" s="6"/>
      <c r="C25" s="6"/>
      <c r="D25" s="6"/>
      <c r="E25" s="6"/>
      <c r="F25" s="6"/>
      <c r="G25" s="23"/>
    </row>
    <row r="26" spans="1:7" ht="18" customHeight="1">
      <c r="A26" s="91"/>
      <c r="B26" s="6"/>
      <c r="C26" s="6"/>
      <c r="D26" s="6"/>
      <c r="E26" s="6"/>
      <c r="F26" s="6"/>
      <c r="G26" s="23"/>
    </row>
    <row r="27" spans="1:7" ht="18" customHeight="1" thickBot="1">
      <c r="A27" s="143"/>
      <c r="B27" s="138"/>
      <c r="C27" s="138"/>
      <c r="D27" s="138"/>
      <c r="E27" s="138"/>
      <c r="F27" s="138"/>
      <c r="G27" s="108"/>
    </row>
    <row r="28" spans="1:7" ht="24.75" customHeight="1">
      <c r="A28" s="1354" t="s">
        <v>430</v>
      </c>
      <c r="B28" s="1354"/>
      <c r="C28" s="1354"/>
      <c r="D28" s="1354"/>
      <c r="E28" s="1354"/>
      <c r="F28" s="1354"/>
      <c r="G28" s="1354"/>
    </row>
    <row r="29" spans="1:7">
      <c r="A29" s="66" t="s">
        <v>431</v>
      </c>
    </row>
    <row r="30" spans="1:7">
      <c r="A30" s="66" t="s">
        <v>900</v>
      </c>
      <c r="F30" s="1262" t="s">
        <v>125</v>
      </c>
      <c r="G30" s="1262"/>
    </row>
  </sheetData>
  <mergeCells count="6">
    <mergeCell ref="A1:G1"/>
    <mergeCell ref="A2:G2"/>
    <mergeCell ref="A4:G4"/>
    <mergeCell ref="A6:G6"/>
    <mergeCell ref="F30:G30"/>
    <mergeCell ref="A28:G28"/>
  </mergeCells>
  <phoneticPr fontId="4" type="noConversion"/>
  <hyperlinks>
    <hyperlink ref="F30" location="'TABLA DE CONTENIDO'!A1" display="VOLVER A TABLA DE CONTENIDO" xr:uid="{00000000-0004-0000-1200-000000000000}"/>
  </hyperlinks>
  <printOptions horizontalCentered="1" verticalCentered="1"/>
  <pageMargins left="0.39370078740157483" right="0.28999999999999998" top="0.59055118110236227" bottom="0.98425196850393704" header="0" footer="0"/>
  <pageSetup scale="97"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T34"/>
  <sheetViews>
    <sheetView topLeftCell="A8" zoomScale="80" zoomScaleNormal="80" workbookViewId="0">
      <selection activeCell="D20" sqref="D20"/>
    </sheetView>
  </sheetViews>
  <sheetFormatPr defaultColWidth="11.42578125" defaultRowHeight="12.75"/>
  <cols>
    <col min="1" max="1" width="14.7109375" style="389" customWidth="1"/>
    <col min="2" max="2" width="9.85546875" style="389" customWidth="1"/>
    <col min="3" max="3" width="14.7109375" style="389" customWidth="1"/>
    <col min="4" max="7" width="11.42578125" style="389"/>
    <col min="8" max="9" width="9" style="389" customWidth="1"/>
    <col min="10" max="12" width="11.42578125" style="389"/>
    <col min="13" max="13" width="12.7109375" style="389" customWidth="1"/>
    <col min="14" max="15" width="11.42578125" style="389"/>
    <col min="16" max="16" width="12.28515625" style="389" customWidth="1"/>
    <col min="17" max="17" width="15" style="389" customWidth="1"/>
    <col min="18" max="18" width="11.42578125" style="389"/>
    <col min="19" max="19" width="12.28515625" style="389" customWidth="1"/>
    <col min="20" max="20" width="23.28515625" style="389" customWidth="1"/>
    <col min="21" max="16384" width="11.42578125" style="389"/>
  </cols>
  <sheetData>
    <row r="1" spans="1:20" ht="23.25">
      <c r="A1" s="1259" t="s">
        <v>1</v>
      </c>
      <c r="B1" s="1259"/>
      <c r="C1" s="1259"/>
      <c r="D1" s="1259"/>
      <c r="E1" s="1259"/>
      <c r="F1" s="1259"/>
      <c r="G1" s="1259"/>
      <c r="H1" s="1259"/>
      <c r="I1" s="1259"/>
      <c r="J1" s="1259"/>
      <c r="K1" s="1259"/>
      <c r="L1" s="1259"/>
      <c r="M1" s="1259"/>
      <c r="N1" s="1259"/>
      <c r="O1" s="1259"/>
      <c r="P1" s="1259"/>
      <c r="Q1" s="1259"/>
      <c r="R1" s="1259"/>
      <c r="S1" s="1259"/>
      <c r="T1" s="1259"/>
    </row>
    <row r="2" spans="1:20" ht="18">
      <c r="A2" s="1260" t="s">
        <v>84</v>
      </c>
      <c r="B2" s="1260"/>
      <c r="C2" s="1260"/>
      <c r="D2" s="1260"/>
      <c r="E2" s="1260"/>
      <c r="F2" s="1260"/>
      <c r="G2" s="1260"/>
      <c r="H2" s="1260"/>
      <c r="I2" s="1260"/>
      <c r="J2" s="1260"/>
      <c r="K2" s="1260"/>
      <c r="L2" s="1260"/>
      <c r="M2" s="1260"/>
      <c r="N2" s="1260"/>
      <c r="O2" s="1260"/>
      <c r="P2" s="1260"/>
      <c r="Q2" s="1260"/>
      <c r="R2" s="1260"/>
      <c r="S2" s="1260"/>
      <c r="T2" s="1260"/>
    </row>
    <row r="3" spans="1:20" ht="18">
      <c r="A3" s="44"/>
      <c r="B3" s="45"/>
      <c r="C3" s="33"/>
      <c r="D3" s="33"/>
      <c r="E3" s="33"/>
      <c r="F3" s="33"/>
      <c r="G3" s="33"/>
    </row>
    <row r="4" spans="1:20" ht="18">
      <c r="A4" s="1260" t="s">
        <v>901</v>
      </c>
      <c r="B4" s="1260"/>
      <c r="C4" s="1260"/>
      <c r="D4" s="1260"/>
      <c r="E4" s="1260"/>
      <c r="F4" s="1260"/>
      <c r="G4" s="1260"/>
      <c r="H4" s="1260"/>
      <c r="I4" s="1260"/>
      <c r="J4" s="1260"/>
      <c r="K4" s="1260"/>
      <c r="L4" s="1260"/>
      <c r="M4" s="1260"/>
      <c r="N4" s="1260"/>
      <c r="O4" s="1260"/>
      <c r="P4" s="1260"/>
      <c r="Q4" s="1260"/>
      <c r="R4" s="1260"/>
      <c r="S4" s="1260"/>
      <c r="T4" s="1260"/>
    </row>
    <row r="5" spans="1:20">
      <c r="A5" s="51"/>
      <c r="B5" s="51"/>
      <c r="C5" s="34"/>
      <c r="D5" s="34"/>
      <c r="E5" s="34"/>
      <c r="F5" s="34"/>
      <c r="G5" s="34"/>
    </row>
    <row r="6" spans="1:20" ht="18">
      <c r="A6" s="1260" t="s">
        <v>902</v>
      </c>
      <c r="B6" s="1260"/>
      <c r="C6" s="1260"/>
      <c r="D6" s="1260"/>
      <c r="E6" s="1260"/>
      <c r="F6" s="1260"/>
      <c r="G6" s="1260"/>
      <c r="H6" s="1260"/>
      <c r="I6" s="1260"/>
      <c r="J6" s="1260"/>
      <c r="K6" s="1260"/>
      <c r="L6" s="1260"/>
      <c r="M6" s="1260"/>
      <c r="N6" s="1260"/>
      <c r="O6" s="1260"/>
      <c r="P6" s="1260"/>
      <c r="Q6" s="1260"/>
      <c r="R6" s="1260"/>
      <c r="S6" s="1260"/>
      <c r="T6" s="1260"/>
    </row>
    <row r="7" spans="1:20">
      <c r="A7" s="34"/>
      <c r="B7" s="34"/>
      <c r="C7" s="34"/>
      <c r="D7" s="34"/>
      <c r="E7" s="34"/>
      <c r="F7" s="34"/>
      <c r="G7" s="34"/>
    </row>
    <row r="8" spans="1:20">
      <c r="A8" s="190" t="s">
        <v>129</v>
      </c>
      <c r="B8" s="34"/>
      <c r="C8" s="331" t="s">
        <v>88</v>
      </c>
      <c r="D8" s="331"/>
      <c r="E8" s="331"/>
      <c r="F8" s="331"/>
      <c r="G8" s="34"/>
      <c r="N8" s="188" t="s">
        <v>159</v>
      </c>
      <c r="Q8" s="886" t="s">
        <v>217</v>
      </c>
      <c r="R8" s="419"/>
      <c r="S8" s="419"/>
    </row>
    <row r="10" spans="1:20" ht="13.5" thickBot="1"/>
    <row r="11" spans="1:20" s="385" customFormat="1" ht="18.75" customHeight="1" thickBot="1">
      <c r="A11" s="1451" t="s">
        <v>104</v>
      </c>
      <c r="B11" s="1436" t="s">
        <v>105</v>
      </c>
      <c r="C11" s="1454" t="s">
        <v>903</v>
      </c>
      <c r="D11" s="1439" t="s">
        <v>904</v>
      </c>
      <c r="E11" s="1440"/>
      <c r="F11" s="1441"/>
      <c r="G11" s="1442" t="s">
        <v>905</v>
      </c>
      <c r="H11" s="1424" t="s">
        <v>795</v>
      </c>
      <c r="I11" s="1425"/>
      <c r="J11" s="1425"/>
      <c r="K11" s="1425"/>
      <c r="L11" s="1425"/>
      <c r="M11" s="1425"/>
      <c r="N11" s="1425"/>
      <c r="O11" s="1425"/>
      <c r="P11" s="1425"/>
      <c r="Q11" s="1425"/>
      <c r="R11" s="1425"/>
      <c r="S11" s="1426"/>
      <c r="T11" s="1427" t="s">
        <v>111</v>
      </c>
    </row>
    <row r="12" spans="1:20" s="386" customFormat="1" ht="34.5" customHeight="1">
      <c r="A12" s="1452"/>
      <c r="B12" s="1453"/>
      <c r="C12" s="1455"/>
      <c r="D12" s="1430" t="s">
        <v>374</v>
      </c>
      <c r="E12" s="1432" t="s">
        <v>375</v>
      </c>
      <c r="F12" s="1434" t="s">
        <v>906</v>
      </c>
      <c r="G12" s="1443"/>
      <c r="H12" s="1449" t="s">
        <v>907</v>
      </c>
      <c r="I12" s="1436" t="s">
        <v>908</v>
      </c>
      <c r="J12" s="1436" t="s">
        <v>720</v>
      </c>
      <c r="K12" s="1436"/>
      <c r="L12" s="1436"/>
      <c r="M12" s="1437" t="s">
        <v>909</v>
      </c>
      <c r="N12" s="1437" t="s">
        <v>910</v>
      </c>
      <c r="O12" s="1437" t="s">
        <v>911</v>
      </c>
      <c r="P12" s="1437" t="s">
        <v>912</v>
      </c>
      <c r="Q12" s="1436" t="s">
        <v>913</v>
      </c>
      <c r="R12" s="1575" t="s">
        <v>914</v>
      </c>
      <c r="S12" s="1576" t="s">
        <v>915</v>
      </c>
      <c r="T12" s="1428"/>
    </row>
    <row r="13" spans="1:20" s="387" customFormat="1" ht="49.5" customHeight="1" thickBot="1">
      <c r="A13" s="1431"/>
      <c r="B13" s="1433"/>
      <c r="C13" s="1456"/>
      <c r="D13" s="1431"/>
      <c r="E13" s="1433"/>
      <c r="F13" s="1435"/>
      <c r="G13" s="1444"/>
      <c r="H13" s="1450"/>
      <c r="I13" s="1433"/>
      <c r="J13" s="1577" t="s">
        <v>916</v>
      </c>
      <c r="K13" s="1577" t="s">
        <v>917</v>
      </c>
      <c r="L13" s="1577" t="s">
        <v>918</v>
      </c>
      <c r="M13" s="1438"/>
      <c r="N13" s="1438"/>
      <c r="O13" s="1438"/>
      <c r="P13" s="1438"/>
      <c r="Q13" s="1433"/>
      <c r="R13" s="1578"/>
      <c r="S13" s="1579"/>
      <c r="T13" s="1429"/>
    </row>
    <row r="14" spans="1:20">
      <c r="A14" s="420"/>
      <c r="B14" s="421"/>
      <c r="C14" s="421"/>
      <c r="D14" s="421"/>
      <c r="E14" s="421"/>
      <c r="F14" s="421"/>
      <c r="G14" s="421"/>
      <c r="H14" s="421"/>
      <c r="I14" s="421"/>
      <c r="J14" s="421"/>
      <c r="K14" s="421"/>
      <c r="L14" s="421"/>
      <c r="M14" s="421"/>
      <c r="N14" s="421"/>
      <c r="O14" s="421"/>
      <c r="P14" s="421"/>
      <c r="Q14" s="421"/>
      <c r="R14" s="421"/>
      <c r="S14" s="421"/>
      <c r="T14" s="422"/>
    </row>
    <row r="15" spans="1:20" ht="18.75">
      <c r="A15" s="1446" t="s">
        <v>919</v>
      </c>
      <c r="B15" s="1447"/>
      <c r="C15" s="1447"/>
      <c r="D15" s="1447"/>
      <c r="E15" s="1447"/>
      <c r="F15" s="1447"/>
      <c r="G15" s="1447"/>
      <c r="H15" s="1447"/>
      <c r="I15" s="1447"/>
      <c r="J15" s="1447"/>
      <c r="K15" s="1447"/>
      <c r="L15" s="1447"/>
      <c r="M15" s="1447"/>
      <c r="N15" s="1447"/>
      <c r="O15" s="1447"/>
      <c r="P15" s="1447"/>
      <c r="Q15" s="1447"/>
      <c r="R15" s="1447"/>
      <c r="S15" s="1447"/>
      <c r="T15" s="1448"/>
    </row>
    <row r="16" spans="1:20">
      <c r="A16" s="423"/>
      <c r="B16" s="388"/>
      <c r="C16" s="388"/>
      <c r="D16" s="388"/>
      <c r="E16" s="388"/>
      <c r="F16" s="388"/>
      <c r="G16" s="388"/>
      <c r="H16" s="388"/>
      <c r="I16" s="388"/>
      <c r="J16" s="388"/>
      <c r="K16" s="388"/>
      <c r="L16" s="388"/>
      <c r="M16" s="388"/>
      <c r="N16" s="388"/>
      <c r="O16" s="388"/>
      <c r="P16" s="388"/>
      <c r="Q16" s="388"/>
      <c r="R16" s="388"/>
      <c r="S16" s="388"/>
      <c r="T16" s="424"/>
    </row>
    <row r="17" spans="1:20">
      <c r="A17" s="423"/>
      <c r="B17" s="388"/>
      <c r="C17" s="388"/>
      <c r="D17" s="388"/>
      <c r="E17" s="388"/>
      <c r="F17" s="388"/>
      <c r="G17" s="388"/>
      <c r="H17" s="388"/>
      <c r="I17" s="388"/>
      <c r="J17" s="388"/>
      <c r="K17" s="388"/>
      <c r="L17" s="388"/>
      <c r="M17" s="388"/>
      <c r="N17" s="388"/>
      <c r="O17" s="388"/>
      <c r="P17" s="388"/>
      <c r="Q17" s="388"/>
      <c r="R17" s="388"/>
      <c r="S17" s="388"/>
      <c r="T17" s="424"/>
    </row>
    <row r="18" spans="1:20">
      <c r="A18" s="423"/>
      <c r="B18" s="388"/>
      <c r="C18" s="388"/>
      <c r="D18" s="388"/>
      <c r="E18" s="388"/>
      <c r="F18" s="388"/>
      <c r="G18" s="388"/>
      <c r="H18" s="388"/>
      <c r="I18" s="388"/>
      <c r="J18" s="388"/>
      <c r="K18" s="388"/>
      <c r="L18" s="388"/>
      <c r="M18" s="388"/>
      <c r="N18" s="388"/>
      <c r="O18" s="388"/>
      <c r="P18" s="388"/>
      <c r="Q18" s="388"/>
      <c r="R18" s="388"/>
      <c r="S18" s="388"/>
      <c r="T18" s="424"/>
    </row>
    <row r="19" spans="1:20">
      <c r="A19" s="423"/>
      <c r="B19" s="388"/>
      <c r="C19" s="388"/>
      <c r="D19" s="388"/>
      <c r="E19" s="388"/>
      <c r="F19" s="388"/>
      <c r="G19" s="388"/>
      <c r="H19" s="388"/>
      <c r="I19" s="388"/>
      <c r="J19" s="388"/>
      <c r="K19" s="388"/>
      <c r="L19" s="388"/>
      <c r="M19" s="388"/>
      <c r="N19" s="388"/>
      <c r="O19" s="388"/>
      <c r="P19" s="388"/>
      <c r="Q19" s="388"/>
      <c r="R19" s="388"/>
      <c r="S19" s="388"/>
      <c r="T19" s="424"/>
    </row>
    <row r="20" spans="1:20">
      <c r="A20" s="423"/>
      <c r="B20" s="388"/>
      <c r="C20" s="388"/>
      <c r="D20" s="388"/>
      <c r="E20" s="388"/>
      <c r="F20" s="388"/>
      <c r="G20" s="388"/>
      <c r="H20" s="388"/>
      <c r="I20" s="388"/>
      <c r="J20" s="388"/>
      <c r="K20" s="388"/>
      <c r="L20" s="388"/>
      <c r="M20" s="388"/>
      <c r="N20" s="388"/>
      <c r="O20" s="388"/>
      <c r="P20" s="388"/>
      <c r="Q20" s="388"/>
      <c r="R20" s="388"/>
      <c r="S20" s="388"/>
      <c r="T20" s="424"/>
    </row>
    <row r="21" spans="1:20">
      <c r="A21" s="423"/>
      <c r="B21" s="388"/>
      <c r="C21" s="388"/>
      <c r="D21" s="388"/>
      <c r="E21" s="388"/>
      <c r="F21" s="388"/>
      <c r="G21" s="388"/>
      <c r="H21" s="388"/>
      <c r="I21" s="388"/>
      <c r="J21" s="388"/>
      <c r="K21" s="388"/>
      <c r="L21" s="388"/>
      <c r="M21" s="388"/>
      <c r="N21" s="388"/>
      <c r="O21" s="388"/>
      <c r="P21" s="388"/>
      <c r="Q21" s="388"/>
      <c r="R21" s="388"/>
      <c r="S21" s="388"/>
      <c r="T21" s="424"/>
    </row>
    <row r="22" spans="1:20">
      <c r="A22" s="423"/>
      <c r="B22" s="388"/>
      <c r="C22" s="388"/>
      <c r="D22" s="388"/>
      <c r="E22" s="388"/>
      <c r="F22" s="388"/>
      <c r="G22" s="388"/>
      <c r="H22" s="388"/>
      <c r="I22" s="388"/>
      <c r="J22" s="388"/>
      <c r="K22" s="388"/>
      <c r="L22" s="388"/>
      <c r="M22" s="388"/>
      <c r="N22" s="388"/>
      <c r="O22" s="388"/>
      <c r="P22" s="388"/>
      <c r="Q22" s="388"/>
      <c r="R22" s="388"/>
      <c r="S22" s="388"/>
      <c r="T22" s="424"/>
    </row>
    <row r="23" spans="1:20">
      <c r="A23" s="423"/>
      <c r="B23" s="388"/>
      <c r="C23" s="388"/>
      <c r="D23" s="388"/>
      <c r="E23" s="388"/>
      <c r="F23" s="388"/>
      <c r="G23" s="388"/>
      <c r="H23" s="388"/>
      <c r="I23" s="388"/>
      <c r="J23" s="388"/>
      <c r="K23" s="388"/>
      <c r="L23" s="388"/>
      <c r="M23" s="388"/>
      <c r="N23" s="388"/>
      <c r="O23" s="388"/>
      <c r="P23" s="388"/>
      <c r="Q23" s="388"/>
      <c r="R23" s="388"/>
      <c r="S23" s="388"/>
      <c r="T23" s="424"/>
    </row>
    <row r="24" spans="1:20">
      <c r="A24" s="423"/>
      <c r="B24" s="388"/>
      <c r="C24" s="388"/>
      <c r="D24" s="388"/>
      <c r="E24" s="388"/>
      <c r="F24" s="388"/>
      <c r="G24" s="388"/>
      <c r="H24" s="388"/>
      <c r="I24" s="388"/>
      <c r="J24" s="388"/>
      <c r="K24" s="388"/>
      <c r="L24" s="388"/>
      <c r="M24" s="388"/>
      <c r="N24" s="388"/>
      <c r="O24" s="388"/>
      <c r="P24" s="388"/>
      <c r="Q24" s="388"/>
      <c r="R24" s="388"/>
      <c r="S24" s="388"/>
      <c r="T24" s="424"/>
    </row>
    <row r="25" spans="1:20">
      <c r="A25" s="423"/>
      <c r="B25" s="388"/>
      <c r="C25" s="388"/>
      <c r="D25" s="388"/>
      <c r="E25" s="388"/>
      <c r="F25" s="388"/>
      <c r="G25" s="388"/>
      <c r="H25" s="388"/>
      <c r="I25" s="388"/>
      <c r="J25" s="388"/>
      <c r="K25" s="388"/>
      <c r="L25" s="388"/>
      <c r="M25" s="388"/>
      <c r="N25" s="388"/>
      <c r="O25" s="388"/>
      <c r="P25" s="388"/>
      <c r="Q25" s="388"/>
      <c r="R25" s="388"/>
      <c r="S25" s="388"/>
      <c r="T25" s="424"/>
    </row>
    <row r="26" spans="1:20">
      <c r="A26" s="423"/>
      <c r="B26" s="388"/>
      <c r="C26" s="388"/>
      <c r="D26" s="388"/>
      <c r="E26" s="388"/>
      <c r="F26" s="388"/>
      <c r="G26" s="388"/>
      <c r="H26" s="388"/>
      <c r="I26" s="388"/>
      <c r="J26" s="388"/>
      <c r="K26" s="388"/>
      <c r="L26" s="388"/>
      <c r="M26" s="388"/>
      <c r="N26" s="388"/>
      <c r="O26" s="388"/>
      <c r="P26" s="388"/>
      <c r="Q26" s="388"/>
      <c r="R26" s="388"/>
      <c r="S26" s="388"/>
      <c r="T26" s="424"/>
    </row>
    <row r="27" spans="1:20">
      <c r="A27" s="423"/>
      <c r="B27" s="388"/>
      <c r="C27" s="388"/>
      <c r="D27" s="388"/>
      <c r="E27" s="388"/>
      <c r="F27" s="388"/>
      <c r="G27" s="388"/>
      <c r="H27" s="388"/>
      <c r="I27" s="388"/>
      <c r="J27" s="388"/>
      <c r="K27" s="388"/>
      <c r="L27" s="388"/>
      <c r="M27" s="388"/>
      <c r="N27" s="388"/>
      <c r="O27" s="388"/>
      <c r="P27" s="388"/>
      <c r="Q27" s="388"/>
      <c r="R27" s="388"/>
      <c r="S27" s="388"/>
      <c r="T27" s="424"/>
    </row>
    <row r="28" spans="1:20" ht="13.5" thickBot="1">
      <c r="A28" s="425"/>
      <c r="B28" s="426"/>
      <c r="C28" s="426"/>
      <c r="D28" s="426"/>
      <c r="E28" s="426"/>
      <c r="F28" s="426"/>
      <c r="G28" s="426"/>
      <c r="H28" s="426"/>
      <c r="I28" s="426"/>
      <c r="J28" s="426"/>
      <c r="K28" s="426"/>
      <c r="L28" s="426"/>
      <c r="M28" s="426"/>
      <c r="N28" s="426"/>
      <c r="O28" s="426"/>
      <c r="P28" s="426"/>
      <c r="Q28" s="426"/>
      <c r="R28" s="426"/>
      <c r="S28" s="426"/>
      <c r="T28" s="427"/>
    </row>
    <row r="31" spans="1:20" ht="26.25" customHeight="1">
      <c r="A31" s="418" t="s">
        <v>835</v>
      </c>
      <c r="B31" s="340"/>
      <c r="C31" s="1393" t="s">
        <v>836</v>
      </c>
      <c r="D31" s="1393"/>
      <c r="E31" s="1393"/>
      <c r="F31" s="1393" t="s">
        <v>920</v>
      </c>
      <c r="G31" s="1393"/>
      <c r="H31" s="1393"/>
      <c r="I31" s="1580" t="s">
        <v>921</v>
      </c>
      <c r="J31" s="1404"/>
      <c r="K31" s="1404"/>
      <c r="L31" s="338" t="s">
        <v>839</v>
      </c>
      <c r="M31" s="1445" t="s">
        <v>840</v>
      </c>
      <c r="N31" s="1581"/>
      <c r="O31"/>
      <c r="P31"/>
    </row>
    <row r="32" spans="1:20">
      <c r="Q32" s="1262" t="s">
        <v>125</v>
      </c>
      <c r="R32" s="1262"/>
      <c r="S32" s="1262"/>
    </row>
    <row r="33" spans="1:2">
      <c r="A33" s="340" t="s">
        <v>922</v>
      </c>
      <c r="B33" s="389" t="s">
        <v>923</v>
      </c>
    </row>
    <row r="34" spans="1:2">
      <c r="B34" s="389" t="s">
        <v>924</v>
      </c>
    </row>
  </sheetData>
  <mergeCells count="30">
    <mergeCell ref="A1:T1"/>
    <mergeCell ref="A2:T2"/>
    <mergeCell ref="A4:T4"/>
    <mergeCell ref="A6:T6"/>
    <mergeCell ref="H12:H13"/>
    <mergeCell ref="N12:N13"/>
    <mergeCell ref="A11:A13"/>
    <mergeCell ref="B11:B13"/>
    <mergeCell ref="C11:C13"/>
    <mergeCell ref="C31:E31"/>
    <mergeCell ref="F31:H31"/>
    <mergeCell ref="I31:K31"/>
    <mergeCell ref="A15:T15"/>
    <mergeCell ref="O12:O13"/>
    <mergeCell ref="Q32:S32"/>
    <mergeCell ref="H11:S11"/>
    <mergeCell ref="T11:T13"/>
    <mergeCell ref="D12:D13"/>
    <mergeCell ref="E12:E13"/>
    <mergeCell ref="F12:F13"/>
    <mergeCell ref="Q12:Q13"/>
    <mergeCell ref="R12:R13"/>
    <mergeCell ref="S12:S13"/>
    <mergeCell ref="P12:P13"/>
    <mergeCell ref="D11:F11"/>
    <mergeCell ref="G11:G13"/>
    <mergeCell ref="M31:N31"/>
    <mergeCell ref="I12:I13"/>
    <mergeCell ref="J12:L12"/>
    <mergeCell ref="M12:M13"/>
  </mergeCells>
  <hyperlinks>
    <hyperlink ref="Q32" location="'TABLA DE CONTENIDO'!A1" display="VOLVER A TABLA DE CONTENIDO" xr:uid="{00000000-0004-0000-1300-000000000000}"/>
  </hyperlinks>
  <printOptions horizontalCentered="1" verticalCentered="1"/>
  <pageMargins left="0.25" right="0.25" top="0.98425196850393704" bottom="0.98425196850393704" header="0" footer="0"/>
  <pageSetup scale="55"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L31"/>
  <sheetViews>
    <sheetView workbookViewId="0">
      <selection activeCell="D20" sqref="D20"/>
    </sheetView>
  </sheetViews>
  <sheetFormatPr defaultColWidth="11.42578125" defaultRowHeight="12.75"/>
  <cols>
    <col min="1" max="1" width="14.7109375" style="389" customWidth="1"/>
    <col min="2" max="2" width="9.42578125" style="389" customWidth="1"/>
    <col min="3" max="3" width="14.7109375" style="389" customWidth="1"/>
    <col min="4" max="10" width="11.42578125" style="389"/>
    <col min="11" max="11" width="24.140625" style="389" customWidth="1"/>
    <col min="12" max="16384" width="11.42578125" style="389"/>
  </cols>
  <sheetData>
    <row r="1" spans="1:12" ht="23.25">
      <c r="A1" s="1259" t="s">
        <v>1</v>
      </c>
      <c r="B1" s="1259"/>
      <c r="C1" s="1259"/>
      <c r="D1" s="1259"/>
      <c r="E1" s="1259"/>
      <c r="F1" s="1259"/>
      <c r="G1" s="1259"/>
      <c r="H1" s="1259"/>
      <c r="I1" s="1259"/>
      <c r="J1" s="1259"/>
      <c r="K1" s="1259"/>
      <c r="L1" s="411"/>
    </row>
    <row r="2" spans="1:12" ht="18">
      <c r="A2" s="1260" t="s">
        <v>84</v>
      </c>
      <c r="B2" s="1260"/>
      <c r="C2" s="1260"/>
      <c r="D2" s="1260"/>
      <c r="E2" s="1260"/>
      <c r="F2" s="1260"/>
      <c r="G2" s="1260"/>
      <c r="H2" s="1260"/>
      <c r="I2" s="1260"/>
      <c r="J2" s="1260"/>
      <c r="K2" s="1260"/>
      <c r="L2" s="412"/>
    </row>
    <row r="3" spans="1:12" ht="18">
      <c r="A3" s="44"/>
      <c r="B3" s="45"/>
      <c r="C3" s="33"/>
      <c r="D3" s="33"/>
      <c r="E3" s="33"/>
      <c r="F3" s="33"/>
      <c r="G3" s="33"/>
      <c r="H3" s="33"/>
      <c r="I3" s="33"/>
      <c r="J3" s="33"/>
      <c r="K3" s="33"/>
      <c r="L3" s="33"/>
    </row>
    <row r="4" spans="1:12" ht="18">
      <c r="A4" s="1260" t="s">
        <v>925</v>
      </c>
      <c r="B4" s="1260"/>
      <c r="C4" s="1260"/>
      <c r="D4" s="1260"/>
      <c r="E4" s="1260"/>
      <c r="F4" s="1260"/>
      <c r="G4" s="1260"/>
      <c r="H4" s="1260"/>
      <c r="I4" s="1260"/>
      <c r="J4" s="1260"/>
      <c r="K4" s="1260"/>
      <c r="L4" s="412"/>
    </row>
    <row r="5" spans="1:12">
      <c r="A5" s="51"/>
      <c r="B5" s="51"/>
      <c r="C5" s="34"/>
      <c r="D5" s="34"/>
      <c r="E5" s="34"/>
      <c r="F5" s="34"/>
      <c r="G5" s="34"/>
      <c r="H5" s="34"/>
      <c r="I5" s="34"/>
      <c r="J5" s="34"/>
      <c r="K5" s="42"/>
      <c r="L5" s="34"/>
    </row>
    <row r="6" spans="1:12" ht="18">
      <c r="A6" s="1260" t="s">
        <v>926</v>
      </c>
      <c r="B6" s="1260"/>
      <c r="C6" s="1260"/>
      <c r="D6" s="1260"/>
      <c r="E6" s="1260"/>
      <c r="F6" s="1260"/>
      <c r="G6" s="1260"/>
      <c r="H6" s="1260"/>
      <c r="I6" s="1260"/>
      <c r="J6" s="1260"/>
      <c r="K6" s="1260"/>
      <c r="L6" s="412"/>
    </row>
    <row r="7" spans="1:12">
      <c r="A7" s="34"/>
      <c r="B7" s="34"/>
      <c r="C7" s="34"/>
      <c r="D7" s="34"/>
      <c r="E7" s="34"/>
      <c r="F7" s="34"/>
      <c r="G7" s="34"/>
      <c r="H7" s="34"/>
      <c r="I7" s="42"/>
      <c r="J7" s="42"/>
      <c r="K7" s="42"/>
      <c r="L7" s="42"/>
    </row>
    <row r="8" spans="1:12">
      <c r="A8" s="190" t="s">
        <v>129</v>
      </c>
      <c r="B8" s="34"/>
      <c r="C8" s="331" t="s">
        <v>88</v>
      </c>
      <c r="D8" s="331"/>
      <c r="E8" s="331"/>
      <c r="F8" s="331"/>
      <c r="G8" s="34"/>
      <c r="H8" s="188" t="s">
        <v>159</v>
      </c>
      <c r="I8" s="34"/>
      <c r="J8" s="331" t="s">
        <v>217</v>
      </c>
      <c r="K8" s="331"/>
      <c r="L8" s="34"/>
    </row>
    <row r="11" spans="1:12" s="385" customFormat="1" ht="11.25" customHeight="1">
      <c r="A11" s="1459" t="s">
        <v>104</v>
      </c>
      <c r="B11" s="1459" t="s">
        <v>105</v>
      </c>
      <c r="C11" s="1459" t="s">
        <v>927</v>
      </c>
      <c r="D11" s="1459" t="s">
        <v>904</v>
      </c>
      <c r="E11" s="1459"/>
      <c r="F11" s="1459"/>
      <c r="G11" s="1457" t="s">
        <v>850</v>
      </c>
      <c r="H11" s="1457" t="s">
        <v>928</v>
      </c>
      <c r="I11" s="1464" t="s">
        <v>929</v>
      </c>
      <c r="J11" s="1465"/>
      <c r="K11" s="1457" t="s">
        <v>111</v>
      </c>
      <c r="L11" s="1582"/>
    </row>
    <row r="12" spans="1:12" s="386" customFormat="1" ht="22.5" customHeight="1">
      <c r="A12" s="1459"/>
      <c r="B12" s="1459"/>
      <c r="C12" s="1459"/>
      <c r="D12" s="1459" t="s">
        <v>374</v>
      </c>
      <c r="E12" s="1459" t="s">
        <v>375</v>
      </c>
      <c r="F12" s="1459" t="s">
        <v>906</v>
      </c>
      <c r="G12" s="1457"/>
      <c r="H12" s="1457"/>
      <c r="I12" s="1466"/>
      <c r="J12" s="1467"/>
      <c r="K12" s="1457"/>
    </row>
    <row r="13" spans="1:12" s="387" customFormat="1" ht="11.25">
      <c r="A13" s="1459"/>
      <c r="B13" s="1459"/>
      <c r="C13" s="1459"/>
      <c r="D13" s="1459"/>
      <c r="E13" s="1459"/>
      <c r="F13" s="1459"/>
      <c r="G13" s="1457"/>
      <c r="H13" s="1457"/>
      <c r="I13" s="390" t="s">
        <v>854</v>
      </c>
      <c r="J13" s="390" t="s">
        <v>855</v>
      </c>
      <c r="K13" s="390" t="s">
        <v>557</v>
      </c>
    </row>
    <row r="14" spans="1:12" ht="19.5">
      <c r="A14" s="1461" t="s">
        <v>919</v>
      </c>
      <c r="B14" s="1462"/>
      <c r="C14" s="1462"/>
      <c r="D14" s="1462"/>
      <c r="E14" s="1462"/>
      <c r="F14" s="1462"/>
      <c r="G14" s="1462"/>
      <c r="H14" s="1462"/>
      <c r="I14" s="1462"/>
      <c r="J14" s="1462"/>
      <c r="K14" s="1463"/>
    </row>
    <row r="15" spans="1:12">
      <c r="A15" s="388"/>
      <c r="B15" s="388"/>
      <c r="C15" s="388"/>
      <c r="D15" s="388"/>
      <c r="E15" s="388"/>
      <c r="F15" s="388"/>
      <c r="G15" s="388"/>
      <c r="H15" s="388"/>
      <c r="I15" s="388"/>
      <c r="J15" s="388"/>
      <c r="K15" s="388"/>
    </row>
    <row r="16" spans="1:12">
      <c r="A16" s="388"/>
      <c r="B16" s="388"/>
      <c r="C16" s="388"/>
      <c r="D16" s="388"/>
      <c r="E16" s="388"/>
      <c r="F16" s="388"/>
      <c r="G16" s="388"/>
      <c r="H16" s="388"/>
      <c r="I16" s="388"/>
      <c r="J16" s="388"/>
      <c r="K16" s="388"/>
    </row>
    <row r="17" spans="1:11">
      <c r="A17" s="388"/>
      <c r="B17" s="388"/>
      <c r="C17" s="388"/>
      <c r="D17" s="388"/>
      <c r="E17" s="388"/>
      <c r="F17" s="388"/>
      <c r="G17" s="388"/>
      <c r="H17" s="388"/>
      <c r="I17" s="388"/>
      <c r="J17" s="388"/>
      <c r="K17" s="388"/>
    </row>
    <row r="18" spans="1:11">
      <c r="A18" s="388"/>
      <c r="B18" s="388"/>
      <c r="C18" s="388"/>
      <c r="D18" s="388"/>
      <c r="E18" s="388"/>
      <c r="F18" s="388"/>
      <c r="G18" s="388"/>
      <c r="H18" s="388"/>
      <c r="I18" s="388"/>
      <c r="J18" s="388"/>
      <c r="K18" s="388"/>
    </row>
    <row r="19" spans="1:11">
      <c r="A19" s="388"/>
      <c r="B19" s="388"/>
      <c r="C19" s="388"/>
      <c r="D19" s="388"/>
      <c r="E19" s="388"/>
      <c r="F19" s="388"/>
      <c r="G19" s="388"/>
      <c r="H19" s="388"/>
      <c r="I19" s="388"/>
      <c r="J19" s="388"/>
      <c r="K19" s="388"/>
    </row>
    <row r="20" spans="1:11">
      <c r="A20" s="388"/>
      <c r="B20" s="388"/>
      <c r="C20" s="388"/>
      <c r="D20" s="388"/>
      <c r="E20" s="388"/>
      <c r="F20" s="388"/>
      <c r="G20" s="388"/>
      <c r="H20" s="388"/>
      <c r="I20" s="388"/>
      <c r="J20" s="388"/>
      <c r="K20" s="388"/>
    </row>
    <row r="21" spans="1:11">
      <c r="A21" s="388"/>
      <c r="B21" s="388"/>
      <c r="C21" s="388"/>
      <c r="D21" s="388"/>
      <c r="E21" s="388"/>
      <c r="F21" s="388"/>
      <c r="G21" s="388"/>
      <c r="H21" s="388"/>
      <c r="I21" s="388"/>
      <c r="J21" s="388"/>
      <c r="K21" s="388"/>
    </row>
    <row r="22" spans="1:11">
      <c r="A22" s="388"/>
      <c r="B22" s="388"/>
      <c r="C22" s="388"/>
      <c r="D22" s="388"/>
      <c r="E22" s="388"/>
      <c r="F22" s="388"/>
      <c r="G22" s="388"/>
      <c r="H22" s="388"/>
      <c r="I22" s="388"/>
      <c r="J22" s="388"/>
      <c r="K22" s="388"/>
    </row>
    <row r="23" spans="1:11">
      <c r="A23" s="388"/>
      <c r="B23" s="388"/>
      <c r="C23" s="388"/>
      <c r="D23" s="388"/>
      <c r="E23" s="388"/>
      <c r="F23" s="388"/>
      <c r="G23" s="388"/>
      <c r="H23" s="388"/>
      <c r="I23" s="388"/>
      <c r="J23" s="388"/>
      <c r="K23" s="388"/>
    </row>
    <row r="24" spans="1:11">
      <c r="A24" s="388"/>
      <c r="B24" s="388"/>
      <c r="C24" s="388"/>
      <c r="D24" s="388"/>
      <c r="E24" s="388"/>
      <c r="F24" s="388"/>
      <c r="G24" s="388"/>
      <c r="H24" s="388"/>
      <c r="I24" s="388"/>
      <c r="J24" s="388"/>
      <c r="K24" s="388"/>
    </row>
    <row r="25" spans="1:11">
      <c r="A25" s="388"/>
      <c r="B25" s="388"/>
      <c r="C25" s="388"/>
      <c r="D25" s="388"/>
      <c r="E25" s="388"/>
      <c r="F25" s="388"/>
      <c r="G25" s="388"/>
      <c r="H25" s="388"/>
      <c r="I25" s="388"/>
      <c r="J25" s="388"/>
      <c r="K25" s="388"/>
    </row>
    <row r="26" spans="1:11">
      <c r="A26" s="388"/>
      <c r="B26" s="388"/>
      <c r="C26" s="388"/>
      <c r="D26" s="388"/>
      <c r="E26" s="388"/>
      <c r="F26" s="388"/>
      <c r="G26" s="388"/>
      <c r="H26" s="388"/>
      <c r="I26" s="388"/>
      <c r="J26" s="388"/>
      <c r="K26" s="388"/>
    </row>
    <row r="27" spans="1:11">
      <c r="A27" s="388"/>
      <c r="B27" s="388"/>
      <c r="C27" s="388"/>
      <c r="D27" s="388"/>
      <c r="E27" s="388"/>
      <c r="F27" s="388"/>
      <c r="G27" s="388"/>
      <c r="H27" s="388"/>
      <c r="I27" s="388"/>
      <c r="J27" s="388"/>
      <c r="K27" s="388"/>
    </row>
    <row r="28" spans="1:11">
      <c r="A28" s="388"/>
      <c r="B28" s="388"/>
      <c r="C28" s="388"/>
      <c r="D28" s="388"/>
      <c r="E28" s="388"/>
      <c r="F28" s="388"/>
      <c r="G28" s="388"/>
      <c r="H28" s="388"/>
      <c r="I28" s="388"/>
      <c r="J28" s="388"/>
      <c r="K28" s="388"/>
    </row>
    <row r="29" spans="1:11" ht="27" customHeight="1">
      <c r="A29" s="1460" t="s">
        <v>430</v>
      </c>
      <c r="B29" s="1460"/>
      <c r="C29" s="1460"/>
      <c r="D29" s="1460"/>
      <c r="E29" s="1460"/>
      <c r="F29" s="1460"/>
      <c r="G29" s="1460"/>
      <c r="H29" s="1460"/>
      <c r="I29" s="1460"/>
      <c r="J29" s="1460"/>
      <c r="K29" s="1460"/>
    </row>
    <row r="31" spans="1:11">
      <c r="J31" s="1458" t="s">
        <v>125</v>
      </c>
      <c r="K31" s="1458"/>
    </row>
  </sheetData>
  <mergeCells count="18">
    <mergeCell ref="C11:C13"/>
    <mergeCell ref="D11:F11"/>
    <mergeCell ref="G11:G13"/>
    <mergeCell ref="H11:H13"/>
    <mergeCell ref="J31:K31"/>
    <mergeCell ref="A1:K1"/>
    <mergeCell ref="A2:K2"/>
    <mergeCell ref="A4:K4"/>
    <mergeCell ref="A6:K6"/>
    <mergeCell ref="K11:K12"/>
    <mergeCell ref="D12:D13"/>
    <mergeCell ref="E12:E13"/>
    <mergeCell ref="F12:F13"/>
    <mergeCell ref="A29:K29"/>
    <mergeCell ref="A14:K14"/>
    <mergeCell ref="I11:J12"/>
    <mergeCell ref="A11:A13"/>
    <mergeCell ref="B11:B13"/>
  </mergeCells>
  <hyperlinks>
    <hyperlink ref="J31" location="'TABLA DE CONTENIDO'!A1" display="VOLVER A TABLA DE CONTENIDO" xr:uid="{00000000-0004-0000-1400-000000000000}"/>
  </hyperlinks>
  <printOptions horizontalCentered="1" verticalCentered="1"/>
  <pageMargins left="0.74803149606299213" right="0.74803149606299213" top="0.98425196850393704" bottom="0.98425196850393704" header="0" footer="0"/>
  <pageSetup scale="86"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AF43"/>
  <sheetViews>
    <sheetView zoomScaleNormal="100" workbookViewId="0">
      <selection activeCell="D20" sqref="D20"/>
    </sheetView>
  </sheetViews>
  <sheetFormatPr defaultColWidth="11.42578125" defaultRowHeight="12.75"/>
  <cols>
    <col min="1" max="1" width="7.42578125" customWidth="1"/>
    <col min="2" max="2" width="7.5703125" customWidth="1"/>
    <col min="3" max="3" width="7.28515625" customWidth="1"/>
    <col min="4" max="27" width="4.28515625" customWidth="1"/>
    <col min="28" max="28" width="6" customWidth="1"/>
    <col min="29" max="30" width="4.28515625" customWidth="1"/>
    <col min="31" max="31" width="6" customWidth="1"/>
  </cols>
  <sheetData>
    <row r="1" spans="1:31" ht="23.25">
      <c r="A1" s="1261" t="s">
        <v>1</v>
      </c>
      <c r="B1" s="1261"/>
      <c r="C1" s="1261"/>
      <c r="D1" s="1261"/>
      <c r="E1" s="1261"/>
      <c r="F1" s="1261"/>
      <c r="G1" s="1261"/>
      <c r="H1" s="1261"/>
      <c r="I1" s="1261"/>
      <c r="J1" s="1261"/>
      <c r="K1" s="1261"/>
      <c r="L1" s="1261"/>
      <c r="M1" s="1261"/>
      <c r="N1" s="1261"/>
      <c r="O1" s="1261"/>
      <c r="P1" s="1261"/>
      <c r="Q1" s="1261"/>
      <c r="R1" s="1261"/>
      <c r="S1" s="1261"/>
      <c r="T1" s="1261"/>
      <c r="U1" s="1261"/>
      <c r="V1" s="1261"/>
      <c r="W1" s="1261"/>
      <c r="X1" s="1261"/>
      <c r="Y1" s="1261"/>
      <c r="Z1" s="1261"/>
      <c r="AA1" s="1261"/>
      <c r="AB1" s="1261"/>
      <c r="AC1" s="1261"/>
      <c r="AD1" s="1261"/>
      <c r="AE1" s="1261"/>
    </row>
    <row r="2" spans="1:31" ht="26.25" customHeight="1">
      <c r="A2" s="1256" t="s">
        <v>930</v>
      </c>
      <c r="B2" s="1256"/>
      <c r="C2" s="1256"/>
      <c r="D2" s="1256"/>
      <c r="E2" s="1256"/>
      <c r="F2" s="1256"/>
      <c r="G2" s="1256"/>
      <c r="H2" s="1256"/>
      <c r="I2" s="1256"/>
      <c r="J2" s="1256"/>
      <c r="K2" s="1256"/>
      <c r="L2" s="1256"/>
      <c r="M2" s="1256"/>
      <c r="N2" s="1256"/>
      <c r="O2" s="1256"/>
      <c r="P2" s="1256"/>
      <c r="Q2" s="1256"/>
      <c r="R2" s="1256"/>
      <c r="S2" s="1256"/>
      <c r="T2" s="1256"/>
      <c r="U2" s="1256"/>
      <c r="V2" s="1256"/>
      <c r="W2" s="1256"/>
      <c r="X2" s="1256"/>
      <c r="Y2" s="1256"/>
      <c r="Z2" s="1256"/>
      <c r="AA2" s="1256"/>
      <c r="AB2" s="1256"/>
      <c r="AC2" s="1256"/>
      <c r="AD2" s="1256"/>
      <c r="AE2" s="1256"/>
    </row>
    <row r="3" spans="1:31" ht="26.25" customHeight="1">
      <c r="A3" s="1256" t="s">
        <v>931</v>
      </c>
      <c r="B3" s="1256"/>
      <c r="C3" s="1256"/>
      <c r="D3" s="1256"/>
      <c r="E3" s="1256"/>
      <c r="F3" s="1256"/>
      <c r="G3" s="1256"/>
      <c r="H3" s="1256"/>
      <c r="I3" s="1256"/>
      <c r="J3" s="1256"/>
      <c r="K3" s="1256"/>
      <c r="L3" s="1256"/>
      <c r="M3" s="1256"/>
      <c r="N3" s="1256"/>
      <c r="O3" s="1256"/>
      <c r="P3" s="1256"/>
      <c r="Q3" s="1256"/>
      <c r="R3" s="1256"/>
      <c r="S3" s="1256"/>
      <c r="T3" s="1256"/>
      <c r="U3" s="1256"/>
      <c r="V3" s="1256"/>
      <c r="W3" s="1256"/>
      <c r="X3" s="1256"/>
      <c r="Y3" s="1256"/>
      <c r="Z3" s="1256"/>
      <c r="AA3" s="1256"/>
      <c r="AB3" s="1256"/>
      <c r="AC3" s="1256"/>
      <c r="AD3" s="1256"/>
      <c r="AE3" s="1256"/>
    </row>
    <row r="4" spans="1:31" ht="22.5" customHeight="1">
      <c r="A4" s="1256" t="s">
        <v>932</v>
      </c>
      <c r="B4" s="1256"/>
      <c r="C4" s="1256"/>
      <c r="D4" s="1256"/>
      <c r="E4" s="1256"/>
      <c r="F4" s="1256"/>
      <c r="G4" s="1256"/>
      <c r="H4" s="1256"/>
      <c r="I4" s="1256"/>
      <c r="J4" s="1256"/>
      <c r="K4" s="1256"/>
      <c r="L4" s="1256"/>
      <c r="M4" s="1256"/>
      <c r="N4" s="1256"/>
      <c r="O4" s="1256"/>
      <c r="P4" s="1256"/>
      <c r="Q4" s="1256"/>
      <c r="R4" s="1256"/>
      <c r="S4" s="1256"/>
      <c r="T4" s="1256"/>
      <c r="U4" s="1256"/>
      <c r="V4" s="1256"/>
      <c r="W4" s="1256"/>
      <c r="X4" s="1256"/>
      <c r="Y4" s="1256"/>
      <c r="Z4" s="1256"/>
      <c r="AA4" s="1256"/>
      <c r="AB4" s="1256"/>
      <c r="AC4" s="1256"/>
      <c r="AD4" s="1256"/>
      <c r="AE4" s="1256"/>
    </row>
    <row r="5" spans="1:31" ht="15.75">
      <c r="A5" s="194"/>
      <c r="B5" s="194"/>
      <c r="C5" s="194"/>
      <c r="D5" s="194"/>
      <c r="E5" s="194"/>
      <c r="F5" s="194"/>
      <c r="G5" s="194"/>
      <c r="H5" s="194"/>
      <c r="I5" s="194"/>
      <c r="J5" s="194"/>
      <c r="K5" s="194"/>
      <c r="L5" s="194"/>
      <c r="M5" s="194"/>
      <c r="N5" s="194"/>
      <c r="O5" s="194"/>
      <c r="P5" s="194"/>
      <c r="Q5" s="194"/>
      <c r="R5" s="194"/>
    </row>
    <row r="6" spans="1:31" ht="15.75">
      <c r="A6" s="195" t="s">
        <v>933</v>
      </c>
      <c r="B6" s="345">
        <v>56</v>
      </c>
      <c r="C6" s="345"/>
      <c r="D6" s="345"/>
      <c r="E6" s="345"/>
      <c r="F6" s="345"/>
      <c r="G6" s="345"/>
      <c r="H6" s="345"/>
      <c r="I6" s="345"/>
      <c r="J6" s="345"/>
      <c r="K6" s="345"/>
      <c r="L6" s="345"/>
      <c r="M6" s="345"/>
      <c r="N6" s="345"/>
      <c r="O6" s="345"/>
      <c r="P6" s="345"/>
      <c r="Q6" s="300"/>
      <c r="R6" s="195" t="s">
        <v>934</v>
      </c>
      <c r="S6" s="300"/>
      <c r="T6" s="345"/>
      <c r="U6" s="345">
        <v>1</v>
      </c>
      <c r="V6" s="345"/>
      <c r="W6" s="345"/>
      <c r="X6" s="345"/>
      <c r="Y6" s="345"/>
      <c r="Z6" s="345"/>
      <c r="AA6" s="345"/>
      <c r="AB6" s="345"/>
      <c r="AC6" s="345"/>
      <c r="AD6" s="300"/>
      <c r="AE6" s="300"/>
    </row>
    <row r="7" spans="1:31" s="184" customFormat="1" ht="16.5" thickBot="1">
      <c r="A7" s="195"/>
      <c r="B7" s="195"/>
      <c r="C7" s="195"/>
      <c r="D7" s="195"/>
      <c r="E7" s="195"/>
      <c r="F7" s="195"/>
      <c r="G7" s="195"/>
      <c r="H7" s="195"/>
      <c r="I7" s="195"/>
      <c r="J7" s="195"/>
      <c r="K7" s="195"/>
      <c r="L7" s="195"/>
      <c r="M7" s="195"/>
      <c r="N7" s="195"/>
      <c r="O7" s="195"/>
      <c r="P7" s="195"/>
      <c r="Q7" s="195"/>
      <c r="R7" s="195"/>
    </row>
    <row r="8" spans="1:31" s="344" customFormat="1" ht="22.5" customHeight="1" thickBot="1">
      <c r="D8" s="1476" t="s">
        <v>935</v>
      </c>
      <c r="E8" s="1477"/>
      <c r="F8" s="1477"/>
      <c r="G8" s="1478"/>
      <c r="H8" s="1476" t="s">
        <v>936</v>
      </c>
      <c r="I8" s="1477"/>
      <c r="J8" s="1477"/>
      <c r="K8" s="1478"/>
      <c r="L8" s="1476" t="s">
        <v>937</v>
      </c>
      <c r="M8" s="1477"/>
      <c r="N8" s="1477"/>
      <c r="O8" s="1478"/>
      <c r="P8" s="1476" t="s">
        <v>938</v>
      </c>
      <c r="Q8" s="1477"/>
      <c r="R8" s="1477"/>
      <c r="S8" s="1478"/>
      <c r="T8" s="1479" t="s">
        <v>939</v>
      </c>
      <c r="U8" s="1480"/>
      <c r="V8" s="1480"/>
      <c r="W8" s="1481"/>
      <c r="X8" s="1479" t="s">
        <v>940</v>
      </c>
      <c r="Y8" s="1480"/>
      <c r="Z8" s="1480"/>
      <c r="AA8" s="1481"/>
      <c r="AB8" s="1476" t="s">
        <v>941</v>
      </c>
      <c r="AC8" s="1477"/>
      <c r="AD8" s="1477"/>
      <c r="AE8" s="1478"/>
    </row>
    <row r="9" spans="1:31">
      <c r="A9" s="1485" t="s">
        <v>942</v>
      </c>
      <c r="B9" s="1487" t="s">
        <v>943</v>
      </c>
      <c r="C9" s="1468" t="s">
        <v>944</v>
      </c>
      <c r="D9" s="348" t="s">
        <v>171</v>
      </c>
      <c r="E9" s="346" t="s">
        <v>169</v>
      </c>
      <c r="F9" s="346" t="s">
        <v>174</v>
      </c>
      <c r="G9" s="349" t="s">
        <v>945</v>
      </c>
      <c r="H9" s="348" t="s">
        <v>171</v>
      </c>
      <c r="I9" s="346" t="s">
        <v>169</v>
      </c>
      <c r="J9" s="346" t="s">
        <v>174</v>
      </c>
      <c r="K9" s="349" t="s">
        <v>945</v>
      </c>
      <c r="L9" s="348" t="s">
        <v>171</v>
      </c>
      <c r="M9" s="346" t="s">
        <v>169</v>
      </c>
      <c r="N9" s="346" t="s">
        <v>174</v>
      </c>
      <c r="O9" s="349" t="s">
        <v>945</v>
      </c>
      <c r="P9" s="348" t="s">
        <v>171</v>
      </c>
      <c r="Q9" s="346" t="s">
        <v>169</v>
      </c>
      <c r="R9" s="346" t="s">
        <v>174</v>
      </c>
      <c r="S9" s="349" t="s">
        <v>945</v>
      </c>
      <c r="T9" s="348" t="s">
        <v>171</v>
      </c>
      <c r="U9" s="346" t="s">
        <v>169</v>
      </c>
      <c r="V9" s="346" t="s">
        <v>174</v>
      </c>
      <c r="W9" s="349" t="s">
        <v>945</v>
      </c>
      <c r="X9" s="348" t="s">
        <v>171</v>
      </c>
      <c r="Y9" s="346" t="s">
        <v>169</v>
      </c>
      <c r="Z9" s="346" t="s">
        <v>174</v>
      </c>
      <c r="AA9" s="349" t="s">
        <v>945</v>
      </c>
      <c r="AB9" s="348" t="s">
        <v>171</v>
      </c>
      <c r="AC9" s="346" t="s">
        <v>169</v>
      </c>
      <c r="AD9" s="346" t="s">
        <v>174</v>
      </c>
      <c r="AE9" s="349" t="s">
        <v>945</v>
      </c>
    </row>
    <row r="10" spans="1:31" s="154" customFormat="1">
      <c r="A10" s="1486"/>
      <c r="B10" s="1488"/>
      <c r="C10" s="1469"/>
      <c r="D10" s="1583" t="s">
        <v>946</v>
      </c>
      <c r="E10" s="1584" t="s">
        <v>946</v>
      </c>
      <c r="F10" s="1584" t="s">
        <v>946</v>
      </c>
      <c r="G10" s="1585" t="s">
        <v>946</v>
      </c>
      <c r="H10" s="1583" t="s">
        <v>946</v>
      </c>
      <c r="I10" s="1584" t="s">
        <v>946</v>
      </c>
      <c r="J10" s="1584" t="s">
        <v>946</v>
      </c>
      <c r="K10" s="1585" t="s">
        <v>946</v>
      </c>
      <c r="L10" s="1583" t="s">
        <v>946</v>
      </c>
      <c r="M10" s="1584" t="s">
        <v>946</v>
      </c>
      <c r="N10" s="1584" t="s">
        <v>946</v>
      </c>
      <c r="O10" s="1585" t="s">
        <v>946</v>
      </c>
      <c r="P10" s="1583" t="s">
        <v>946</v>
      </c>
      <c r="Q10" s="1584" t="s">
        <v>946</v>
      </c>
      <c r="R10" s="1584" t="s">
        <v>946</v>
      </c>
      <c r="S10" s="1585" t="s">
        <v>946</v>
      </c>
      <c r="T10" s="1583" t="s">
        <v>946</v>
      </c>
      <c r="U10" s="1584" t="s">
        <v>946</v>
      </c>
      <c r="V10" s="1584" t="s">
        <v>946</v>
      </c>
      <c r="W10" s="1585" t="s">
        <v>946</v>
      </c>
      <c r="X10" s="1583" t="s">
        <v>946</v>
      </c>
      <c r="Y10" s="1584" t="s">
        <v>946</v>
      </c>
      <c r="Z10" s="1584" t="s">
        <v>946</v>
      </c>
      <c r="AA10" s="1585" t="s">
        <v>946</v>
      </c>
      <c r="AB10" s="1583" t="s">
        <v>947</v>
      </c>
      <c r="AC10" s="1584" t="s">
        <v>947</v>
      </c>
      <c r="AD10" s="1584" t="s">
        <v>947</v>
      </c>
      <c r="AE10" s="1585" t="s">
        <v>947</v>
      </c>
    </row>
    <row r="11" spans="1:31">
      <c r="A11" s="350" t="s">
        <v>736</v>
      </c>
      <c r="B11" s="347" t="s">
        <v>737</v>
      </c>
      <c r="C11" s="351" t="s">
        <v>738</v>
      </c>
      <c r="D11" s="350" t="s">
        <v>948</v>
      </c>
      <c r="E11" s="347" t="s">
        <v>949</v>
      </c>
      <c r="F11" s="347" t="s">
        <v>950</v>
      </c>
      <c r="G11" s="351" t="s">
        <v>756</v>
      </c>
      <c r="H11" s="350" t="s">
        <v>951</v>
      </c>
      <c r="I11" s="347" t="s">
        <v>952</v>
      </c>
      <c r="J11" s="347" t="s">
        <v>953</v>
      </c>
      <c r="K11" s="351" t="s">
        <v>954</v>
      </c>
      <c r="L11" s="350" t="s">
        <v>955</v>
      </c>
      <c r="M11" s="347" t="s">
        <v>956</v>
      </c>
      <c r="N11" s="347" t="s">
        <v>957</v>
      </c>
      <c r="O11" s="351" t="s">
        <v>958</v>
      </c>
      <c r="P11" s="350" t="s">
        <v>959</v>
      </c>
      <c r="Q11" s="347" t="s">
        <v>960</v>
      </c>
      <c r="R11" s="347" t="s">
        <v>961</v>
      </c>
      <c r="S11" s="351" t="s">
        <v>962</v>
      </c>
      <c r="T11" s="350" t="s">
        <v>963</v>
      </c>
      <c r="U11" s="347" t="s">
        <v>964</v>
      </c>
      <c r="V11" s="347" t="s">
        <v>965</v>
      </c>
      <c r="W11" s="351" t="s">
        <v>966</v>
      </c>
      <c r="X11" s="350" t="s">
        <v>967</v>
      </c>
      <c r="Y11" s="347" t="s">
        <v>968</v>
      </c>
      <c r="Z11" s="347" t="s">
        <v>969</v>
      </c>
      <c r="AA11" s="351" t="s">
        <v>970</v>
      </c>
      <c r="AB11" s="350" t="s">
        <v>971</v>
      </c>
      <c r="AC11" s="347" t="s">
        <v>972</v>
      </c>
      <c r="AD11" s="347" t="s">
        <v>973</v>
      </c>
      <c r="AE11" s="351" t="s">
        <v>974</v>
      </c>
    </row>
    <row r="12" spans="1:31">
      <c r="A12" s="91"/>
      <c r="B12" s="6"/>
      <c r="C12" s="23"/>
      <c r="D12" s="91"/>
      <c r="E12" s="6"/>
      <c r="F12" s="6"/>
      <c r="G12" s="23"/>
      <c r="H12" s="91"/>
      <c r="I12" s="6"/>
      <c r="J12" s="6"/>
      <c r="K12" s="23"/>
      <c r="L12" s="91"/>
      <c r="M12" s="6"/>
      <c r="N12" s="6"/>
      <c r="O12" s="23"/>
      <c r="P12" s="91"/>
      <c r="Q12" s="6"/>
      <c r="R12" s="6"/>
      <c r="S12" s="23"/>
      <c r="T12" s="91"/>
      <c r="U12" s="6"/>
      <c r="V12" s="6"/>
      <c r="W12" s="23"/>
      <c r="X12" s="91"/>
      <c r="Y12" s="6"/>
      <c r="Z12" s="6"/>
      <c r="AA12" s="23"/>
      <c r="AB12" s="91"/>
      <c r="AC12" s="6"/>
      <c r="AD12" s="6"/>
      <c r="AE12" s="23"/>
    </row>
    <row r="13" spans="1:31">
      <c r="A13" s="1024">
        <v>56</v>
      </c>
      <c r="B13" s="466" t="s">
        <v>186</v>
      </c>
      <c r="C13" s="1025">
        <v>53.74</v>
      </c>
      <c r="D13" s="1026">
        <v>723</v>
      </c>
      <c r="E13" s="895">
        <v>68</v>
      </c>
      <c r="F13" s="895">
        <v>19</v>
      </c>
      <c r="G13" s="1027">
        <v>234</v>
      </c>
      <c r="H13" s="1026">
        <v>0</v>
      </c>
      <c r="I13" s="895">
        <v>0</v>
      </c>
      <c r="J13" s="895">
        <v>0</v>
      </c>
      <c r="K13" s="1027">
        <v>0</v>
      </c>
      <c r="L13" s="1028">
        <v>1</v>
      </c>
      <c r="M13" s="895">
        <v>0</v>
      </c>
      <c r="N13" s="895">
        <v>1</v>
      </c>
      <c r="O13" s="1027">
        <v>0</v>
      </c>
      <c r="P13" s="1028">
        <v>6</v>
      </c>
      <c r="Q13" s="895">
        <v>0</v>
      </c>
      <c r="R13" s="895">
        <v>1</v>
      </c>
      <c r="S13" s="1027">
        <f>6+2-6</f>
        <v>2</v>
      </c>
      <c r="T13" s="1028">
        <v>512</v>
      </c>
      <c r="U13" s="895">
        <v>2</v>
      </c>
      <c r="V13" s="895">
        <v>0</v>
      </c>
      <c r="W13" s="1029">
        <f>314*2+6</f>
        <v>634</v>
      </c>
      <c r="X13" s="1028">
        <v>54</v>
      </c>
      <c r="Y13" s="895">
        <v>1</v>
      </c>
      <c r="Z13" s="895">
        <v>0</v>
      </c>
      <c r="AA13" s="1030">
        <v>0</v>
      </c>
      <c r="AB13" s="1028">
        <v>3261</v>
      </c>
      <c r="AC13" s="895">
        <v>84</v>
      </c>
      <c r="AD13" s="1030">
        <v>4</v>
      </c>
      <c r="AE13" s="1027">
        <f>6184+20*4</f>
        <v>6264</v>
      </c>
    </row>
    <row r="14" spans="1:31">
      <c r="A14" s="91"/>
      <c r="B14" s="6"/>
      <c r="C14" s="23"/>
      <c r="D14" s="91"/>
      <c r="E14" s="6"/>
      <c r="F14" s="6"/>
      <c r="G14" s="23"/>
      <c r="H14" s="91"/>
      <c r="I14" s="6"/>
      <c r="J14" s="6"/>
      <c r="K14" s="23"/>
      <c r="L14" s="91"/>
      <c r="M14" s="6"/>
      <c r="N14" s="6"/>
      <c r="O14" s="23"/>
      <c r="P14" s="91"/>
      <c r="Q14" s="6"/>
      <c r="R14" s="6"/>
      <c r="S14" s="23"/>
      <c r="T14" s="91"/>
      <c r="U14" s="6"/>
      <c r="V14" s="6"/>
      <c r="W14" s="23"/>
      <c r="X14" s="91"/>
      <c r="Y14" s="6"/>
      <c r="Z14" s="6"/>
      <c r="AA14" s="23"/>
      <c r="AB14" s="91"/>
      <c r="AC14" s="6"/>
      <c r="AD14" s="6"/>
      <c r="AE14" s="23"/>
    </row>
    <row r="15" spans="1:31">
      <c r="A15" s="91"/>
      <c r="B15" s="6"/>
      <c r="C15" s="23"/>
      <c r="D15" s="91"/>
      <c r="E15" s="6"/>
      <c r="F15" s="6"/>
      <c r="G15" s="23"/>
      <c r="H15" s="91"/>
      <c r="I15" s="6"/>
      <c r="J15" s="6"/>
      <c r="K15" s="23"/>
      <c r="L15" s="91"/>
      <c r="M15" s="6"/>
      <c r="N15" s="6"/>
      <c r="O15" s="23"/>
      <c r="P15" s="91"/>
      <c r="Q15" s="6"/>
      <c r="R15" s="6"/>
      <c r="S15" s="23"/>
      <c r="T15" s="91"/>
      <c r="U15" s="6"/>
      <c r="V15" s="6"/>
      <c r="W15" s="23"/>
      <c r="X15" s="91"/>
      <c r="Y15" s="6"/>
      <c r="Z15" s="6"/>
      <c r="AA15" s="23"/>
      <c r="AB15" s="91"/>
      <c r="AC15" s="6"/>
      <c r="AD15" s="6"/>
      <c r="AE15" s="23"/>
    </row>
    <row r="16" spans="1:31">
      <c r="A16" s="91"/>
      <c r="B16" s="6"/>
      <c r="C16" s="23"/>
      <c r="D16" s="91"/>
      <c r="E16" s="6"/>
      <c r="F16" s="6"/>
      <c r="G16" s="23"/>
      <c r="H16" s="91"/>
      <c r="I16" s="6"/>
      <c r="J16" s="6"/>
      <c r="K16" s="23"/>
      <c r="L16" s="91"/>
      <c r="M16" s="6"/>
      <c r="N16" s="6"/>
      <c r="O16" s="23"/>
      <c r="P16" s="91"/>
      <c r="Q16" s="6"/>
      <c r="R16" s="6"/>
      <c r="S16" s="23"/>
      <c r="T16" s="91"/>
      <c r="U16" s="6"/>
      <c r="V16" s="6"/>
      <c r="W16" s="23"/>
      <c r="X16" s="91"/>
      <c r="Y16" s="6"/>
      <c r="Z16" s="6"/>
      <c r="AA16" s="23"/>
      <c r="AB16" s="91"/>
      <c r="AC16" s="6"/>
      <c r="AD16" s="6"/>
      <c r="AE16" s="23"/>
    </row>
    <row r="17" spans="1:32">
      <c r="A17" s="91"/>
      <c r="B17" s="6"/>
      <c r="C17" s="23"/>
      <c r="D17" s="91"/>
      <c r="E17" s="6"/>
      <c r="F17" s="6"/>
      <c r="G17" s="23"/>
      <c r="H17" s="91"/>
      <c r="I17" s="6"/>
      <c r="J17" s="6"/>
      <c r="K17" s="23"/>
      <c r="L17" s="91"/>
      <c r="M17" s="6"/>
      <c r="N17" s="6"/>
      <c r="O17" s="23"/>
      <c r="P17" s="91"/>
      <c r="Q17" s="6"/>
      <c r="R17" s="6"/>
      <c r="S17" s="23"/>
      <c r="T17" s="91"/>
      <c r="U17" s="6"/>
      <c r="V17" s="6"/>
      <c r="W17" s="23"/>
      <c r="X17" s="91"/>
      <c r="Y17" s="6"/>
      <c r="Z17" s="6"/>
      <c r="AA17" s="23"/>
      <c r="AB17" s="91"/>
      <c r="AC17" s="6"/>
      <c r="AD17" s="6"/>
      <c r="AE17" s="23"/>
    </row>
    <row r="18" spans="1:32">
      <c r="A18" s="91"/>
      <c r="B18" s="6"/>
      <c r="C18" s="23"/>
      <c r="D18" s="91"/>
      <c r="E18" s="6"/>
      <c r="F18" s="6"/>
      <c r="G18" s="23"/>
      <c r="H18" s="91"/>
      <c r="I18" s="6"/>
      <c r="J18" s="6"/>
      <c r="K18" s="23"/>
      <c r="L18" s="91"/>
      <c r="M18" s="6"/>
      <c r="N18" s="6"/>
      <c r="O18" s="23"/>
      <c r="P18" s="91"/>
      <c r="Q18" s="6"/>
      <c r="R18" s="6"/>
      <c r="S18" s="23"/>
      <c r="T18" s="91"/>
      <c r="U18" s="6"/>
      <c r="V18" s="6"/>
      <c r="W18" s="23"/>
      <c r="X18" s="91"/>
      <c r="Y18" s="6"/>
      <c r="Z18" s="6"/>
      <c r="AA18" s="23"/>
      <c r="AB18" s="91"/>
      <c r="AC18" s="6"/>
      <c r="AD18" s="6"/>
      <c r="AE18" s="23"/>
    </row>
    <row r="19" spans="1:32" ht="13.5" thickBot="1">
      <c r="A19" s="1482" t="s">
        <v>975</v>
      </c>
      <c r="B19" s="1483"/>
      <c r="C19" s="1484"/>
      <c r="D19" s="143"/>
      <c r="E19" s="138"/>
      <c r="F19" s="138"/>
      <c r="G19" s="108"/>
      <c r="H19" s="143"/>
      <c r="I19" s="138"/>
      <c r="J19" s="138"/>
      <c r="K19" s="108"/>
      <c r="L19" s="143"/>
      <c r="M19" s="138"/>
      <c r="N19" s="138"/>
      <c r="O19" s="108"/>
      <c r="P19" s="143"/>
      <c r="Q19" s="138"/>
      <c r="R19" s="138"/>
      <c r="S19" s="108"/>
      <c r="T19" s="143"/>
      <c r="U19" s="138"/>
      <c r="V19" s="138"/>
      <c r="W19" s="108"/>
      <c r="X19" s="143"/>
      <c r="Y19" s="138"/>
      <c r="Z19" s="138"/>
      <c r="AA19" s="108"/>
      <c r="AB19" s="143"/>
      <c r="AC19" s="138"/>
      <c r="AD19" s="138"/>
      <c r="AE19" s="108"/>
    </row>
    <row r="20" spans="1:32" ht="13.5" thickBot="1">
      <c r="A20" s="311"/>
      <c r="B20" s="311"/>
      <c r="C20" s="311"/>
    </row>
    <row r="21" spans="1:32">
      <c r="A21" s="1470" t="s">
        <v>976</v>
      </c>
      <c r="B21" s="1471"/>
      <c r="C21" s="1471"/>
      <c r="D21" s="1471"/>
      <c r="E21" s="1471"/>
      <c r="F21" s="1471"/>
      <c r="G21" s="1472"/>
    </row>
    <row r="22" spans="1:32" ht="13.5" thickBot="1">
      <c r="A22" s="1473"/>
      <c r="B22" s="1474"/>
      <c r="C22" s="1474"/>
      <c r="D22" s="1474"/>
      <c r="E22" s="1474"/>
      <c r="F22" s="1474"/>
      <c r="G22" s="1475"/>
      <c r="H22" s="207"/>
      <c r="I22" s="207"/>
      <c r="J22" s="207"/>
      <c r="K22" s="207"/>
      <c r="L22" s="207"/>
      <c r="M22" s="207"/>
      <c r="N22" s="207"/>
      <c r="O22" s="207"/>
      <c r="P22" s="207"/>
      <c r="Q22" s="207"/>
      <c r="R22" s="207"/>
      <c r="S22" s="207"/>
    </row>
    <row r="23" spans="1:32">
      <c r="A23" s="1586" t="s">
        <v>977</v>
      </c>
      <c r="B23" s="1587"/>
      <c r="C23" s="1587"/>
      <c r="D23" s="1587"/>
      <c r="E23" s="1587"/>
      <c r="F23" s="3"/>
      <c r="G23" s="3"/>
      <c r="H23" s="14"/>
      <c r="I23" s="14"/>
      <c r="J23" s="14"/>
      <c r="K23" s="14"/>
      <c r="L23" s="14"/>
      <c r="M23" s="14"/>
      <c r="N23" s="14"/>
      <c r="O23" s="14"/>
      <c r="P23" s="14"/>
      <c r="Q23" s="14"/>
      <c r="R23" s="14"/>
      <c r="S23" s="14"/>
      <c r="T23" s="14"/>
      <c r="U23" s="14"/>
      <c r="V23" s="14"/>
      <c r="W23" s="14"/>
      <c r="X23" s="14"/>
      <c r="Y23" s="14"/>
      <c r="Z23" s="14"/>
      <c r="AA23" s="14"/>
      <c r="AB23" s="14"/>
      <c r="AC23" s="14"/>
      <c r="AD23" s="14"/>
      <c r="AE23" s="5"/>
    </row>
    <row r="24" spans="1:32">
      <c r="A24" s="1588" t="s">
        <v>978</v>
      </c>
      <c r="B24" s="1589"/>
      <c r="C24" s="1589"/>
      <c r="D24" s="1589"/>
      <c r="E24" s="1589"/>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13"/>
    </row>
    <row r="25" spans="1:32">
      <c r="A25" s="1588" t="s">
        <v>979</v>
      </c>
      <c r="B25" s="1589"/>
      <c r="C25" s="1589"/>
      <c r="D25" s="1589"/>
      <c r="E25" s="1589"/>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13"/>
    </row>
    <row r="26" spans="1:32">
      <c r="A26" s="1588" t="s">
        <v>980</v>
      </c>
      <c r="B26" s="1589"/>
      <c r="C26" s="1589"/>
      <c r="D26" s="1589"/>
      <c r="E26" s="1589"/>
      <c r="F26" s="1589"/>
      <c r="G26" s="1589"/>
      <c r="H26" s="1589"/>
      <c r="I26" s="1589"/>
      <c r="J26" s="1589"/>
      <c r="K26" s="1589"/>
      <c r="L26" s="1589"/>
      <c r="M26" s="1589"/>
      <c r="N26" s="1589"/>
      <c r="O26" s="1589"/>
      <c r="P26" s="1589"/>
      <c r="Q26" s="1589"/>
      <c r="R26" s="1589"/>
      <c r="S26" s="1589"/>
      <c r="T26" s="1589"/>
      <c r="U26" s="1589"/>
      <c r="V26" s="1589"/>
      <c r="W26" s="1589"/>
      <c r="X26" s="1589"/>
      <c r="Y26" s="1589"/>
      <c r="Z26" s="1589"/>
      <c r="AA26" s="1589"/>
      <c r="AB26" s="1589"/>
      <c r="AC26" s="1589"/>
      <c r="AD26" s="1589"/>
      <c r="AE26" s="1590"/>
      <c r="AF26" s="104"/>
    </row>
    <row r="27" spans="1:32">
      <c r="A27" s="1591" t="s">
        <v>981</v>
      </c>
      <c r="B27" s="104"/>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592"/>
      <c r="AF27" s="104"/>
    </row>
    <row r="28" spans="1:32">
      <c r="A28" s="1588" t="s">
        <v>982</v>
      </c>
      <c r="B28" s="1589"/>
      <c r="C28" s="1589"/>
      <c r="D28" s="1589"/>
      <c r="E28" s="1589"/>
      <c r="F28" s="1589"/>
      <c r="G28" s="1589"/>
      <c r="H28" s="1589"/>
      <c r="I28" s="1589"/>
      <c r="J28" s="1589"/>
      <c r="K28" s="1589"/>
      <c r="L28" s="1589"/>
      <c r="M28" s="1589"/>
      <c r="N28" s="1589"/>
      <c r="O28" s="1589"/>
      <c r="P28" s="1589"/>
      <c r="Q28" s="1589"/>
      <c r="R28" s="1589"/>
      <c r="S28" s="1589"/>
      <c r="T28" s="1589"/>
      <c r="U28" s="1589"/>
      <c r="V28" s="1589"/>
      <c r="W28" s="1589"/>
      <c r="X28" s="1589"/>
      <c r="Y28" s="1589"/>
      <c r="Z28" s="1589"/>
      <c r="AA28" s="1589"/>
      <c r="AB28" s="1589"/>
      <c r="AC28" s="1589"/>
      <c r="AD28" s="1589"/>
      <c r="AE28" s="1590"/>
      <c r="AF28" s="104"/>
    </row>
    <row r="29" spans="1:32">
      <c r="A29" s="1591" t="s">
        <v>983</v>
      </c>
      <c r="B29" s="104"/>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592"/>
      <c r="AF29" s="104"/>
    </row>
    <row r="30" spans="1:32">
      <c r="A30" s="1588" t="s">
        <v>984</v>
      </c>
      <c r="B30" s="1589"/>
      <c r="C30" s="1589"/>
      <c r="D30" s="1589"/>
      <c r="E30" s="1589"/>
      <c r="F30" s="1589"/>
      <c r="G30" s="1589"/>
      <c r="H30" s="1589"/>
      <c r="I30" s="1589"/>
      <c r="J30" s="1589"/>
      <c r="K30" s="1589"/>
      <c r="L30" s="1589"/>
      <c r="M30" s="1589"/>
      <c r="N30" s="1589"/>
      <c r="O30" s="1589"/>
      <c r="P30" s="1589"/>
      <c r="Q30" s="1589"/>
      <c r="R30" s="1589"/>
      <c r="S30" s="1589"/>
      <c r="T30" s="1589"/>
      <c r="U30" s="1589"/>
      <c r="V30" s="1589"/>
      <c r="W30" s="1589"/>
      <c r="X30" s="1589"/>
      <c r="Y30" s="1589"/>
      <c r="Z30" s="1589"/>
      <c r="AA30" s="1589"/>
      <c r="AB30" s="1589"/>
      <c r="AC30" s="1589"/>
      <c r="AD30" s="1589"/>
      <c r="AE30" s="1590"/>
      <c r="AF30" s="104"/>
    </row>
    <row r="31" spans="1:32">
      <c r="A31" s="1591" t="s">
        <v>985</v>
      </c>
      <c r="B31" s="104"/>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592"/>
      <c r="AF31" s="104"/>
    </row>
    <row r="32" spans="1:32">
      <c r="A32" s="1588" t="s">
        <v>986</v>
      </c>
      <c r="B32" s="1589"/>
      <c r="C32" s="1589"/>
      <c r="D32" s="1589"/>
      <c r="E32" s="1589"/>
      <c r="F32" s="1589"/>
      <c r="G32" s="1589"/>
      <c r="H32" s="1589"/>
      <c r="I32" s="1589"/>
      <c r="J32" s="1589"/>
      <c r="K32" s="1589"/>
      <c r="L32" s="1589"/>
      <c r="M32" s="1589"/>
      <c r="N32" s="1589"/>
      <c r="O32" s="1589"/>
      <c r="P32" s="1589"/>
      <c r="Q32" s="1589"/>
      <c r="R32" s="1589"/>
      <c r="S32" s="1589"/>
      <c r="T32" s="1589"/>
      <c r="U32" s="1589"/>
      <c r="V32" s="1589"/>
      <c r="W32" s="1589"/>
      <c r="X32" s="1589"/>
      <c r="Y32" s="1589"/>
      <c r="Z32" s="1589"/>
      <c r="AA32" s="1589"/>
      <c r="AB32" s="1589"/>
      <c r="AC32" s="1589"/>
      <c r="AD32" s="1589"/>
      <c r="AE32" s="1590"/>
      <c r="AF32" s="104"/>
    </row>
    <row r="33" spans="1:32">
      <c r="A33" s="1588" t="s">
        <v>987</v>
      </c>
      <c r="B33" s="1589"/>
      <c r="C33" s="1589"/>
      <c r="D33" s="1589"/>
      <c r="E33" s="1589"/>
      <c r="F33" s="1589"/>
      <c r="G33" s="1589"/>
      <c r="H33" s="1589"/>
      <c r="I33" s="1589"/>
      <c r="J33" s="1589"/>
      <c r="K33" s="1589"/>
      <c r="L33" s="1589"/>
      <c r="M33" s="1589"/>
      <c r="N33" s="1589"/>
      <c r="O33" s="1589"/>
      <c r="P33" s="1589"/>
      <c r="Q33" s="1589"/>
      <c r="R33" s="1589"/>
      <c r="S33" s="1589"/>
      <c r="T33" s="1589"/>
      <c r="U33" s="1589"/>
      <c r="V33" s="1589"/>
      <c r="W33" s="1589"/>
      <c r="X33" s="1589"/>
      <c r="Y33" s="1589"/>
      <c r="Z33" s="1589"/>
      <c r="AA33" s="1589"/>
      <c r="AB33" s="1589"/>
      <c r="AC33" s="1589"/>
      <c r="AD33" s="1589"/>
      <c r="AE33" s="1590"/>
      <c r="AF33" s="104"/>
    </row>
    <row r="34" spans="1:32">
      <c r="A34" s="1588" t="s">
        <v>988</v>
      </c>
      <c r="B34" s="1589"/>
      <c r="C34" s="1589"/>
      <c r="D34" s="1589"/>
      <c r="E34" s="1589"/>
      <c r="F34" s="1589"/>
      <c r="G34" s="1589"/>
      <c r="H34" s="1589"/>
      <c r="I34" s="1589"/>
      <c r="J34" s="1589"/>
      <c r="K34" s="1589"/>
      <c r="L34" s="1589"/>
      <c r="M34" s="1589"/>
      <c r="N34" s="1589"/>
      <c r="O34" s="1589"/>
      <c r="P34" s="1589"/>
      <c r="Q34" s="1589"/>
      <c r="R34" s="1589"/>
      <c r="S34" s="1589"/>
      <c r="T34" s="1589"/>
      <c r="U34" s="1589"/>
      <c r="V34" s="1589"/>
      <c r="W34" s="1589"/>
      <c r="X34" s="1589"/>
      <c r="Y34" s="1589"/>
      <c r="Z34" s="1589"/>
      <c r="AA34" s="1589"/>
      <c r="AB34" s="1589"/>
      <c r="AC34" s="1589"/>
      <c r="AD34" s="1589"/>
      <c r="AE34" s="1590"/>
      <c r="AF34" s="104"/>
    </row>
    <row r="35" spans="1:32">
      <c r="A35" s="1588" t="s">
        <v>989</v>
      </c>
      <c r="B35" s="1589"/>
      <c r="C35" s="1589"/>
      <c r="D35" s="1589"/>
      <c r="E35" s="1589"/>
      <c r="F35" s="1589"/>
      <c r="G35" s="1589"/>
      <c r="H35" s="1589"/>
      <c r="I35" s="1589"/>
      <c r="J35" s="1589"/>
      <c r="K35" s="1589"/>
      <c r="L35" s="1589"/>
      <c r="M35" s="1589"/>
      <c r="N35" s="1589"/>
      <c r="O35" s="1589"/>
      <c r="P35" s="1589"/>
      <c r="Q35" s="1589"/>
      <c r="R35" s="1589"/>
      <c r="S35" s="1589"/>
      <c r="T35" s="1589"/>
      <c r="U35" s="1589"/>
      <c r="V35" s="1589"/>
      <c r="W35" s="1589"/>
      <c r="X35" s="1589"/>
      <c r="Y35" s="1589"/>
      <c r="Z35" s="1589"/>
      <c r="AA35" s="1589"/>
      <c r="AB35" s="1589"/>
      <c r="AC35" s="1589"/>
      <c r="AD35" s="1589"/>
      <c r="AE35" s="1590"/>
      <c r="AF35" s="104"/>
    </row>
    <row r="36" spans="1:32">
      <c r="A36" s="1588" t="s">
        <v>990</v>
      </c>
      <c r="B36" s="1589"/>
      <c r="C36" s="1589"/>
      <c r="D36" s="1589"/>
      <c r="E36" s="1589"/>
      <c r="F36" s="1589"/>
      <c r="G36" s="1589"/>
      <c r="H36" s="1589"/>
      <c r="I36" s="1589"/>
      <c r="J36" s="1589"/>
      <c r="K36" s="1589"/>
      <c r="L36" s="1589"/>
      <c r="M36" s="1589"/>
      <c r="N36" s="1589"/>
      <c r="O36" s="1589"/>
      <c r="P36" s="1589"/>
      <c r="Q36" s="1589"/>
      <c r="R36" s="1589"/>
      <c r="S36" s="1589"/>
      <c r="T36" s="1589"/>
      <c r="U36" s="1589"/>
      <c r="V36" s="1589"/>
      <c r="W36" s="1589"/>
      <c r="X36" s="1589"/>
      <c r="Y36" s="1589"/>
      <c r="Z36" s="1589"/>
      <c r="AA36" s="1589"/>
      <c r="AB36" s="1589"/>
      <c r="AC36" s="1589"/>
      <c r="AD36" s="1589"/>
      <c r="AE36" s="1590"/>
      <c r="AF36" s="104"/>
    </row>
    <row r="37" spans="1:32">
      <c r="A37" s="1588" t="s">
        <v>991</v>
      </c>
      <c r="B37" s="1589"/>
      <c r="C37" s="1589"/>
      <c r="D37" s="1589"/>
      <c r="E37" s="1589"/>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13"/>
    </row>
    <row r="38" spans="1:32">
      <c r="A38" s="1588" t="s">
        <v>992</v>
      </c>
      <c r="B38" s="1589"/>
      <c r="C38" s="1589"/>
      <c r="D38" s="1589"/>
      <c r="E38" s="1589"/>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13"/>
    </row>
    <row r="39" spans="1:32">
      <c r="A39" s="1588" t="s">
        <v>993</v>
      </c>
      <c r="B39" s="1589"/>
      <c r="C39" s="1589"/>
      <c r="D39" s="1589"/>
      <c r="E39" s="1589"/>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13"/>
    </row>
    <row r="40" spans="1:32">
      <c r="A40" s="1591" t="s">
        <v>994</v>
      </c>
      <c r="B40" s="104"/>
      <c r="C40" s="104"/>
      <c r="D40" s="104"/>
      <c r="E40" s="104"/>
      <c r="AE40" s="7"/>
    </row>
    <row r="41" spans="1:32">
      <c r="A41" s="1593" t="s">
        <v>995</v>
      </c>
      <c r="B41" s="1594"/>
      <c r="C41" s="1594"/>
      <c r="D41" s="1594"/>
      <c r="E41" s="159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5"/>
    </row>
    <row r="42" spans="1:32">
      <c r="A42" s="206"/>
    </row>
    <row r="43" spans="1:32">
      <c r="W43" s="1262" t="s">
        <v>125</v>
      </c>
      <c r="X43" s="1262"/>
      <c r="Y43" s="1262"/>
      <c r="Z43" s="1262"/>
      <c r="AA43" s="1262"/>
      <c r="AB43" s="1262"/>
      <c r="AC43" s="1262"/>
      <c r="AD43" s="1262"/>
    </row>
  </sheetData>
  <mergeCells count="17">
    <mergeCell ref="B9:B10"/>
    <mergeCell ref="C9:C10"/>
    <mergeCell ref="W43:AD43"/>
    <mergeCell ref="A1:AE1"/>
    <mergeCell ref="A2:AE2"/>
    <mergeCell ref="A3:AE3"/>
    <mergeCell ref="A21:G22"/>
    <mergeCell ref="A4:AE4"/>
    <mergeCell ref="D8:G8"/>
    <mergeCell ref="P8:S8"/>
    <mergeCell ref="T8:W8"/>
    <mergeCell ref="X8:AA8"/>
    <mergeCell ref="AB8:AE8"/>
    <mergeCell ref="H8:K8"/>
    <mergeCell ref="L8:O8"/>
    <mergeCell ref="A19:C19"/>
    <mergeCell ref="A9:A10"/>
  </mergeCells>
  <phoneticPr fontId="4" type="noConversion"/>
  <hyperlinks>
    <hyperlink ref="W43" location="'TABLA DE CONTENIDO'!A1" display="VOLVER A TABLA DE CONTENIDO" xr:uid="{00000000-0004-0000-1500-000000000000}"/>
  </hyperlinks>
  <printOptions horizontalCentered="1" verticalCentered="1"/>
  <pageMargins left="0.47244094488188981" right="0.19685039370078741" top="0.78740157480314965" bottom="0.51181102362204722" header="0" footer="0"/>
  <pageSetup scale="10" orientation="landscape"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E38"/>
  <sheetViews>
    <sheetView topLeftCell="A4" workbookViewId="0">
      <selection activeCell="D20" sqref="D20"/>
    </sheetView>
  </sheetViews>
  <sheetFormatPr defaultColWidth="11.42578125" defaultRowHeight="12.75"/>
  <cols>
    <col min="1" max="1" width="7.140625" customWidth="1"/>
    <col min="2" max="2" width="7.5703125" customWidth="1"/>
    <col min="3" max="3" width="5.140625" customWidth="1"/>
    <col min="4" max="17" width="7.7109375" customWidth="1"/>
  </cols>
  <sheetData>
    <row r="1" spans="1:31" s="184" customFormat="1" ht="19.5" customHeight="1">
      <c r="A1" s="1261" t="s">
        <v>1</v>
      </c>
      <c r="B1" s="1261"/>
      <c r="C1" s="1261"/>
      <c r="D1" s="1261"/>
      <c r="E1" s="1261"/>
      <c r="F1" s="1261"/>
      <c r="G1" s="1261"/>
      <c r="H1" s="1261"/>
      <c r="I1" s="1261"/>
      <c r="J1" s="1261"/>
      <c r="K1" s="1261"/>
      <c r="L1" s="1261"/>
      <c r="M1" s="1261"/>
      <c r="N1" s="1261"/>
      <c r="O1" s="1261"/>
      <c r="P1" s="1261"/>
      <c r="Q1" s="1261"/>
      <c r="R1" s="1595"/>
      <c r="S1" s="1595"/>
      <c r="T1" s="1595"/>
      <c r="U1" s="1595"/>
      <c r="V1" s="1595"/>
      <c r="W1" s="1595"/>
      <c r="X1" s="1595"/>
      <c r="Y1" s="1595"/>
      <c r="Z1" s="1595"/>
      <c r="AA1" s="1595"/>
      <c r="AB1" s="1595"/>
      <c r="AC1" s="1595"/>
      <c r="AD1" s="1595"/>
      <c r="AE1" s="1595"/>
    </row>
    <row r="2" spans="1:31" s="184" customFormat="1" ht="22.5" customHeight="1">
      <c r="A2" s="1256" t="s">
        <v>930</v>
      </c>
      <c r="B2" s="1256"/>
      <c r="C2" s="1256"/>
      <c r="D2" s="1256"/>
      <c r="E2" s="1256"/>
      <c r="F2" s="1256"/>
      <c r="G2" s="1256"/>
      <c r="H2" s="1256"/>
      <c r="I2" s="1256"/>
      <c r="J2" s="1256"/>
      <c r="K2" s="1256"/>
      <c r="L2" s="1256"/>
      <c r="M2" s="1256"/>
      <c r="N2" s="1256"/>
      <c r="O2" s="1256"/>
      <c r="P2" s="1256"/>
      <c r="Q2" s="1256"/>
      <c r="R2" s="1595"/>
      <c r="S2" s="1595"/>
      <c r="T2" s="1595"/>
      <c r="U2" s="1595"/>
      <c r="V2" s="1595"/>
      <c r="W2" s="1595"/>
      <c r="X2" s="1595"/>
      <c r="Y2" s="1595"/>
      <c r="Z2" s="1595"/>
      <c r="AA2" s="1595"/>
      <c r="AB2" s="1595"/>
      <c r="AC2" s="1595"/>
      <c r="AD2" s="1595"/>
      <c r="AE2" s="1595"/>
    </row>
    <row r="3" spans="1:31" s="184" customFormat="1" ht="19.5" customHeight="1">
      <c r="A3" s="1256" t="s">
        <v>996</v>
      </c>
      <c r="B3" s="1256"/>
      <c r="C3" s="1256"/>
      <c r="D3" s="1256"/>
      <c r="E3" s="1256"/>
      <c r="F3" s="1256"/>
      <c r="G3" s="1256"/>
      <c r="H3" s="1256"/>
      <c r="I3" s="1256"/>
      <c r="J3" s="1256"/>
      <c r="K3" s="1256"/>
      <c r="L3" s="1256"/>
      <c r="M3" s="1256"/>
      <c r="N3" s="1256"/>
      <c r="O3" s="1256"/>
      <c r="P3" s="1256"/>
      <c r="Q3" s="1256"/>
      <c r="R3" s="195"/>
      <c r="S3" s="195"/>
      <c r="T3" s="195"/>
      <c r="U3" s="195"/>
      <c r="V3" s="195"/>
      <c r="W3" s="195"/>
      <c r="X3" s="195"/>
      <c r="Y3" s="195"/>
      <c r="Z3" s="195"/>
      <c r="AA3" s="195"/>
      <c r="AB3" s="195"/>
      <c r="AC3" s="195"/>
      <c r="AD3" s="195"/>
      <c r="AE3" s="195"/>
    </row>
    <row r="4" spans="1:31" s="184" customFormat="1" ht="22.5" customHeight="1">
      <c r="A4" s="1256" t="s">
        <v>997</v>
      </c>
      <c r="B4" s="1256"/>
      <c r="C4" s="1256"/>
      <c r="D4" s="1256"/>
      <c r="E4" s="1256"/>
      <c r="F4" s="1256"/>
      <c r="G4" s="1256"/>
      <c r="H4" s="1256"/>
      <c r="I4" s="1256"/>
      <c r="J4" s="1256"/>
      <c r="K4" s="1256"/>
      <c r="L4" s="1256"/>
      <c r="M4" s="1256"/>
      <c r="N4" s="1256"/>
      <c r="O4" s="1256"/>
      <c r="P4" s="1256"/>
      <c r="Q4" s="1256"/>
      <c r="R4" s="195"/>
      <c r="S4" s="195"/>
      <c r="T4" s="195"/>
      <c r="U4" s="195"/>
      <c r="V4" s="195"/>
      <c r="W4" s="195"/>
      <c r="X4" s="195"/>
      <c r="Y4" s="195"/>
      <c r="Z4" s="195"/>
      <c r="AA4" s="195"/>
      <c r="AB4" s="195"/>
      <c r="AC4" s="195"/>
      <c r="AD4" s="195"/>
      <c r="AE4" s="195"/>
    </row>
    <row r="5" spans="1:31" s="184" customFormat="1" ht="12.75" customHeight="1">
      <c r="A5" s="195"/>
      <c r="B5" s="195"/>
      <c r="C5" s="195"/>
      <c r="D5" s="195"/>
      <c r="E5" s="195"/>
      <c r="F5" s="195"/>
      <c r="G5" s="195"/>
      <c r="H5" s="195"/>
      <c r="I5" s="195"/>
      <c r="J5" s="195"/>
      <c r="K5" s="195"/>
      <c r="L5" s="195"/>
      <c r="M5" s="195"/>
      <c r="N5" s="195"/>
      <c r="O5" s="195"/>
      <c r="P5" s="195"/>
      <c r="Q5" s="195"/>
      <c r="R5" s="195"/>
    </row>
    <row r="6" spans="1:31" s="184" customFormat="1" ht="15.75">
      <c r="A6" s="195" t="s">
        <v>933</v>
      </c>
      <c r="B6" s="352"/>
      <c r="C6" s="352">
        <v>56</v>
      </c>
      <c r="D6" s="352"/>
      <c r="E6" s="352"/>
      <c r="F6" s="352"/>
      <c r="G6" s="352"/>
      <c r="H6" s="352"/>
      <c r="J6" s="195" t="s">
        <v>934</v>
      </c>
      <c r="K6" s="352"/>
      <c r="L6" s="352">
        <v>1</v>
      </c>
      <c r="M6" s="352"/>
      <c r="N6" s="352"/>
      <c r="O6" s="352"/>
      <c r="P6" s="352"/>
      <c r="Q6" s="352"/>
      <c r="S6" s="195"/>
      <c r="T6" s="195"/>
      <c r="U6" s="195"/>
      <c r="V6" s="195"/>
      <c r="W6" s="195"/>
      <c r="X6" s="195"/>
      <c r="Y6" s="195"/>
      <c r="Z6" s="195"/>
      <c r="AA6" s="195"/>
      <c r="AB6" s="195"/>
      <c r="AC6" s="195"/>
      <c r="AD6" s="195"/>
      <c r="AE6" s="195"/>
    </row>
    <row r="7" spans="1:31" s="184" customFormat="1" ht="11.25" customHeight="1" thickBot="1">
      <c r="A7" s="195"/>
      <c r="B7" s="195"/>
      <c r="C7" s="195"/>
      <c r="D7" s="195"/>
      <c r="E7" s="195"/>
      <c r="F7" s="195"/>
      <c r="G7" s="195"/>
      <c r="H7" s="195"/>
      <c r="I7" s="195"/>
      <c r="J7" s="195"/>
      <c r="K7" s="195"/>
      <c r="L7" s="195"/>
      <c r="M7" s="195"/>
      <c r="N7" s="195"/>
      <c r="O7" s="195"/>
      <c r="P7" s="195"/>
      <c r="Q7" s="195"/>
    </row>
    <row r="8" spans="1:31" s="94" customFormat="1" ht="11.25">
      <c r="A8" s="104"/>
      <c r="B8" s="104"/>
      <c r="C8" s="104"/>
      <c r="D8" s="1489" t="s">
        <v>998</v>
      </c>
      <c r="E8" s="1490"/>
      <c r="F8" s="1490"/>
      <c r="G8" s="1491"/>
      <c r="H8" s="1489" t="s">
        <v>999</v>
      </c>
      <c r="I8" s="1490"/>
      <c r="J8" s="1490"/>
      <c r="K8" s="1491"/>
      <c r="L8" s="1489" t="s">
        <v>1000</v>
      </c>
      <c r="M8" s="1490"/>
      <c r="N8" s="1490"/>
      <c r="O8" s="1491"/>
      <c r="P8" s="1489" t="s">
        <v>1001</v>
      </c>
      <c r="Q8" s="1491"/>
      <c r="R8" s="104"/>
      <c r="S8" s="104"/>
      <c r="T8" s="104"/>
      <c r="U8" s="104"/>
      <c r="V8" s="104"/>
      <c r="W8" s="104"/>
      <c r="X8" s="104"/>
      <c r="Y8" s="104"/>
      <c r="Z8" s="104"/>
      <c r="AA8" s="104"/>
      <c r="AB8" s="104"/>
      <c r="AC8" s="104"/>
      <c r="AD8" s="104"/>
      <c r="AE8" s="104"/>
    </row>
    <row r="9" spans="1:31" s="94" customFormat="1" ht="12" thickBot="1">
      <c r="A9" s="104"/>
      <c r="B9" s="104"/>
      <c r="C9" s="104"/>
      <c r="D9" s="1492"/>
      <c r="E9" s="1493"/>
      <c r="F9" s="1493"/>
      <c r="G9" s="1494"/>
      <c r="H9" s="1492"/>
      <c r="I9" s="1493"/>
      <c r="J9" s="1493"/>
      <c r="K9" s="1494"/>
      <c r="L9" s="1492"/>
      <c r="M9" s="1493"/>
      <c r="N9" s="1493"/>
      <c r="O9" s="1494"/>
      <c r="P9" s="1495"/>
      <c r="Q9" s="1496"/>
      <c r="R9" s="104"/>
      <c r="S9" s="104"/>
      <c r="T9" s="104"/>
      <c r="U9" s="104"/>
      <c r="V9" s="104"/>
      <c r="W9" s="104"/>
      <c r="X9" s="104"/>
      <c r="Y9" s="104"/>
      <c r="Z9" s="104"/>
      <c r="AA9" s="104"/>
      <c r="AB9" s="104"/>
      <c r="AC9" s="104"/>
      <c r="AD9" s="104"/>
      <c r="AE9" s="104"/>
    </row>
    <row r="10" spans="1:31" ht="15">
      <c r="A10" s="1497" t="s">
        <v>942</v>
      </c>
      <c r="B10" s="1497" t="s">
        <v>943</v>
      </c>
      <c r="C10" s="1497" t="s">
        <v>944</v>
      </c>
      <c r="D10" s="393" t="s">
        <v>171</v>
      </c>
      <c r="E10" s="394" t="s">
        <v>169</v>
      </c>
      <c r="F10" s="394" t="s">
        <v>174</v>
      </c>
      <c r="G10" s="395" t="s">
        <v>945</v>
      </c>
      <c r="H10" s="396" t="s">
        <v>171</v>
      </c>
      <c r="I10" s="397" t="s">
        <v>169</v>
      </c>
      <c r="J10" s="397" t="s">
        <v>174</v>
      </c>
      <c r="K10" s="398" t="s">
        <v>945</v>
      </c>
      <c r="L10" s="396" t="s">
        <v>171</v>
      </c>
      <c r="M10" s="397" t="s">
        <v>169</v>
      </c>
      <c r="N10" s="397" t="s">
        <v>174</v>
      </c>
      <c r="O10" s="399" t="s">
        <v>945</v>
      </c>
      <c r="P10" s="396" t="s">
        <v>1002</v>
      </c>
      <c r="Q10" s="400" t="s">
        <v>945</v>
      </c>
    </row>
    <row r="11" spans="1:31" s="154" customFormat="1" ht="15" thickBot="1">
      <c r="A11" s="1498"/>
      <c r="B11" s="1498"/>
      <c r="C11" s="1498"/>
      <c r="D11" s="401" t="s">
        <v>947</v>
      </c>
      <c r="E11" s="402" t="s">
        <v>947</v>
      </c>
      <c r="F11" s="402" t="s">
        <v>947</v>
      </c>
      <c r="G11" s="403" t="s">
        <v>947</v>
      </c>
      <c r="H11" s="401" t="s">
        <v>947</v>
      </c>
      <c r="I11" s="402" t="s">
        <v>947</v>
      </c>
      <c r="J11" s="402" t="s">
        <v>947</v>
      </c>
      <c r="K11" s="404" t="s">
        <v>947</v>
      </c>
      <c r="L11" s="401" t="s">
        <v>1003</v>
      </c>
      <c r="M11" s="402" t="s">
        <v>1004</v>
      </c>
      <c r="N11" s="402" t="s">
        <v>1005</v>
      </c>
      <c r="O11" s="403" t="s">
        <v>1006</v>
      </c>
      <c r="P11" s="401" t="s">
        <v>1007</v>
      </c>
      <c r="Q11" s="404" t="s">
        <v>1007</v>
      </c>
    </row>
    <row r="12" spans="1:31" ht="15" thickBot="1">
      <c r="A12" s="196" t="s">
        <v>736</v>
      </c>
      <c r="B12" s="196" t="s">
        <v>737</v>
      </c>
      <c r="C12" s="353" t="s">
        <v>738</v>
      </c>
      <c r="D12" s="405" t="s">
        <v>948</v>
      </c>
      <c r="E12" s="406" t="s">
        <v>949</v>
      </c>
      <c r="F12" s="406" t="s">
        <v>950</v>
      </c>
      <c r="G12" s="407" t="s">
        <v>756</v>
      </c>
      <c r="H12" s="405" t="s">
        <v>951</v>
      </c>
      <c r="I12" s="406" t="s">
        <v>952</v>
      </c>
      <c r="J12" s="406" t="s">
        <v>953</v>
      </c>
      <c r="K12" s="408" t="s">
        <v>954</v>
      </c>
      <c r="L12" s="405" t="s">
        <v>955</v>
      </c>
      <c r="M12" s="406" t="s">
        <v>956</v>
      </c>
      <c r="N12" s="406" t="s">
        <v>957</v>
      </c>
      <c r="O12" s="407" t="s">
        <v>958</v>
      </c>
      <c r="P12" s="405" t="s">
        <v>959</v>
      </c>
      <c r="Q12" s="408" t="s">
        <v>960</v>
      </c>
    </row>
    <row r="13" spans="1:31">
      <c r="A13" s="197"/>
      <c r="B13" s="197"/>
      <c r="C13" s="175"/>
      <c r="D13" s="357"/>
      <c r="E13" s="77"/>
      <c r="F13" s="77"/>
      <c r="G13" s="8"/>
      <c r="H13" s="357"/>
      <c r="I13" s="77"/>
      <c r="J13" s="77"/>
      <c r="K13" s="356"/>
      <c r="L13" s="357"/>
      <c r="M13" s="77"/>
      <c r="N13" s="77"/>
      <c r="O13" s="8"/>
      <c r="P13" s="357"/>
      <c r="Q13" s="356"/>
    </row>
    <row r="14" spans="1:31" s="154" customFormat="1">
      <c r="A14" s="1031">
        <v>56</v>
      </c>
      <c r="B14" s="1032" t="s">
        <v>186</v>
      </c>
      <c r="C14" s="1033">
        <v>53.74</v>
      </c>
      <c r="D14" s="1034">
        <v>0</v>
      </c>
      <c r="E14" s="1035">
        <v>0</v>
      </c>
      <c r="F14" s="1035">
        <f>53.74*1000*3+200+1300-(H14+I14+J14)</f>
        <v>162209</v>
      </c>
      <c r="G14" s="1036">
        <v>0</v>
      </c>
      <c r="H14" s="1037">
        <v>0</v>
      </c>
      <c r="I14" s="1037">
        <v>0</v>
      </c>
      <c r="J14" s="1035">
        <v>511</v>
      </c>
      <c r="K14" s="1035">
        <v>0</v>
      </c>
      <c r="L14" s="1034">
        <f>614+128</f>
        <v>742</v>
      </c>
      <c r="M14" s="1035">
        <v>0</v>
      </c>
      <c r="N14" s="1035">
        <f>2388-L14</f>
        <v>1646</v>
      </c>
      <c r="O14" s="1038">
        <f>4*26*0.6*7*(1.2)</f>
        <v>524.16</v>
      </c>
      <c r="P14" s="1034">
        <f>(5786-42+342+(20+30+60+78))*0.8</f>
        <v>5019.2000000000007</v>
      </c>
      <c r="Q14" s="1036">
        <f>50000/12*3-P14</f>
        <v>7480.7999999999993</v>
      </c>
      <c r="T14" s="1039"/>
      <c r="U14" s="1039">
        <f>E14+F14+G14</f>
        <v>162209</v>
      </c>
      <c r="V14" s="1040"/>
    </row>
    <row r="15" spans="1:31">
      <c r="A15" s="197"/>
      <c r="B15" s="197"/>
      <c r="C15" s="175"/>
      <c r="D15" s="91"/>
      <c r="E15" s="6"/>
      <c r="F15" s="6"/>
      <c r="G15" s="15"/>
      <c r="H15" s="91"/>
      <c r="I15" s="6"/>
      <c r="J15" s="6"/>
      <c r="K15" s="23"/>
      <c r="L15" s="91"/>
      <c r="M15" s="6"/>
      <c r="N15" s="6"/>
      <c r="O15" s="15"/>
      <c r="P15" s="91"/>
      <c r="Q15" s="23"/>
    </row>
    <row r="16" spans="1:31">
      <c r="A16" s="197"/>
      <c r="B16" s="197"/>
      <c r="C16" s="175"/>
      <c r="D16" s="91"/>
      <c r="E16" s="6"/>
      <c r="F16" s="6"/>
      <c r="G16" s="15"/>
      <c r="H16" s="91"/>
      <c r="I16" s="6"/>
      <c r="J16" s="6"/>
      <c r="K16" s="23"/>
      <c r="L16" s="91"/>
      <c r="M16" s="6"/>
      <c r="N16" s="6"/>
      <c r="O16" s="15"/>
      <c r="P16" s="91"/>
      <c r="Q16" s="23"/>
    </row>
    <row r="17" spans="1:17">
      <c r="A17" s="197"/>
      <c r="B17" s="197"/>
      <c r="C17" s="175"/>
      <c r="D17" s="91"/>
      <c r="E17" s="6"/>
      <c r="F17" s="6"/>
      <c r="G17" s="15"/>
      <c r="H17" s="91"/>
      <c r="I17" s="6"/>
      <c r="J17" s="6"/>
      <c r="K17" s="23"/>
      <c r="L17" s="91"/>
      <c r="M17" s="6"/>
      <c r="N17" s="6"/>
      <c r="O17" s="15"/>
      <c r="P17" s="91"/>
      <c r="Q17" s="23"/>
    </row>
    <row r="18" spans="1:17" ht="13.5" thickBot="1">
      <c r="A18" s="198"/>
      <c r="B18" s="198"/>
      <c r="C18" s="354"/>
      <c r="D18" s="143"/>
      <c r="E18" s="138"/>
      <c r="F18" s="138"/>
      <c r="G18" s="131"/>
      <c r="H18" s="143"/>
      <c r="I18" s="138"/>
      <c r="J18" s="138"/>
      <c r="K18" s="108"/>
      <c r="L18" s="143"/>
      <c r="M18" s="138"/>
      <c r="N18" s="138"/>
      <c r="O18" s="131"/>
      <c r="P18" s="143"/>
      <c r="Q18" s="108"/>
    </row>
    <row r="19" spans="1:17" ht="13.5" thickBot="1">
      <c r="A19" s="199" t="s">
        <v>975</v>
      </c>
      <c r="B19" s="200"/>
      <c r="C19" s="201"/>
      <c r="D19" s="355"/>
      <c r="E19" s="355"/>
      <c r="F19" s="355"/>
      <c r="G19" s="355"/>
      <c r="H19" s="355"/>
      <c r="I19" s="355"/>
      <c r="J19" s="355"/>
      <c r="K19" s="355"/>
      <c r="L19" s="355"/>
      <c r="M19" s="355"/>
      <c r="N19" s="355"/>
      <c r="O19" s="355"/>
      <c r="P19" s="201"/>
      <c r="Q19" s="202"/>
    </row>
    <row r="21" spans="1:17">
      <c r="A21" s="207" t="s">
        <v>976</v>
      </c>
      <c r="B21" s="176"/>
      <c r="C21" s="176"/>
      <c r="D21" s="176"/>
      <c r="E21" s="176"/>
      <c r="F21" s="176"/>
      <c r="G21" s="176"/>
      <c r="H21" s="176"/>
      <c r="I21" s="176"/>
      <c r="J21" s="176"/>
      <c r="K21" s="176"/>
      <c r="L21" s="176"/>
      <c r="M21" s="176"/>
      <c r="N21" s="176"/>
      <c r="O21" s="176"/>
      <c r="P21" s="176"/>
      <c r="Q21" s="176"/>
    </row>
    <row r="22" spans="1:17">
      <c r="A22" s="203" t="s">
        <v>977</v>
      </c>
      <c r="B22" s="14"/>
      <c r="C22" s="14"/>
      <c r="D22" s="14"/>
      <c r="E22" s="14"/>
      <c r="F22" s="14"/>
      <c r="G22" s="14"/>
      <c r="H22" s="14"/>
      <c r="I22" s="14"/>
      <c r="J22" s="14"/>
      <c r="K22" s="14"/>
      <c r="L22" s="14"/>
      <c r="M22" s="14"/>
      <c r="N22" s="14"/>
      <c r="O22" s="14"/>
      <c r="P22" s="14"/>
      <c r="Q22" s="5"/>
    </row>
    <row r="23" spans="1:17">
      <c r="A23" s="203" t="s">
        <v>978</v>
      </c>
      <c r="B23" s="14"/>
      <c r="C23" s="14"/>
      <c r="D23" s="14"/>
      <c r="E23" s="14"/>
      <c r="F23" s="14"/>
      <c r="G23" s="14"/>
      <c r="H23" s="14"/>
      <c r="I23" s="14"/>
      <c r="J23" s="14"/>
      <c r="K23" s="14"/>
      <c r="L23" s="14"/>
      <c r="M23" s="14"/>
      <c r="N23" s="14"/>
      <c r="O23" s="14"/>
      <c r="P23" s="14"/>
      <c r="Q23" s="5"/>
    </row>
    <row r="24" spans="1:17">
      <c r="A24" s="204" t="s">
        <v>979</v>
      </c>
      <c r="B24" s="26"/>
      <c r="C24" s="26"/>
      <c r="D24" s="26"/>
      <c r="E24" s="26"/>
      <c r="F24" s="26"/>
      <c r="G24" s="26"/>
      <c r="H24" s="26"/>
      <c r="I24" s="26"/>
      <c r="J24" s="26"/>
      <c r="K24" s="26"/>
      <c r="L24" s="26"/>
      <c r="M24" s="26"/>
      <c r="N24" s="26"/>
      <c r="O24" s="26"/>
      <c r="P24" s="26"/>
      <c r="Q24" s="13"/>
    </row>
    <row r="25" spans="1:17">
      <c r="A25" s="204" t="s">
        <v>1008</v>
      </c>
      <c r="B25" s="26"/>
      <c r="C25" s="26"/>
      <c r="D25" s="26"/>
      <c r="E25" s="26"/>
      <c r="F25" s="26"/>
      <c r="G25" s="26"/>
      <c r="H25" s="26"/>
      <c r="I25" s="26"/>
      <c r="J25" s="26"/>
      <c r="K25" s="26"/>
      <c r="L25" s="26"/>
      <c r="M25" s="26"/>
      <c r="N25" s="26"/>
      <c r="O25" s="26"/>
      <c r="P25" s="26"/>
      <c r="Q25" s="13"/>
    </row>
    <row r="26" spans="1:17">
      <c r="A26" s="204" t="s">
        <v>1009</v>
      </c>
      <c r="B26" s="26"/>
      <c r="C26" s="26"/>
      <c r="D26" s="26"/>
      <c r="E26" s="26"/>
      <c r="F26" s="26"/>
      <c r="G26" s="26"/>
      <c r="H26" s="26"/>
      <c r="I26" s="26"/>
      <c r="J26" s="26"/>
      <c r="K26" s="26"/>
      <c r="L26" s="26"/>
      <c r="M26" s="26"/>
      <c r="N26" s="26"/>
      <c r="O26" s="26"/>
      <c r="P26" s="26"/>
      <c r="Q26" s="13"/>
    </row>
    <row r="27" spans="1:17">
      <c r="A27" s="205"/>
      <c r="B27" s="3" t="s">
        <v>1010</v>
      </c>
      <c r="C27" s="3"/>
      <c r="D27" s="3"/>
      <c r="E27" s="3"/>
      <c r="F27" s="3"/>
      <c r="G27" s="3"/>
      <c r="H27" s="3"/>
      <c r="I27" s="3"/>
      <c r="J27" s="3"/>
      <c r="K27" s="3"/>
      <c r="L27" s="3"/>
      <c r="M27" s="3"/>
      <c r="N27" s="3"/>
      <c r="O27" s="3"/>
      <c r="P27" s="3"/>
      <c r="Q27" s="4"/>
    </row>
    <row r="28" spans="1:17">
      <c r="A28" s="204" t="s">
        <v>1011</v>
      </c>
      <c r="B28" s="26"/>
      <c r="C28" s="26"/>
      <c r="D28" s="26"/>
      <c r="E28" s="26"/>
      <c r="F28" s="26"/>
      <c r="G28" s="26"/>
      <c r="H28" s="26"/>
      <c r="I28" s="26"/>
      <c r="J28" s="26"/>
      <c r="K28" s="26"/>
      <c r="L28" s="26"/>
      <c r="M28" s="26"/>
      <c r="N28" s="26"/>
      <c r="O28" s="26"/>
      <c r="P28" s="26"/>
      <c r="Q28" s="13"/>
    </row>
    <row r="29" spans="1:17">
      <c r="A29" s="205"/>
      <c r="B29" s="467" t="s">
        <v>1012</v>
      </c>
      <c r="C29" s="3"/>
      <c r="D29" s="3"/>
      <c r="E29" s="3"/>
      <c r="F29" s="3"/>
      <c r="G29" s="3"/>
      <c r="H29" s="3"/>
      <c r="I29" s="3"/>
      <c r="J29" s="3"/>
      <c r="K29" s="3"/>
      <c r="L29" s="3"/>
      <c r="M29" s="3"/>
      <c r="N29" s="3"/>
      <c r="O29" s="3"/>
      <c r="P29" s="3"/>
      <c r="Q29" s="4"/>
    </row>
    <row r="30" spans="1:17">
      <c r="A30" s="15" t="s">
        <v>1013</v>
      </c>
      <c r="B30" s="14"/>
      <c r="C30" s="14"/>
      <c r="D30" s="14"/>
      <c r="E30" s="14"/>
      <c r="F30" s="14"/>
      <c r="G30" s="14"/>
      <c r="H30" s="14"/>
      <c r="I30" s="14"/>
      <c r="J30" s="14"/>
      <c r="K30" s="14"/>
      <c r="L30" s="14"/>
      <c r="M30" s="14"/>
      <c r="N30" s="14"/>
      <c r="O30" s="14"/>
      <c r="P30" s="14"/>
      <c r="Q30" s="5"/>
    </row>
    <row r="31" spans="1:17">
      <c r="A31" s="204" t="s">
        <v>1014</v>
      </c>
      <c r="B31" s="14"/>
      <c r="C31" s="14"/>
      <c r="D31" s="14"/>
      <c r="E31" s="14"/>
      <c r="F31" s="14"/>
      <c r="G31" s="14"/>
      <c r="H31" s="14"/>
      <c r="I31" s="14"/>
      <c r="J31" s="14"/>
      <c r="K31" s="14"/>
      <c r="L31" s="14"/>
      <c r="M31" s="14"/>
      <c r="N31" s="14"/>
      <c r="O31" s="14"/>
      <c r="P31" s="14"/>
      <c r="Q31" s="5"/>
    </row>
    <row r="32" spans="1:17">
      <c r="A32" s="204" t="s">
        <v>1015</v>
      </c>
      <c r="B32" s="14"/>
      <c r="C32" s="14"/>
      <c r="D32" s="14"/>
      <c r="E32" s="14"/>
      <c r="F32" s="14"/>
      <c r="G32" s="14"/>
      <c r="H32" s="14"/>
      <c r="I32" s="14"/>
      <c r="J32" s="14"/>
      <c r="K32" s="14"/>
      <c r="L32" s="14"/>
      <c r="M32" s="14"/>
      <c r="N32" s="14"/>
      <c r="O32" s="14"/>
      <c r="P32" s="14"/>
      <c r="Q32" s="5"/>
    </row>
    <row r="33" spans="1:17">
      <c r="A33" s="204" t="s">
        <v>1016</v>
      </c>
      <c r="B33" s="14"/>
      <c r="C33" s="14"/>
      <c r="D33" s="14"/>
      <c r="E33" s="14"/>
      <c r="F33" s="14"/>
      <c r="G33" s="14"/>
      <c r="H33" s="14"/>
      <c r="I33" s="14"/>
      <c r="J33" s="14"/>
      <c r="K33" s="14"/>
      <c r="L33" s="14"/>
      <c r="M33" s="14"/>
      <c r="N33" s="14"/>
      <c r="O33" s="14"/>
      <c r="P33" s="14"/>
      <c r="Q33" s="5"/>
    </row>
    <row r="34" spans="1:17">
      <c r="A34" s="203" t="s">
        <v>1017</v>
      </c>
      <c r="B34" s="14"/>
      <c r="C34" s="14"/>
      <c r="D34" s="14"/>
      <c r="E34" s="14"/>
      <c r="F34" s="14"/>
      <c r="G34" s="14"/>
      <c r="H34" s="14"/>
      <c r="I34" s="14"/>
      <c r="J34" s="14"/>
      <c r="K34" s="14"/>
      <c r="L34" s="14"/>
      <c r="M34" s="14"/>
      <c r="N34" s="14"/>
      <c r="O34" s="14"/>
      <c r="P34" s="14"/>
      <c r="Q34" s="5"/>
    </row>
    <row r="35" spans="1:17">
      <c r="A35" s="15" t="s">
        <v>1018</v>
      </c>
      <c r="B35" s="14"/>
      <c r="C35" s="14"/>
      <c r="D35" s="14"/>
      <c r="E35" s="14"/>
      <c r="F35" s="14"/>
      <c r="G35" s="14"/>
      <c r="H35" s="14"/>
      <c r="I35" s="14"/>
      <c r="J35" s="14"/>
      <c r="K35" s="14"/>
      <c r="L35" s="14"/>
      <c r="M35" s="14"/>
      <c r="N35" s="14"/>
      <c r="O35" s="14"/>
      <c r="P35" s="14"/>
      <c r="Q35" s="5"/>
    </row>
    <row r="36" spans="1:17">
      <c r="A36" s="15" t="s">
        <v>1019</v>
      </c>
      <c r="B36" s="14"/>
      <c r="C36" s="14"/>
      <c r="D36" s="14"/>
      <c r="E36" s="14"/>
      <c r="F36" s="14"/>
      <c r="G36" s="14"/>
      <c r="H36" s="14"/>
      <c r="I36" s="14"/>
      <c r="J36" s="14"/>
      <c r="K36" s="14"/>
      <c r="L36" s="14"/>
      <c r="M36" s="14"/>
      <c r="N36" s="14"/>
      <c r="O36" s="14"/>
      <c r="P36" s="14"/>
      <c r="Q36" s="5"/>
    </row>
    <row r="37" spans="1:17">
      <c r="A37" s="206"/>
    </row>
    <row r="38" spans="1:17">
      <c r="N38" s="1262" t="s">
        <v>125</v>
      </c>
      <c r="O38" s="1262"/>
      <c r="P38" s="1262"/>
      <c r="Q38" s="1262"/>
    </row>
  </sheetData>
  <mergeCells count="12">
    <mergeCell ref="N38:Q38"/>
    <mergeCell ref="A1:Q1"/>
    <mergeCell ref="A2:Q2"/>
    <mergeCell ref="A3:Q3"/>
    <mergeCell ref="A4:Q4"/>
    <mergeCell ref="D8:G9"/>
    <mergeCell ref="H8:K9"/>
    <mergeCell ref="L8:O9"/>
    <mergeCell ref="P8:Q9"/>
    <mergeCell ref="A10:A11"/>
    <mergeCell ref="B10:B11"/>
    <mergeCell ref="C10:C11"/>
  </mergeCells>
  <phoneticPr fontId="4" type="noConversion"/>
  <hyperlinks>
    <hyperlink ref="N38" location="'TABLA DE CONTENIDO'!A1" display="VOLVER A TABLA DE CONTENIDO" xr:uid="{00000000-0004-0000-1600-000000000000}"/>
  </hyperlinks>
  <printOptions horizontalCentered="1" verticalCentered="1"/>
  <pageMargins left="0.59055118110236227" right="0.39370078740157483" top="0.78740157480314965" bottom="0.78740157480314965" header="0" footer="0"/>
  <pageSetup scale="10" orientation="landscape" horizontalDpi="300" verticalDpi="300" r:id="rId1"/>
  <headerFooter alignWithMargins="0"/>
  <ignoredErrors>
    <ignoredError sqref="A12:Q12"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J27"/>
  <sheetViews>
    <sheetView topLeftCell="H5" workbookViewId="0">
      <selection activeCell="D20" sqref="D20"/>
    </sheetView>
  </sheetViews>
  <sheetFormatPr defaultColWidth="11.42578125" defaultRowHeight="12.75"/>
  <cols>
    <col min="1" max="1" width="10.5703125" style="59" customWidth="1"/>
    <col min="2" max="2" width="11" customWidth="1"/>
    <col min="3" max="3" width="21" customWidth="1"/>
    <col min="4" max="4" width="7.85546875" customWidth="1"/>
    <col min="5" max="5" width="10.140625" customWidth="1"/>
    <col min="6" max="6" width="9" customWidth="1"/>
    <col min="7" max="7" width="10.140625" customWidth="1"/>
    <col min="8" max="8" width="13" customWidth="1"/>
    <col min="9" max="9" width="22" customWidth="1"/>
    <col min="10" max="10" width="35.28515625" customWidth="1"/>
  </cols>
  <sheetData>
    <row r="1" spans="1:10" ht="23.25">
      <c r="A1" s="1261" t="s">
        <v>1</v>
      </c>
      <c r="B1" s="1261"/>
      <c r="C1" s="1261"/>
      <c r="D1" s="1261"/>
      <c r="E1" s="1261"/>
      <c r="F1" s="1261"/>
      <c r="G1" s="1261"/>
      <c r="H1" s="1261"/>
      <c r="I1" s="1261"/>
      <c r="J1" s="1261"/>
    </row>
    <row r="2" spans="1:10" ht="18">
      <c r="A2" s="1256" t="s">
        <v>84</v>
      </c>
      <c r="B2" s="1256"/>
      <c r="C2" s="1256"/>
      <c r="D2" s="1256"/>
      <c r="E2" s="1256"/>
      <c r="F2" s="1256"/>
      <c r="G2" s="1256"/>
      <c r="H2" s="1256"/>
      <c r="I2" s="1256"/>
      <c r="J2" s="1256"/>
    </row>
    <row r="3" spans="1:10">
      <c r="A3"/>
    </row>
    <row r="4" spans="1:10" ht="18">
      <c r="A4" s="1256" t="s">
        <v>1020</v>
      </c>
      <c r="B4" s="1256"/>
      <c r="C4" s="1256"/>
      <c r="D4" s="1256"/>
      <c r="E4" s="1256"/>
      <c r="F4" s="1256"/>
      <c r="G4" s="1256"/>
      <c r="H4" s="1256"/>
      <c r="I4" s="1256"/>
      <c r="J4" s="1256"/>
    </row>
    <row r="5" spans="1:10">
      <c r="A5"/>
    </row>
    <row r="6" spans="1:10" ht="18">
      <c r="A6" s="1256" t="s">
        <v>1021</v>
      </c>
      <c r="B6" s="1256"/>
      <c r="C6" s="1256"/>
      <c r="D6" s="1256"/>
      <c r="E6" s="1256"/>
      <c r="F6" s="1256"/>
      <c r="G6" s="1256"/>
      <c r="H6" s="1256"/>
      <c r="I6" s="1256"/>
      <c r="J6" s="1256"/>
    </row>
    <row r="8" spans="1:10">
      <c r="A8" s="188" t="s">
        <v>129</v>
      </c>
      <c r="C8" s="467" t="s">
        <v>88</v>
      </c>
      <c r="D8" s="3"/>
      <c r="E8" s="3"/>
      <c r="F8" s="3"/>
      <c r="G8" s="3"/>
      <c r="H8" s="188" t="s">
        <v>159</v>
      </c>
      <c r="J8" s="62" t="s">
        <v>217</v>
      </c>
    </row>
    <row r="9" spans="1:10" ht="13.5" thickBot="1"/>
    <row r="10" spans="1:10" ht="26.25" thickBot="1">
      <c r="A10" s="1596" t="s">
        <v>780</v>
      </c>
      <c r="B10" s="1597" t="s">
        <v>1022</v>
      </c>
      <c r="C10" s="144" t="s">
        <v>104</v>
      </c>
      <c r="D10" s="144" t="s">
        <v>105</v>
      </c>
      <c r="E10" s="145" t="s">
        <v>323</v>
      </c>
      <c r="F10" s="145" t="s">
        <v>1023</v>
      </c>
      <c r="G10" s="146" t="s">
        <v>1024</v>
      </c>
      <c r="H10" s="147" t="s">
        <v>1025</v>
      </c>
      <c r="I10" s="146" t="s">
        <v>1026</v>
      </c>
      <c r="J10" s="148" t="s">
        <v>1027</v>
      </c>
    </row>
    <row r="11" spans="1:10" s="1041" customFormat="1" ht="20.25">
      <c r="A11" s="1221">
        <v>44004</v>
      </c>
      <c r="B11" s="1222">
        <v>0.16666666666666666</v>
      </c>
      <c r="C11" s="1222" t="s">
        <v>1028</v>
      </c>
      <c r="D11" s="1222" t="s">
        <v>1029</v>
      </c>
      <c r="E11" s="1222" t="s">
        <v>1030</v>
      </c>
      <c r="F11" s="1222">
        <v>0</v>
      </c>
      <c r="G11" s="1222">
        <v>0</v>
      </c>
      <c r="H11" s="1222" t="s">
        <v>1031</v>
      </c>
      <c r="I11" s="1223" t="s">
        <v>1032</v>
      </c>
      <c r="J11" s="1224" t="s">
        <v>1033</v>
      </c>
    </row>
    <row r="12" spans="1:10" s="1041" customFormat="1" ht="20.25">
      <c r="A12" s="1225">
        <v>43998</v>
      </c>
      <c r="B12" s="1226">
        <v>0.89583333333333337</v>
      </c>
      <c r="C12" s="1226" t="s">
        <v>1028</v>
      </c>
      <c r="D12" s="1226" t="s">
        <v>1029</v>
      </c>
      <c r="E12" s="1226" t="s">
        <v>1034</v>
      </c>
      <c r="F12" s="1226">
        <v>1</v>
      </c>
      <c r="G12" s="1226">
        <v>0</v>
      </c>
      <c r="H12" s="1226" t="s">
        <v>1035</v>
      </c>
      <c r="I12" s="1227" t="s">
        <v>1036</v>
      </c>
      <c r="J12" s="1228" t="s">
        <v>1037</v>
      </c>
    </row>
    <row r="13" spans="1:10" s="1041" customFormat="1" ht="20.25">
      <c r="A13" s="1225">
        <v>44008</v>
      </c>
      <c r="B13" s="1226">
        <v>0.83333333333333337</v>
      </c>
      <c r="C13" s="1226" t="s">
        <v>1028</v>
      </c>
      <c r="D13" s="1226" t="s">
        <v>1029</v>
      </c>
      <c r="E13" s="1226" t="s">
        <v>1038</v>
      </c>
      <c r="F13" s="1226">
        <v>2</v>
      </c>
      <c r="G13" s="1226">
        <v>0</v>
      </c>
      <c r="H13" s="1226" t="s">
        <v>1035</v>
      </c>
      <c r="I13" s="1227" t="s">
        <v>1039</v>
      </c>
      <c r="J13" s="1228" t="s">
        <v>1040</v>
      </c>
    </row>
    <row r="14" spans="1:10" s="1041" customFormat="1" ht="25.5">
      <c r="A14" s="1225">
        <v>44000</v>
      </c>
      <c r="B14" s="1226">
        <v>0.43055555555555558</v>
      </c>
      <c r="C14" s="1226" t="s">
        <v>1028</v>
      </c>
      <c r="D14" s="1226" t="s">
        <v>1029</v>
      </c>
      <c r="E14" s="1226" t="s">
        <v>1041</v>
      </c>
      <c r="F14" s="1226">
        <v>1</v>
      </c>
      <c r="G14" s="1226">
        <v>0</v>
      </c>
      <c r="H14" s="1226" t="s">
        <v>1042</v>
      </c>
      <c r="I14" s="1227" t="s">
        <v>1043</v>
      </c>
      <c r="J14" s="1228" t="s">
        <v>1044</v>
      </c>
    </row>
    <row r="15" spans="1:10" s="1041" customFormat="1" ht="38.25">
      <c r="A15" s="1225">
        <v>44025</v>
      </c>
      <c r="B15" s="1226">
        <v>0.47916666666666669</v>
      </c>
      <c r="C15" s="1226" t="s">
        <v>1028</v>
      </c>
      <c r="D15" s="1226" t="s">
        <v>1029</v>
      </c>
      <c r="E15" s="1226" t="s">
        <v>1045</v>
      </c>
      <c r="F15" s="1226">
        <v>1</v>
      </c>
      <c r="G15" s="1226">
        <v>0</v>
      </c>
      <c r="H15" s="1226" t="s">
        <v>1046</v>
      </c>
      <c r="I15" s="1227" t="s">
        <v>1047</v>
      </c>
      <c r="J15" s="1228" t="s">
        <v>1044</v>
      </c>
    </row>
    <row r="16" spans="1:10" s="1041" customFormat="1" ht="20.25">
      <c r="A16" s="1225"/>
      <c r="B16" s="1226"/>
      <c r="C16" s="1226"/>
      <c r="D16" s="1226"/>
      <c r="E16" s="1226"/>
      <c r="F16" s="1226"/>
      <c r="G16" s="1226"/>
      <c r="H16" s="1227"/>
      <c r="I16" s="1227"/>
      <c r="J16" s="1228"/>
    </row>
    <row r="17" spans="1:10" s="1041" customFormat="1" ht="20.25">
      <c r="A17" s="1225"/>
      <c r="B17" s="1226"/>
      <c r="C17" s="1226"/>
      <c r="D17" s="1226"/>
      <c r="E17" s="1226"/>
      <c r="F17" s="1226"/>
      <c r="G17" s="1226"/>
      <c r="H17" s="1227"/>
      <c r="I17" s="1227"/>
      <c r="J17" s="1228"/>
    </row>
    <row r="18" spans="1:10" s="1041" customFormat="1" ht="20.25">
      <c r="A18" s="1225"/>
      <c r="B18" s="1226"/>
      <c r="C18" s="1226"/>
      <c r="D18" s="1226"/>
      <c r="E18" s="1226"/>
      <c r="F18" s="1226"/>
      <c r="G18" s="1226"/>
      <c r="H18" s="1227"/>
      <c r="I18" s="1227"/>
      <c r="J18" s="1229"/>
    </row>
    <row r="19" spans="1:10" ht="18" customHeight="1">
      <c r="A19" s="149"/>
      <c r="B19" s="103"/>
      <c r="C19" s="1598"/>
      <c r="D19" s="1598"/>
      <c r="E19" s="1599"/>
      <c r="F19" s="1599"/>
      <c r="G19" s="1600"/>
      <c r="H19" s="1574"/>
      <c r="I19" s="1594"/>
      <c r="J19" s="1601"/>
    </row>
    <row r="20" spans="1:10" ht="18" customHeight="1">
      <c r="A20" s="149"/>
      <c r="B20" s="103"/>
      <c r="C20" s="1598"/>
      <c r="D20" s="1598"/>
      <c r="E20" s="1599"/>
      <c r="F20" s="1599"/>
      <c r="G20" s="1600"/>
      <c r="H20" s="1574"/>
      <c r="I20" s="1594"/>
      <c r="J20" s="1601"/>
    </row>
    <row r="21" spans="1:10" ht="18" customHeight="1" thickBot="1">
      <c r="A21" s="150"/>
      <c r="B21" s="151"/>
      <c r="C21" s="1602"/>
      <c r="D21" s="1602"/>
      <c r="E21" s="1603"/>
      <c r="F21" s="1603"/>
      <c r="G21" s="1604"/>
      <c r="H21" s="1605"/>
      <c r="I21" s="1606"/>
      <c r="J21" s="1607"/>
    </row>
    <row r="22" spans="1:10" ht="8.25" customHeight="1">
      <c r="A22" s="359"/>
      <c r="B22" s="358"/>
      <c r="C22" s="104"/>
      <c r="D22" s="104"/>
      <c r="E22" s="1608"/>
      <c r="F22" s="1608"/>
      <c r="G22" s="69"/>
      <c r="H22" s="104"/>
      <c r="I22" s="104"/>
      <c r="J22" s="1609"/>
    </row>
    <row r="23" spans="1:10">
      <c r="A23" s="1610" t="s">
        <v>1048</v>
      </c>
      <c r="B23" s="67"/>
      <c r="J23" s="19"/>
    </row>
    <row r="24" spans="1:10">
      <c r="A24" s="1610" t="s">
        <v>1049</v>
      </c>
      <c r="B24" s="67"/>
      <c r="C24" s="66" t="s">
        <v>1050</v>
      </c>
      <c r="J24" s="19"/>
    </row>
    <row r="25" spans="1:10" ht="13.5" thickBot="1">
      <c r="A25" s="1611" t="s">
        <v>1051</v>
      </c>
      <c r="B25" s="152"/>
      <c r="C25" s="1612" t="s">
        <v>1052</v>
      </c>
      <c r="D25" s="20"/>
      <c r="E25" s="20"/>
      <c r="F25" s="20"/>
      <c r="G25" s="20"/>
      <c r="H25" s="20"/>
      <c r="I25" s="20"/>
      <c r="J25" s="21"/>
    </row>
    <row r="26" spans="1:10">
      <c r="H26" s="104"/>
    </row>
    <row r="27" spans="1:10">
      <c r="I27" s="1262" t="s">
        <v>125</v>
      </c>
      <c r="J27" s="1262"/>
    </row>
  </sheetData>
  <mergeCells count="5">
    <mergeCell ref="A1:J1"/>
    <mergeCell ref="A2:J2"/>
    <mergeCell ref="A4:J4"/>
    <mergeCell ref="A6:J6"/>
    <mergeCell ref="I27:J27"/>
  </mergeCells>
  <phoneticPr fontId="4" type="noConversion"/>
  <dataValidations count="2">
    <dataValidation type="textLength" showInputMessage="1" showErrorMessage="1" errorTitle="Vía" error="El código de tramo vial tiene máximo 15 caracteres." promptTitle="Vía" prompt="Ingrese el Código del Tramo vial." sqref="D11:D18" xr:uid="{00000000-0002-0000-1700-000000000000}">
      <formula1>1</formula1>
      <formula2>15</formula2>
    </dataValidation>
    <dataValidation showInputMessage="1" showErrorMessage="1" errorTitle="Sector" error="No utilizar caracteres especiales." promptTitle="Sector" prompt="Ingrese el nombre del tramo víal." sqref="C11:C18" xr:uid="{00000000-0002-0000-1700-000001000000}"/>
  </dataValidations>
  <hyperlinks>
    <hyperlink ref="I27" location="'TABLA DE CONTENIDO'!A1" display="VOLVER A TABLA DE CONTENIDO" xr:uid="{00000000-0004-0000-1700-000000000000}"/>
  </hyperlinks>
  <printOptions horizontalCentered="1" verticalCentered="1"/>
  <pageMargins left="0.31496062992125984" right="0.31496062992125984" top="0.78740157480314965" bottom="0.59055118110236227" header="0.51181102362204722" footer="0.51181102362204722"/>
  <pageSetup scale="90" orientation="landscape" horizontalDpi="120" verticalDpi="144"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I23"/>
  <sheetViews>
    <sheetView topLeftCell="A7" workbookViewId="0">
      <selection activeCell="D20" sqref="D20"/>
    </sheetView>
  </sheetViews>
  <sheetFormatPr defaultColWidth="11.42578125" defaultRowHeight="12.75"/>
  <cols>
    <col min="1" max="1" width="14.42578125" customWidth="1"/>
    <col min="2" max="9" width="13.85546875" customWidth="1"/>
  </cols>
  <sheetData>
    <row r="1" spans="1:9" ht="23.25">
      <c r="A1" s="156" t="s">
        <v>1</v>
      </c>
      <c r="B1" s="157"/>
      <c r="C1" s="157"/>
      <c r="D1" s="157"/>
      <c r="E1" s="157"/>
      <c r="F1" s="157"/>
      <c r="G1" s="157"/>
      <c r="H1" s="157"/>
      <c r="I1" s="157"/>
    </row>
    <row r="2" spans="1:9" ht="18">
      <c r="A2" s="160" t="s">
        <v>84</v>
      </c>
      <c r="B2" s="157"/>
      <c r="C2" s="157"/>
      <c r="D2" s="157"/>
      <c r="E2" s="157"/>
      <c r="F2" s="157"/>
      <c r="G2" s="157"/>
      <c r="H2" s="157"/>
      <c r="I2" s="158"/>
    </row>
    <row r="3" spans="1:9">
      <c r="A3" s="158"/>
      <c r="B3" s="158"/>
      <c r="C3" s="158"/>
      <c r="D3" s="158"/>
      <c r="E3" s="158"/>
      <c r="F3" s="158"/>
      <c r="G3" s="158"/>
      <c r="H3" s="158"/>
      <c r="I3" s="159"/>
    </row>
    <row r="4" spans="1:9" ht="18">
      <c r="A4" s="1499" t="s">
        <v>1053</v>
      </c>
      <c r="B4" s="1499"/>
      <c r="C4" s="1499"/>
      <c r="D4" s="1499"/>
      <c r="E4" s="1499"/>
      <c r="F4" s="1499"/>
      <c r="G4" s="1499"/>
      <c r="H4" s="1499"/>
      <c r="I4" s="1499"/>
    </row>
    <row r="5" spans="1:9">
      <c r="A5" s="158"/>
      <c r="B5" s="158"/>
      <c r="C5" s="158"/>
      <c r="D5" s="158"/>
      <c r="E5" s="158"/>
      <c r="F5" s="158"/>
      <c r="G5" s="158"/>
      <c r="H5" s="158"/>
      <c r="I5" s="157"/>
    </row>
    <row r="6" spans="1:9" ht="18">
      <c r="A6" s="1499" t="s">
        <v>1054</v>
      </c>
      <c r="B6" s="1499"/>
      <c r="C6" s="1499"/>
      <c r="D6" s="1499"/>
      <c r="E6" s="1499"/>
      <c r="F6" s="1499"/>
      <c r="G6" s="1499"/>
      <c r="H6" s="1499"/>
      <c r="I6" s="1499"/>
    </row>
    <row r="7" spans="1:9">
      <c r="A7" s="161"/>
      <c r="B7" s="158"/>
      <c r="C7" s="158"/>
      <c r="D7" s="158"/>
      <c r="E7" s="158"/>
      <c r="F7" s="158"/>
      <c r="G7" s="158"/>
      <c r="H7" s="158"/>
      <c r="I7" s="162"/>
    </row>
    <row r="8" spans="1:9">
      <c r="A8" s="163" t="s">
        <v>129</v>
      </c>
      <c r="B8" s="158"/>
      <c r="C8" s="1042" t="s">
        <v>88</v>
      </c>
      <c r="D8" s="360"/>
      <c r="E8" s="360"/>
      <c r="F8" s="1500" t="s">
        <v>159</v>
      </c>
      <c r="G8" s="1500"/>
      <c r="H8" s="1043" t="s">
        <v>217</v>
      </c>
      <c r="I8" s="360"/>
    </row>
    <row r="9" spans="1:9">
      <c r="A9" s="161"/>
      <c r="B9" s="158"/>
      <c r="C9" s="158"/>
      <c r="D9" s="158"/>
      <c r="E9" s="158"/>
      <c r="F9" s="158"/>
      <c r="G9" s="158"/>
      <c r="H9" s="158"/>
      <c r="I9" s="158"/>
    </row>
    <row r="10" spans="1:9" ht="13.5" thickBot="1">
      <c r="A10" s="158"/>
      <c r="B10" s="158"/>
      <c r="C10" s="158"/>
      <c r="D10" s="158"/>
      <c r="E10" s="158"/>
      <c r="F10" s="158"/>
      <c r="G10" s="158"/>
      <c r="H10" s="158"/>
      <c r="I10" s="158"/>
    </row>
    <row r="11" spans="1:9" ht="34.5" thickBot="1">
      <c r="A11" s="1613" t="s">
        <v>1055</v>
      </c>
      <c r="B11" s="373" t="s">
        <v>1056</v>
      </c>
      <c r="C11" s="373" t="s">
        <v>1057</v>
      </c>
      <c r="D11" s="373" t="s">
        <v>1058</v>
      </c>
      <c r="E11" s="373" t="s">
        <v>1059</v>
      </c>
      <c r="F11" s="373" t="s">
        <v>1060</v>
      </c>
      <c r="G11" s="373" t="s">
        <v>1061</v>
      </c>
      <c r="H11" s="1614" t="s">
        <v>1062</v>
      </c>
      <c r="I11" s="1613" t="s">
        <v>1063</v>
      </c>
    </row>
    <row r="12" spans="1:9" ht="18" customHeight="1">
      <c r="A12" s="361" t="s">
        <v>1064</v>
      </c>
      <c r="B12" s="103" t="s">
        <v>1065</v>
      </c>
      <c r="C12" s="1598">
        <v>0</v>
      </c>
      <c r="D12" s="1598">
        <v>0</v>
      </c>
      <c r="E12" s="1599">
        <v>0</v>
      </c>
      <c r="F12" s="1600">
        <v>0</v>
      </c>
      <c r="G12" s="1574">
        <v>0</v>
      </c>
      <c r="H12" s="1574">
        <v>0</v>
      </c>
      <c r="I12" s="6">
        <v>0</v>
      </c>
    </row>
    <row r="13" spans="1:9" ht="18" customHeight="1">
      <c r="A13" s="361" t="s">
        <v>1066</v>
      </c>
      <c r="B13" s="103" t="s">
        <v>1065</v>
      </c>
      <c r="C13" s="1598">
        <v>0</v>
      </c>
      <c r="D13" s="1598">
        <v>0</v>
      </c>
      <c r="E13" s="1599">
        <v>0</v>
      </c>
      <c r="F13" s="1600">
        <v>0</v>
      </c>
      <c r="G13" s="1574">
        <v>0</v>
      </c>
      <c r="H13" s="1574">
        <v>0</v>
      </c>
      <c r="I13" s="6">
        <v>0</v>
      </c>
    </row>
    <row r="14" spans="1:9" ht="18" customHeight="1">
      <c r="A14" s="361" t="s">
        <v>1067</v>
      </c>
      <c r="B14" s="103" t="s">
        <v>1065</v>
      </c>
      <c r="C14" s="1598">
        <v>0</v>
      </c>
      <c r="D14" s="1598">
        <v>0</v>
      </c>
      <c r="E14" s="1599">
        <v>0</v>
      </c>
      <c r="F14" s="1600">
        <v>0</v>
      </c>
      <c r="G14" s="1574">
        <v>0</v>
      </c>
      <c r="H14" s="1574">
        <v>0</v>
      </c>
      <c r="I14" s="6">
        <v>0</v>
      </c>
    </row>
    <row r="15" spans="1:9" ht="18" customHeight="1">
      <c r="A15" s="361" t="s">
        <v>1068</v>
      </c>
      <c r="B15" s="103" t="s">
        <v>1065</v>
      </c>
      <c r="C15" s="1598">
        <v>0</v>
      </c>
      <c r="D15" s="1598">
        <v>0</v>
      </c>
      <c r="E15" s="1599">
        <v>0</v>
      </c>
      <c r="F15" s="1600">
        <v>0</v>
      </c>
      <c r="G15" s="1574">
        <v>0</v>
      </c>
      <c r="H15" s="1574">
        <v>0</v>
      </c>
      <c r="I15" s="6">
        <v>0</v>
      </c>
    </row>
    <row r="16" spans="1:9" ht="18" customHeight="1">
      <c r="A16" s="361" t="s">
        <v>1069</v>
      </c>
      <c r="B16" s="103" t="s">
        <v>1065</v>
      </c>
      <c r="C16" s="1598">
        <v>0</v>
      </c>
      <c r="D16" s="1598">
        <v>0</v>
      </c>
      <c r="E16" s="1599">
        <v>0</v>
      </c>
      <c r="F16" s="1600">
        <v>0</v>
      </c>
      <c r="G16" s="1574">
        <v>0</v>
      </c>
      <c r="H16" s="1574">
        <v>0</v>
      </c>
      <c r="I16" s="6">
        <v>0</v>
      </c>
    </row>
    <row r="17" spans="1:9" ht="18" customHeight="1">
      <c r="A17" s="361" t="s">
        <v>1070</v>
      </c>
      <c r="B17" s="103" t="s">
        <v>1065</v>
      </c>
      <c r="C17" s="1598">
        <v>0</v>
      </c>
      <c r="D17" s="1598">
        <v>0</v>
      </c>
      <c r="E17" s="1599">
        <v>0</v>
      </c>
      <c r="F17" s="1600">
        <v>0</v>
      </c>
      <c r="G17" s="1574">
        <v>0</v>
      </c>
      <c r="H17" s="1574">
        <v>0</v>
      </c>
      <c r="I17" s="6">
        <v>0</v>
      </c>
    </row>
    <row r="18" spans="1:9" ht="18" customHeight="1">
      <c r="A18" s="1044"/>
      <c r="B18" s="103"/>
      <c r="C18" s="1598"/>
      <c r="D18" s="1598"/>
      <c r="E18" s="1599"/>
      <c r="F18" s="1600"/>
      <c r="G18" s="1574"/>
      <c r="H18" s="1574"/>
      <c r="I18" s="6"/>
    </row>
    <row r="19" spans="1:9" ht="18" customHeight="1">
      <c r="A19" s="361" t="s">
        <v>1071</v>
      </c>
      <c r="B19" s="103" t="s">
        <v>1065</v>
      </c>
      <c r="C19" s="1598">
        <v>0</v>
      </c>
      <c r="D19" s="1598">
        <v>0</v>
      </c>
      <c r="E19" s="1584">
        <v>0</v>
      </c>
      <c r="F19" s="1600">
        <v>0</v>
      </c>
      <c r="G19" s="1574">
        <v>0</v>
      </c>
      <c r="H19" s="1574">
        <v>0</v>
      </c>
      <c r="I19" s="6">
        <v>0</v>
      </c>
    </row>
    <row r="20" spans="1:9" ht="18" customHeight="1">
      <c r="A20" s="6"/>
      <c r="B20" s="103"/>
      <c r="C20" s="1598"/>
      <c r="D20" s="1598"/>
      <c r="E20" s="1599"/>
      <c r="F20" s="1600"/>
      <c r="G20" s="1574"/>
      <c r="H20" s="1574"/>
      <c r="I20" s="6"/>
    </row>
    <row r="21" spans="1:9" ht="18" customHeight="1">
      <c r="A21" s="6"/>
      <c r="B21" s="103"/>
      <c r="C21" s="1615"/>
      <c r="D21" s="1615"/>
      <c r="E21" s="1599"/>
      <c r="F21" s="1600"/>
      <c r="G21" s="1574"/>
      <c r="H21" s="1574"/>
      <c r="I21" s="6"/>
    </row>
    <row r="23" spans="1:9">
      <c r="G23" s="1262" t="s">
        <v>125</v>
      </c>
      <c r="H23" s="1262"/>
      <c r="I23" s="1262"/>
    </row>
  </sheetData>
  <mergeCells count="4">
    <mergeCell ref="A4:I4"/>
    <mergeCell ref="A6:I6"/>
    <mergeCell ref="F8:G8"/>
    <mergeCell ref="G23:I23"/>
  </mergeCells>
  <phoneticPr fontId="4" type="noConversion"/>
  <hyperlinks>
    <hyperlink ref="G23" location="'TABLA DE CONTENIDO'!A1" display="VOLVER A TABLA DE CONTENIDO" xr:uid="{00000000-0004-0000-1800-000000000000}"/>
  </hyperlinks>
  <printOptions horizontalCentered="1" verticalCentered="1"/>
  <pageMargins left="0.39370078740157483" right="0.39370078740157483" top="0.98425196850393704" bottom="0.59055118110236227" header="0" footer="0"/>
  <pageSetup scale="26" orientation="landscape"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AJ47"/>
  <sheetViews>
    <sheetView zoomScale="50" zoomScaleNormal="50" workbookViewId="0">
      <selection activeCell="D20" sqref="D20"/>
    </sheetView>
  </sheetViews>
  <sheetFormatPr defaultColWidth="11.42578125" defaultRowHeight="12.75"/>
  <cols>
    <col min="1" max="1" width="3.7109375" customWidth="1"/>
    <col min="2" max="2" width="78" customWidth="1"/>
    <col min="3" max="33" width="3.7109375" customWidth="1"/>
    <col min="34" max="34" width="36.5703125" customWidth="1"/>
    <col min="35" max="37" width="31.42578125" customWidth="1"/>
  </cols>
  <sheetData>
    <row r="1" spans="1:34" s="34" customFormat="1" ht="23.25">
      <c r="A1" s="1259" t="s">
        <v>1</v>
      </c>
      <c r="B1" s="1259"/>
      <c r="C1" s="1259"/>
      <c r="D1" s="1259"/>
      <c r="E1" s="1259"/>
      <c r="F1" s="1259"/>
      <c r="G1" s="1259"/>
      <c r="H1" s="1259"/>
      <c r="I1" s="1259"/>
      <c r="J1" s="1259"/>
      <c r="K1" s="1259"/>
      <c r="L1" s="1259"/>
      <c r="M1" s="1259"/>
      <c r="N1" s="1259"/>
      <c r="O1" s="1259"/>
      <c r="P1" s="1259"/>
      <c r="Q1" s="1259"/>
      <c r="R1" s="1259"/>
      <c r="S1" s="1259"/>
      <c r="T1" s="1259"/>
      <c r="U1" s="1259"/>
      <c r="V1" s="1259"/>
      <c r="W1" s="1259"/>
      <c r="X1" s="1259"/>
      <c r="Y1" s="1259"/>
      <c r="Z1" s="1259"/>
      <c r="AA1" s="1259"/>
      <c r="AB1" s="1259"/>
      <c r="AC1" s="1259"/>
      <c r="AD1" s="1259"/>
      <c r="AE1" s="1259"/>
      <c r="AF1" s="1259"/>
      <c r="AG1" s="1259"/>
      <c r="AH1" s="1259"/>
    </row>
    <row r="2" spans="1:34" s="34" customFormat="1" ht="23.25">
      <c r="A2" s="1259" t="s">
        <v>1072</v>
      </c>
      <c r="B2" s="1259"/>
      <c r="C2" s="1259"/>
      <c r="D2" s="1259"/>
      <c r="E2" s="1259"/>
      <c r="F2" s="1259"/>
      <c r="G2" s="1259"/>
      <c r="H2" s="1259"/>
      <c r="I2" s="1259"/>
      <c r="J2" s="1259"/>
      <c r="K2" s="1259"/>
      <c r="L2" s="1259"/>
      <c r="M2" s="1259"/>
      <c r="N2" s="1259"/>
      <c r="O2" s="1259"/>
      <c r="P2" s="1259"/>
      <c r="Q2" s="1259"/>
      <c r="R2" s="1259"/>
      <c r="S2" s="1259"/>
      <c r="T2" s="1259"/>
      <c r="U2" s="1259"/>
      <c r="V2" s="1259"/>
      <c r="W2" s="1259"/>
      <c r="X2" s="1259"/>
      <c r="Y2" s="1259"/>
      <c r="Z2" s="1259"/>
      <c r="AA2" s="1259"/>
      <c r="AB2" s="1259"/>
      <c r="AC2" s="1259"/>
      <c r="AD2" s="1259"/>
      <c r="AE2" s="1259"/>
      <c r="AF2" s="1259"/>
      <c r="AG2" s="1259"/>
      <c r="AH2" s="1259"/>
    </row>
    <row r="3" spans="1:34" s="34" customFormat="1" ht="18">
      <c r="A3" s="1256" t="s">
        <v>1073</v>
      </c>
      <c r="B3" s="1256"/>
      <c r="C3" s="1256"/>
      <c r="D3" s="1256"/>
      <c r="E3" s="1256"/>
      <c r="F3" s="1256"/>
      <c r="G3" s="1256"/>
      <c r="H3" s="1256"/>
      <c r="I3" s="1256"/>
      <c r="J3" s="1256"/>
      <c r="K3" s="1256"/>
      <c r="L3" s="1256"/>
      <c r="M3" s="1256"/>
      <c r="N3" s="1256"/>
      <c r="O3" s="1256"/>
      <c r="P3" s="1256"/>
      <c r="Q3" s="1256"/>
      <c r="R3" s="1256"/>
      <c r="S3" s="1256"/>
      <c r="T3" s="1256"/>
      <c r="U3" s="1256"/>
      <c r="V3" s="1256"/>
      <c r="W3" s="1256"/>
      <c r="X3" s="1256"/>
      <c r="Y3" s="1256"/>
      <c r="Z3" s="1256"/>
      <c r="AA3" s="1256"/>
      <c r="AB3" s="1256"/>
      <c r="AC3" s="1256"/>
      <c r="AD3" s="1256"/>
      <c r="AE3" s="1256"/>
      <c r="AF3" s="1256"/>
      <c r="AG3" s="1256"/>
      <c r="AH3" s="1256"/>
    </row>
    <row r="4" spans="1:34" s="34" customFormat="1" ht="18">
      <c r="A4" s="1260" t="s">
        <v>1074</v>
      </c>
      <c r="B4" s="1260"/>
      <c r="C4" s="1260"/>
      <c r="D4" s="1260"/>
      <c r="E4" s="1260"/>
      <c r="F4" s="1260"/>
      <c r="G4" s="1260"/>
      <c r="H4" s="1260"/>
      <c r="I4" s="1260"/>
      <c r="J4" s="1260"/>
      <c r="K4" s="1260"/>
      <c r="L4" s="1260"/>
      <c r="M4" s="1260"/>
      <c r="N4" s="1260"/>
      <c r="O4" s="1260"/>
      <c r="P4" s="1260"/>
      <c r="Q4" s="1260"/>
      <c r="R4" s="1260"/>
      <c r="S4" s="1260"/>
      <c r="T4" s="1260"/>
      <c r="U4" s="1260"/>
      <c r="V4" s="1260"/>
      <c r="W4" s="1260"/>
      <c r="X4" s="1260"/>
      <c r="Y4" s="1260"/>
      <c r="Z4" s="1260"/>
      <c r="AA4" s="1260"/>
      <c r="AB4" s="1260"/>
      <c r="AC4" s="1260"/>
      <c r="AD4" s="1260"/>
      <c r="AE4" s="1260"/>
      <c r="AF4" s="1260"/>
      <c r="AG4" s="1260"/>
      <c r="AH4" s="1260"/>
    </row>
    <row r="5" spans="1:34" s="34" customFormat="1" ht="18.75" thickBot="1">
      <c r="A5" s="1260"/>
      <c r="B5" s="1260"/>
      <c r="C5" s="1260"/>
      <c r="D5" s="1260"/>
      <c r="E5" s="1260"/>
      <c r="F5" s="1260"/>
      <c r="G5" s="1260"/>
      <c r="H5" s="1260"/>
      <c r="I5" s="1260"/>
      <c r="J5" s="1260"/>
      <c r="K5" s="1260"/>
      <c r="L5" s="1260"/>
      <c r="M5" s="1260"/>
      <c r="N5" s="1260"/>
      <c r="O5" s="1260"/>
      <c r="P5" s="1260"/>
      <c r="Q5" s="1260"/>
      <c r="R5" s="1260"/>
      <c r="S5" s="1260"/>
      <c r="T5" s="1260"/>
      <c r="U5" s="1260"/>
      <c r="V5" s="1260"/>
      <c r="W5" s="1260"/>
      <c r="X5" s="1260"/>
      <c r="Y5" s="1260"/>
      <c r="Z5" s="1260"/>
      <c r="AA5" s="1260"/>
      <c r="AB5" s="1260"/>
      <c r="AC5" s="1260"/>
      <c r="AD5" s="1260"/>
      <c r="AE5" s="1260"/>
      <c r="AF5" s="1260"/>
      <c r="AG5" s="1260"/>
      <c r="AH5" s="1260"/>
    </row>
    <row r="6" spans="1:34" s="24" customFormat="1" ht="18" customHeight="1" thickBot="1">
      <c r="A6" s="126" t="s">
        <v>790</v>
      </c>
      <c r="B6" s="127" t="s">
        <v>1075</v>
      </c>
      <c r="C6" s="1502">
        <v>2020</v>
      </c>
      <c r="D6" s="1503"/>
      <c r="E6" s="1503"/>
      <c r="F6" s="1503"/>
      <c r="G6" s="1503"/>
      <c r="H6" s="1503"/>
      <c r="I6" s="1503"/>
      <c r="J6" s="1503"/>
      <c r="K6" s="1503"/>
      <c r="L6" s="1503"/>
      <c r="M6" s="1503"/>
      <c r="N6" s="1504"/>
      <c r="O6" s="1502">
        <v>2021</v>
      </c>
      <c r="P6" s="1503"/>
      <c r="Q6" s="1503"/>
      <c r="R6" s="1503"/>
      <c r="S6" s="1503"/>
      <c r="T6" s="1503"/>
      <c r="U6" s="1503"/>
      <c r="V6" s="1503"/>
      <c r="W6" s="1503"/>
      <c r="X6" s="1503"/>
      <c r="Y6" s="1503"/>
      <c r="Z6" s="1504"/>
      <c r="AA6" s="1502">
        <v>2022</v>
      </c>
      <c r="AB6" s="1503"/>
      <c r="AC6" s="1503"/>
      <c r="AD6" s="1503"/>
      <c r="AE6" s="1503"/>
      <c r="AF6" s="1503"/>
      <c r="AG6" s="1504"/>
      <c r="AH6" s="374" t="s">
        <v>111</v>
      </c>
    </row>
    <row r="7" spans="1:34" ht="13.5" customHeight="1">
      <c r="A7" s="128"/>
      <c r="B7" s="409"/>
      <c r="C7" s="455" t="s">
        <v>1076</v>
      </c>
      <c r="D7" s="452" t="s">
        <v>1077</v>
      </c>
      <c r="E7" s="452" t="s">
        <v>1078</v>
      </c>
      <c r="F7" s="452" t="s">
        <v>1079</v>
      </c>
      <c r="G7" s="452" t="s">
        <v>1080</v>
      </c>
      <c r="H7" s="452" t="s">
        <v>1081</v>
      </c>
      <c r="I7" s="453" t="s">
        <v>1082</v>
      </c>
      <c r="J7" s="454" t="s">
        <v>1083</v>
      </c>
      <c r="K7" s="454" t="s">
        <v>1084</v>
      </c>
      <c r="L7" s="454" t="s">
        <v>1085</v>
      </c>
      <c r="M7" s="454" t="s">
        <v>1086</v>
      </c>
      <c r="N7" s="453" t="s">
        <v>1087</v>
      </c>
      <c r="O7" s="455" t="s">
        <v>1076</v>
      </c>
      <c r="P7" s="452" t="s">
        <v>1077</v>
      </c>
      <c r="Q7" s="452" t="s">
        <v>1078</v>
      </c>
      <c r="R7" s="452" t="s">
        <v>1079</v>
      </c>
      <c r="S7" s="452" t="s">
        <v>1080</v>
      </c>
      <c r="T7" s="452" t="s">
        <v>1081</v>
      </c>
      <c r="U7" s="452" t="s">
        <v>1082</v>
      </c>
      <c r="V7" s="456" t="s">
        <v>1083</v>
      </c>
      <c r="W7" s="454" t="s">
        <v>1084</v>
      </c>
      <c r="X7" s="454" t="s">
        <v>1085</v>
      </c>
      <c r="Y7" s="454" t="s">
        <v>1086</v>
      </c>
      <c r="Z7" s="453" t="s">
        <v>1087</v>
      </c>
      <c r="AA7" s="455" t="s">
        <v>1076</v>
      </c>
      <c r="AB7" s="452" t="s">
        <v>1077</v>
      </c>
      <c r="AC7" s="452" t="s">
        <v>1078</v>
      </c>
      <c r="AD7" s="452" t="s">
        <v>1079</v>
      </c>
      <c r="AE7" s="452" t="s">
        <v>1080</v>
      </c>
      <c r="AF7" s="452" t="s">
        <v>1081</v>
      </c>
      <c r="AG7" s="453" t="s">
        <v>1082</v>
      </c>
      <c r="AH7" s="375"/>
    </row>
    <row r="8" spans="1:34" ht="45">
      <c r="A8" s="169">
        <v>1</v>
      </c>
      <c r="B8" s="451" t="s">
        <v>1088</v>
      </c>
      <c r="C8" s="1616"/>
      <c r="D8" s="1047" t="s">
        <v>805</v>
      </c>
      <c r="E8" s="1047"/>
      <c r="F8" s="1047"/>
      <c r="G8" s="1047"/>
      <c r="H8" s="1047"/>
      <c r="I8" s="1047"/>
      <c r="J8" s="1047"/>
      <c r="K8" s="1047"/>
      <c r="L8" s="1047"/>
      <c r="M8" s="1047"/>
      <c r="N8" s="1617"/>
      <c r="O8" s="1047"/>
      <c r="P8" s="1047"/>
      <c r="Q8" s="1047"/>
      <c r="R8" s="1047"/>
      <c r="S8" s="1047"/>
      <c r="T8" s="1047"/>
      <c r="U8" s="1047"/>
      <c r="V8" s="1047"/>
      <c r="W8" s="1047"/>
      <c r="X8" s="1047"/>
      <c r="Y8" s="1047"/>
      <c r="Z8" s="1617"/>
      <c r="AA8" s="1047"/>
      <c r="AB8" s="1047"/>
      <c r="AC8" s="1047"/>
      <c r="AD8" s="1047"/>
      <c r="AE8" s="1047"/>
      <c r="AF8" s="463"/>
      <c r="AG8" s="1617"/>
      <c r="AH8" s="98"/>
    </row>
    <row r="9" spans="1:34" ht="30">
      <c r="A9" s="170">
        <v>2</v>
      </c>
      <c r="B9" s="378" t="s">
        <v>1089</v>
      </c>
      <c r="C9" s="1045" t="s">
        <v>805</v>
      </c>
      <c r="D9" s="1048" t="s">
        <v>805</v>
      </c>
      <c r="E9" s="1048"/>
      <c r="F9" s="1048"/>
      <c r="G9" s="1048"/>
      <c r="H9" s="1048"/>
      <c r="I9" s="1048" t="s">
        <v>805</v>
      </c>
      <c r="J9" s="1048" t="s">
        <v>805</v>
      </c>
      <c r="K9" s="1048" t="s">
        <v>805</v>
      </c>
      <c r="L9" s="1048"/>
      <c r="M9" s="1048"/>
      <c r="N9" s="1618"/>
      <c r="O9" s="1048"/>
      <c r="P9" s="1048"/>
      <c r="Q9" s="1048"/>
      <c r="R9" s="1048"/>
      <c r="S9" s="1048"/>
      <c r="T9" s="1048"/>
      <c r="U9" s="1048"/>
      <c r="V9" s="1048"/>
      <c r="W9" s="1048"/>
      <c r="X9" s="1048"/>
      <c r="Y9" s="1048"/>
      <c r="Z9" s="1618"/>
      <c r="AA9" s="1048"/>
      <c r="AB9" s="1048"/>
      <c r="AC9" s="1048"/>
      <c r="AD9" s="1048"/>
      <c r="AE9" s="1048"/>
      <c r="AF9" s="1619"/>
      <c r="AG9" s="1618"/>
      <c r="AH9" s="98"/>
    </row>
    <row r="10" spans="1:34" ht="45">
      <c r="A10" s="170">
        <v>3</v>
      </c>
      <c r="B10" s="378" t="s">
        <v>1090</v>
      </c>
      <c r="C10" s="1045"/>
      <c r="D10" s="1048"/>
      <c r="E10" s="1048"/>
      <c r="F10" s="1048"/>
      <c r="G10" s="1048"/>
      <c r="H10" s="1048"/>
      <c r="I10" s="1048" t="s">
        <v>805</v>
      </c>
      <c r="J10" s="1048"/>
      <c r="K10" s="1048"/>
      <c r="L10" s="1048"/>
      <c r="M10" s="1048"/>
      <c r="N10" s="1618"/>
      <c r="O10" s="1048"/>
      <c r="P10" s="1048"/>
      <c r="Q10" s="1048"/>
      <c r="R10" s="1048"/>
      <c r="S10" s="1048"/>
      <c r="T10" s="1048"/>
      <c r="U10" s="1048"/>
      <c r="V10" s="1048"/>
      <c r="W10" s="1048"/>
      <c r="X10" s="1048"/>
      <c r="Y10" s="1048"/>
      <c r="Z10" s="1618"/>
      <c r="AA10" s="1048"/>
      <c r="AB10" s="1048"/>
      <c r="AC10" s="1048"/>
      <c r="AD10" s="1048"/>
      <c r="AE10" s="1048"/>
      <c r="AF10" s="1619"/>
      <c r="AG10" s="1618"/>
      <c r="AH10" s="98"/>
    </row>
    <row r="11" spans="1:34" ht="60">
      <c r="A11" s="170">
        <v>4</v>
      </c>
      <c r="B11" s="378" t="s">
        <v>1091</v>
      </c>
      <c r="C11" s="1045" t="s">
        <v>805</v>
      </c>
      <c r="D11" s="1048" t="s">
        <v>805</v>
      </c>
      <c r="E11" s="1048" t="s">
        <v>805</v>
      </c>
      <c r="F11" s="1048" t="s">
        <v>805</v>
      </c>
      <c r="G11" s="1048" t="s">
        <v>805</v>
      </c>
      <c r="H11" s="1048" t="s">
        <v>805</v>
      </c>
      <c r="I11" s="1048" t="s">
        <v>805</v>
      </c>
      <c r="J11" s="1048" t="s">
        <v>805</v>
      </c>
      <c r="K11" s="1048" t="s">
        <v>805</v>
      </c>
      <c r="L11" s="1048"/>
      <c r="M11" s="1048"/>
      <c r="N11" s="1618"/>
      <c r="O11" s="1048"/>
      <c r="P11" s="1048"/>
      <c r="Q11" s="1048"/>
      <c r="R11" s="1048"/>
      <c r="S11" s="1048"/>
      <c r="T11" s="1048"/>
      <c r="U11" s="1048"/>
      <c r="V11" s="1048"/>
      <c r="W11" s="1048"/>
      <c r="X11" s="1048"/>
      <c r="Y11" s="1048"/>
      <c r="Z11" s="1618"/>
      <c r="AA11" s="1048"/>
      <c r="AB11" s="1048"/>
      <c r="AC11" s="1048"/>
      <c r="AD11" s="1048"/>
      <c r="AE11" s="1048"/>
      <c r="AF11" s="1619"/>
      <c r="AG11" s="1618"/>
      <c r="AH11" s="376"/>
    </row>
    <row r="12" spans="1:34" ht="45">
      <c r="A12" s="170">
        <v>5</v>
      </c>
      <c r="B12" s="378" t="s">
        <v>1092</v>
      </c>
      <c r="C12" s="1620"/>
      <c r="D12" s="1050"/>
      <c r="E12" s="1050" t="s">
        <v>805</v>
      </c>
      <c r="F12" s="1050"/>
      <c r="G12" s="1050"/>
      <c r="H12" s="1050"/>
      <c r="I12" s="1050"/>
      <c r="J12" s="1050"/>
      <c r="K12" s="1050"/>
      <c r="L12" s="1050"/>
      <c r="M12" s="1050"/>
      <c r="N12" s="1621"/>
      <c r="O12" s="1050"/>
      <c r="P12" s="1050"/>
      <c r="Q12" s="1050"/>
      <c r="R12" s="1050"/>
      <c r="S12" s="1050"/>
      <c r="T12" s="1050"/>
      <c r="U12" s="1050"/>
      <c r="V12" s="1050"/>
      <c r="W12" s="1050"/>
      <c r="X12" s="1050"/>
      <c r="Y12" s="1050"/>
      <c r="Z12" s="1621"/>
      <c r="AA12" s="1050"/>
      <c r="AB12" s="1050"/>
      <c r="AC12" s="1050"/>
      <c r="AD12" s="1050"/>
      <c r="AE12" s="1050"/>
      <c r="AF12" s="909"/>
      <c r="AG12" s="1621"/>
      <c r="AH12" s="377"/>
    </row>
    <row r="13" spans="1:34" ht="105">
      <c r="A13" s="170">
        <v>6</v>
      </c>
      <c r="B13" s="378" t="s">
        <v>1093</v>
      </c>
      <c r="C13" s="1045"/>
      <c r="D13" s="1048"/>
      <c r="E13" s="1048"/>
      <c r="F13" s="1048"/>
      <c r="G13" s="1048"/>
      <c r="H13" s="1048"/>
      <c r="I13" s="1048"/>
      <c r="J13" s="1048"/>
      <c r="K13" s="1048"/>
      <c r="L13" s="1048"/>
      <c r="M13" s="1048"/>
      <c r="N13" s="1618"/>
      <c r="O13" s="1048"/>
      <c r="P13" s="1048"/>
      <c r="Q13" s="1048"/>
      <c r="R13" s="1048"/>
      <c r="S13" s="1048"/>
      <c r="T13" s="1048"/>
      <c r="U13" s="1048"/>
      <c r="V13" s="1048"/>
      <c r="W13" s="1048"/>
      <c r="X13" s="1048"/>
      <c r="Y13" s="1048"/>
      <c r="Z13" s="1618"/>
      <c r="AA13" s="1048"/>
      <c r="AB13" s="1048"/>
      <c r="AC13" s="1048"/>
      <c r="AD13" s="1048"/>
      <c r="AE13" s="1048"/>
      <c r="AF13" s="1619"/>
      <c r="AG13" s="1618"/>
      <c r="AH13" s="376"/>
    </row>
    <row r="14" spans="1:34" ht="30">
      <c r="A14" s="170">
        <v>7</v>
      </c>
      <c r="B14" s="378" t="s">
        <v>1094</v>
      </c>
      <c r="C14" s="1045" t="s">
        <v>805</v>
      </c>
      <c r="D14" s="1048" t="s">
        <v>805</v>
      </c>
      <c r="E14" s="1048"/>
      <c r="F14" s="1048"/>
      <c r="G14" s="1048" t="s">
        <v>805</v>
      </c>
      <c r="H14" s="1048" t="s">
        <v>805</v>
      </c>
      <c r="I14" s="1048" t="s">
        <v>805</v>
      </c>
      <c r="J14" s="1048" t="s">
        <v>805</v>
      </c>
      <c r="K14" s="1048" t="s">
        <v>805</v>
      </c>
      <c r="L14" s="1048"/>
      <c r="M14" s="1048"/>
      <c r="N14" s="1618"/>
      <c r="O14" s="1048"/>
      <c r="P14" s="1048"/>
      <c r="Q14" s="1048"/>
      <c r="R14" s="1048"/>
      <c r="S14" s="1048"/>
      <c r="T14" s="1048"/>
      <c r="U14" s="1048"/>
      <c r="V14" s="1048"/>
      <c r="W14" s="1048"/>
      <c r="X14" s="1048"/>
      <c r="Y14" s="1048"/>
      <c r="Z14" s="1618"/>
      <c r="AA14" s="1048"/>
      <c r="AB14" s="1048"/>
      <c r="AC14" s="1048"/>
      <c r="AD14" s="1048"/>
      <c r="AE14" s="1048"/>
      <c r="AF14" s="1619"/>
      <c r="AG14" s="1618"/>
      <c r="AH14" s="98"/>
    </row>
    <row r="15" spans="1:34" ht="45">
      <c r="A15" s="170">
        <v>8</v>
      </c>
      <c r="B15" s="378" t="s">
        <v>1095</v>
      </c>
      <c r="C15" s="1045" t="s">
        <v>805</v>
      </c>
      <c r="D15" s="1048" t="s">
        <v>805</v>
      </c>
      <c r="E15" s="1048"/>
      <c r="F15" s="1048"/>
      <c r="G15" s="1048" t="s">
        <v>805</v>
      </c>
      <c r="H15" s="1048" t="s">
        <v>805</v>
      </c>
      <c r="I15" s="1048" t="s">
        <v>805</v>
      </c>
      <c r="J15" s="1048" t="s">
        <v>805</v>
      </c>
      <c r="K15" s="1048"/>
      <c r="L15" s="1048"/>
      <c r="M15" s="1048"/>
      <c r="N15" s="1618"/>
      <c r="O15" s="1048"/>
      <c r="P15" s="1048"/>
      <c r="Q15" s="1048"/>
      <c r="R15" s="1048"/>
      <c r="S15" s="1048"/>
      <c r="T15" s="1048"/>
      <c r="U15" s="1048"/>
      <c r="V15" s="1048"/>
      <c r="W15" s="1048"/>
      <c r="X15" s="1048"/>
      <c r="Y15" s="1048"/>
      <c r="Z15" s="1618"/>
      <c r="AA15" s="1048"/>
      <c r="AB15" s="1048"/>
      <c r="AC15" s="1048"/>
      <c r="AD15" s="1048"/>
      <c r="AE15" s="1048"/>
      <c r="AF15" s="1619"/>
      <c r="AG15" s="1618"/>
      <c r="AH15" s="98"/>
    </row>
    <row r="16" spans="1:34" ht="60">
      <c r="A16" s="170">
        <v>9</v>
      </c>
      <c r="B16" s="378" t="s">
        <v>1096</v>
      </c>
      <c r="C16" s="1045"/>
      <c r="D16" s="1048" t="s">
        <v>805</v>
      </c>
      <c r="E16" s="1048" t="s">
        <v>805</v>
      </c>
      <c r="F16" s="1048"/>
      <c r="G16" s="1048"/>
      <c r="H16" s="1048"/>
      <c r="I16" s="1048"/>
      <c r="J16" s="1048"/>
      <c r="K16" s="1048"/>
      <c r="L16" s="1048"/>
      <c r="M16" s="1048"/>
      <c r="N16" s="1618"/>
      <c r="O16" s="1048"/>
      <c r="P16" s="1048"/>
      <c r="Q16" s="1048"/>
      <c r="R16" s="1048"/>
      <c r="S16" s="1048"/>
      <c r="T16" s="1048"/>
      <c r="U16" s="1048"/>
      <c r="V16" s="1048"/>
      <c r="W16" s="1048"/>
      <c r="X16" s="1048"/>
      <c r="Y16" s="1048"/>
      <c r="Z16" s="1618"/>
      <c r="AA16" s="1048"/>
      <c r="AB16" s="1048"/>
      <c r="AC16" s="1048"/>
      <c r="AD16" s="1048"/>
      <c r="AE16" s="1048"/>
      <c r="AF16" s="1619"/>
      <c r="AG16" s="1618"/>
      <c r="AH16" s="98"/>
    </row>
    <row r="17" spans="1:34" ht="30">
      <c r="A17" s="170">
        <v>10</v>
      </c>
      <c r="B17" s="378" t="s">
        <v>1097</v>
      </c>
      <c r="C17" s="1045"/>
      <c r="D17" s="1048"/>
      <c r="E17" s="1048"/>
      <c r="F17" s="1048"/>
      <c r="G17" s="1048" t="s">
        <v>805</v>
      </c>
      <c r="H17" s="1048"/>
      <c r="I17" s="1048" t="s">
        <v>805</v>
      </c>
      <c r="J17" s="1048"/>
      <c r="K17" s="1048" t="s">
        <v>805</v>
      </c>
      <c r="L17" s="1048"/>
      <c r="M17" s="1048"/>
      <c r="N17" s="1618"/>
      <c r="O17" s="1048"/>
      <c r="P17" s="1048"/>
      <c r="Q17" s="1048"/>
      <c r="R17" s="1048"/>
      <c r="S17" s="1048"/>
      <c r="T17" s="1048"/>
      <c r="U17" s="1048"/>
      <c r="V17" s="1048"/>
      <c r="W17" s="1048"/>
      <c r="X17" s="1048"/>
      <c r="Y17" s="1048"/>
      <c r="Z17" s="1618"/>
      <c r="AA17" s="1048"/>
      <c r="AB17" s="1048"/>
      <c r="AC17" s="1048"/>
      <c r="AD17" s="1048"/>
      <c r="AE17" s="1048"/>
      <c r="AF17" s="1619"/>
      <c r="AG17" s="1618"/>
      <c r="AH17" s="376"/>
    </row>
    <row r="18" spans="1:34" ht="30">
      <c r="A18" s="170">
        <v>11</v>
      </c>
      <c r="B18" s="378" t="s">
        <v>1098</v>
      </c>
      <c r="C18" s="1045" t="s">
        <v>805</v>
      </c>
      <c r="D18" s="1048" t="s">
        <v>805</v>
      </c>
      <c r="E18" s="1048"/>
      <c r="F18" s="1048"/>
      <c r="G18" s="1048"/>
      <c r="H18" s="1048"/>
      <c r="I18" s="1048"/>
      <c r="J18" s="1048"/>
      <c r="K18" s="1048"/>
      <c r="L18" s="1048"/>
      <c r="M18" s="1048"/>
      <c r="N18" s="1618"/>
      <c r="O18" s="1048"/>
      <c r="P18" s="1048"/>
      <c r="Q18" s="1048"/>
      <c r="R18" s="1048"/>
      <c r="S18" s="1048"/>
      <c r="T18" s="1048"/>
      <c r="U18" s="1048"/>
      <c r="V18" s="1048"/>
      <c r="W18" s="1048"/>
      <c r="X18" s="1048"/>
      <c r="Y18" s="1048"/>
      <c r="Z18" s="1618"/>
      <c r="AA18" s="1048"/>
      <c r="AB18" s="1048"/>
      <c r="AC18" s="1048"/>
      <c r="AD18" s="1048"/>
      <c r="AE18" s="1048"/>
      <c r="AF18" s="1619"/>
      <c r="AG18" s="1618"/>
      <c r="AH18" s="98"/>
    </row>
    <row r="19" spans="1:34" ht="45">
      <c r="A19" s="170">
        <v>12</v>
      </c>
      <c r="B19" s="378" t="s">
        <v>1099</v>
      </c>
      <c r="C19" s="1045"/>
      <c r="D19" s="1048" t="s">
        <v>805</v>
      </c>
      <c r="E19" s="1048"/>
      <c r="F19" s="1048"/>
      <c r="G19" s="1048" t="s">
        <v>805</v>
      </c>
      <c r="H19" s="1048" t="s">
        <v>805</v>
      </c>
      <c r="I19" s="1048" t="s">
        <v>805</v>
      </c>
      <c r="J19" s="1048"/>
      <c r="K19" s="1048" t="s">
        <v>805</v>
      </c>
      <c r="L19" s="1048"/>
      <c r="M19" s="1048"/>
      <c r="N19" s="1618"/>
      <c r="O19" s="1048"/>
      <c r="P19" s="1048"/>
      <c r="Q19" s="1048"/>
      <c r="R19" s="1048"/>
      <c r="S19" s="1048"/>
      <c r="T19" s="1048"/>
      <c r="U19" s="1048"/>
      <c r="V19" s="1048"/>
      <c r="W19" s="1048"/>
      <c r="X19" s="1048"/>
      <c r="Y19" s="1048"/>
      <c r="Z19" s="1618"/>
      <c r="AA19" s="1048"/>
      <c r="AB19" s="1048"/>
      <c r="AC19" s="1048"/>
      <c r="AD19" s="1048"/>
      <c r="AE19" s="1048"/>
      <c r="AF19" s="1619"/>
      <c r="AG19" s="1618"/>
      <c r="AH19" s="98"/>
    </row>
    <row r="20" spans="1:34" ht="60">
      <c r="A20" s="170">
        <v>13</v>
      </c>
      <c r="B20" s="378" t="s">
        <v>1100</v>
      </c>
      <c r="C20" s="1045"/>
      <c r="D20" s="1048" t="s">
        <v>805</v>
      </c>
      <c r="E20" s="1048"/>
      <c r="F20" s="1048" t="s">
        <v>805</v>
      </c>
      <c r="G20" s="1048" t="s">
        <v>805</v>
      </c>
      <c r="H20" s="1048"/>
      <c r="I20" s="1048"/>
      <c r="J20" s="1048" t="s">
        <v>805</v>
      </c>
      <c r="K20" s="1048" t="s">
        <v>805</v>
      </c>
      <c r="L20" s="1048"/>
      <c r="M20" s="1048"/>
      <c r="N20" s="1618"/>
      <c r="O20" s="1048"/>
      <c r="P20" s="1048"/>
      <c r="Q20" s="1048"/>
      <c r="R20" s="1048"/>
      <c r="S20" s="1048"/>
      <c r="T20" s="1048"/>
      <c r="U20" s="1048"/>
      <c r="V20" s="1048"/>
      <c r="W20" s="1048"/>
      <c r="X20" s="1048"/>
      <c r="Y20" s="1048"/>
      <c r="Z20" s="1618"/>
      <c r="AA20" s="1048"/>
      <c r="AB20" s="1048"/>
      <c r="AC20" s="1048"/>
      <c r="AD20" s="1048"/>
      <c r="AE20" s="1048"/>
      <c r="AF20" s="1619"/>
      <c r="AG20" s="1618"/>
      <c r="AH20" s="98"/>
    </row>
    <row r="21" spans="1:34" ht="30">
      <c r="A21" s="170">
        <v>14</v>
      </c>
      <c r="B21" s="378" t="s">
        <v>1101</v>
      </c>
      <c r="C21" s="1045"/>
      <c r="D21" s="1048"/>
      <c r="E21" s="1048"/>
      <c r="F21" s="1048"/>
      <c r="G21" s="1048"/>
      <c r="H21" s="1048"/>
      <c r="I21" s="1048"/>
      <c r="J21" s="1048"/>
      <c r="K21" s="1048"/>
      <c r="L21" s="1048"/>
      <c r="M21" s="1048"/>
      <c r="N21" s="1618"/>
      <c r="O21" s="1048"/>
      <c r="P21" s="1048"/>
      <c r="Q21" s="1048"/>
      <c r="R21" s="1048"/>
      <c r="S21" s="1048"/>
      <c r="T21" s="1048"/>
      <c r="U21" s="1048"/>
      <c r="V21" s="1048"/>
      <c r="W21" s="1048"/>
      <c r="X21" s="1048"/>
      <c r="Y21" s="1048"/>
      <c r="Z21" s="1618"/>
      <c r="AA21" s="1048"/>
      <c r="AB21" s="1048"/>
      <c r="AC21" s="1048"/>
      <c r="AD21" s="1048"/>
      <c r="AE21" s="1048"/>
      <c r="AF21" s="1619"/>
      <c r="AG21" s="1618"/>
      <c r="AH21" s="380" t="s">
        <v>1102</v>
      </c>
    </row>
    <row r="22" spans="1:34" ht="60">
      <c r="A22" s="170">
        <v>15</v>
      </c>
      <c r="B22" s="378" t="s">
        <v>1103</v>
      </c>
      <c r="C22" s="1045" t="s">
        <v>805</v>
      </c>
      <c r="D22" s="1048" t="s">
        <v>805</v>
      </c>
      <c r="E22" s="1048"/>
      <c r="F22" s="1048" t="s">
        <v>805</v>
      </c>
      <c r="G22" s="1048" t="s">
        <v>805</v>
      </c>
      <c r="H22" s="1048" t="s">
        <v>805</v>
      </c>
      <c r="I22" s="1048" t="s">
        <v>805</v>
      </c>
      <c r="J22" s="1048" t="s">
        <v>805</v>
      </c>
      <c r="K22" s="1048"/>
      <c r="L22" s="1048"/>
      <c r="M22" s="1048"/>
      <c r="N22" s="1618"/>
      <c r="O22" s="1048"/>
      <c r="P22" s="1048"/>
      <c r="Q22" s="1048"/>
      <c r="R22" s="1048"/>
      <c r="S22" s="1048"/>
      <c r="T22" s="1048"/>
      <c r="U22" s="1048"/>
      <c r="V22" s="1048"/>
      <c r="W22" s="1048"/>
      <c r="X22" s="1048"/>
      <c r="Y22" s="1048"/>
      <c r="Z22" s="1618"/>
      <c r="AA22" s="1048"/>
      <c r="AB22" s="1048"/>
      <c r="AC22" s="1048"/>
      <c r="AD22" s="1048"/>
      <c r="AE22" s="1048"/>
      <c r="AF22" s="1619"/>
      <c r="AG22" s="1618"/>
      <c r="AH22" s="376"/>
    </row>
    <row r="23" spans="1:34" ht="45">
      <c r="A23" s="170">
        <v>16</v>
      </c>
      <c r="B23" s="378" t="s">
        <v>1104</v>
      </c>
      <c r="C23" s="1045"/>
      <c r="D23" s="1048"/>
      <c r="E23" s="1048"/>
      <c r="F23" s="1048"/>
      <c r="G23" s="1048"/>
      <c r="H23" s="1048"/>
      <c r="I23" s="1048"/>
      <c r="J23" s="1048"/>
      <c r="K23" s="1048"/>
      <c r="L23" s="1048"/>
      <c r="M23" s="1048"/>
      <c r="N23" s="1618"/>
      <c r="O23" s="1048"/>
      <c r="P23" s="1048"/>
      <c r="Q23" s="1048"/>
      <c r="R23" s="1048"/>
      <c r="S23" s="1048"/>
      <c r="T23" s="1048"/>
      <c r="U23" s="1048"/>
      <c r="V23" s="1048"/>
      <c r="W23" s="1048"/>
      <c r="X23" s="1048"/>
      <c r="Y23" s="1048"/>
      <c r="Z23" s="1618"/>
      <c r="AA23" s="1048"/>
      <c r="AB23" s="1048"/>
      <c r="AC23" s="1048"/>
      <c r="AD23" s="1048"/>
      <c r="AE23" s="1048"/>
      <c r="AF23" s="1619"/>
      <c r="AG23" s="1618"/>
      <c r="AH23" s="380" t="s">
        <v>1102</v>
      </c>
    </row>
    <row r="24" spans="1:34" ht="30">
      <c r="A24" s="170">
        <v>17</v>
      </c>
      <c r="B24" s="378" t="s">
        <v>1105</v>
      </c>
      <c r="C24" s="1045"/>
      <c r="D24" s="1048"/>
      <c r="E24" s="1048"/>
      <c r="F24" s="1048"/>
      <c r="G24" s="1048"/>
      <c r="H24" s="1048"/>
      <c r="I24" s="1048"/>
      <c r="J24" s="1048"/>
      <c r="K24" s="1048" t="s">
        <v>805</v>
      </c>
      <c r="L24" s="1048"/>
      <c r="M24" s="1048"/>
      <c r="N24" s="1618"/>
      <c r="O24" s="1048"/>
      <c r="P24" s="1048"/>
      <c r="Q24" s="1048"/>
      <c r="R24" s="1048"/>
      <c r="S24" s="1048"/>
      <c r="T24" s="1048"/>
      <c r="U24" s="1048"/>
      <c r="V24" s="1048"/>
      <c r="W24" s="1048"/>
      <c r="X24" s="1048"/>
      <c r="Y24" s="1048"/>
      <c r="Z24" s="1618"/>
      <c r="AA24" s="1048"/>
      <c r="AB24" s="1048"/>
      <c r="AC24" s="1048"/>
      <c r="AD24" s="1048"/>
      <c r="AE24" s="1048"/>
      <c r="AF24" s="1619"/>
      <c r="AG24" s="1618"/>
      <c r="AH24" s="380" t="s">
        <v>1102</v>
      </c>
    </row>
    <row r="25" spans="1:34" ht="30">
      <c r="A25" s="170">
        <v>18</v>
      </c>
      <c r="B25" s="378" t="s">
        <v>1106</v>
      </c>
      <c r="C25" s="1045"/>
      <c r="D25" s="1048"/>
      <c r="E25" s="1048"/>
      <c r="F25" s="1048"/>
      <c r="G25" s="1048"/>
      <c r="H25" s="1048"/>
      <c r="I25" s="1048"/>
      <c r="J25" s="1048"/>
      <c r="K25" s="1048"/>
      <c r="L25" s="1048"/>
      <c r="M25" s="1048"/>
      <c r="N25" s="1618"/>
      <c r="O25" s="1048"/>
      <c r="P25" s="1048"/>
      <c r="Q25" s="1048"/>
      <c r="R25" s="1048"/>
      <c r="S25" s="1048"/>
      <c r="T25" s="1048"/>
      <c r="U25" s="1048"/>
      <c r="V25" s="1048"/>
      <c r="W25" s="1048"/>
      <c r="X25" s="1048"/>
      <c r="Y25" s="1048"/>
      <c r="Z25" s="1618"/>
      <c r="AA25" s="1048"/>
      <c r="AB25" s="1048"/>
      <c r="AC25" s="1048"/>
      <c r="AD25" s="1048"/>
      <c r="AE25" s="1048"/>
      <c r="AF25" s="1619"/>
      <c r="AG25" s="1618"/>
      <c r="AH25" s="380"/>
    </row>
    <row r="26" spans="1:34" ht="30">
      <c r="A26" s="169">
        <v>19</v>
      </c>
      <c r="B26" s="379" t="s">
        <v>1107</v>
      </c>
      <c r="C26" s="1616"/>
      <c r="D26" s="1047"/>
      <c r="E26" s="1047"/>
      <c r="F26" s="1047"/>
      <c r="G26" s="1047" t="s">
        <v>805</v>
      </c>
      <c r="H26" s="1047" t="s">
        <v>805</v>
      </c>
      <c r="I26" s="1047"/>
      <c r="J26" s="1047"/>
      <c r="K26" s="1047" t="s">
        <v>805</v>
      </c>
      <c r="L26" s="1047"/>
      <c r="M26" s="1047"/>
      <c r="N26" s="1617"/>
      <c r="O26" s="1047"/>
      <c r="P26" s="1047"/>
      <c r="Q26" s="1047"/>
      <c r="R26" s="1047"/>
      <c r="S26" s="1047"/>
      <c r="T26" s="1047"/>
      <c r="U26" s="1047"/>
      <c r="V26" s="1047"/>
      <c r="W26" s="1047"/>
      <c r="X26" s="1047"/>
      <c r="Y26" s="1047"/>
      <c r="Z26" s="1617"/>
      <c r="AA26" s="1047"/>
      <c r="AB26" s="1047"/>
      <c r="AC26" s="1047"/>
      <c r="AD26" s="1047"/>
      <c r="AE26" s="1047"/>
      <c r="AF26" s="463"/>
      <c r="AG26" s="1617"/>
      <c r="AH26" s="98"/>
    </row>
    <row r="27" spans="1:34" ht="45">
      <c r="A27" s="170">
        <v>20</v>
      </c>
      <c r="B27" s="378" t="s">
        <v>1108</v>
      </c>
      <c r="C27" s="1046" t="s">
        <v>805</v>
      </c>
      <c r="D27" s="1049" t="s">
        <v>805</v>
      </c>
      <c r="E27" s="1049"/>
      <c r="F27" s="1049"/>
      <c r="G27" s="1049"/>
      <c r="H27" s="1049"/>
      <c r="I27" s="1049"/>
      <c r="J27" s="1049"/>
      <c r="K27" s="1049"/>
      <c r="L27" s="1049"/>
      <c r="M27" s="1049"/>
      <c r="N27" s="1622"/>
      <c r="O27" s="1049"/>
      <c r="P27" s="1049"/>
      <c r="Q27" s="1049"/>
      <c r="R27" s="1049"/>
      <c r="S27" s="1049"/>
      <c r="T27" s="1049"/>
      <c r="U27" s="1049"/>
      <c r="V27" s="1049"/>
      <c r="W27" s="1049"/>
      <c r="X27" s="1049"/>
      <c r="Y27" s="1049"/>
      <c r="Z27" s="1622"/>
      <c r="AA27" s="1049"/>
      <c r="AB27" s="1049"/>
      <c r="AC27" s="1049"/>
      <c r="AD27" s="1049"/>
      <c r="AE27" s="1049"/>
      <c r="AF27" s="979"/>
      <c r="AG27" s="1622"/>
      <c r="AH27" s="98"/>
    </row>
    <row r="28" spans="1:34" ht="60">
      <c r="A28" s="170">
        <v>21</v>
      </c>
      <c r="B28" s="378" t="s">
        <v>1109</v>
      </c>
      <c r="C28" s="1045"/>
      <c r="D28" s="1048"/>
      <c r="E28" s="1048"/>
      <c r="F28" s="1048" t="s">
        <v>805</v>
      </c>
      <c r="G28" s="1048" t="s">
        <v>805</v>
      </c>
      <c r="H28" s="1048" t="s">
        <v>805</v>
      </c>
      <c r="I28" s="1048"/>
      <c r="J28" s="1048"/>
      <c r="K28" s="1048"/>
      <c r="L28" s="1048"/>
      <c r="M28" s="1048"/>
      <c r="N28" s="1618"/>
      <c r="O28" s="1048"/>
      <c r="P28" s="1048"/>
      <c r="Q28" s="1048"/>
      <c r="R28" s="1048"/>
      <c r="S28" s="1048"/>
      <c r="T28" s="1048"/>
      <c r="U28" s="1048"/>
      <c r="V28" s="1048"/>
      <c r="W28" s="1048"/>
      <c r="X28" s="1048"/>
      <c r="Y28" s="1048"/>
      <c r="Z28" s="1618"/>
      <c r="AA28" s="1048"/>
      <c r="AB28" s="1048"/>
      <c r="AC28" s="1048"/>
      <c r="AD28" s="1048"/>
      <c r="AE28" s="1048"/>
      <c r="AF28" s="1619"/>
      <c r="AG28" s="1618"/>
      <c r="AH28" s="380" t="s">
        <v>1102</v>
      </c>
    </row>
    <row r="29" spans="1:34" ht="45">
      <c r="A29" s="169">
        <v>22</v>
      </c>
      <c r="B29" s="444" t="s">
        <v>1110</v>
      </c>
      <c r="C29" s="1623"/>
      <c r="D29" s="1624"/>
      <c r="E29" s="1624"/>
      <c r="F29" s="1624"/>
      <c r="G29" s="1624"/>
      <c r="H29" s="1624"/>
      <c r="I29" s="1624"/>
      <c r="J29" s="1624"/>
      <c r="K29" s="1624"/>
      <c r="L29" s="1624"/>
      <c r="M29" s="1624"/>
      <c r="N29" s="1625"/>
      <c r="O29" s="1624"/>
      <c r="P29" s="1624"/>
      <c r="Q29" s="1624"/>
      <c r="R29" s="1624"/>
      <c r="S29" s="1624"/>
      <c r="T29" s="1624"/>
      <c r="U29" s="1624"/>
      <c r="V29" s="1624"/>
      <c r="W29" s="1624"/>
      <c r="X29" s="1624"/>
      <c r="Y29" s="1624"/>
      <c r="Z29" s="1625"/>
      <c r="AA29" s="1624"/>
      <c r="AB29" s="1624"/>
      <c r="AC29" s="1624"/>
      <c r="AD29" s="1624"/>
      <c r="AE29" s="1624"/>
      <c r="AF29" s="1626"/>
      <c r="AG29" s="1625"/>
      <c r="AH29" s="442"/>
    </row>
    <row r="30" spans="1:34" ht="105">
      <c r="A30" s="170">
        <v>23</v>
      </c>
      <c r="B30" s="450" t="s">
        <v>1111</v>
      </c>
      <c r="C30" s="1616"/>
      <c r="D30" s="1047" t="s">
        <v>805</v>
      </c>
      <c r="E30" s="1047" t="s">
        <v>805</v>
      </c>
      <c r="F30" s="1047"/>
      <c r="G30" s="1047"/>
      <c r="H30" s="1047" t="s">
        <v>805</v>
      </c>
      <c r="I30" s="1047" t="s">
        <v>805</v>
      </c>
      <c r="J30" s="1047"/>
      <c r="K30" s="1047" t="s">
        <v>805</v>
      </c>
      <c r="L30" s="1047"/>
      <c r="M30" s="1047"/>
      <c r="N30" s="1617"/>
      <c r="O30" s="1047"/>
      <c r="P30" s="1047"/>
      <c r="Q30" s="1047"/>
      <c r="R30" s="1047"/>
      <c r="S30" s="1047"/>
      <c r="T30" s="1047"/>
      <c r="U30" s="1047"/>
      <c r="V30" s="1047"/>
      <c r="W30" s="1047"/>
      <c r="X30" s="1047"/>
      <c r="Y30" s="1047"/>
      <c r="Z30" s="1617"/>
      <c r="AA30" s="1047"/>
      <c r="AB30" s="1047"/>
      <c r="AC30" s="1047"/>
      <c r="AD30" s="1047"/>
      <c r="AE30" s="1047"/>
      <c r="AF30" s="463"/>
      <c r="AG30" s="1617"/>
      <c r="AH30" s="442"/>
    </row>
    <row r="31" spans="1:34" ht="60">
      <c r="A31" s="170">
        <v>24</v>
      </c>
      <c r="B31" s="378" t="s">
        <v>1112</v>
      </c>
      <c r="C31" s="1616"/>
      <c r="D31" s="1047"/>
      <c r="E31" s="1047"/>
      <c r="F31" s="1047"/>
      <c r="G31" s="1047"/>
      <c r="H31" s="1047"/>
      <c r="I31" s="1047"/>
      <c r="J31" s="1047"/>
      <c r="K31" s="1047"/>
      <c r="L31" s="1047"/>
      <c r="M31" s="1047"/>
      <c r="N31" s="1617"/>
      <c r="O31" s="1047"/>
      <c r="P31" s="1047"/>
      <c r="Q31" s="1047"/>
      <c r="R31" s="1047"/>
      <c r="S31" s="1047"/>
      <c r="T31" s="1047"/>
      <c r="U31" s="1047"/>
      <c r="V31" s="1047"/>
      <c r="W31" s="1047"/>
      <c r="X31" s="1047"/>
      <c r="Y31" s="1047"/>
      <c r="Z31" s="1617"/>
      <c r="AA31" s="1047"/>
      <c r="AB31" s="1047"/>
      <c r="AC31" s="1047"/>
      <c r="AD31" s="1047"/>
      <c r="AE31" s="1047"/>
      <c r="AF31" s="463"/>
      <c r="AG31" s="1617"/>
      <c r="AH31" s="442"/>
    </row>
    <row r="32" spans="1:34" ht="75">
      <c r="A32" s="169">
        <v>25</v>
      </c>
      <c r="B32" s="457" t="s">
        <v>1113</v>
      </c>
      <c r="C32" s="1616"/>
      <c r="D32" s="1047"/>
      <c r="E32" s="1047"/>
      <c r="F32" s="1047"/>
      <c r="G32" s="1047"/>
      <c r="H32" s="1047"/>
      <c r="I32" s="1047"/>
      <c r="J32" s="1047"/>
      <c r="K32" s="1047"/>
      <c r="L32" s="1047"/>
      <c r="M32" s="1047"/>
      <c r="N32" s="1617"/>
      <c r="O32" s="1047"/>
      <c r="P32" s="1047"/>
      <c r="Q32" s="1047"/>
      <c r="R32" s="1047"/>
      <c r="S32" s="1047"/>
      <c r="T32" s="1047"/>
      <c r="U32" s="1047"/>
      <c r="V32" s="1047"/>
      <c r="W32" s="1047"/>
      <c r="X32" s="1047"/>
      <c r="Y32" s="1047"/>
      <c r="Z32" s="1617"/>
      <c r="AA32" s="1047"/>
      <c r="AB32" s="1047"/>
      <c r="AC32" s="1047"/>
      <c r="AD32" s="1047"/>
      <c r="AE32" s="1047"/>
      <c r="AF32" s="463"/>
      <c r="AG32" s="1617"/>
      <c r="AH32" s="442"/>
    </row>
    <row r="33" spans="1:36" ht="105.75" thickBot="1">
      <c r="A33" s="449">
        <v>26</v>
      </c>
      <c r="B33" s="443" t="s">
        <v>1114</v>
      </c>
      <c r="C33" s="1627"/>
      <c r="D33" s="1628"/>
      <c r="E33" s="1628"/>
      <c r="F33" s="1628"/>
      <c r="G33" s="1628"/>
      <c r="H33" s="1628"/>
      <c r="I33" s="1628"/>
      <c r="J33" s="1628"/>
      <c r="K33" s="1628"/>
      <c r="L33" s="1628"/>
      <c r="M33" s="1628"/>
      <c r="N33" s="1629"/>
      <c r="O33" s="1628"/>
      <c r="P33" s="1628"/>
      <c r="Q33" s="1628"/>
      <c r="R33" s="1628"/>
      <c r="S33" s="1628"/>
      <c r="T33" s="1628"/>
      <c r="U33" s="1628"/>
      <c r="V33" s="1628"/>
      <c r="W33" s="1628"/>
      <c r="X33" s="1628"/>
      <c r="Y33" s="1628"/>
      <c r="Z33" s="1629"/>
      <c r="AA33" s="1628"/>
      <c r="AB33" s="1628"/>
      <c r="AC33" s="1628"/>
      <c r="AD33" s="1628"/>
      <c r="AE33" s="1628"/>
      <c r="AF33" s="1630"/>
      <c r="AG33" s="1629"/>
      <c r="AH33" s="381"/>
    </row>
    <row r="34" spans="1:36">
      <c r="B34" s="1631"/>
    </row>
    <row r="35" spans="1:36" ht="14.25">
      <c r="A35" s="188" t="s">
        <v>1102</v>
      </c>
      <c r="B35" s="410" t="s">
        <v>1115</v>
      </c>
      <c r="C35" s="1501"/>
      <c r="D35" s="1501"/>
      <c r="E35" s="1501"/>
      <c r="F35" s="1501"/>
      <c r="G35" s="1501"/>
      <c r="H35" s="1501"/>
      <c r="I35" s="1501"/>
      <c r="J35" s="1501"/>
      <c r="K35" s="1501"/>
      <c r="L35" s="1501"/>
      <c r="M35" s="1501"/>
      <c r="N35" s="1501"/>
      <c r="O35" s="1501"/>
      <c r="P35" s="1501"/>
      <c r="Q35" s="1501"/>
      <c r="R35" s="1501"/>
      <c r="S35" s="1501"/>
      <c r="T35" s="1501"/>
      <c r="U35" s="1501"/>
      <c r="V35" s="1501"/>
      <c r="W35" s="1501"/>
      <c r="X35" s="1501"/>
      <c r="Y35" s="1501"/>
      <c r="Z35" s="1501"/>
      <c r="AA35" s="1501"/>
      <c r="AB35" s="1501"/>
      <c r="AC35" s="1501"/>
      <c r="AD35" s="1501"/>
      <c r="AE35" s="1501"/>
      <c r="AF35" s="1501"/>
      <c r="AG35" s="1501"/>
      <c r="AH35" s="1501"/>
    </row>
    <row r="36" spans="1:36">
      <c r="B36" s="104"/>
      <c r="AH36" s="391" t="s">
        <v>125</v>
      </c>
      <c r="AI36" s="391"/>
      <c r="AJ36" s="391"/>
    </row>
    <row r="37" spans="1:36">
      <c r="B37" s="104"/>
    </row>
    <row r="38" spans="1:36">
      <c r="B38" s="104"/>
    </row>
    <row r="39" spans="1:36">
      <c r="B39" s="104"/>
    </row>
    <row r="40" spans="1:36">
      <c r="B40" s="104"/>
    </row>
    <row r="41" spans="1:36">
      <c r="B41" s="104"/>
    </row>
    <row r="42" spans="1:36">
      <c r="B42" s="104"/>
    </row>
    <row r="43" spans="1:36">
      <c r="B43" s="104"/>
    </row>
    <row r="44" spans="1:36">
      <c r="B44" s="104"/>
    </row>
    <row r="45" spans="1:36">
      <c r="B45" s="104"/>
    </row>
    <row r="46" spans="1:36">
      <c r="B46" s="104"/>
    </row>
    <row r="47" spans="1:36">
      <c r="B47" s="104"/>
    </row>
  </sheetData>
  <mergeCells count="9">
    <mergeCell ref="C35:AH35"/>
    <mergeCell ref="A2:AH2"/>
    <mergeCell ref="A1:AH1"/>
    <mergeCell ref="A3:AH3"/>
    <mergeCell ref="A4:AH4"/>
    <mergeCell ref="A5:AH5"/>
    <mergeCell ref="C6:N6"/>
    <mergeCell ref="O6:Z6"/>
    <mergeCell ref="AA6:AG6"/>
  </mergeCells>
  <phoneticPr fontId="4" type="noConversion"/>
  <hyperlinks>
    <hyperlink ref="C35:AH35" location="'TABLA DE CONTENIDO'!A1" display="VOLVER A TABLA DE CONTENIDO" xr:uid="{00000000-0004-0000-1900-000000000000}"/>
    <hyperlink ref="AH36" location="'TABLA DE CONTENIDO'!A1" display="VOLVER A TABLA DE CONTENIDO" xr:uid="{00000000-0004-0000-1900-000001000000}"/>
  </hyperlinks>
  <printOptions horizontalCentered="1" verticalCentered="1"/>
  <pageMargins left="0.47244094488188981" right="0.47244094488188981" top="0.51181102362204722" bottom="0.19685039370078741" header="0.51181102362204722" footer="0.19685039370078741"/>
  <pageSetup scale="25" orientation="portrait" horizontalDpi="120" verticalDpi="144"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K24"/>
  <sheetViews>
    <sheetView workbookViewId="0">
      <selection activeCell="D20" sqref="D20"/>
    </sheetView>
  </sheetViews>
  <sheetFormatPr defaultColWidth="11.42578125" defaultRowHeight="12.75"/>
  <cols>
    <col min="1" max="1" width="6.28515625" bestFit="1" customWidth="1"/>
    <col min="2" max="2" width="18.7109375" customWidth="1"/>
    <col min="3" max="3" width="10.28515625" customWidth="1"/>
    <col min="4" max="4" width="13.85546875" bestFit="1" customWidth="1"/>
    <col min="11" max="11" width="20.140625" customWidth="1"/>
  </cols>
  <sheetData>
    <row r="1" spans="1:11" ht="23.25">
      <c r="A1" s="1261" t="s">
        <v>1</v>
      </c>
      <c r="B1" s="1261"/>
      <c r="C1" s="1261"/>
      <c r="D1" s="1261"/>
      <c r="E1" s="1261"/>
      <c r="F1" s="1261"/>
      <c r="G1" s="1261"/>
      <c r="H1" s="1261"/>
      <c r="I1" s="1261"/>
      <c r="J1" s="1261"/>
      <c r="K1" s="1261"/>
    </row>
    <row r="2" spans="1:11" ht="12.75" customHeight="1">
      <c r="A2" s="1251"/>
      <c r="B2" s="1251"/>
      <c r="C2" s="1251"/>
      <c r="D2" s="1251"/>
      <c r="E2" s="1251"/>
      <c r="F2" s="1251"/>
      <c r="G2" s="1251"/>
      <c r="H2" s="1251"/>
      <c r="I2" s="1251"/>
      <c r="J2" s="1251"/>
      <c r="K2" s="1251"/>
    </row>
    <row r="3" spans="1:11" ht="18">
      <c r="A3" s="1256" t="s">
        <v>1116</v>
      </c>
      <c r="B3" s="1256"/>
      <c r="C3" s="1256"/>
      <c r="D3" s="1256"/>
      <c r="E3" s="1256"/>
      <c r="F3" s="1256"/>
      <c r="G3" s="1256"/>
      <c r="H3" s="1256"/>
      <c r="I3" s="1256"/>
      <c r="J3" s="1256"/>
      <c r="K3" s="1256"/>
    </row>
    <row r="4" spans="1:11" ht="18">
      <c r="A4" s="1256" t="s">
        <v>1117</v>
      </c>
      <c r="B4" s="1256"/>
      <c r="C4" s="1256"/>
      <c r="D4" s="1256"/>
      <c r="E4" s="1256"/>
      <c r="F4" s="1256"/>
      <c r="G4" s="1256"/>
      <c r="H4" s="1256"/>
      <c r="I4" s="1256"/>
      <c r="J4" s="1256"/>
      <c r="K4" s="1256"/>
    </row>
    <row r="7" spans="1:11">
      <c r="A7" s="1505" t="s">
        <v>1118</v>
      </c>
      <c r="B7" s="273" t="s">
        <v>1119</v>
      </c>
      <c r="C7" s="1505" t="s">
        <v>1120</v>
      </c>
      <c r="D7" s="1505" t="s">
        <v>1121</v>
      </c>
      <c r="E7" s="273" t="s">
        <v>1122</v>
      </c>
      <c r="F7" s="273" t="s">
        <v>780</v>
      </c>
      <c r="G7" s="273" t="s">
        <v>1123</v>
      </c>
      <c r="H7" s="1506" t="s">
        <v>1124</v>
      </c>
      <c r="I7" s="1506"/>
      <c r="J7" s="1506"/>
      <c r="K7" s="1505" t="s">
        <v>111</v>
      </c>
    </row>
    <row r="8" spans="1:11">
      <c r="A8" s="1395"/>
      <c r="B8" s="274" t="s">
        <v>1125</v>
      </c>
      <c r="C8" s="1395"/>
      <c r="D8" s="1395"/>
      <c r="E8" s="274" t="s">
        <v>1126</v>
      </c>
      <c r="F8" s="274" t="s">
        <v>1127</v>
      </c>
      <c r="G8" s="274" t="s">
        <v>1128</v>
      </c>
      <c r="H8" s="271" t="s">
        <v>1129</v>
      </c>
      <c r="I8" s="271" t="s">
        <v>1130</v>
      </c>
      <c r="J8" s="271" t="s">
        <v>1131</v>
      </c>
      <c r="K8" s="1395"/>
    </row>
    <row r="9" spans="1:11" ht="18" customHeight="1">
      <c r="A9" s="6">
        <v>2</v>
      </c>
      <c r="B9" s="1051" t="s">
        <v>6</v>
      </c>
      <c r="C9" s="1052" t="s">
        <v>1132</v>
      </c>
      <c r="D9" s="1632">
        <v>1276845362</v>
      </c>
      <c r="E9" s="1633">
        <v>43831</v>
      </c>
      <c r="F9" s="1633">
        <v>44773</v>
      </c>
      <c r="G9" s="1053">
        <v>53.74</v>
      </c>
      <c r="H9" s="1053" t="s">
        <v>1133</v>
      </c>
      <c r="I9" s="1053" t="s">
        <v>1134</v>
      </c>
      <c r="J9" s="1053">
        <v>2014</v>
      </c>
      <c r="K9" s="1051"/>
    </row>
    <row r="10" spans="1:11" ht="18" customHeight="1">
      <c r="A10" s="6"/>
      <c r="B10" s="1051"/>
      <c r="C10" s="1052"/>
      <c r="D10" s="1632"/>
      <c r="E10" s="1633"/>
      <c r="F10" s="1633"/>
      <c r="G10" s="1053"/>
      <c r="H10" s="1053"/>
      <c r="I10" s="1053"/>
      <c r="J10" s="1053"/>
      <c r="K10" s="1051"/>
    </row>
    <row r="11" spans="1:11" ht="18" customHeight="1">
      <c r="A11" s="6"/>
      <c r="B11" s="1051"/>
      <c r="C11" s="1052"/>
      <c r="D11" s="1632"/>
      <c r="E11" s="1633"/>
      <c r="F11" s="1634"/>
      <c r="G11" s="1635"/>
      <c r="H11" s="1635"/>
      <c r="I11" s="1635"/>
      <c r="J11" s="1635"/>
      <c r="K11" s="1051"/>
    </row>
    <row r="12" spans="1:11" ht="18" customHeight="1">
      <c r="A12" s="6"/>
      <c r="B12" s="1051"/>
      <c r="C12" s="1052"/>
      <c r="D12" s="1632"/>
      <c r="E12" s="1633"/>
      <c r="F12" s="1634"/>
      <c r="G12" s="1635"/>
      <c r="H12" s="1635"/>
      <c r="I12" s="1635"/>
      <c r="J12" s="1635"/>
      <c r="K12" s="1051"/>
    </row>
    <row r="13" spans="1:11" ht="18" customHeight="1">
      <c r="A13" s="6"/>
      <c r="B13" s="1051"/>
      <c r="C13" s="1052"/>
      <c r="D13" s="1632"/>
      <c r="E13" s="1633"/>
      <c r="F13" s="1634"/>
      <c r="G13" s="1635"/>
      <c r="H13" s="1635"/>
      <c r="I13" s="1635"/>
      <c r="J13" s="1635"/>
      <c r="K13" s="1051"/>
    </row>
    <row r="14" spans="1:11" ht="18" customHeight="1">
      <c r="A14" s="6"/>
      <c r="B14" s="1051"/>
      <c r="C14" s="1052"/>
      <c r="D14" s="1632"/>
      <c r="E14" s="1633"/>
      <c r="F14" s="1634"/>
      <c r="G14" s="1635"/>
      <c r="H14" s="1635"/>
      <c r="I14" s="1635"/>
      <c r="J14" s="1635"/>
      <c r="K14" s="1051"/>
    </row>
    <row r="15" spans="1:11" ht="18" customHeight="1">
      <c r="A15" s="6"/>
      <c r="B15" s="1051"/>
      <c r="C15" s="1052"/>
      <c r="D15" s="1632"/>
      <c r="E15" s="1633"/>
      <c r="F15" s="1634"/>
      <c r="G15" s="1635"/>
      <c r="H15" s="1635"/>
      <c r="I15" s="1635"/>
      <c r="J15" s="1635"/>
      <c r="K15" s="1051"/>
    </row>
    <row r="16" spans="1:11" ht="18" customHeight="1">
      <c r="A16" s="6"/>
      <c r="B16" s="1051"/>
      <c r="C16" s="1052"/>
      <c r="D16" s="1632"/>
      <c r="E16" s="1633"/>
      <c r="F16" s="1634"/>
      <c r="G16" s="1635"/>
      <c r="H16" s="1635"/>
      <c r="I16" s="1635"/>
      <c r="J16" s="1635"/>
      <c r="K16" s="1051"/>
    </row>
    <row r="17" spans="1:11" ht="18" customHeight="1">
      <c r="A17" s="6"/>
      <c r="B17" s="1051"/>
      <c r="C17" s="1052"/>
      <c r="D17" s="1632"/>
      <c r="E17" s="1633"/>
      <c r="F17" s="1634"/>
      <c r="G17" s="1635"/>
      <c r="H17" s="1635"/>
      <c r="I17" s="1635"/>
      <c r="J17" s="1635"/>
      <c r="K17" s="1051"/>
    </row>
    <row r="18" spans="1:11" ht="18" customHeight="1">
      <c r="A18" s="6"/>
      <c r="B18" s="1051"/>
      <c r="C18" s="1052"/>
      <c r="D18" s="1632"/>
      <c r="E18" s="1633"/>
      <c r="F18" s="1634"/>
      <c r="G18" s="1635"/>
      <c r="H18" s="1635"/>
      <c r="I18" s="1635"/>
      <c r="J18" s="1635"/>
      <c r="K18" s="1051"/>
    </row>
    <row r="19" spans="1:11" ht="18" customHeight="1">
      <c r="A19" s="6"/>
      <c r="B19" s="1051"/>
      <c r="C19" s="1052"/>
      <c r="D19" s="1632"/>
      <c r="E19" s="1633"/>
      <c r="F19" s="1634"/>
      <c r="G19" s="1635"/>
      <c r="H19" s="1635"/>
      <c r="I19" s="1635"/>
      <c r="J19" s="1635"/>
      <c r="K19" s="1051"/>
    </row>
    <row r="20" spans="1:11" ht="18" customHeight="1">
      <c r="A20" s="6"/>
      <c r="B20" s="1051"/>
      <c r="C20" s="1052"/>
      <c r="D20" s="1632"/>
      <c r="E20" s="1633"/>
      <c r="F20" s="1634"/>
      <c r="G20" s="1635"/>
      <c r="H20" s="1635"/>
      <c r="I20" s="1635"/>
      <c r="J20" s="1635"/>
      <c r="K20" s="1051"/>
    </row>
    <row r="21" spans="1:11" ht="18" customHeight="1">
      <c r="A21" s="6"/>
      <c r="B21" s="1051"/>
      <c r="C21" s="1052"/>
      <c r="D21" s="1632"/>
      <c r="E21" s="1633"/>
      <c r="F21" s="1634"/>
      <c r="G21" s="1635"/>
      <c r="H21" s="1635"/>
      <c r="I21" s="1635"/>
      <c r="J21" s="1635"/>
      <c r="K21" s="1051"/>
    </row>
    <row r="22" spans="1:11">
      <c r="A22" s="6"/>
      <c r="B22" s="1051"/>
      <c r="C22" s="1051"/>
      <c r="D22" s="1632"/>
      <c r="E22" s="1633"/>
      <c r="F22" s="1634"/>
      <c r="G22" s="1635"/>
      <c r="H22" s="1635"/>
      <c r="I22" s="1635"/>
      <c r="J22" s="1635"/>
      <c r="K22" s="1051"/>
    </row>
    <row r="24" spans="1:11">
      <c r="A24" s="66" t="s">
        <v>1135</v>
      </c>
      <c r="I24" s="1262" t="s">
        <v>125</v>
      </c>
      <c r="J24" s="1501"/>
      <c r="K24" s="1501"/>
    </row>
  </sheetData>
  <mergeCells count="9">
    <mergeCell ref="I24:K24"/>
    <mergeCell ref="A1:K1"/>
    <mergeCell ref="A3:K3"/>
    <mergeCell ref="A4:K4"/>
    <mergeCell ref="A7:A8"/>
    <mergeCell ref="C7:C8"/>
    <mergeCell ref="D7:D8"/>
    <mergeCell ref="K7:K8"/>
    <mergeCell ref="H7:J7"/>
  </mergeCells>
  <phoneticPr fontId="4" type="noConversion"/>
  <hyperlinks>
    <hyperlink ref="I24" location="'TABLA DE CONTENIDO'!A1" display="'TABLA DE CONTENIDO'!A1" xr:uid="{00000000-0004-0000-1A00-000000000000}"/>
    <hyperlink ref="I24:K24" location="'TABLA DE CONTENIDO'!A1" display="VOLVER A TABLA DE CONTENIDO" xr:uid="{00000000-0004-0000-1A00-000001000000}"/>
  </hyperlinks>
  <printOptions horizontalCentered="1" verticalCentered="1"/>
  <pageMargins left="0.55118110236220474" right="0.23622047244094491" top="0.78740157480314965" bottom="0.78740157480314965" header="0" footer="0"/>
  <pageSetup scale="14" orientation="landscape" horizontalDpi="4294967292"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31"/>
  <sheetViews>
    <sheetView workbookViewId="0">
      <selection activeCell="D20" sqref="D20"/>
    </sheetView>
  </sheetViews>
  <sheetFormatPr defaultColWidth="11.42578125" defaultRowHeight="12.75"/>
  <cols>
    <col min="1" max="1" width="7.7109375" bestFit="1" customWidth="1"/>
    <col min="2" max="2" width="25.28515625" customWidth="1"/>
    <col min="4" max="4" width="16.85546875" bestFit="1" customWidth="1"/>
    <col min="5" max="5" width="22.85546875" customWidth="1"/>
    <col min="6" max="6" width="16.85546875" customWidth="1"/>
    <col min="7" max="8" width="10.7109375" customWidth="1"/>
  </cols>
  <sheetData>
    <row r="1" spans="1:8" ht="23.25">
      <c r="A1" s="1261" t="s">
        <v>1</v>
      </c>
      <c r="B1" s="1261"/>
      <c r="C1" s="1261"/>
      <c r="D1" s="1261"/>
      <c r="E1" s="1261"/>
      <c r="F1" s="1261"/>
      <c r="G1" s="1261"/>
      <c r="H1" s="1261"/>
    </row>
    <row r="2" spans="1:8" ht="14.25" customHeight="1">
      <c r="A2" s="1251"/>
      <c r="B2" s="1251"/>
      <c r="C2" s="1251"/>
      <c r="D2" s="1251"/>
      <c r="E2" s="1251"/>
      <c r="F2" s="1251"/>
      <c r="G2" s="1251"/>
      <c r="H2" s="1251"/>
    </row>
    <row r="3" spans="1:8" ht="18">
      <c r="A3" s="1256" t="s">
        <v>1136</v>
      </c>
      <c r="B3" s="1256"/>
      <c r="C3" s="1256"/>
      <c r="D3" s="1256"/>
      <c r="E3" s="1256"/>
      <c r="F3" s="1256"/>
      <c r="G3" s="1256"/>
      <c r="H3" s="1256"/>
    </row>
    <row r="4" spans="1:8" ht="18">
      <c r="A4" s="1256" t="s">
        <v>1137</v>
      </c>
      <c r="B4" s="1256"/>
      <c r="C4" s="1256"/>
      <c r="D4" s="1256"/>
      <c r="E4" s="1256"/>
      <c r="F4" s="1256"/>
      <c r="G4" s="1256"/>
      <c r="H4" s="1256"/>
    </row>
    <row r="7" spans="1:8">
      <c r="A7" s="186" t="s">
        <v>1118</v>
      </c>
      <c r="B7" s="186" t="s">
        <v>1119</v>
      </c>
      <c r="C7" s="186" t="s">
        <v>1138</v>
      </c>
      <c r="D7" s="186" t="s">
        <v>1139</v>
      </c>
      <c r="E7" s="186" t="s">
        <v>1140</v>
      </c>
      <c r="F7" s="186" t="s">
        <v>1140</v>
      </c>
      <c r="G7" s="1509" t="s">
        <v>1141</v>
      </c>
      <c r="H7" s="1509"/>
    </row>
    <row r="8" spans="1:8">
      <c r="A8" s="183"/>
      <c r="B8" s="183" t="s">
        <v>1125</v>
      </c>
      <c r="C8" s="183" t="s">
        <v>1142</v>
      </c>
      <c r="D8" s="183" t="s">
        <v>1143</v>
      </c>
      <c r="E8" s="183" t="s">
        <v>1144</v>
      </c>
      <c r="F8" s="183" t="s">
        <v>1145</v>
      </c>
      <c r="G8" s="1510" t="s">
        <v>1146</v>
      </c>
      <c r="H8" s="1510"/>
    </row>
    <row r="9" spans="1:8" ht="18" customHeight="1">
      <c r="A9" s="1016">
        <v>1</v>
      </c>
      <c r="B9" s="1051"/>
      <c r="C9" s="1052"/>
      <c r="D9" s="1051"/>
      <c r="E9" s="1053"/>
      <c r="F9" s="1053"/>
      <c r="G9" s="1053"/>
      <c r="H9" s="1056"/>
    </row>
    <row r="10" spans="1:8" ht="18" customHeight="1">
      <c r="A10" s="1016">
        <v>2</v>
      </c>
      <c r="B10" s="1051" t="s">
        <v>6</v>
      </c>
      <c r="C10" s="1052" t="s">
        <v>1147</v>
      </c>
      <c r="D10" s="1051" t="s">
        <v>1148</v>
      </c>
      <c r="E10" s="1053" t="s">
        <v>88</v>
      </c>
      <c r="F10" s="1053" t="s">
        <v>90</v>
      </c>
      <c r="G10" s="1511" t="s">
        <v>1149</v>
      </c>
      <c r="H10" s="1636"/>
    </row>
    <row r="11" spans="1:8" ht="18" customHeight="1">
      <c r="A11" s="1016">
        <v>3</v>
      </c>
      <c r="B11" s="1051"/>
      <c r="C11" s="1052"/>
      <c r="D11" s="1051"/>
      <c r="E11" s="1053"/>
      <c r="F11" s="1635"/>
      <c r="G11" s="1635"/>
      <c r="H11" s="1056"/>
    </row>
    <row r="12" spans="1:8" ht="18" customHeight="1">
      <c r="A12" s="1016">
        <v>4</v>
      </c>
      <c r="B12" s="1051"/>
      <c r="C12" s="1051"/>
      <c r="D12" s="1051"/>
      <c r="E12" s="1053"/>
      <c r="F12" s="1635"/>
      <c r="G12" s="1635"/>
      <c r="H12" s="1056"/>
    </row>
    <row r="13" spans="1:8">
      <c r="A13" s="104"/>
      <c r="B13" s="104"/>
      <c r="C13" s="104"/>
      <c r="D13" s="104"/>
      <c r="E13" s="104"/>
      <c r="F13" s="104"/>
      <c r="G13" s="104"/>
      <c r="H13" s="104"/>
    </row>
    <row r="15" spans="1:8">
      <c r="A15" s="186" t="s">
        <v>1118</v>
      </c>
      <c r="B15" s="186" t="s">
        <v>1150</v>
      </c>
      <c r="C15" s="1507" t="s">
        <v>1151</v>
      </c>
      <c r="D15" s="1507"/>
      <c r="E15" s="1507"/>
      <c r="F15" s="1508" t="s">
        <v>1152</v>
      </c>
      <c r="G15" s="186" t="s">
        <v>1153</v>
      </c>
      <c r="H15" s="186" t="s">
        <v>1154</v>
      </c>
    </row>
    <row r="16" spans="1:8">
      <c r="A16" s="183"/>
      <c r="B16" s="183" t="s">
        <v>1155</v>
      </c>
      <c r="C16" s="272" t="s">
        <v>1156</v>
      </c>
      <c r="D16" s="272" t="s">
        <v>1157</v>
      </c>
      <c r="E16" s="272" t="s">
        <v>1158</v>
      </c>
      <c r="F16" s="1508"/>
      <c r="G16" s="183"/>
      <c r="H16" s="183"/>
    </row>
    <row r="17" spans="1:8" ht="18" customHeight="1">
      <c r="A17" s="1016">
        <v>1</v>
      </c>
      <c r="B17" s="1051"/>
      <c r="C17" s="1055"/>
      <c r="D17" s="1051"/>
      <c r="E17" s="1053"/>
      <c r="F17" s="1051"/>
      <c r="G17" s="1056"/>
      <c r="H17" s="1056"/>
    </row>
    <row r="18" spans="1:8" ht="18" customHeight="1">
      <c r="A18" s="1016"/>
      <c r="B18" s="1051"/>
      <c r="C18" s="1055"/>
      <c r="D18" s="1051"/>
      <c r="E18" s="1053"/>
      <c r="F18" s="1051"/>
      <c r="G18" s="1056"/>
      <c r="H18" s="1056"/>
    </row>
    <row r="19" spans="1:8" ht="18" customHeight="1">
      <c r="A19" s="1016"/>
      <c r="B19" s="1051"/>
      <c r="C19" s="1055"/>
      <c r="D19" s="1051"/>
      <c r="E19" s="1053"/>
      <c r="F19" s="1051"/>
      <c r="G19" s="1056"/>
      <c r="H19" s="1056"/>
    </row>
    <row r="20" spans="1:8" ht="18" customHeight="1">
      <c r="A20" s="1016"/>
      <c r="B20" s="1051"/>
      <c r="C20" s="1055"/>
      <c r="D20" s="1051"/>
      <c r="E20" s="1053"/>
      <c r="F20" s="1051"/>
      <c r="G20" s="1056"/>
      <c r="H20" s="1056"/>
    </row>
    <row r="21" spans="1:8" ht="18" customHeight="1">
      <c r="A21" s="1016">
        <v>2</v>
      </c>
      <c r="B21" s="1054" t="s">
        <v>102</v>
      </c>
      <c r="C21" s="1055" t="s">
        <v>90</v>
      </c>
      <c r="D21" s="1051" t="s">
        <v>1159</v>
      </c>
      <c r="E21" s="1053">
        <v>3112100453</v>
      </c>
      <c r="F21" s="1051" t="s">
        <v>1160</v>
      </c>
      <c r="G21" s="1056" t="s">
        <v>116</v>
      </c>
      <c r="H21" s="1056" t="s">
        <v>117</v>
      </c>
    </row>
    <row r="22" spans="1:8" ht="18" customHeight="1">
      <c r="A22" s="1016"/>
      <c r="B22" s="1051"/>
      <c r="C22" s="1055"/>
      <c r="D22" s="1051"/>
      <c r="E22" s="1053"/>
      <c r="F22" s="1051"/>
      <c r="G22" s="1056"/>
      <c r="H22" s="1056"/>
    </row>
    <row r="23" spans="1:8" ht="18" customHeight="1">
      <c r="A23" s="1016"/>
      <c r="B23" s="1051"/>
      <c r="C23" s="1055"/>
      <c r="D23" s="1051"/>
      <c r="E23" s="1053"/>
      <c r="F23" s="1051"/>
      <c r="G23" s="1056"/>
      <c r="H23" s="1056"/>
    </row>
    <row r="24" spans="1:8" ht="18" customHeight="1">
      <c r="A24" s="1016"/>
      <c r="B24" s="1051"/>
      <c r="C24" s="1055"/>
      <c r="D24" s="1051"/>
      <c r="E24" s="1053"/>
      <c r="F24" s="1051"/>
      <c r="G24" s="1056"/>
      <c r="H24" s="1056"/>
    </row>
    <row r="25" spans="1:8" ht="18" customHeight="1">
      <c r="A25" s="1016">
        <v>3</v>
      </c>
      <c r="B25" s="1051"/>
      <c r="C25" s="1055"/>
      <c r="D25" s="1051"/>
      <c r="E25" s="1053"/>
      <c r="F25" s="1051"/>
      <c r="G25" s="1056"/>
      <c r="H25" s="1056"/>
    </row>
    <row r="26" spans="1:8" ht="18" customHeight="1">
      <c r="A26" s="1016"/>
      <c r="B26" s="1051"/>
      <c r="C26" s="1055"/>
      <c r="D26" s="1051"/>
      <c r="E26" s="1053"/>
      <c r="F26" s="1051"/>
      <c r="G26" s="1056"/>
      <c r="H26" s="1056"/>
    </row>
    <row r="27" spans="1:8" ht="18" customHeight="1">
      <c r="A27" s="1016"/>
      <c r="B27" s="1051"/>
      <c r="C27" s="1055"/>
      <c r="D27" s="1051"/>
      <c r="E27" s="1053"/>
      <c r="F27" s="1051"/>
      <c r="G27" s="1056"/>
      <c r="H27" s="1056"/>
    </row>
    <row r="28" spans="1:8" ht="18" customHeight="1">
      <c r="A28" s="1016"/>
      <c r="B28" s="1051"/>
      <c r="C28" s="1055"/>
      <c r="D28" s="1051"/>
      <c r="E28" s="1053"/>
      <c r="F28" s="1051"/>
      <c r="G28" s="1056"/>
      <c r="H28" s="1056"/>
    </row>
    <row r="29" spans="1:8" ht="18" customHeight="1">
      <c r="A29" s="1016">
        <v>4</v>
      </c>
      <c r="B29" s="1051"/>
      <c r="C29" s="1055"/>
      <c r="D29" s="1055"/>
      <c r="E29" s="1053"/>
      <c r="F29" s="1051"/>
      <c r="G29" s="1056"/>
      <c r="H29" s="1056"/>
    </row>
    <row r="31" spans="1:8">
      <c r="F31" s="1262" t="s">
        <v>125</v>
      </c>
      <c r="G31" s="1501"/>
      <c r="H31" s="1501"/>
    </row>
  </sheetData>
  <mergeCells count="9">
    <mergeCell ref="F31:H31"/>
    <mergeCell ref="A1:H1"/>
    <mergeCell ref="A4:H4"/>
    <mergeCell ref="C15:E15"/>
    <mergeCell ref="A3:H3"/>
    <mergeCell ref="F15:F16"/>
    <mergeCell ref="G7:H7"/>
    <mergeCell ref="G8:H8"/>
    <mergeCell ref="G10:H10"/>
  </mergeCells>
  <phoneticPr fontId="4" type="noConversion"/>
  <hyperlinks>
    <hyperlink ref="F31" location="'TABLA DE CONTENIDO'!A1" display="'TABLA DE CONTENIDO'!A1" xr:uid="{00000000-0004-0000-1B00-000000000000}"/>
    <hyperlink ref="F31:H31" location="'TABLA DE CONTENIDO'!A1" display="VOLVER A TABLA DE CONTENIDO" xr:uid="{00000000-0004-0000-1B00-000001000000}"/>
    <hyperlink ref="B21" r:id="rId1" xr:uid="{00000000-0004-0000-1B00-000002000000}"/>
  </hyperlinks>
  <printOptions horizontalCentered="1"/>
  <pageMargins left="0.59055118110236227" right="0.46" top="0.78740157480314965" bottom="0.78740157480314965" header="0" footer="0"/>
  <pageSetup orientation="landscape" horizontalDpi="4294967292" r:id="rId2"/>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M28"/>
  <sheetViews>
    <sheetView workbookViewId="0">
      <selection activeCell="D20" sqref="D20"/>
    </sheetView>
  </sheetViews>
  <sheetFormatPr defaultColWidth="11.42578125" defaultRowHeight="12.75"/>
  <cols>
    <col min="1" max="1" width="7.85546875" customWidth="1"/>
    <col min="2" max="2" width="15.5703125" bestFit="1" customWidth="1"/>
    <col min="3" max="6" width="7.7109375" customWidth="1"/>
    <col min="8" max="8" width="18.28515625" customWidth="1"/>
    <col min="9" max="9" width="16.85546875" customWidth="1"/>
    <col min="10" max="10" width="7.5703125" customWidth="1"/>
    <col min="11" max="11" width="9.140625" customWidth="1"/>
    <col min="13" max="13" width="12.42578125" bestFit="1" customWidth="1"/>
  </cols>
  <sheetData>
    <row r="1" spans="1:13" ht="23.25">
      <c r="A1" s="1261" t="s">
        <v>1</v>
      </c>
      <c r="B1" s="1261"/>
      <c r="C1" s="1261"/>
      <c r="D1" s="1261"/>
      <c r="E1" s="1261"/>
      <c r="F1" s="1261"/>
      <c r="G1" s="1261"/>
      <c r="H1" s="1261"/>
      <c r="I1" s="1261"/>
      <c r="J1" s="1261"/>
      <c r="K1" s="1261"/>
      <c r="L1" s="1261"/>
      <c r="M1" s="1261"/>
    </row>
    <row r="2" spans="1:13" ht="12.75" customHeight="1">
      <c r="A2" s="1251"/>
      <c r="B2" s="1251"/>
      <c r="C2" s="1251"/>
      <c r="D2" s="1251"/>
      <c r="E2" s="1251"/>
      <c r="F2" s="1251"/>
      <c r="G2" s="1251"/>
      <c r="H2" s="1251"/>
      <c r="I2" s="1251"/>
      <c r="J2" s="1251"/>
      <c r="K2" s="1251"/>
      <c r="L2" s="1251"/>
      <c r="M2" s="1251"/>
    </row>
    <row r="3" spans="1:13" ht="18">
      <c r="A3" s="1256" t="s">
        <v>1161</v>
      </c>
      <c r="B3" s="1256"/>
      <c r="C3" s="1256"/>
      <c r="D3" s="1256"/>
      <c r="E3" s="1256"/>
      <c r="F3" s="1256"/>
      <c r="G3" s="1256"/>
      <c r="H3" s="1256"/>
      <c r="I3" s="1256"/>
      <c r="J3" s="1256"/>
      <c r="K3" s="1256"/>
      <c r="L3" s="1256"/>
      <c r="M3" s="1256"/>
    </row>
    <row r="4" spans="1:13" ht="18">
      <c r="A4" s="1256" t="s">
        <v>1162</v>
      </c>
      <c r="B4" s="1256"/>
      <c r="C4" s="1256"/>
      <c r="D4" s="1256"/>
      <c r="E4" s="1256"/>
      <c r="F4" s="1256"/>
      <c r="G4" s="1256"/>
      <c r="H4" s="1256"/>
      <c r="I4" s="1256"/>
      <c r="J4" s="1256"/>
      <c r="K4" s="1256"/>
      <c r="L4" s="1256"/>
      <c r="M4" s="1256"/>
    </row>
    <row r="6" spans="1:13">
      <c r="A6" s="188" t="s">
        <v>1163</v>
      </c>
      <c r="C6" s="3"/>
      <c r="D6" s="467" t="s">
        <v>856</v>
      </c>
      <c r="E6" s="3"/>
      <c r="F6" s="3"/>
      <c r="G6" s="3"/>
      <c r="H6" s="3"/>
    </row>
    <row r="7" spans="1:13" ht="13.5" thickBot="1"/>
    <row r="8" spans="1:13" ht="13.5" thickBot="1">
      <c r="A8" s="261" t="s">
        <v>1118</v>
      </c>
      <c r="B8" s="261" t="s">
        <v>1164</v>
      </c>
      <c r="C8" s="1512" t="s">
        <v>1165</v>
      </c>
      <c r="D8" s="1513"/>
      <c r="E8" s="1513"/>
      <c r="F8" s="1514"/>
      <c r="G8" s="261" t="s">
        <v>1166</v>
      </c>
      <c r="H8" s="261" t="s">
        <v>1167</v>
      </c>
      <c r="I8" s="262" t="s">
        <v>1168</v>
      </c>
      <c r="J8" s="262" t="s">
        <v>790</v>
      </c>
      <c r="K8" s="209" t="s">
        <v>1169</v>
      </c>
      <c r="L8" s="1512" t="s">
        <v>1170</v>
      </c>
      <c r="M8" s="1514"/>
    </row>
    <row r="9" spans="1:13" ht="13.5" thickBot="1">
      <c r="A9" s="263"/>
      <c r="B9" s="263" t="s">
        <v>1171</v>
      </c>
      <c r="C9" s="264" t="s">
        <v>1172</v>
      </c>
      <c r="D9" s="264" t="s">
        <v>1173</v>
      </c>
      <c r="E9" s="264" t="s">
        <v>1174</v>
      </c>
      <c r="F9" s="264" t="s">
        <v>1175</v>
      </c>
      <c r="G9" s="263" t="s">
        <v>1176</v>
      </c>
      <c r="H9" s="263" t="s">
        <v>1177</v>
      </c>
      <c r="I9" s="263" t="s">
        <v>1178</v>
      </c>
      <c r="J9" s="265" t="s">
        <v>1179</v>
      </c>
      <c r="K9" s="210" t="s">
        <v>1180</v>
      </c>
      <c r="L9" s="264" t="s">
        <v>1181</v>
      </c>
      <c r="M9" s="264" t="s">
        <v>1127</v>
      </c>
    </row>
    <row r="10" spans="1:13">
      <c r="A10" s="211"/>
      <c r="B10" s="212"/>
      <c r="C10" s="213"/>
      <c r="D10" s="212"/>
      <c r="E10" s="212"/>
      <c r="F10" s="212"/>
      <c r="G10" s="213"/>
      <c r="H10" s="214"/>
      <c r="I10" s="214"/>
      <c r="J10" s="215"/>
      <c r="K10" s="212"/>
      <c r="L10" s="216"/>
      <c r="M10" s="217"/>
    </row>
    <row r="11" spans="1:13">
      <c r="A11" s="218">
        <v>2</v>
      </c>
      <c r="B11" s="219" t="s">
        <v>1182</v>
      </c>
      <c r="C11" s="220">
        <v>0</v>
      </c>
      <c r="D11" s="219">
        <v>0</v>
      </c>
      <c r="E11" s="219">
        <v>53.74</v>
      </c>
      <c r="F11" s="219">
        <v>0</v>
      </c>
      <c r="G11" s="220">
        <f>+C11+D11+E11+F11</f>
        <v>53.74</v>
      </c>
      <c r="H11" s="221">
        <v>2350959240</v>
      </c>
      <c r="I11" s="221">
        <f>+H11</f>
        <v>2350959240</v>
      </c>
      <c r="J11" s="222">
        <v>18</v>
      </c>
      <c r="K11" s="219" t="s">
        <v>1183</v>
      </c>
      <c r="L11" s="1057">
        <v>43801</v>
      </c>
      <c r="M11" s="1058">
        <v>44773</v>
      </c>
    </row>
    <row r="12" spans="1:13">
      <c r="A12" s="225"/>
      <c r="B12" s="226"/>
      <c r="C12" s="227"/>
      <c r="D12" s="226"/>
      <c r="E12" s="226"/>
      <c r="F12" s="226"/>
      <c r="G12" s="227"/>
      <c r="H12" s="228"/>
      <c r="I12" s="228"/>
      <c r="J12" s="229"/>
      <c r="K12" s="226"/>
      <c r="L12" s="230"/>
      <c r="M12" s="224"/>
    </row>
    <row r="13" spans="1:13">
      <c r="A13" s="225"/>
      <c r="B13" s="226"/>
      <c r="C13" s="227"/>
      <c r="D13" s="226"/>
      <c r="E13" s="226"/>
      <c r="F13" s="226"/>
      <c r="G13" s="227"/>
      <c r="H13" s="231"/>
      <c r="I13" s="231"/>
      <c r="J13" s="229"/>
      <c r="K13" s="226"/>
      <c r="L13" s="223"/>
      <c r="M13" s="232"/>
    </row>
    <row r="14" spans="1:13">
      <c r="A14" s="225"/>
      <c r="B14" s="226"/>
      <c r="C14" s="227"/>
      <c r="D14" s="226"/>
      <c r="E14" s="226"/>
      <c r="F14" s="226"/>
      <c r="G14" s="227"/>
      <c r="H14" s="228"/>
      <c r="I14" s="228"/>
      <c r="J14" s="229"/>
      <c r="K14" s="226"/>
      <c r="L14" s="230"/>
      <c r="M14" s="224"/>
    </row>
    <row r="15" spans="1:13">
      <c r="A15" s="225"/>
      <c r="B15" s="226"/>
      <c r="C15" s="227"/>
      <c r="D15" s="226"/>
      <c r="E15" s="226"/>
      <c r="F15" s="226"/>
      <c r="G15" s="227"/>
      <c r="H15" s="233"/>
      <c r="I15" s="233"/>
      <c r="J15" s="234"/>
      <c r="K15" s="226"/>
      <c r="L15" s="223"/>
      <c r="M15" s="232"/>
    </row>
    <row r="16" spans="1:13">
      <c r="A16" s="225"/>
      <c r="B16" s="226"/>
      <c r="C16" s="227"/>
      <c r="D16" s="226"/>
      <c r="E16" s="226"/>
      <c r="F16" s="226"/>
      <c r="G16" s="227"/>
      <c r="H16" s="221"/>
      <c r="I16" s="221"/>
      <c r="J16" s="229"/>
      <c r="K16" s="226"/>
      <c r="L16" s="230"/>
      <c r="M16" s="235"/>
    </row>
    <row r="17" spans="1:13">
      <c r="A17" s="225"/>
      <c r="B17" s="226"/>
      <c r="C17" s="227"/>
      <c r="D17" s="227"/>
      <c r="E17" s="227"/>
      <c r="F17" s="227"/>
      <c r="G17" s="227"/>
      <c r="H17" s="228"/>
      <c r="I17" s="228"/>
      <c r="J17" s="236"/>
      <c r="K17" s="226"/>
      <c r="L17" s="230"/>
      <c r="M17" s="235"/>
    </row>
    <row r="18" spans="1:13">
      <c r="A18" s="225"/>
      <c r="B18" s="226"/>
      <c r="C18" s="226"/>
      <c r="D18" s="226"/>
      <c r="E18" s="226"/>
      <c r="F18" s="226"/>
      <c r="G18" s="226"/>
      <c r="H18" s="228"/>
      <c r="I18" s="228"/>
      <c r="J18" s="236"/>
      <c r="K18" s="226"/>
      <c r="L18" s="230"/>
      <c r="M18" s="235"/>
    </row>
    <row r="19" spans="1:13">
      <c r="A19" s="225"/>
      <c r="B19" s="226"/>
      <c r="C19" s="226"/>
      <c r="D19" s="226"/>
      <c r="E19" s="226"/>
      <c r="F19" s="226"/>
      <c r="G19" s="226"/>
      <c r="H19" s="228"/>
      <c r="I19" s="228"/>
      <c r="J19" s="236"/>
      <c r="K19" s="226"/>
      <c r="L19" s="230"/>
      <c r="M19" s="235"/>
    </row>
    <row r="20" spans="1:13">
      <c r="A20" s="225"/>
      <c r="B20" s="226"/>
      <c r="C20" s="226"/>
      <c r="D20" s="237"/>
      <c r="E20" s="226"/>
      <c r="F20" s="226"/>
      <c r="G20" s="226"/>
      <c r="H20" s="228"/>
      <c r="I20" s="228"/>
      <c r="J20" s="236"/>
      <c r="K20" s="226"/>
      <c r="L20" s="230"/>
      <c r="M20" s="235"/>
    </row>
    <row r="21" spans="1:13">
      <c r="A21" s="225"/>
      <c r="B21" s="226"/>
      <c r="C21" s="226"/>
      <c r="D21" s="226"/>
      <c r="E21" s="226"/>
      <c r="F21" s="226"/>
      <c r="G21" s="226"/>
      <c r="H21" s="228"/>
      <c r="I21" s="228"/>
      <c r="J21" s="236"/>
      <c r="K21" s="226"/>
      <c r="L21" s="230"/>
      <c r="M21" s="235"/>
    </row>
    <row r="22" spans="1:13">
      <c r="A22" s="225"/>
      <c r="B22" s="226"/>
      <c r="C22" s="226"/>
      <c r="D22" s="237"/>
      <c r="E22" s="226"/>
      <c r="F22" s="226"/>
      <c r="G22" s="226"/>
      <c r="H22" s="228"/>
      <c r="I22" s="228"/>
      <c r="J22" s="236"/>
      <c r="K22" s="226"/>
      <c r="L22" s="230"/>
      <c r="M22" s="235"/>
    </row>
    <row r="23" spans="1:13">
      <c r="A23" s="225"/>
      <c r="B23" s="226"/>
      <c r="C23" s="226"/>
      <c r="D23" s="238"/>
      <c r="E23" s="226"/>
      <c r="F23" s="226"/>
      <c r="G23" s="226"/>
      <c r="H23" s="228"/>
      <c r="I23" s="228"/>
      <c r="J23" s="236"/>
      <c r="K23" s="226"/>
      <c r="L23" s="230"/>
      <c r="M23" s="235"/>
    </row>
    <row r="24" spans="1:13">
      <c r="A24" s="225"/>
      <c r="B24" s="226"/>
      <c r="C24" s="226"/>
      <c r="D24" s="237"/>
      <c r="E24" s="226"/>
      <c r="F24" s="226"/>
      <c r="G24" s="226"/>
      <c r="H24" s="228"/>
      <c r="I24" s="228"/>
      <c r="J24" s="236"/>
      <c r="K24" s="226"/>
      <c r="L24" s="230"/>
      <c r="M24" s="235"/>
    </row>
    <row r="25" spans="1:13" ht="13.5" thickBot="1">
      <c r="A25" s="239"/>
      <c r="B25" s="240"/>
      <c r="C25" s="240"/>
      <c r="D25" s="241"/>
      <c r="E25" s="240"/>
      <c r="F25" s="240"/>
      <c r="G25" s="240"/>
      <c r="H25" s="242"/>
      <c r="I25" s="242"/>
      <c r="J25" s="243"/>
      <c r="K25" s="240"/>
      <c r="L25" s="244"/>
      <c r="M25" s="245"/>
    </row>
    <row r="26" spans="1:13" ht="13.5" thickBot="1">
      <c r="A26" s="246"/>
      <c r="B26" s="247" t="s">
        <v>120</v>
      </c>
      <c r="C26" s="248">
        <f>SUM(C10:C25)</f>
        <v>0</v>
      </c>
      <c r="D26" s="248">
        <f t="shared" ref="D26:J26" si="0">SUM(D10:D25)</f>
        <v>0</v>
      </c>
      <c r="E26" s="248">
        <f t="shared" si="0"/>
        <v>53.74</v>
      </c>
      <c r="F26" s="248">
        <f t="shared" si="0"/>
        <v>0</v>
      </c>
      <c r="G26" s="248">
        <f t="shared" si="0"/>
        <v>53.74</v>
      </c>
      <c r="H26" s="1059">
        <f t="shared" si="0"/>
        <v>2350959240</v>
      </c>
      <c r="I26" s="1059">
        <f t="shared" si="0"/>
        <v>2350959240</v>
      </c>
      <c r="J26" s="266">
        <f t="shared" si="0"/>
        <v>18</v>
      </c>
      <c r="K26" s="260"/>
      <c r="L26" s="249"/>
      <c r="M26" s="249"/>
    </row>
    <row r="28" spans="1:13">
      <c r="J28" s="1262" t="s">
        <v>125</v>
      </c>
      <c r="K28" s="1501"/>
      <c r="L28" s="1501"/>
      <c r="M28" s="1501"/>
    </row>
  </sheetData>
  <mergeCells count="6">
    <mergeCell ref="J28:M28"/>
    <mergeCell ref="A1:M1"/>
    <mergeCell ref="A4:M4"/>
    <mergeCell ref="C8:F8"/>
    <mergeCell ref="L8:M8"/>
    <mergeCell ref="A3:M3"/>
  </mergeCells>
  <phoneticPr fontId="4" type="noConversion"/>
  <hyperlinks>
    <hyperlink ref="J28" location="'TABLA DE CONTENIDO'!A1" display="'TABLA DE CONTENIDO'!A1" xr:uid="{00000000-0004-0000-1C00-000000000000}"/>
    <hyperlink ref="J28:M28" location="'TABLA DE CONTENIDO'!A1" display="VOLVER A TABLA DE CONTENIDO" xr:uid="{00000000-0004-0000-1C00-000001000000}"/>
  </hyperlinks>
  <printOptions horizontalCentered="1" verticalCentered="1"/>
  <pageMargins left="0.74803149606299213" right="0.39370078740157483" top="0.78740157480314965" bottom="0.78740157480314965" header="0.15748031496062992" footer="0"/>
  <pageSetup scale="26" orientation="landscape" horizontalDpi="4294967292"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K25"/>
  <sheetViews>
    <sheetView workbookViewId="0">
      <selection activeCell="D20" sqref="D20"/>
    </sheetView>
  </sheetViews>
  <sheetFormatPr defaultColWidth="11.42578125" defaultRowHeight="12.75"/>
  <cols>
    <col min="1" max="1" width="9.28515625" customWidth="1"/>
    <col min="2" max="2" width="22" customWidth="1"/>
    <col min="3" max="3" width="14" bestFit="1" customWidth="1"/>
    <col min="5" max="5" width="22.5703125" customWidth="1"/>
    <col min="7" max="7" width="9.5703125" customWidth="1"/>
    <col min="8" max="8" width="19.85546875" customWidth="1"/>
    <col min="9" max="10" width="8.7109375" customWidth="1"/>
    <col min="11" max="11" width="17" customWidth="1"/>
  </cols>
  <sheetData>
    <row r="1" spans="1:11" ht="23.25">
      <c r="A1" s="1261" t="s">
        <v>1</v>
      </c>
      <c r="B1" s="1261"/>
      <c r="C1" s="1261"/>
      <c r="D1" s="1261"/>
      <c r="E1" s="1261"/>
      <c r="F1" s="1261"/>
      <c r="G1" s="1261"/>
      <c r="H1" s="1261"/>
      <c r="I1" s="1261"/>
      <c r="J1" s="1261"/>
      <c r="K1" s="1261"/>
    </row>
    <row r="2" spans="1:11" ht="14.25" customHeight="1">
      <c r="A2" s="1251"/>
      <c r="B2" s="1251"/>
      <c r="C2" s="1251"/>
      <c r="D2" s="1251"/>
      <c r="E2" s="1251"/>
      <c r="F2" s="1251"/>
      <c r="G2" s="1251"/>
      <c r="H2" s="1251"/>
      <c r="I2" s="1251"/>
      <c r="J2" s="1251"/>
      <c r="K2" s="1251"/>
    </row>
    <row r="3" spans="1:11" ht="18">
      <c r="A3" s="1256" t="s">
        <v>1184</v>
      </c>
      <c r="B3" s="1256"/>
      <c r="C3" s="1256"/>
      <c r="D3" s="1256"/>
      <c r="E3" s="1256"/>
      <c r="F3" s="1256"/>
      <c r="G3" s="1256"/>
      <c r="H3" s="1256"/>
      <c r="I3" s="1256"/>
      <c r="J3" s="1256"/>
      <c r="K3" s="1256"/>
    </row>
    <row r="4" spans="1:11" ht="18">
      <c r="A4" s="1256" t="s">
        <v>1185</v>
      </c>
      <c r="B4" s="1256"/>
      <c r="C4" s="1256"/>
      <c r="D4" s="1256"/>
      <c r="E4" s="1256"/>
      <c r="F4" s="1256"/>
      <c r="G4" s="1256"/>
      <c r="H4" s="1256"/>
      <c r="I4" s="1256"/>
      <c r="J4" s="1256"/>
      <c r="K4" s="1256"/>
    </row>
    <row r="6" spans="1:11">
      <c r="A6" s="188" t="s">
        <v>1163</v>
      </c>
      <c r="C6" s="62" t="s">
        <v>856</v>
      </c>
    </row>
    <row r="8" spans="1:11" ht="13.5" thickBot="1"/>
    <row r="9" spans="1:11" ht="13.5" thickBot="1">
      <c r="A9" s="209" t="s">
        <v>1118</v>
      </c>
      <c r="B9" s="209" t="s">
        <v>1164</v>
      </c>
      <c r="C9" s="209" t="s">
        <v>1186</v>
      </c>
      <c r="D9" s="209" t="s">
        <v>1187</v>
      </c>
      <c r="E9" s="209" t="s">
        <v>1141</v>
      </c>
      <c r="F9" s="209" t="s">
        <v>1188</v>
      </c>
      <c r="G9" s="209" t="s">
        <v>1189</v>
      </c>
      <c r="H9" s="209" t="s">
        <v>185</v>
      </c>
      <c r="I9" s="1515" t="s">
        <v>1190</v>
      </c>
      <c r="J9" s="1516"/>
      <c r="K9" s="209" t="s">
        <v>1191</v>
      </c>
    </row>
    <row r="10" spans="1:11" ht="13.5" thickBot="1">
      <c r="A10" s="263"/>
      <c r="B10" s="210" t="s">
        <v>1171</v>
      </c>
      <c r="C10" s="210" t="s">
        <v>1143</v>
      </c>
      <c r="D10" s="210" t="s">
        <v>1142</v>
      </c>
      <c r="E10" s="210"/>
      <c r="F10" s="210" t="s">
        <v>1192</v>
      </c>
      <c r="G10" s="210" t="s">
        <v>1193</v>
      </c>
      <c r="H10" s="210"/>
      <c r="I10" s="209" t="s">
        <v>1194</v>
      </c>
      <c r="J10" s="209" t="s">
        <v>1195</v>
      </c>
      <c r="K10" s="210" t="s">
        <v>1125</v>
      </c>
    </row>
    <row r="11" spans="1:11" ht="18" customHeight="1">
      <c r="A11" s="211">
        <v>2</v>
      </c>
      <c r="B11" s="267" t="s">
        <v>119</v>
      </c>
      <c r="C11" s="250" t="s">
        <v>1196</v>
      </c>
      <c r="D11" s="251" t="s">
        <v>1197</v>
      </c>
      <c r="E11" s="250" t="s">
        <v>1198</v>
      </c>
      <c r="F11" s="250" t="s">
        <v>1199</v>
      </c>
      <c r="G11" s="252">
        <v>5601</v>
      </c>
      <c r="H11" s="250" t="s">
        <v>1200</v>
      </c>
      <c r="I11" s="250" t="s">
        <v>116</v>
      </c>
      <c r="J11" s="250" t="s">
        <v>117</v>
      </c>
      <c r="K11" s="253" t="s">
        <v>6</v>
      </c>
    </row>
    <row r="12" spans="1:11" ht="18" customHeight="1">
      <c r="A12" s="218"/>
      <c r="B12" s="268"/>
      <c r="C12" s="254"/>
      <c r="D12" s="254"/>
      <c r="E12" s="254"/>
      <c r="F12" s="254"/>
      <c r="G12" s="255"/>
      <c r="H12" s="254"/>
      <c r="I12" s="254"/>
      <c r="J12" s="254"/>
      <c r="K12" s="256"/>
    </row>
    <row r="13" spans="1:11" ht="18" customHeight="1">
      <c r="A13" s="225"/>
      <c r="B13" s="268"/>
      <c r="C13" s="254"/>
      <c r="D13" s="254"/>
      <c r="E13" s="254"/>
      <c r="F13" s="254"/>
      <c r="G13" s="255"/>
      <c r="H13" s="254"/>
      <c r="I13" s="254"/>
      <c r="J13" s="254"/>
      <c r="K13" s="256"/>
    </row>
    <row r="14" spans="1:11" ht="18" customHeight="1">
      <c r="A14" s="225"/>
      <c r="B14" s="269"/>
      <c r="C14" s="254"/>
      <c r="D14" s="254"/>
      <c r="E14" s="254"/>
      <c r="F14" s="254"/>
      <c r="G14" s="255"/>
      <c r="H14" s="254"/>
      <c r="I14" s="254"/>
      <c r="J14" s="254"/>
      <c r="K14" s="256"/>
    </row>
    <row r="15" spans="1:11" ht="18" customHeight="1">
      <c r="A15" s="225"/>
      <c r="B15" s="268"/>
      <c r="C15" s="254"/>
      <c r="D15" s="254"/>
      <c r="E15" s="254"/>
      <c r="F15" s="254"/>
      <c r="G15" s="255"/>
      <c r="H15" s="254"/>
      <c r="I15" s="254"/>
      <c r="J15" s="254"/>
      <c r="K15" s="256"/>
    </row>
    <row r="16" spans="1:11" ht="18" customHeight="1">
      <c r="A16" s="225"/>
      <c r="B16" s="268"/>
      <c r="C16" s="254"/>
      <c r="D16" s="254"/>
      <c r="E16" s="254"/>
      <c r="F16" s="254"/>
      <c r="G16" s="255"/>
      <c r="H16" s="254"/>
      <c r="I16" s="254"/>
      <c r="J16" s="254"/>
      <c r="K16" s="256"/>
    </row>
    <row r="17" spans="1:11" ht="18" customHeight="1">
      <c r="A17" s="225"/>
      <c r="B17" s="268"/>
      <c r="C17" s="254"/>
      <c r="D17" s="254"/>
      <c r="E17" s="254"/>
      <c r="F17" s="254"/>
      <c r="G17" s="255"/>
      <c r="H17" s="254"/>
      <c r="I17" s="254"/>
      <c r="J17" s="254"/>
      <c r="K17" s="256"/>
    </row>
    <row r="18" spans="1:11" ht="18" customHeight="1">
      <c r="A18" s="225"/>
      <c r="B18" s="268"/>
      <c r="C18" s="254"/>
      <c r="D18" s="254"/>
      <c r="E18" s="254"/>
      <c r="F18" s="254"/>
      <c r="G18" s="255"/>
      <c r="H18" s="254"/>
      <c r="I18" s="254"/>
      <c r="J18" s="254"/>
      <c r="K18" s="256"/>
    </row>
    <row r="19" spans="1:11" ht="18" customHeight="1">
      <c r="A19" s="225"/>
      <c r="B19" s="268"/>
      <c r="C19" s="254"/>
      <c r="D19" s="254"/>
      <c r="E19" s="254"/>
      <c r="F19" s="254"/>
      <c r="G19" s="255"/>
      <c r="H19" s="254"/>
      <c r="I19" s="254"/>
      <c r="J19" s="254"/>
      <c r="K19" s="256"/>
    </row>
    <row r="20" spans="1:11" ht="18" customHeight="1">
      <c r="A20" s="225"/>
      <c r="B20" s="268"/>
      <c r="C20" s="254"/>
      <c r="D20" s="254"/>
      <c r="E20" s="254"/>
      <c r="F20" s="254"/>
      <c r="G20" s="255"/>
      <c r="H20" s="254"/>
      <c r="I20" s="254"/>
      <c r="J20" s="254"/>
      <c r="K20" s="256"/>
    </row>
    <row r="21" spans="1:11" ht="18" customHeight="1">
      <c r="A21" s="225"/>
      <c r="B21" s="268"/>
      <c r="C21" s="254"/>
      <c r="D21" s="254"/>
      <c r="E21" s="254"/>
      <c r="F21" s="254"/>
      <c r="G21" s="255"/>
      <c r="H21" s="254"/>
      <c r="I21" s="254"/>
      <c r="J21" s="254"/>
      <c r="K21" s="256"/>
    </row>
    <row r="22" spans="1:11" ht="18" customHeight="1">
      <c r="A22" s="225"/>
      <c r="B22" s="268"/>
      <c r="C22" s="254"/>
      <c r="D22" s="254"/>
      <c r="E22" s="254"/>
      <c r="F22" s="254"/>
      <c r="G22" s="255"/>
      <c r="H22" s="254"/>
      <c r="I22" s="254"/>
      <c r="J22" s="254"/>
      <c r="K22" s="256"/>
    </row>
    <row r="23" spans="1:11" ht="18" customHeight="1" thickBot="1">
      <c r="A23" s="239"/>
      <c r="B23" s="270"/>
      <c r="C23" s="257"/>
      <c r="D23" s="257"/>
      <c r="E23" s="257"/>
      <c r="F23" s="257"/>
      <c r="G23" s="258"/>
      <c r="H23" s="257"/>
      <c r="I23" s="257"/>
      <c r="J23" s="257"/>
      <c r="K23" s="259"/>
    </row>
    <row r="25" spans="1:11">
      <c r="I25" s="1262" t="s">
        <v>125</v>
      </c>
      <c r="J25" s="1501"/>
      <c r="K25" s="1501"/>
    </row>
  </sheetData>
  <mergeCells count="5">
    <mergeCell ref="I9:J9"/>
    <mergeCell ref="A1:K1"/>
    <mergeCell ref="A3:K3"/>
    <mergeCell ref="A4:K4"/>
    <mergeCell ref="I25:K25"/>
  </mergeCells>
  <phoneticPr fontId="4" type="noConversion"/>
  <hyperlinks>
    <hyperlink ref="I25" location="'TABLA DE CONTENIDO'!A1" display="'TABLA DE CONTENIDO'!A1" xr:uid="{00000000-0004-0000-1D00-000000000000}"/>
    <hyperlink ref="I25:K25" location="'TABLA DE CONTENIDO'!A1" display="VOLVER A TABLA DE CONTENIDO" xr:uid="{00000000-0004-0000-1D00-000001000000}"/>
  </hyperlinks>
  <printOptions horizontalCentered="1"/>
  <pageMargins left="0.39370078740157483" right="0.39370078740157483" top="0.78740157480314965" bottom="0.78740157480314965" header="0" footer="0"/>
  <pageSetup scale="85" orientation="landscape" horizontalDpi="4294967292"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L24"/>
  <sheetViews>
    <sheetView zoomScale="90" zoomScaleNormal="90" workbookViewId="0">
      <selection activeCell="D20" sqref="D20"/>
    </sheetView>
  </sheetViews>
  <sheetFormatPr defaultColWidth="11.42578125" defaultRowHeight="12.75"/>
  <cols>
    <col min="1" max="1" width="14.7109375" style="428" customWidth="1"/>
    <col min="2" max="2" width="31.7109375" style="428" customWidth="1"/>
    <col min="3" max="3" width="26.7109375" style="428" customWidth="1"/>
    <col min="4" max="7" width="11.42578125" style="428"/>
    <col min="8" max="8" width="16.42578125" style="428" customWidth="1"/>
    <col min="9" max="10" width="16" style="428" bestFit="1" customWidth="1"/>
    <col min="11" max="11" width="16.42578125" style="428" bestFit="1" customWidth="1"/>
    <col min="12" max="12" width="21" style="428" customWidth="1"/>
    <col min="13" max="16384" width="11.42578125" style="428"/>
  </cols>
  <sheetData>
    <row r="1" spans="1:12" ht="23.25">
      <c r="B1" s="1261" t="s">
        <v>1</v>
      </c>
      <c r="C1" s="1261"/>
      <c r="D1" s="1261"/>
      <c r="E1" s="1261"/>
      <c r="F1" s="1261"/>
      <c r="G1" s="1261"/>
      <c r="H1" s="1261"/>
      <c r="I1" s="1261"/>
      <c r="J1" s="1261"/>
      <c r="K1" s="1261"/>
      <c r="L1" s="1261"/>
    </row>
    <row r="2" spans="1:12" ht="18">
      <c r="B2" s="1256" t="s">
        <v>84</v>
      </c>
      <c r="C2" s="1256"/>
      <c r="D2" s="1256"/>
      <c r="E2" s="1256"/>
      <c r="F2" s="1256"/>
      <c r="G2" s="1256"/>
      <c r="H2" s="1256"/>
      <c r="I2" s="1256"/>
      <c r="J2" s="1256"/>
      <c r="K2" s="1256"/>
      <c r="L2" s="1256"/>
    </row>
    <row r="3" spans="1:12">
      <c r="B3"/>
      <c r="C3"/>
      <c r="D3"/>
      <c r="E3"/>
      <c r="F3"/>
      <c r="G3"/>
      <c r="H3"/>
      <c r="I3"/>
      <c r="J3"/>
      <c r="K3"/>
    </row>
    <row r="4" spans="1:12" ht="18">
      <c r="B4" s="1256" t="s">
        <v>1201</v>
      </c>
      <c r="C4" s="1256"/>
      <c r="D4" s="1256"/>
      <c r="E4" s="1256"/>
      <c r="F4" s="1256"/>
      <c r="G4" s="1256"/>
      <c r="H4" s="1256"/>
      <c r="I4" s="1256"/>
      <c r="J4" s="1256"/>
      <c r="K4" s="1256"/>
      <c r="L4" s="1256"/>
    </row>
    <row r="5" spans="1:12">
      <c r="B5"/>
      <c r="C5"/>
      <c r="D5"/>
      <c r="E5"/>
      <c r="F5"/>
      <c r="G5"/>
      <c r="H5"/>
      <c r="I5"/>
      <c r="J5"/>
      <c r="K5"/>
    </row>
    <row r="6" spans="1:12" ht="18">
      <c r="B6" s="1256" t="s">
        <v>1202</v>
      </c>
      <c r="C6" s="1256"/>
      <c r="D6" s="1256"/>
      <c r="E6" s="1256"/>
      <c r="F6" s="1256"/>
      <c r="G6" s="1256"/>
      <c r="H6" s="1256"/>
      <c r="I6" s="1256"/>
      <c r="J6" s="1256"/>
      <c r="K6" s="1256"/>
      <c r="L6" s="1256"/>
    </row>
    <row r="7" spans="1:12">
      <c r="B7" s="59"/>
      <c r="C7"/>
      <c r="D7"/>
      <c r="E7"/>
      <c r="F7"/>
      <c r="G7"/>
      <c r="H7"/>
      <c r="I7"/>
      <c r="J7"/>
      <c r="K7"/>
    </row>
    <row r="8" spans="1:12">
      <c r="B8" s="176" t="s">
        <v>129</v>
      </c>
      <c r="C8" s="467" t="s">
        <v>88</v>
      </c>
      <c r="D8" s="3"/>
      <c r="E8" s="3"/>
      <c r="F8"/>
      <c r="G8"/>
      <c r="H8" s="188" t="s">
        <v>159</v>
      </c>
      <c r="J8" s="467" t="s">
        <v>217</v>
      </c>
      <c r="K8" s="3"/>
      <c r="L8" s="435"/>
    </row>
    <row r="11" spans="1:12" s="430" customFormat="1" ht="25.5" customHeight="1">
      <c r="A11" s="1517" t="s">
        <v>1203</v>
      </c>
      <c r="B11" s="1517" t="s">
        <v>1204</v>
      </c>
      <c r="C11" s="1517" t="s">
        <v>1205</v>
      </c>
      <c r="D11" s="1517" t="s">
        <v>1206</v>
      </c>
      <c r="E11" s="1517"/>
      <c r="F11" s="1517"/>
      <c r="G11" s="1517" t="s">
        <v>1207</v>
      </c>
      <c r="H11" s="1517" t="s">
        <v>1208</v>
      </c>
      <c r="I11" s="1517" t="s">
        <v>1209</v>
      </c>
      <c r="J11" s="1517"/>
      <c r="K11" s="1517"/>
      <c r="L11" s="1521" t="s">
        <v>111</v>
      </c>
    </row>
    <row r="12" spans="1:12">
      <c r="A12" s="1517"/>
      <c r="B12" s="1517"/>
      <c r="C12" s="1517"/>
      <c r="D12" s="431" t="s">
        <v>1210</v>
      </c>
      <c r="E12" s="431" t="s">
        <v>1211</v>
      </c>
      <c r="F12" s="431" t="s">
        <v>1212</v>
      </c>
      <c r="G12" s="1517"/>
      <c r="H12" s="1517"/>
      <c r="I12" s="429" t="s">
        <v>1213</v>
      </c>
      <c r="J12" s="429" t="s">
        <v>1214</v>
      </c>
      <c r="K12" s="429" t="s">
        <v>175</v>
      </c>
      <c r="L12" s="1522"/>
    </row>
    <row r="13" spans="1:12">
      <c r="A13" s="432"/>
      <c r="B13" s="1063"/>
      <c r="C13" s="1064"/>
      <c r="D13" s="1060"/>
      <c r="E13" s="1061"/>
      <c r="F13" s="1060"/>
      <c r="G13" s="1060"/>
      <c r="H13" s="1060"/>
      <c r="I13" s="1637"/>
      <c r="J13" s="1637"/>
      <c r="K13" s="1062"/>
      <c r="L13" s="434"/>
    </row>
    <row r="14" spans="1:12" ht="18">
      <c r="A14" s="1518" t="s">
        <v>1215</v>
      </c>
      <c r="B14" s="1519"/>
      <c r="C14" s="1519"/>
      <c r="D14" s="1519"/>
      <c r="E14" s="1519"/>
      <c r="F14" s="1519"/>
      <c r="G14" s="1519"/>
      <c r="H14" s="1519"/>
      <c r="I14" s="1519"/>
      <c r="J14" s="1519"/>
      <c r="K14" s="1519"/>
      <c r="L14" s="1520"/>
    </row>
    <row r="15" spans="1:12">
      <c r="A15" s="432"/>
      <c r="B15" s="432"/>
      <c r="C15" s="433"/>
      <c r="D15" s="433"/>
      <c r="E15" s="433"/>
      <c r="F15" s="433"/>
      <c r="G15" s="433"/>
      <c r="H15" s="433"/>
      <c r="I15" s="433"/>
      <c r="J15" s="433"/>
      <c r="K15" s="433"/>
      <c r="L15" s="434"/>
    </row>
    <row r="16" spans="1:12">
      <c r="A16" s="432"/>
      <c r="B16" s="432"/>
      <c r="C16" s="433"/>
      <c r="D16" s="433"/>
      <c r="E16" s="433"/>
      <c r="F16" s="433"/>
      <c r="G16" s="433"/>
      <c r="H16" s="433"/>
      <c r="I16" s="433"/>
      <c r="J16" s="433"/>
      <c r="K16" s="433"/>
      <c r="L16" s="434"/>
    </row>
    <row r="17" spans="1:12">
      <c r="A17" s="432"/>
      <c r="B17" s="432"/>
      <c r="C17" s="433"/>
      <c r="D17" s="433"/>
      <c r="E17" s="433"/>
      <c r="F17" s="433"/>
      <c r="G17" s="433"/>
      <c r="H17" s="433"/>
      <c r="I17" s="433"/>
      <c r="J17" s="433"/>
      <c r="K17" s="433"/>
      <c r="L17" s="434"/>
    </row>
    <row r="18" spans="1:12">
      <c r="A18" s="432"/>
      <c r="B18" s="432"/>
      <c r="C18" s="433"/>
      <c r="D18" s="433"/>
      <c r="E18" s="433"/>
      <c r="F18" s="433"/>
      <c r="G18" s="433"/>
      <c r="H18" s="433"/>
      <c r="I18" s="433"/>
      <c r="J18" s="433"/>
      <c r="K18" s="433"/>
      <c r="L18" s="434"/>
    </row>
    <row r="19" spans="1:12">
      <c r="A19" s="432"/>
      <c r="B19" s="432"/>
      <c r="C19" s="433"/>
      <c r="D19" s="433"/>
      <c r="E19" s="433"/>
      <c r="F19" s="433"/>
      <c r="G19" s="433"/>
      <c r="H19" s="433"/>
      <c r="I19" s="433"/>
      <c r="J19" s="433"/>
      <c r="K19" s="433"/>
      <c r="L19" s="434"/>
    </row>
    <row r="20" spans="1:12">
      <c r="A20" s="432"/>
      <c r="B20" s="432"/>
      <c r="C20" s="433"/>
      <c r="D20" s="433"/>
      <c r="E20" s="433"/>
      <c r="F20" s="433"/>
      <c r="G20" s="433"/>
      <c r="H20" s="433"/>
      <c r="I20" s="433"/>
      <c r="J20" s="433"/>
      <c r="K20" s="433"/>
      <c r="L20" s="434"/>
    </row>
    <row r="22" spans="1:12" ht="15">
      <c r="A22" s="436" t="s">
        <v>1216</v>
      </c>
    </row>
    <row r="24" spans="1:12">
      <c r="J24" s="1262" t="s">
        <v>125</v>
      </c>
      <c r="K24" s="1501"/>
      <c r="L24" s="1501"/>
    </row>
  </sheetData>
  <mergeCells count="14">
    <mergeCell ref="B1:L1"/>
    <mergeCell ref="B2:L2"/>
    <mergeCell ref="B4:L4"/>
    <mergeCell ref="B6:L6"/>
    <mergeCell ref="J24:L24"/>
    <mergeCell ref="I11:K11"/>
    <mergeCell ref="A14:L14"/>
    <mergeCell ref="A11:A12"/>
    <mergeCell ref="B11:B12"/>
    <mergeCell ref="C11:C12"/>
    <mergeCell ref="D11:F11"/>
    <mergeCell ref="G11:G12"/>
    <mergeCell ref="H11:H12"/>
    <mergeCell ref="L11:L12"/>
  </mergeCells>
  <hyperlinks>
    <hyperlink ref="J24" location="'TABLA DE CONTENIDO'!A1" display="'TABLA DE CONTENIDO'!A1" xr:uid="{00000000-0004-0000-1E00-000000000000}"/>
    <hyperlink ref="J24:L24" location="'TABLA DE CONTENIDO'!A1" display="VOLVER A TABLA DE CONTENIDO" xr:uid="{00000000-0004-0000-1E00-000001000000}"/>
  </hyperlinks>
  <printOptions horizontalCentered="1" verticalCentered="1"/>
  <pageMargins left="0.23622047244094491" right="0.23622047244094491" top="0.98425196850393704" bottom="0.98425196850393704" header="0" footer="0"/>
  <pageSetup scale="66"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BH52"/>
  <sheetViews>
    <sheetView zoomScale="60" zoomScaleNormal="60" workbookViewId="0">
      <selection activeCell="D20" sqref="D20"/>
    </sheetView>
  </sheetViews>
  <sheetFormatPr defaultColWidth="11.42578125" defaultRowHeight="12.75"/>
  <cols>
    <col min="1" max="60" width="14.7109375" customWidth="1"/>
  </cols>
  <sheetData>
    <row r="1" spans="1:60" ht="23.25">
      <c r="A1" s="1259" t="s">
        <v>1</v>
      </c>
      <c r="B1" s="1259"/>
      <c r="C1" s="1259"/>
      <c r="D1" s="1259"/>
      <c r="E1" s="1259"/>
      <c r="F1" s="1259"/>
      <c r="G1" s="1259" t="s">
        <v>1</v>
      </c>
      <c r="H1" s="1259"/>
      <c r="I1" s="1259"/>
      <c r="J1" s="1259"/>
      <c r="K1" s="1259"/>
      <c r="L1" s="1259"/>
      <c r="M1" s="1259" t="s">
        <v>1</v>
      </c>
      <c r="N1" s="1259"/>
      <c r="O1" s="1259"/>
      <c r="P1" s="1259"/>
      <c r="Q1" s="1259"/>
      <c r="R1" s="1259"/>
      <c r="S1" s="1259" t="s">
        <v>1</v>
      </c>
      <c r="T1" s="1259"/>
      <c r="U1" s="1259"/>
      <c r="V1" s="1259"/>
      <c r="W1" s="1259"/>
      <c r="X1" s="1259"/>
      <c r="Y1" s="1259" t="s">
        <v>1</v>
      </c>
      <c r="Z1" s="1259"/>
      <c r="AA1" s="1259"/>
      <c r="AB1" s="1259"/>
      <c r="AC1" s="1259"/>
      <c r="AD1" s="1259"/>
      <c r="AE1" s="1259" t="s">
        <v>1</v>
      </c>
      <c r="AF1" s="1259"/>
      <c r="AG1" s="1259"/>
      <c r="AH1" s="1259"/>
      <c r="AI1" s="1259"/>
      <c r="AJ1" s="1259"/>
      <c r="AK1" s="1259" t="s">
        <v>1</v>
      </c>
      <c r="AL1" s="1259"/>
      <c r="AM1" s="1259"/>
      <c r="AN1" s="1259"/>
      <c r="AO1" s="1259"/>
      <c r="AP1" s="1259"/>
      <c r="AQ1" s="1259" t="s">
        <v>1</v>
      </c>
      <c r="AR1" s="1259"/>
      <c r="AS1" s="1259"/>
      <c r="AT1" s="1259"/>
      <c r="AU1" s="1259"/>
      <c r="AV1" s="1259"/>
      <c r="AW1" s="1259" t="s">
        <v>1</v>
      </c>
      <c r="AX1" s="1259"/>
      <c r="AY1" s="1259"/>
      <c r="AZ1" s="1259"/>
      <c r="BA1" s="1259"/>
      <c r="BB1" s="1259"/>
      <c r="BC1" s="1259" t="s">
        <v>1</v>
      </c>
      <c r="BD1" s="1259"/>
      <c r="BE1" s="1259"/>
      <c r="BF1" s="1259"/>
      <c r="BG1" s="1259"/>
      <c r="BH1" s="1259"/>
    </row>
    <row r="2" spans="1:60" ht="17.25" customHeight="1">
      <c r="A2" s="299"/>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c r="AL2" s="299"/>
      <c r="AM2" s="299"/>
      <c r="AN2" s="299"/>
      <c r="AO2" s="299"/>
      <c r="AP2" s="299"/>
      <c r="AQ2" s="299"/>
      <c r="AR2" s="299"/>
      <c r="AS2" s="299"/>
      <c r="AT2" s="299"/>
      <c r="AU2" s="299"/>
      <c r="AV2" s="299"/>
      <c r="AW2" s="299"/>
      <c r="AX2" s="299"/>
      <c r="AY2" s="299"/>
      <c r="AZ2" s="299"/>
      <c r="BA2" s="299"/>
      <c r="BB2" s="299"/>
      <c r="BC2" s="299"/>
      <c r="BD2" s="299"/>
      <c r="BE2" s="299"/>
      <c r="BF2" s="299"/>
      <c r="BG2" s="299"/>
      <c r="BH2" s="299"/>
    </row>
    <row r="3" spans="1:60" ht="18">
      <c r="A3" s="1260" t="s">
        <v>84</v>
      </c>
      <c r="B3" s="1260"/>
      <c r="C3" s="1260"/>
      <c r="D3" s="1260"/>
      <c r="E3" s="1260"/>
      <c r="F3" s="1260"/>
      <c r="G3" s="1260" t="s">
        <v>84</v>
      </c>
      <c r="H3" s="1260"/>
      <c r="I3" s="1260"/>
      <c r="J3" s="1260"/>
      <c r="K3" s="1260"/>
      <c r="L3" s="1260"/>
      <c r="M3" s="1260" t="s">
        <v>84</v>
      </c>
      <c r="N3" s="1260"/>
      <c r="O3" s="1260"/>
      <c r="P3" s="1260"/>
      <c r="Q3" s="1260"/>
      <c r="R3" s="1260"/>
      <c r="S3" s="1260" t="s">
        <v>84</v>
      </c>
      <c r="T3" s="1260"/>
      <c r="U3" s="1260"/>
      <c r="V3" s="1260"/>
      <c r="W3" s="1260"/>
      <c r="X3" s="1260"/>
      <c r="Y3" s="1260" t="s">
        <v>84</v>
      </c>
      <c r="Z3" s="1260"/>
      <c r="AA3" s="1260"/>
      <c r="AB3" s="1260"/>
      <c r="AC3" s="1260"/>
      <c r="AD3" s="1260"/>
      <c r="AE3" s="1260" t="s">
        <v>84</v>
      </c>
      <c r="AF3" s="1260"/>
      <c r="AG3" s="1260"/>
      <c r="AH3" s="1260"/>
      <c r="AI3" s="1260"/>
      <c r="AJ3" s="1260"/>
      <c r="AK3" s="1260" t="s">
        <v>84</v>
      </c>
      <c r="AL3" s="1260"/>
      <c r="AM3" s="1260"/>
      <c r="AN3" s="1260"/>
      <c r="AO3" s="1260"/>
      <c r="AP3" s="1260"/>
      <c r="AQ3" s="1260" t="s">
        <v>84</v>
      </c>
      <c r="AR3" s="1260"/>
      <c r="AS3" s="1260"/>
      <c r="AT3" s="1260"/>
      <c r="AU3" s="1260"/>
      <c r="AV3" s="1260"/>
      <c r="AW3" s="1260" t="s">
        <v>84</v>
      </c>
      <c r="AX3" s="1260"/>
      <c r="AY3" s="1260"/>
      <c r="AZ3" s="1260"/>
      <c r="BA3" s="1260"/>
      <c r="BB3" s="1260"/>
      <c r="BC3" s="1260" t="s">
        <v>84</v>
      </c>
      <c r="BD3" s="1260"/>
      <c r="BE3" s="1260"/>
      <c r="BF3" s="1260"/>
      <c r="BG3" s="1260"/>
      <c r="BH3" s="1260"/>
    </row>
    <row r="4" spans="1:60">
      <c r="B4" s="45"/>
      <c r="C4" s="38"/>
      <c r="D4" s="38"/>
      <c r="E4" s="1"/>
      <c r="F4" s="1"/>
      <c r="H4" s="45"/>
      <c r="I4" s="38"/>
      <c r="J4" s="38"/>
      <c r="K4" s="1"/>
      <c r="L4" s="1"/>
      <c r="N4" s="45"/>
      <c r="O4" s="38"/>
      <c r="P4" s="38"/>
      <c r="Q4" s="1"/>
      <c r="R4" s="1"/>
      <c r="T4" s="45"/>
      <c r="U4" s="38"/>
      <c r="V4" s="38"/>
      <c r="W4" s="1"/>
      <c r="X4" s="1"/>
      <c r="Z4" s="45"/>
      <c r="AA4" s="38"/>
      <c r="AB4" s="38"/>
      <c r="AC4" s="1"/>
      <c r="AD4" s="1"/>
      <c r="AF4" s="45"/>
      <c r="AG4" s="38"/>
      <c r="AH4" s="38"/>
      <c r="AI4" s="1"/>
      <c r="AJ4" s="1"/>
      <c r="AL4" s="45"/>
      <c r="AM4" s="38"/>
      <c r="AN4" s="38"/>
      <c r="AO4" s="1"/>
      <c r="AP4" s="1"/>
      <c r="AR4" s="45"/>
      <c r="AS4" s="38"/>
      <c r="AT4" s="38"/>
      <c r="AU4" s="1"/>
      <c r="AV4" s="1"/>
      <c r="AX4" s="45"/>
      <c r="AY4" s="38"/>
      <c r="AZ4" s="38"/>
      <c r="BA4" s="1"/>
      <c r="BB4" s="1"/>
      <c r="BD4" s="45"/>
      <c r="BE4" s="38"/>
      <c r="BF4" s="38"/>
      <c r="BG4" s="1"/>
      <c r="BH4" s="1"/>
    </row>
    <row r="5" spans="1:60">
      <c r="B5" s="50"/>
      <c r="C5" s="41"/>
      <c r="D5" s="38"/>
      <c r="E5" s="1"/>
      <c r="F5" s="1"/>
      <c r="H5" s="50"/>
      <c r="I5" s="41"/>
      <c r="J5" s="38"/>
      <c r="K5" s="1"/>
      <c r="L5" s="1"/>
      <c r="N5" s="50"/>
      <c r="O5" s="41"/>
      <c r="P5" s="38"/>
      <c r="Q5" s="1"/>
      <c r="R5" s="1"/>
      <c r="T5" s="50"/>
      <c r="U5" s="41"/>
      <c r="V5" s="38"/>
      <c r="W5" s="1"/>
      <c r="X5" s="1"/>
      <c r="Z5" s="50"/>
      <c r="AA5" s="41"/>
      <c r="AB5" s="38"/>
      <c r="AC5" s="1"/>
      <c r="AD5" s="1"/>
      <c r="AF5" s="50"/>
      <c r="AG5" s="41"/>
      <c r="AH5" s="38"/>
      <c r="AI5" s="1"/>
      <c r="AJ5" s="1"/>
      <c r="AL5" s="50"/>
      <c r="AM5" s="41"/>
      <c r="AN5" s="38"/>
      <c r="AO5" s="1"/>
      <c r="AP5" s="1"/>
      <c r="AR5" s="50"/>
      <c r="AS5" s="41"/>
      <c r="AT5" s="38"/>
      <c r="AU5" s="1"/>
      <c r="AV5" s="1"/>
      <c r="AX5" s="50"/>
      <c r="AY5" s="41"/>
      <c r="AZ5" s="38"/>
      <c r="BA5" s="1"/>
      <c r="BB5" s="1"/>
      <c r="BD5" s="50"/>
      <c r="BE5" s="41"/>
      <c r="BF5" s="38"/>
      <c r="BG5" s="1"/>
      <c r="BH5" s="1"/>
    </row>
    <row r="6" spans="1:60">
      <c r="B6" s="45"/>
      <c r="C6" s="38"/>
      <c r="D6" s="38"/>
      <c r="E6" s="1"/>
      <c r="F6" s="1"/>
      <c r="H6" s="45"/>
      <c r="I6" s="38"/>
      <c r="J6" s="38"/>
      <c r="K6" s="1"/>
      <c r="L6" s="1"/>
      <c r="N6" s="45"/>
      <c r="O6" s="38"/>
      <c r="P6" s="38"/>
      <c r="Q6" s="1"/>
      <c r="R6" s="1"/>
      <c r="T6" s="45"/>
      <c r="U6" s="38"/>
      <c r="V6" s="38"/>
      <c r="W6" s="1"/>
      <c r="X6" s="1"/>
      <c r="Z6" s="45"/>
      <c r="AA6" s="38"/>
      <c r="AB6" s="38"/>
      <c r="AC6" s="1"/>
      <c r="AD6" s="1"/>
      <c r="AF6" s="45"/>
      <c r="AG6" s="38"/>
      <c r="AH6" s="38"/>
      <c r="AI6" s="1"/>
      <c r="AJ6" s="1"/>
      <c r="AL6" s="45"/>
      <c r="AM6" s="38"/>
      <c r="AN6" s="38"/>
      <c r="AO6" s="1"/>
      <c r="AP6" s="1"/>
      <c r="AR6" s="45"/>
      <c r="AS6" s="38"/>
      <c r="AT6" s="38"/>
      <c r="AU6" s="1"/>
      <c r="AV6" s="1"/>
      <c r="AX6" s="45"/>
      <c r="AY6" s="38"/>
      <c r="AZ6" s="38"/>
      <c r="BA6" s="1"/>
      <c r="BB6" s="1"/>
      <c r="BD6" s="45"/>
      <c r="BE6" s="38"/>
      <c r="BF6" s="38"/>
      <c r="BG6" s="1"/>
      <c r="BH6" s="1"/>
    </row>
    <row r="7" spans="1:60" ht="20.25">
      <c r="A7" s="1252" t="s">
        <v>1217</v>
      </c>
      <c r="B7" s="1252"/>
      <c r="C7" s="1252"/>
      <c r="D7" s="1252"/>
      <c r="E7" s="1252"/>
      <c r="F7" s="1252"/>
      <c r="G7" s="1252" t="s">
        <v>1217</v>
      </c>
      <c r="H7" s="1252"/>
      <c r="I7" s="1252"/>
      <c r="J7" s="1252"/>
      <c r="K7" s="1252"/>
      <c r="L7" s="1252"/>
      <c r="M7" s="1252" t="s">
        <v>1217</v>
      </c>
      <c r="N7" s="1252"/>
      <c r="O7" s="1252"/>
      <c r="P7" s="1252"/>
      <c r="Q7" s="1252"/>
      <c r="R7" s="1252"/>
      <c r="S7" s="1252" t="s">
        <v>1217</v>
      </c>
      <c r="T7" s="1252"/>
      <c r="U7" s="1252"/>
      <c r="V7" s="1252"/>
      <c r="W7" s="1252"/>
      <c r="X7" s="1252"/>
      <c r="Y7" s="1252" t="s">
        <v>1217</v>
      </c>
      <c r="Z7" s="1252"/>
      <c r="AA7" s="1252"/>
      <c r="AB7" s="1252"/>
      <c r="AC7" s="1252"/>
      <c r="AD7" s="1252"/>
      <c r="AE7" s="1252" t="s">
        <v>1217</v>
      </c>
      <c r="AF7" s="1252"/>
      <c r="AG7" s="1252"/>
      <c r="AH7" s="1252"/>
      <c r="AI7" s="1252"/>
      <c r="AJ7" s="1252"/>
      <c r="AK7" s="1252" t="s">
        <v>1217</v>
      </c>
      <c r="AL7" s="1252"/>
      <c r="AM7" s="1252"/>
      <c r="AN7" s="1252"/>
      <c r="AO7" s="1252"/>
      <c r="AP7" s="1252"/>
      <c r="AQ7" s="1252" t="s">
        <v>1217</v>
      </c>
      <c r="AR7" s="1252"/>
      <c r="AS7" s="1252"/>
      <c r="AT7" s="1252"/>
      <c r="AU7" s="1252"/>
      <c r="AV7" s="1252"/>
      <c r="AW7" s="1252" t="s">
        <v>1217</v>
      </c>
      <c r="AX7" s="1252"/>
      <c r="AY7" s="1252"/>
      <c r="AZ7" s="1252"/>
      <c r="BA7" s="1252"/>
      <c r="BB7" s="1252"/>
      <c r="BC7" s="1252" t="s">
        <v>1217</v>
      </c>
      <c r="BD7" s="1252"/>
      <c r="BE7" s="1252"/>
      <c r="BF7" s="1252"/>
      <c r="BG7" s="1252"/>
      <c r="BH7" s="1252"/>
    </row>
    <row r="8" spans="1:60">
      <c r="B8" s="45"/>
      <c r="C8" s="38"/>
      <c r="D8" s="38"/>
      <c r="E8" s="1"/>
      <c r="F8" s="1"/>
      <c r="H8" s="45"/>
      <c r="I8" s="38"/>
      <c r="J8" s="38"/>
      <c r="K8" s="1"/>
      <c r="L8" s="1"/>
      <c r="N8" s="45"/>
      <c r="O8" s="38"/>
      <c r="P8" s="38"/>
      <c r="Q8" s="1"/>
      <c r="R8" s="1"/>
      <c r="T8" s="45"/>
      <c r="U8" s="38"/>
      <c r="V8" s="38"/>
      <c r="W8" s="1"/>
      <c r="X8" s="1"/>
      <c r="Z8" s="45"/>
      <c r="AA8" s="38"/>
      <c r="AB8" s="38"/>
      <c r="AC8" s="1"/>
      <c r="AD8" s="1"/>
      <c r="AF8" s="45"/>
      <c r="AG8" s="38"/>
      <c r="AH8" s="38"/>
      <c r="AI8" s="1"/>
      <c r="AJ8" s="1"/>
      <c r="AL8" s="45"/>
      <c r="AM8" s="38"/>
      <c r="AN8" s="38"/>
      <c r="AO8" s="1"/>
      <c r="AP8" s="1"/>
      <c r="AR8" s="45"/>
      <c r="AS8" s="38"/>
      <c r="AT8" s="38"/>
      <c r="AU8" s="1"/>
      <c r="AV8" s="1"/>
      <c r="AX8" s="45"/>
      <c r="AY8" s="38"/>
      <c r="AZ8" s="38"/>
      <c r="BA8" s="1"/>
      <c r="BB8" s="1"/>
      <c r="BD8" s="45"/>
      <c r="BE8" s="38"/>
      <c r="BF8" s="38"/>
      <c r="BG8" s="1"/>
      <c r="BH8" s="1"/>
    </row>
    <row r="9" spans="1:60">
      <c r="A9" s="190" t="s">
        <v>129</v>
      </c>
      <c r="B9" s="39"/>
      <c r="C9" s="3" t="s">
        <v>88</v>
      </c>
      <c r="D9" s="3"/>
      <c r="E9" s="3"/>
      <c r="G9" s="190" t="s">
        <v>129</v>
      </c>
      <c r="H9" s="39"/>
      <c r="I9" s="3" t="s">
        <v>88</v>
      </c>
      <c r="J9" s="3"/>
      <c r="K9" s="3"/>
      <c r="M9" s="190" t="s">
        <v>129</v>
      </c>
      <c r="N9" s="39"/>
      <c r="O9" s="3" t="s">
        <v>88</v>
      </c>
      <c r="P9" s="3"/>
      <c r="Q9" s="3"/>
      <c r="S9" s="190" t="s">
        <v>129</v>
      </c>
      <c r="T9" s="39"/>
      <c r="U9" s="3" t="s">
        <v>88</v>
      </c>
      <c r="V9" s="3"/>
      <c r="W9" s="3"/>
      <c r="Y9" s="190" t="s">
        <v>129</v>
      </c>
      <c r="Z9" s="39"/>
      <c r="AA9" s="3" t="s">
        <v>88</v>
      </c>
      <c r="AB9" s="3"/>
      <c r="AC9" s="3"/>
      <c r="AE9" s="190" t="s">
        <v>129</v>
      </c>
      <c r="AF9" s="39"/>
      <c r="AG9" s="3" t="s">
        <v>88</v>
      </c>
      <c r="AH9" s="3"/>
      <c r="AI9" s="3"/>
      <c r="AK9" s="190" t="s">
        <v>129</v>
      </c>
      <c r="AL9" s="39"/>
      <c r="AM9" s="3" t="s">
        <v>88</v>
      </c>
      <c r="AN9" s="3"/>
      <c r="AO9" s="3"/>
      <c r="AQ9" s="190" t="s">
        <v>129</v>
      </c>
      <c r="AR9" s="39"/>
      <c r="AS9" s="3" t="s">
        <v>88</v>
      </c>
      <c r="AT9" s="3"/>
      <c r="AU9" s="3"/>
      <c r="AW9" s="190" t="s">
        <v>129</v>
      </c>
      <c r="AX9" s="39"/>
      <c r="AY9" s="3" t="s">
        <v>88</v>
      </c>
      <c r="AZ9" s="3"/>
      <c r="BA9" s="3"/>
      <c r="BC9" s="190" t="s">
        <v>129</v>
      </c>
      <c r="BD9" s="39"/>
      <c r="BE9" s="3" t="s">
        <v>88</v>
      </c>
      <c r="BF9" s="3"/>
      <c r="BG9" s="3"/>
    </row>
    <row r="10" spans="1:60">
      <c r="A10" s="190"/>
      <c r="B10" s="39"/>
      <c r="G10" s="190"/>
      <c r="H10" s="39"/>
      <c r="M10" s="190"/>
      <c r="N10" s="39"/>
      <c r="S10" s="190"/>
      <c r="T10" s="39"/>
      <c r="Y10" s="190"/>
      <c r="Z10" s="39"/>
      <c r="AE10" s="190"/>
      <c r="AF10" s="39"/>
      <c r="AK10" s="190"/>
      <c r="AL10" s="39"/>
      <c r="AQ10" s="190"/>
      <c r="AR10" s="39"/>
      <c r="AW10" s="190"/>
      <c r="AX10" s="39"/>
      <c r="BC10" s="190"/>
      <c r="BD10" s="39"/>
    </row>
    <row r="11" spans="1:60">
      <c r="A11" s="1529" t="s">
        <v>1218</v>
      </c>
      <c r="B11" s="1529"/>
      <c r="C11" s="1529"/>
      <c r="D11" s="1529"/>
      <c r="E11" s="1529"/>
      <c r="F11" s="1529"/>
      <c r="G11" s="1529" t="str">
        <f>+A11</f>
        <v>TRIMESTRE EVALUADO: JULIO - SEPTIEMBRE / 2020</v>
      </c>
      <c r="H11" s="1529"/>
      <c r="I11" s="1529"/>
      <c r="J11" s="1529"/>
      <c r="K11" s="1529"/>
      <c r="L11" s="1529"/>
      <c r="M11" s="1529" t="str">
        <f>+G11</f>
        <v>TRIMESTRE EVALUADO: JULIO - SEPTIEMBRE / 2020</v>
      </c>
      <c r="N11" s="1529"/>
      <c r="O11" s="1529"/>
      <c r="P11" s="1529"/>
      <c r="Q11" s="1529"/>
      <c r="R11" s="1529"/>
      <c r="S11" s="1529" t="str">
        <f>+M11</f>
        <v>TRIMESTRE EVALUADO: JULIO - SEPTIEMBRE / 2020</v>
      </c>
      <c r="T11" s="1529"/>
      <c r="U11" s="1529"/>
      <c r="V11" s="1529"/>
      <c r="W11" s="1529"/>
      <c r="X11" s="1529"/>
      <c r="Y11" s="1529" t="str">
        <f>+S11</f>
        <v>TRIMESTRE EVALUADO: JULIO - SEPTIEMBRE / 2020</v>
      </c>
      <c r="Z11" s="1529"/>
      <c r="AA11" s="1529"/>
      <c r="AB11" s="1529"/>
      <c r="AC11" s="1529"/>
      <c r="AD11" s="1529"/>
      <c r="AE11" s="1529" t="str">
        <f>+Y11</f>
        <v>TRIMESTRE EVALUADO: JULIO - SEPTIEMBRE / 2020</v>
      </c>
      <c r="AF11" s="1529"/>
      <c r="AG11" s="1529"/>
      <c r="AH11" s="1529"/>
      <c r="AI11" s="1529"/>
      <c r="AJ11" s="1529"/>
      <c r="AK11" s="1529" t="str">
        <f>+AE11</f>
        <v>TRIMESTRE EVALUADO: JULIO - SEPTIEMBRE / 2020</v>
      </c>
      <c r="AL11" s="1529"/>
      <c r="AM11" s="1529"/>
      <c r="AN11" s="1529"/>
      <c r="AO11" s="1529"/>
      <c r="AP11" s="1529"/>
      <c r="AQ11" s="1529" t="str">
        <f>+AK11</f>
        <v>TRIMESTRE EVALUADO: JULIO - SEPTIEMBRE / 2020</v>
      </c>
      <c r="AR11" s="1529"/>
      <c r="AS11" s="1529"/>
      <c r="AT11" s="1529"/>
      <c r="AU11" s="1529"/>
      <c r="AV11" s="1529"/>
      <c r="AW11" s="1529" t="str">
        <f>+AQ11</f>
        <v>TRIMESTRE EVALUADO: JULIO - SEPTIEMBRE / 2020</v>
      </c>
      <c r="AX11" s="1529"/>
      <c r="AY11" s="1529"/>
      <c r="AZ11" s="1529"/>
      <c r="BA11" s="1529"/>
      <c r="BB11" s="1529"/>
      <c r="BC11" s="1529" t="str">
        <f>+AW11</f>
        <v>TRIMESTRE EVALUADO: JULIO - SEPTIEMBRE / 2020</v>
      </c>
      <c r="BD11" s="1529"/>
      <c r="BE11" s="1529"/>
      <c r="BF11" s="1529"/>
      <c r="BG11" s="1529"/>
      <c r="BH11" s="1529"/>
    </row>
    <row r="12" spans="1:60" ht="13.5" thickBot="1"/>
    <row r="13" spans="1:60">
      <c r="A13" s="16"/>
      <c r="B13" s="17"/>
      <c r="C13" s="18"/>
      <c r="D13" s="17"/>
      <c r="E13" s="17"/>
      <c r="F13" s="18"/>
      <c r="G13" s="16"/>
      <c r="H13" s="17"/>
      <c r="I13" s="18"/>
      <c r="J13" s="17"/>
      <c r="K13" s="17"/>
      <c r="L13" s="18"/>
      <c r="M13" s="16"/>
      <c r="N13" s="17"/>
      <c r="O13" s="18"/>
      <c r="P13" s="17"/>
      <c r="Q13" s="17"/>
      <c r="R13" s="18"/>
      <c r="S13" s="16"/>
      <c r="T13" s="17"/>
      <c r="U13" s="18"/>
      <c r="V13" s="17"/>
      <c r="W13" s="17"/>
      <c r="X13" s="18"/>
      <c r="Y13" s="16"/>
      <c r="Z13" s="17"/>
      <c r="AA13" s="18"/>
      <c r="AB13" s="17"/>
      <c r="AC13" s="17"/>
      <c r="AD13" s="18"/>
      <c r="AE13" s="16"/>
      <c r="AF13" s="17"/>
      <c r="AG13" s="18"/>
      <c r="AH13" s="17"/>
      <c r="AI13" s="17"/>
      <c r="AJ13" s="18"/>
      <c r="AK13" s="16"/>
      <c r="AL13" s="17"/>
      <c r="AM13" s="18"/>
      <c r="AN13" s="17"/>
      <c r="AO13" s="17"/>
      <c r="AP13" s="18"/>
      <c r="AQ13" s="16"/>
      <c r="AR13" s="17"/>
      <c r="AS13" s="18"/>
      <c r="AT13" s="17"/>
      <c r="AU13" s="17"/>
      <c r="AV13" s="18"/>
      <c r="AW13" s="16"/>
      <c r="AX13" s="17"/>
      <c r="AY13" s="18"/>
      <c r="AZ13" s="17"/>
      <c r="BA13" s="17"/>
      <c r="BB13" s="18"/>
      <c r="BC13" s="16"/>
      <c r="BD13" s="17"/>
      <c r="BE13" s="18"/>
      <c r="BF13" s="17"/>
      <c r="BG13" s="17"/>
      <c r="BH13" s="18"/>
    </row>
    <row r="14" spans="1:60">
      <c r="A14" s="9"/>
      <c r="C14" s="19"/>
      <c r="F14" s="19"/>
      <c r="G14" s="9"/>
      <c r="I14" s="19"/>
      <c r="L14" s="19"/>
      <c r="M14" s="9"/>
      <c r="O14" s="19"/>
      <c r="R14" s="19"/>
      <c r="S14" s="9"/>
      <c r="U14" s="19"/>
      <c r="X14" s="19"/>
      <c r="Y14" s="9"/>
      <c r="AA14" s="19"/>
      <c r="AD14" s="19"/>
      <c r="AE14" s="9"/>
      <c r="AG14" s="19"/>
      <c r="AJ14" s="19"/>
      <c r="AK14" s="9"/>
      <c r="AM14" s="19"/>
      <c r="AP14" s="19"/>
      <c r="AQ14" s="9"/>
      <c r="AS14" s="19"/>
      <c r="AV14" s="19"/>
      <c r="AW14" s="9"/>
      <c r="AY14" s="19"/>
      <c r="BB14" s="19"/>
      <c r="BC14" s="9"/>
      <c r="BE14" s="19"/>
      <c r="BH14" s="19"/>
    </row>
    <row r="15" spans="1:60">
      <c r="A15" s="9"/>
      <c r="C15" s="19"/>
      <c r="F15" s="19"/>
      <c r="G15" s="9"/>
      <c r="I15" s="19"/>
      <c r="L15" s="19"/>
      <c r="M15" s="9"/>
      <c r="O15" s="19"/>
      <c r="R15" s="19"/>
      <c r="S15" s="9"/>
      <c r="U15" s="19"/>
      <c r="X15" s="19"/>
      <c r="Y15" s="9"/>
      <c r="AA15" s="19"/>
      <c r="AD15" s="19"/>
      <c r="AE15" s="9"/>
      <c r="AG15" s="19"/>
      <c r="AJ15" s="19"/>
      <c r="AK15" s="9"/>
      <c r="AM15" s="19"/>
      <c r="AP15" s="19"/>
      <c r="AQ15" s="9"/>
      <c r="AS15" s="19"/>
      <c r="AV15" s="19"/>
      <c r="AW15" s="9"/>
      <c r="AY15" s="19"/>
      <c r="BB15" s="19"/>
      <c r="BC15" s="9"/>
      <c r="BE15" s="19"/>
      <c r="BH15" s="19"/>
    </row>
    <row r="16" spans="1:60">
      <c r="A16" s="9"/>
      <c r="C16" s="19"/>
      <c r="F16" s="19"/>
      <c r="G16" s="9"/>
      <c r="I16" s="19"/>
      <c r="L16" s="19"/>
      <c r="M16" s="9"/>
      <c r="O16" s="19"/>
      <c r="R16" s="19"/>
      <c r="S16" s="9"/>
      <c r="U16" s="19"/>
      <c r="X16" s="19"/>
      <c r="Y16" s="9"/>
      <c r="AA16" s="19"/>
      <c r="AD16" s="19"/>
      <c r="AE16" s="9"/>
      <c r="AG16" s="19"/>
      <c r="AJ16" s="19"/>
      <c r="AK16" s="9"/>
      <c r="AM16" s="19"/>
      <c r="AP16" s="19"/>
      <c r="AQ16" s="9"/>
      <c r="AS16" s="19"/>
      <c r="AV16" s="19"/>
      <c r="AW16" s="9"/>
      <c r="AY16" s="19"/>
      <c r="BB16" s="19"/>
      <c r="BC16" s="9"/>
      <c r="BE16" s="19"/>
      <c r="BH16" s="19"/>
    </row>
    <row r="17" spans="1:60">
      <c r="A17" s="9"/>
      <c r="C17" s="19"/>
      <c r="F17" s="19"/>
      <c r="G17" s="9"/>
      <c r="I17" s="19"/>
      <c r="L17" s="19"/>
      <c r="M17" s="9"/>
      <c r="O17" s="19"/>
      <c r="R17" s="19"/>
      <c r="S17" s="9"/>
      <c r="U17" s="19"/>
      <c r="X17" s="19"/>
      <c r="Y17" s="9"/>
      <c r="AA17" s="19"/>
      <c r="AD17" s="19"/>
      <c r="AE17" s="9"/>
      <c r="AG17" s="19"/>
      <c r="AJ17" s="19"/>
      <c r="AK17" s="9"/>
      <c r="AM17" s="19"/>
      <c r="AP17" s="19"/>
      <c r="AQ17" s="9"/>
      <c r="AS17" s="19"/>
      <c r="AV17" s="19"/>
      <c r="AW17" s="9"/>
      <c r="AY17" s="19"/>
      <c r="BB17" s="19"/>
      <c r="BC17" s="9"/>
      <c r="BE17" s="19"/>
      <c r="BH17" s="19"/>
    </row>
    <row r="18" spans="1:60">
      <c r="A18" s="9"/>
      <c r="C18" s="19"/>
      <c r="F18" s="19"/>
      <c r="G18" s="9"/>
      <c r="I18" s="19"/>
      <c r="L18" s="19"/>
      <c r="M18" s="9"/>
      <c r="O18" s="19"/>
      <c r="R18" s="19"/>
      <c r="S18" s="9"/>
      <c r="U18" s="19"/>
      <c r="X18" s="19"/>
      <c r="Y18" s="9"/>
      <c r="AA18" s="19"/>
      <c r="AD18" s="19"/>
      <c r="AE18" s="9"/>
      <c r="AG18" s="19"/>
      <c r="AJ18" s="19"/>
      <c r="AK18" s="9"/>
      <c r="AM18" s="19"/>
      <c r="AP18" s="19"/>
      <c r="AQ18" s="9"/>
      <c r="AS18" s="19"/>
      <c r="AV18" s="19"/>
      <c r="AW18" s="9"/>
      <c r="AY18" s="19"/>
      <c r="BB18" s="19"/>
      <c r="BC18" s="9"/>
      <c r="BE18" s="19"/>
      <c r="BH18" s="19"/>
    </row>
    <row r="19" spans="1:60">
      <c r="A19" s="9"/>
      <c r="C19" s="19"/>
      <c r="F19" s="19"/>
      <c r="G19" s="9"/>
      <c r="I19" s="19"/>
      <c r="L19" s="19"/>
      <c r="M19" s="9"/>
      <c r="O19" s="19"/>
      <c r="R19" s="19"/>
      <c r="S19" s="9"/>
      <c r="U19" s="19"/>
      <c r="X19" s="19"/>
      <c r="Y19" s="9"/>
      <c r="AA19" s="19"/>
      <c r="AD19" s="19"/>
      <c r="AE19" s="9"/>
      <c r="AG19" s="19"/>
      <c r="AJ19" s="19"/>
      <c r="AK19" s="9"/>
      <c r="AM19" s="19"/>
      <c r="AP19" s="19"/>
      <c r="AQ19" s="9"/>
      <c r="AS19" s="19"/>
      <c r="AV19" s="19"/>
      <c r="AW19" s="9"/>
      <c r="AY19" s="19"/>
      <c r="BB19" s="19"/>
      <c r="BC19" s="9"/>
      <c r="BE19" s="19"/>
      <c r="BH19" s="19"/>
    </row>
    <row r="20" spans="1:60">
      <c r="A20" s="9"/>
      <c r="C20" s="19"/>
      <c r="F20" s="19"/>
      <c r="G20" s="9"/>
      <c r="I20" s="19"/>
      <c r="L20" s="19"/>
      <c r="M20" s="9"/>
      <c r="O20" s="19"/>
      <c r="R20" s="19"/>
      <c r="S20" s="9"/>
      <c r="U20" s="19"/>
      <c r="X20" s="19"/>
      <c r="Y20" s="9"/>
      <c r="AA20" s="19"/>
      <c r="AD20" s="19"/>
      <c r="AE20" s="9"/>
      <c r="AG20" s="19"/>
      <c r="AJ20" s="19"/>
      <c r="AK20" s="9"/>
      <c r="AM20" s="19"/>
      <c r="AP20" s="19"/>
      <c r="AQ20" s="9"/>
      <c r="AS20" s="19"/>
      <c r="AV20" s="19"/>
      <c r="AW20" s="9"/>
      <c r="AY20" s="19"/>
      <c r="BB20" s="19"/>
      <c r="BC20" s="9"/>
      <c r="BE20" s="19"/>
      <c r="BH20" s="19"/>
    </row>
    <row r="21" spans="1:60">
      <c r="A21" s="9"/>
      <c r="C21" s="19"/>
      <c r="F21" s="19"/>
      <c r="G21" s="9"/>
      <c r="I21" s="19"/>
      <c r="L21" s="19"/>
      <c r="M21" s="9"/>
      <c r="O21" s="19"/>
      <c r="R21" s="19"/>
      <c r="S21" s="9"/>
      <c r="U21" s="19"/>
      <c r="X21" s="19"/>
      <c r="Y21" s="9"/>
      <c r="AA21" s="19"/>
      <c r="AD21" s="19"/>
      <c r="AE21" s="9"/>
      <c r="AG21" s="19"/>
      <c r="AJ21" s="19"/>
      <c r="AK21" s="9"/>
      <c r="AM21" s="19"/>
      <c r="AP21" s="19"/>
      <c r="AQ21" s="9"/>
      <c r="AS21" s="19"/>
      <c r="AV21" s="19"/>
      <c r="AW21" s="9"/>
      <c r="AY21" s="19"/>
      <c r="BB21" s="19"/>
      <c r="BC21" s="9"/>
      <c r="BE21" s="19"/>
      <c r="BH21" s="19"/>
    </row>
    <row r="22" spans="1:60" ht="13.5" thickBot="1">
      <c r="A22" s="9"/>
      <c r="C22" s="19"/>
      <c r="F22" s="19"/>
      <c r="G22" s="9"/>
      <c r="I22" s="19"/>
      <c r="L22" s="19"/>
      <c r="M22" s="9"/>
      <c r="O22" s="19"/>
      <c r="R22" s="19"/>
      <c r="S22" s="9"/>
      <c r="U22" s="19"/>
      <c r="X22" s="19"/>
      <c r="Y22" s="9"/>
      <c r="AA22" s="19"/>
      <c r="AD22" s="19"/>
      <c r="AE22" s="9"/>
      <c r="AG22" s="19"/>
      <c r="AJ22" s="19"/>
      <c r="AK22" s="9"/>
      <c r="AM22" s="19"/>
      <c r="AP22" s="19"/>
      <c r="AQ22" s="9"/>
      <c r="AS22" s="19"/>
      <c r="AV22" s="19"/>
      <c r="AW22" s="9"/>
      <c r="AY22" s="19"/>
      <c r="BB22" s="19"/>
      <c r="BC22" s="9"/>
      <c r="BE22" s="19"/>
      <c r="BH22" s="19"/>
    </row>
    <row r="23" spans="1:60" ht="12.75" customHeight="1">
      <c r="A23" s="1523" t="s">
        <v>1219</v>
      </c>
      <c r="B23" s="1524"/>
      <c r="C23" s="1524"/>
      <c r="D23" s="1524"/>
      <c r="E23" s="1524"/>
      <c r="F23" s="1525"/>
      <c r="G23" s="1523" t="s">
        <v>1220</v>
      </c>
      <c r="H23" s="1524"/>
      <c r="I23" s="1524"/>
      <c r="J23" s="1524"/>
      <c r="K23" s="1524"/>
      <c r="L23" s="1525"/>
      <c r="M23" s="1523" t="str">
        <f>+G45</f>
        <v>LA UNION - SONSÓN. MUNICIPIO DE LA UNION-ABEJORRAL. PR52+0400 AL 82+0300. RETIRO DE MULTIPLES Y ATENCION DE EMERGENCIA</v>
      </c>
      <c r="N23" s="1524"/>
      <c r="O23" s="1524"/>
      <c r="P23" s="1524"/>
      <c r="Q23" s="1524"/>
      <c r="R23" s="1525"/>
      <c r="S23" s="1523" t="str">
        <f>+M45</f>
        <v>LA UNION - SONSÓN. PR70+0000 AL PR101+000. BACHEO CON FRESADO A LO LARGO DEL TRAMO.</v>
      </c>
      <c r="T23" s="1524"/>
      <c r="U23" s="1524"/>
      <c r="V23" s="1524"/>
      <c r="W23" s="1524"/>
      <c r="X23" s="1525"/>
      <c r="Y23" s="1523" t="s">
        <v>1221</v>
      </c>
      <c r="Z23" s="1524"/>
      <c r="AA23" s="1524"/>
      <c r="AB23" s="1524"/>
      <c r="AC23" s="1524"/>
      <c r="AD23" s="1525"/>
      <c r="AE23" s="1523" t="s">
        <v>1222</v>
      </c>
      <c r="AF23" s="1524"/>
      <c r="AG23" s="1524"/>
      <c r="AH23" s="1524"/>
      <c r="AI23" s="1524"/>
      <c r="AJ23" s="1525"/>
      <c r="AK23" s="1523" t="s">
        <v>1223</v>
      </c>
      <c r="AL23" s="1524"/>
      <c r="AM23" s="1524"/>
      <c r="AN23" s="1524"/>
      <c r="AO23" s="1524"/>
      <c r="AP23" s="1525"/>
      <c r="AQ23" s="1523" t="s">
        <v>1223</v>
      </c>
      <c r="AR23" s="1524"/>
      <c r="AS23" s="1524"/>
      <c r="AT23" s="1524"/>
      <c r="AU23" s="1524"/>
      <c r="AV23" s="1525"/>
      <c r="AW23" s="1523" t="s">
        <v>1224</v>
      </c>
      <c r="AX23" s="1524"/>
      <c r="AY23" s="1524"/>
      <c r="AZ23" s="1524"/>
      <c r="BA23" s="1524"/>
      <c r="BB23" s="1525"/>
      <c r="BC23" s="1523" t="str">
        <f>+AW45</f>
        <v>LA UNION - SONSÓN. PR49+0000 AL PR103+0000. LIMPIEZA DE CUÑAS Y CUNETAS A LO LARGO DEL TRAMO</v>
      </c>
      <c r="BD23" s="1524"/>
      <c r="BE23" s="1524"/>
      <c r="BF23" s="1524"/>
      <c r="BG23" s="1524"/>
      <c r="BH23" s="1525"/>
    </row>
    <row r="24" spans="1:60" ht="13.5" thickBot="1">
      <c r="A24" s="1526"/>
      <c r="B24" s="1527"/>
      <c r="C24" s="1527"/>
      <c r="D24" s="1527"/>
      <c r="E24" s="1527"/>
      <c r="F24" s="1528"/>
      <c r="G24" s="1526"/>
      <c r="H24" s="1527"/>
      <c r="I24" s="1527"/>
      <c r="J24" s="1527"/>
      <c r="K24" s="1527"/>
      <c r="L24" s="1528"/>
      <c r="M24" s="1526"/>
      <c r="N24" s="1527"/>
      <c r="O24" s="1527"/>
      <c r="P24" s="1527"/>
      <c r="Q24" s="1527"/>
      <c r="R24" s="1528"/>
      <c r="S24" s="1526"/>
      <c r="T24" s="1527"/>
      <c r="U24" s="1527"/>
      <c r="V24" s="1527"/>
      <c r="W24" s="1527"/>
      <c r="X24" s="1528"/>
      <c r="Y24" s="1526"/>
      <c r="Z24" s="1527"/>
      <c r="AA24" s="1527"/>
      <c r="AB24" s="1527"/>
      <c r="AC24" s="1527"/>
      <c r="AD24" s="1528"/>
      <c r="AE24" s="1526"/>
      <c r="AF24" s="1527"/>
      <c r="AG24" s="1527"/>
      <c r="AH24" s="1527"/>
      <c r="AI24" s="1527"/>
      <c r="AJ24" s="1528"/>
      <c r="AK24" s="1526"/>
      <c r="AL24" s="1527"/>
      <c r="AM24" s="1527"/>
      <c r="AN24" s="1527"/>
      <c r="AO24" s="1527"/>
      <c r="AP24" s="1528"/>
      <c r="AQ24" s="1526"/>
      <c r="AR24" s="1527"/>
      <c r="AS24" s="1527"/>
      <c r="AT24" s="1527"/>
      <c r="AU24" s="1527"/>
      <c r="AV24" s="1528"/>
      <c r="AW24" s="1526"/>
      <c r="AX24" s="1527"/>
      <c r="AY24" s="1527"/>
      <c r="AZ24" s="1527"/>
      <c r="BA24" s="1527"/>
      <c r="BB24" s="1528"/>
      <c r="BC24" s="1526"/>
      <c r="BD24" s="1527"/>
      <c r="BE24" s="1527"/>
      <c r="BF24" s="1527"/>
      <c r="BG24" s="1527"/>
      <c r="BH24" s="1528"/>
    </row>
    <row r="25" spans="1:60">
      <c r="A25" s="9"/>
      <c r="C25" s="19"/>
      <c r="F25" s="19"/>
      <c r="G25" s="9"/>
      <c r="I25" s="19"/>
      <c r="L25" s="19"/>
      <c r="M25" s="9"/>
      <c r="O25" s="19"/>
      <c r="R25" s="19"/>
      <c r="S25" s="9"/>
      <c r="U25" s="19"/>
      <c r="X25" s="19"/>
      <c r="Y25" s="9"/>
      <c r="AA25" s="19"/>
      <c r="AD25" s="19"/>
      <c r="AE25" s="9"/>
      <c r="AG25" s="19"/>
      <c r="AJ25" s="19"/>
      <c r="AK25" s="9"/>
      <c r="AM25" s="19"/>
      <c r="AP25" s="19"/>
      <c r="AQ25" s="9"/>
      <c r="AS25" s="19"/>
      <c r="AV25" s="19"/>
      <c r="AW25" s="9"/>
      <c r="AY25" s="19"/>
      <c r="BB25" s="19"/>
      <c r="BC25" s="9"/>
      <c r="BE25" s="19"/>
      <c r="BH25" s="19"/>
    </row>
    <row r="26" spans="1:60">
      <c r="A26" s="9"/>
      <c r="C26" s="19"/>
      <c r="F26" s="19"/>
      <c r="G26" s="9"/>
      <c r="I26" s="19"/>
      <c r="L26" s="19"/>
      <c r="M26" s="9"/>
      <c r="O26" s="19"/>
      <c r="R26" s="19"/>
      <c r="S26" s="9"/>
      <c r="U26" s="19"/>
      <c r="X26" s="19"/>
      <c r="Y26" s="9"/>
      <c r="AA26" s="19"/>
      <c r="AD26" s="19"/>
      <c r="AE26" s="9"/>
      <c r="AG26" s="19"/>
      <c r="AJ26" s="19"/>
      <c r="AK26" s="9"/>
      <c r="AM26" s="19"/>
      <c r="AP26" s="19"/>
      <c r="AQ26" s="9"/>
      <c r="AS26" s="19"/>
      <c r="AV26" s="19"/>
      <c r="AW26" s="9"/>
      <c r="AY26" s="19"/>
      <c r="BB26" s="19"/>
      <c r="BC26" s="9"/>
      <c r="BE26" s="19"/>
      <c r="BH26" s="19"/>
    </row>
    <row r="27" spans="1:60">
      <c r="A27" s="9"/>
      <c r="C27" s="19"/>
      <c r="F27" s="19"/>
      <c r="G27" s="9"/>
      <c r="I27" s="19"/>
      <c r="L27" s="19"/>
      <c r="M27" s="9"/>
      <c r="O27" s="19"/>
      <c r="R27" s="19"/>
      <c r="S27" s="9"/>
      <c r="U27" s="19"/>
      <c r="X27" s="19"/>
      <c r="Y27" s="9"/>
      <c r="AA27" s="19"/>
      <c r="AD27" s="19"/>
      <c r="AE27" s="9"/>
      <c r="AG27" s="19"/>
      <c r="AJ27" s="19"/>
      <c r="AK27" s="9"/>
      <c r="AM27" s="19"/>
      <c r="AP27" s="19"/>
      <c r="AQ27" s="9"/>
      <c r="AS27" s="19"/>
      <c r="AV27" s="19"/>
      <c r="AW27" s="9"/>
      <c r="AY27" s="19"/>
      <c r="BB27" s="19"/>
      <c r="BC27" s="9"/>
      <c r="BE27" s="19"/>
      <c r="BH27" s="19"/>
    </row>
    <row r="28" spans="1:60">
      <c r="A28" s="9"/>
      <c r="C28" s="19"/>
      <c r="F28" s="19"/>
      <c r="G28" s="9"/>
      <c r="I28" s="19"/>
      <c r="L28" s="19"/>
      <c r="M28" s="9"/>
      <c r="O28" s="19"/>
      <c r="R28" s="19"/>
      <c r="S28" s="9"/>
      <c r="U28" s="19"/>
      <c r="X28" s="19"/>
      <c r="Y28" s="9"/>
      <c r="AA28" s="19"/>
      <c r="AD28" s="19"/>
      <c r="AE28" s="9"/>
      <c r="AG28" s="19"/>
      <c r="AJ28" s="19"/>
      <c r="AK28" s="9"/>
      <c r="AM28" s="19"/>
      <c r="AP28" s="19"/>
      <c r="AQ28" s="9"/>
      <c r="AS28" s="19"/>
      <c r="AV28" s="19"/>
      <c r="AW28" s="9"/>
      <c r="AY28" s="19"/>
      <c r="BB28" s="19"/>
      <c r="BC28" s="9"/>
      <c r="BE28" s="19"/>
      <c r="BH28" s="19"/>
    </row>
    <row r="29" spans="1:60">
      <c r="A29" s="9"/>
      <c r="C29" s="19"/>
      <c r="F29" s="19"/>
      <c r="G29" s="9"/>
      <c r="I29" s="19"/>
      <c r="L29" s="19"/>
      <c r="M29" s="9"/>
      <c r="O29" s="19"/>
      <c r="R29" s="19"/>
      <c r="S29" s="9"/>
      <c r="U29" s="19"/>
      <c r="X29" s="19"/>
      <c r="Y29" s="9"/>
      <c r="AA29" s="19"/>
      <c r="AD29" s="19"/>
      <c r="AE29" s="9"/>
      <c r="AG29" s="19"/>
      <c r="AJ29" s="19"/>
      <c r="AK29" s="9"/>
      <c r="AM29" s="19"/>
      <c r="AP29" s="19"/>
      <c r="AQ29" s="9"/>
      <c r="AS29" s="19"/>
      <c r="AV29" s="19"/>
      <c r="AW29" s="9"/>
      <c r="AY29" s="19"/>
      <c r="BB29" s="19"/>
      <c r="BC29" s="9"/>
      <c r="BE29" s="19"/>
      <c r="BH29" s="19"/>
    </row>
    <row r="30" spans="1:60">
      <c r="A30" s="9"/>
      <c r="C30" s="19"/>
      <c r="F30" s="19"/>
      <c r="G30" s="9"/>
      <c r="I30" s="19"/>
      <c r="L30" s="19"/>
      <c r="M30" s="9"/>
      <c r="O30" s="19"/>
      <c r="R30" s="19"/>
      <c r="S30" s="9"/>
      <c r="U30" s="19"/>
      <c r="X30" s="19"/>
      <c r="Y30" s="9"/>
      <c r="AA30" s="19"/>
      <c r="AD30" s="19"/>
      <c r="AE30" s="9"/>
      <c r="AG30" s="19"/>
      <c r="AJ30" s="19"/>
      <c r="AK30" s="9"/>
      <c r="AM30" s="19"/>
      <c r="AP30" s="19"/>
      <c r="AQ30" s="9"/>
      <c r="AS30" s="19"/>
      <c r="AV30" s="19"/>
      <c r="AW30" s="9"/>
      <c r="AY30" s="19"/>
      <c r="BB30" s="19"/>
      <c r="BC30" s="9"/>
      <c r="BE30" s="19"/>
      <c r="BH30" s="19"/>
    </row>
    <row r="31" spans="1:60">
      <c r="A31" s="9"/>
      <c r="C31" s="19"/>
      <c r="F31" s="19"/>
      <c r="G31" s="9"/>
      <c r="I31" s="19"/>
      <c r="L31" s="19"/>
      <c r="M31" s="9"/>
      <c r="O31" s="19"/>
      <c r="R31" s="19"/>
      <c r="S31" s="9"/>
      <c r="U31" s="19"/>
      <c r="X31" s="19"/>
      <c r="Y31" s="9"/>
      <c r="AA31" s="19"/>
      <c r="AD31" s="19"/>
      <c r="AE31" s="9"/>
      <c r="AG31" s="19"/>
      <c r="AJ31" s="19"/>
      <c r="AK31" s="9"/>
      <c r="AM31" s="19"/>
      <c r="AP31" s="19"/>
      <c r="AQ31" s="9"/>
      <c r="AS31" s="19"/>
      <c r="AV31" s="19"/>
      <c r="AW31" s="9"/>
      <c r="AY31" s="19"/>
      <c r="BB31" s="19"/>
      <c r="BC31" s="9"/>
      <c r="BE31" s="19"/>
      <c r="BH31" s="19"/>
    </row>
    <row r="32" spans="1:60">
      <c r="A32" s="9"/>
      <c r="C32" s="19"/>
      <c r="F32" s="19"/>
      <c r="G32" s="9"/>
      <c r="I32" s="19"/>
      <c r="L32" s="19"/>
      <c r="M32" s="9"/>
      <c r="O32" s="19"/>
      <c r="R32" s="19"/>
      <c r="S32" s="9"/>
      <c r="U32" s="19"/>
      <c r="X32" s="19"/>
      <c r="Y32" s="9"/>
      <c r="AA32" s="19"/>
      <c r="AD32" s="19"/>
      <c r="AE32" s="9"/>
      <c r="AG32" s="19"/>
      <c r="AJ32" s="19"/>
      <c r="AK32" s="9"/>
      <c r="AM32" s="19"/>
      <c r="AP32" s="19"/>
      <c r="AQ32" s="9"/>
      <c r="AS32" s="19"/>
      <c r="AV32" s="19"/>
      <c r="AW32" s="9"/>
      <c r="AY32" s="19"/>
      <c r="BB32" s="19"/>
      <c r="BC32" s="9"/>
      <c r="BE32" s="19"/>
      <c r="BH32" s="19"/>
    </row>
    <row r="33" spans="1:60" ht="13.5" thickBot="1">
      <c r="A33" s="9"/>
      <c r="C33" s="19"/>
      <c r="F33" s="19"/>
      <c r="G33" s="9"/>
      <c r="I33" s="19"/>
      <c r="L33" s="19"/>
      <c r="M33" s="9"/>
      <c r="O33" s="19"/>
      <c r="R33" s="19"/>
      <c r="S33" s="9"/>
      <c r="U33" s="19"/>
      <c r="X33" s="19"/>
      <c r="Y33" s="9"/>
      <c r="AA33" s="19"/>
      <c r="AD33" s="19"/>
      <c r="AE33" s="9"/>
      <c r="AG33" s="19"/>
      <c r="AJ33" s="19"/>
      <c r="AK33" s="9"/>
      <c r="AM33" s="19"/>
      <c r="AP33" s="19"/>
      <c r="AQ33" s="9"/>
      <c r="AS33" s="19"/>
      <c r="AV33" s="19"/>
      <c r="AW33" s="9"/>
      <c r="AY33" s="19"/>
      <c r="BB33" s="19"/>
      <c r="BC33" s="9"/>
      <c r="BE33" s="19"/>
      <c r="BH33" s="19"/>
    </row>
    <row r="34" spans="1:60" ht="12.75" customHeight="1">
      <c r="A34" s="1523" t="str">
        <f>+A23</f>
        <v>LA UNION - SONSÓN. MUNICIPIO DE ABEJORRAL. PR79+0950. CIERRE TOTAL DE LA VIA POR DERRUMBE, ATENCION A LA EMERGENCIA</v>
      </c>
      <c r="B34" s="1524"/>
      <c r="C34" s="1524"/>
      <c r="D34" s="1524"/>
      <c r="E34" s="1524"/>
      <c r="F34" s="1525"/>
      <c r="G34" s="1523" t="str">
        <f>+G23</f>
        <v>LA UNION - SONSÓN. MUNICIPIO DE LA UNION. PR67+0600. EMERGENCIA POR PERDIDA DE SOPORTE DE LA BANCA. SITIO CRITICO</v>
      </c>
      <c r="H34" s="1524"/>
      <c r="I34" s="1524"/>
      <c r="J34" s="1524"/>
      <c r="K34" s="1524"/>
      <c r="L34" s="1525"/>
      <c r="M34" s="1523" t="str">
        <f>+M23</f>
        <v>LA UNION - SONSÓN. MUNICIPIO DE LA UNION-ABEJORRAL. PR52+0400 AL 82+0300. RETIRO DE MULTIPLES Y ATENCION DE EMERGENCIA</v>
      </c>
      <c r="N34" s="1524"/>
      <c r="O34" s="1524"/>
      <c r="P34" s="1524"/>
      <c r="Q34" s="1524"/>
      <c r="R34" s="1525"/>
      <c r="S34" s="1523" t="str">
        <f>+S23</f>
        <v>LA UNION - SONSÓN. PR70+0000 AL PR101+000. BACHEO CON FRESADO A LO LARGO DEL TRAMO.</v>
      </c>
      <c r="T34" s="1524"/>
      <c r="U34" s="1524"/>
      <c r="V34" s="1524"/>
      <c r="W34" s="1524"/>
      <c r="X34" s="1525"/>
      <c r="Y34" s="1523" t="s">
        <v>1225</v>
      </c>
      <c r="Z34" s="1524"/>
      <c r="AA34" s="1524"/>
      <c r="AB34" s="1524"/>
      <c r="AC34" s="1524"/>
      <c r="AD34" s="1525"/>
      <c r="AE34" s="1523" t="s">
        <v>1226</v>
      </c>
      <c r="AF34" s="1524"/>
      <c r="AG34" s="1524"/>
      <c r="AH34" s="1524"/>
      <c r="AI34" s="1524"/>
      <c r="AJ34" s="1525"/>
      <c r="AK34" s="1523" t="str">
        <f>+AK23</f>
        <v>LA UNION - SONSÓN. PR49+0000 AL PR103+0000. MUNICIPIO DE LA UNION. PR59+0260. ACENTAMIENTO DE MURO Y EROSION DE SOPORTE DE CALZADA, MULTIPLES GRIETAS, SITIO CRITICO</v>
      </c>
      <c r="AL34" s="1524"/>
      <c r="AM34" s="1524"/>
      <c r="AN34" s="1524"/>
      <c r="AO34" s="1524"/>
      <c r="AP34" s="1525"/>
      <c r="AQ34" s="1523" t="s">
        <v>1227</v>
      </c>
      <c r="AR34" s="1524"/>
      <c r="AS34" s="1524"/>
      <c r="AT34" s="1524"/>
      <c r="AU34" s="1524"/>
      <c r="AV34" s="1525"/>
      <c r="AW34" s="1523" t="s">
        <v>1228</v>
      </c>
      <c r="AX34" s="1524"/>
      <c r="AY34" s="1524"/>
      <c r="AZ34" s="1524"/>
      <c r="BA34" s="1524"/>
      <c r="BB34" s="1525"/>
      <c r="BC34" s="1523" t="s">
        <v>1229</v>
      </c>
      <c r="BD34" s="1524"/>
      <c r="BE34" s="1524"/>
      <c r="BF34" s="1524"/>
      <c r="BG34" s="1524"/>
      <c r="BH34" s="1525"/>
    </row>
    <row r="35" spans="1:60" ht="13.5" thickBot="1">
      <c r="A35" s="1526"/>
      <c r="B35" s="1527"/>
      <c r="C35" s="1527"/>
      <c r="D35" s="1527"/>
      <c r="E35" s="1527"/>
      <c r="F35" s="1528"/>
      <c r="G35" s="1526"/>
      <c r="H35" s="1527"/>
      <c r="I35" s="1527"/>
      <c r="J35" s="1527"/>
      <c r="K35" s="1527"/>
      <c r="L35" s="1528"/>
      <c r="M35" s="1526"/>
      <c r="N35" s="1527"/>
      <c r="O35" s="1527"/>
      <c r="P35" s="1527"/>
      <c r="Q35" s="1527"/>
      <c r="R35" s="1528"/>
      <c r="S35" s="1526"/>
      <c r="T35" s="1527"/>
      <c r="U35" s="1527"/>
      <c r="V35" s="1527"/>
      <c r="W35" s="1527"/>
      <c r="X35" s="1528"/>
      <c r="Y35" s="1526"/>
      <c r="Z35" s="1527"/>
      <c r="AA35" s="1527"/>
      <c r="AB35" s="1527"/>
      <c r="AC35" s="1527"/>
      <c r="AD35" s="1528"/>
      <c r="AE35" s="1526"/>
      <c r="AF35" s="1527"/>
      <c r="AG35" s="1527"/>
      <c r="AH35" s="1527"/>
      <c r="AI35" s="1527"/>
      <c r="AJ35" s="1528"/>
      <c r="AK35" s="1526"/>
      <c r="AL35" s="1527"/>
      <c r="AM35" s="1527"/>
      <c r="AN35" s="1527"/>
      <c r="AO35" s="1527"/>
      <c r="AP35" s="1528"/>
      <c r="AQ35" s="1526"/>
      <c r="AR35" s="1527"/>
      <c r="AS35" s="1527"/>
      <c r="AT35" s="1527"/>
      <c r="AU35" s="1527"/>
      <c r="AV35" s="1528"/>
      <c r="AW35" s="1526"/>
      <c r="AX35" s="1527"/>
      <c r="AY35" s="1527"/>
      <c r="AZ35" s="1527"/>
      <c r="BA35" s="1527"/>
      <c r="BB35" s="1528"/>
      <c r="BC35" s="1526"/>
      <c r="BD35" s="1527"/>
      <c r="BE35" s="1527"/>
      <c r="BF35" s="1527"/>
      <c r="BG35" s="1527"/>
      <c r="BH35" s="1528"/>
    </row>
    <row r="36" spans="1:60">
      <c r="A36" s="9"/>
      <c r="C36" s="19"/>
      <c r="F36" s="19"/>
      <c r="G36" s="9"/>
      <c r="I36" s="19"/>
      <c r="L36" s="19"/>
      <c r="M36" s="9"/>
      <c r="O36" s="19"/>
      <c r="R36" s="19"/>
      <c r="S36" s="9"/>
      <c r="U36" s="19"/>
      <c r="X36" s="19"/>
      <c r="Y36" s="9"/>
      <c r="AA36" s="19"/>
      <c r="AD36" s="19"/>
      <c r="AE36" s="9"/>
      <c r="AG36" s="19"/>
      <c r="AJ36" s="19"/>
      <c r="AK36" s="9"/>
      <c r="AM36" s="19"/>
      <c r="AP36" s="19"/>
      <c r="AQ36" s="9"/>
      <c r="AS36" s="19"/>
      <c r="AV36" s="19"/>
      <c r="AW36" s="9"/>
      <c r="AY36" s="19"/>
      <c r="BB36" s="19"/>
      <c r="BC36" s="9"/>
      <c r="BE36" s="19"/>
      <c r="BH36" s="19"/>
    </row>
    <row r="37" spans="1:60">
      <c r="A37" s="9"/>
      <c r="C37" s="19"/>
      <c r="F37" s="19"/>
      <c r="G37" s="9"/>
      <c r="I37" s="19"/>
      <c r="L37" s="19"/>
      <c r="M37" s="9"/>
      <c r="O37" s="19"/>
      <c r="R37" s="19"/>
      <c r="S37" s="9"/>
      <c r="U37" s="19"/>
      <c r="X37" s="19"/>
      <c r="Y37" s="9"/>
      <c r="AA37" s="19"/>
      <c r="AD37" s="19"/>
      <c r="AE37" s="9"/>
      <c r="AG37" s="19"/>
      <c r="AJ37" s="19"/>
      <c r="AK37" s="9"/>
      <c r="AM37" s="19"/>
      <c r="AP37" s="19"/>
      <c r="AQ37" s="9"/>
      <c r="AS37" s="19"/>
      <c r="AV37" s="19"/>
      <c r="AW37" s="9"/>
      <c r="AY37" s="19"/>
      <c r="BB37" s="19"/>
      <c r="BC37" s="9"/>
      <c r="BE37" s="19"/>
      <c r="BH37" s="19"/>
    </row>
    <row r="38" spans="1:60">
      <c r="A38" s="9"/>
      <c r="C38" s="19"/>
      <c r="F38" s="19"/>
      <c r="G38" s="9"/>
      <c r="I38" s="19"/>
      <c r="L38" s="19"/>
      <c r="M38" s="9"/>
      <c r="O38" s="19"/>
      <c r="R38" s="19"/>
      <c r="S38" s="9"/>
      <c r="U38" s="19"/>
      <c r="X38" s="19"/>
      <c r="Y38" s="9"/>
      <c r="AA38" s="19"/>
      <c r="AD38" s="19"/>
      <c r="AE38" s="9"/>
      <c r="AG38" s="19"/>
      <c r="AJ38" s="19"/>
      <c r="AK38" s="9"/>
      <c r="AM38" s="19"/>
      <c r="AP38" s="19"/>
      <c r="AQ38" s="9"/>
      <c r="AS38" s="19"/>
      <c r="AV38" s="19"/>
      <c r="AW38" s="9"/>
      <c r="AY38" s="19"/>
      <c r="BB38" s="19"/>
      <c r="BC38" s="9"/>
      <c r="BE38" s="19"/>
      <c r="BH38" s="19"/>
    </row>
    <row r="39" spans="1:60">
      <c r="A39" s="9"/>
      <c r="C39" s="19"/>
      <c r="F39" s="19"/>
      <c r="G39" s="9"/>
      <c r="I39" s="19"/>
      <c r="L39" s="19"/>
      <c r="M39" s="9"/>
      <c r="O39" s="19"/>
      <c r="R39" s="19"/>
      <c r="S39" s="9"/>
      <c r="U39" s="19"/>
      <c r="X39" s="19"/>
      <c r="Y39" s="9"/>
      <c r="AA39" s="19"/>
      <c r="AD39" s="19"/>
      <c r="AE39" s="9"/>
      <c r="AG39" s="19"/>
      <c r="AJ39" s="19"/>
      <c r="AK39" s="9"/>
      <c r="AM39" s="19"/>
      <c r="AP39" s="19"/>
      <c r="AQ39" s="9"/>
      <c r="AS39" s="19"/>
      <c r="AV39" s="19"/>
      <c r="AW39" s="9"/>
      <c r="AY39" s="19"/>
      <c r="BB39" s="19"/>
      <c r="BC39" s="9"/>
      <c r="BE39" s="19"/>
      <c r="BH39" s="19"/>
    </row>
    <row r="40" spans="1:60">
      <c r="A40" s="9"/>
      <c r="C40" s="19"/>
      <c r="F40" s="19"/>
      <c r="G40" s="9"/>
      <c r="I40" s="19"/>
      <c r="L40" s="19"/>
      <c r="M40" s="9"/>
      <c r="O40" s="19"/>
      <c r="R40" s="19"/>
      <c r="S40" s="9"/>
      <c r="U40" s="19"/>
      <c r="X40" s="19"/>
      <c r="Y40" s="9"/>
      <c r="AA40" s="19"/>
      <c r="AD40" s="19"/>
      <c r="AE40" s="9"/>
      <c r="AG40" s="19"/>
      <c r="AJ40" s="19"/>
      <c r="AK40" s="9"/>
      <c r="AM40" s="19"/>
      <c r="AP40" s="19"/>
      <c r="AQ40" s="9"/>
      <c r="AS40" s="19"/>
      <c r="AV40" s="19"/>
      <c r="AW40" s="9"/>
      <c r="AY40" s="19"/>
      <c r="BB40" s="19"/>
      <c r="BC40" s="9"/>
      <c r="BE40" s="19"/>
      <c r="BH40" s="19"/>
    </row>
    <row r="41" spans="1:60">
      <c r="A41" s="9"/>
      <c r="C41" s="19"/>
      <c r="F41" s="19"/>
      <c r="G41" s="9"/>
      <c r="I41" s="19"/>
      <c r="L41" s="19"/>
      <c r="M41" s="9"/>
      <c r="O41" s="19"/>
      <c r="R41" s="19"/>
      <c r="S41" s="9"/>
      <c r="U41" s="19"/>
      <c r="X41" s="19"/>
      <c r="Y41" s="9"/>
      <c r="AA41" s="19"/>
      <c r="AD41" s="19"/>
      <c r="AE41" s="9"/>
      <c r="AG41" s="19"/>
      <c r="AJ41" s="19"/>
      <c r="AK41" s="9"/>
      <c r="AM41" s="19"/>
      <c r="AP41" s="19"/>
      <c r="AQ41" s="9"/>
      <c r="AS41" s="19"/>
      <c r="AV41" s="19"/>
      <c r="AW41" s="9"/>
      <c r="AY41" s="19"/>
      <c r="BB41" s="19"/>
      <c r="BC41" s="9"/>
      <c r="BE41" s="19"/>
      <c r="BH41" s="19"/>
    </row>
    <row r="42" spans="1:60">
      <c r="A42" s="9"/>
      <c r="C42" s="19"/>
      <c r="F42" s="19"/>
      <c r="G42" s="9"/>
      <c r="I42" s="19"/>
      <c r="L42" s="19"/>
      <c r="M42" s="9"/>
      <c r="O42" s="19"/>
      <c r="R42" s="19"/>
      <c r="S42" s="9"/>
      <c r="U42" s="19"/>
      <c r="X42" s="19"/>
      <c r="Y42" s="9"/>
      <c r="AA42" s="19"/>
      <c r="AD42" s="19"/>
      <c r="AE42" s="9"/>
      <c r="AG42" s="19"/>
      <c r="AJ42" s="19"/>
      <c r="AK42" s="9"/>
      <c r="AM42" s="19"/>
      <c r="AP42" s="19"/>
      <c r="AQ42" s="9"/>
      <c r="AS42" s="19"/>
      <c r="AV42" s="19"/>
      <c r="AW42" s="9"/>
      <c r="AY42" s="19"/>
      <c r="BB42" s="19"/>
      <c r="BC42" s="9"/>
      <c r="BE42" s="19"/>
      <c r="BH42" s="19"/>
    </row>
    <row r="43" spans="1:60">
      <c r="A43" s="9"/>
      <c r="C43" s="19"/>
      <c r="F43" s="19"/>
      <c r="G43" s="9"/>
      <c r="I43" s="19"/>
      <c r="L43" s="19"/>
      <c r="M43" s="9"/>
      <c r="O43" s="19"/>
      <c r="R43" s="19"/>
      <c r="S43" s="9"/>
      <c r="U43" s="19"/>
      <c r="X43" s="19"/>
      <c r="Y43" s="9"/>
      <c r="AA43" s="19"/>
      <c r="AD43" s="19"/>
      <c r="AE43" s="9"/>
      <c r="AG43" s="19"/>
      <c r="AJ43" s="19"/>
      <c r="AK43" s="9"/>
      <c r="AM43" s="19"/>
      <c r="AP43" s="19"/>
      <c r="AQ43" s="9"/>
      <c r="AS43" s="19"/>
      <c r="AV43" s="19"/>
      <c r="AW43" s="9"/>
      <c r="AY43" s="19"/>
      <c r="BB43" s="19"/>
      <c r="BC43" s="9"/>
      <c r="BE43" s="19"/>
      <c r="BH43" s="19"/>
    </row>
    <row r="44" spans="1:60" ht="13.5" thickBot="1">
      <c r="A44" s="9"/>
      <c r="C44" s="19"/>
      <c r="F44" s="19"/>
      <c r="G44" s="9"/>
      <c r="I44" s="19"/>
      <c r="L44" s="19"/>
      <c r="M44" s="9"/>
      <c r="O44" s="19"/>
      <c r="R44" s="19"/>
      <c r="S44" s="9"/>
      <c r="U44" s="19"/>
      <c r="X44" s="19"/>
      <c r="Y44" s="9"/>
      <c r="AA44" s="19"/>
      <c r="AD44" s="19"/>
      <c r="AE44" s="9"/>
      <c r="AG44" s="19"/>
      <c r="AJ44" s="19"/>
      <c r="AK44" s="9"/>
      <c r="AM44" s="19"/>
      <c r="AP44" s="19"/>
      <c r="AQ44" s="9"/>
      <c r="AS44" s="19"/>
      <c r="AV44" s="19"/>
      <c r="AW44" s="9"/>
      <c r="AY44" s="19"/>
      <c r="BB44" s="19"/>
      <c r="BC44" s="9"/>
      <c r="BE44" s="19"/>
      <c r="BH44" s="19"/>
    </row>
    <row r="45" spans="1:60" ht="12.75" customHeight="1">
      <c r="A45" s="1523" t="str">
        <f>+A34</f>
        <v>LA UNION - SONSÓN. MUNICIPIO DE ABEJORRAL. PR79+0950. CIERRE TOTAL DE LA VIA POR DERRUMBE, ATENCION A LA EMERGENCIA</v>
      </c>
      <c r="B45" s="1524"/>
      <c r="C45" s="1524"/>
      <c r="D45" s="1524"/>
      <c r="E45" s="1524"/>
      <c r="F45" s="1525"/>
      <c r="G45" s="1523" t="s">
        <v>1230</v>
      </c>
      <c r="H45" s="1524"/>
      <c r="I45" s="1524"/>
      <c r="J45" s="1524"/>
      <c r="K45" s="1524"/>
      <c r="L45" s="1525"/>
      <c r="M45" s="1523" t="s">
        <v>1231</v>
      </c>
      <c r="N45" s="1524"/>
      <c r="O45" s="1524"/>
      <c r="P45" s="1524"/>
      <c r="Q45" s="1524"/>
      <c r="R45" s="1525"/>
      <c r="S45" s="1523" t="s">
        <v>1232</v>
      </c>
      <c r="T45" s="1524"/>
      <c r="U45" s="1524"/>
      <c r="V45" s="1524"/>
      <c r="W45" s="1524"/>
      <c r="X45" s="1525"/>
      <c r="Y45" s="1523" t="s">
        <v>1233</v>
      </c>
      <c r="Z45" s="1524"/>
      <c r="AA45" s="1524"/>
      <c r="AB45" s="1524"/>
      <c r="AC45" s="1524"/>
      <c r="AD45" s="1525"/>
      <c r="AE45" s="1523" t="str">
        <f>+AE34</f>
        <v>LA UNION - SONSÓN. PR49+0000 AL PR103+0000. MUNICIPIO DE SONSÓN. PR83+0020. EROSION SEVERA PUENTE CARTAGENA.</v>
      </c>
      <c r="AF45" s="1524"/>
      <c r="AG45" s="1524"/>
      <c r="AH45" s="1524"/>
      <c r="AI45" s="1524"/>
      <c r="AJ45" s="1525"/>
      <c r="AK45" s="1523" t="s">
        <v>1234</v>
      </c>
      <c r="AL45" s="1524"/>
      <c r="AM45" s="1524"/>
      <c r="AN45" s="1524"/>
      <c r="AO45" s="1524"/>
      <c r="AP45" s="1525"/>
      <c r="AQ45" s="1523" t="str">
        <f>+AQ34</f>
        <v>LA UNION - SONSÓN. PR49+0000 AL PR103+0000. MUNICIPIO DE SONSON. PR94+0260. EROSION DE DESCOLE Y SELLAMIENTO DE GRIETAS.</v>
      </c>
      <c r="AR45" s="1524"/>
      <c r="AS45" s="1524"/>
      <c r="AT45" s="1524"/>
      <c r="AU45" s="1524"/>
      <c r="AV45" s="1525"/>
      <c r="AW45" s="1523" t="s">
        <v>1235</v>
      </c>
      <c r="AX45" s="1524"/>
      <c r="AY45" s="1524"/>
      <c r="AZ45" s="1524"/>
      <c r="BA45" s="1524"/>
      <c r="BB45" s="1525"/>
      <c r="BC45" s="1523"/>
      <c r="BD45" s="1524"/>
      <c r="BE45" s="1524"/>
      <c r="BF45" s="1524"/>
      <c r="BG45" s="1524"/>
      <c r="BH45" s="1525"/>
    </row>
    <row r="46" spans="1:60" ht="13.5" thickBot="1">
      <c r="A46" s="1526"/>
      <c r="B46" s="1527"/>
      <c r="C46" s="1527"/>
      <c r="D46" s="1527"/>
      <c r="E46" s="1527"/>
      <c r="F46" s="1528"/>
      <c r="G46" s="1526"/>
      <c r="H46" s="1527"/>
      <c r="I46" s="1527"/>
      <c r="J46" s="1527"/>
      <c r="K46" s="1527"/>
      <c r="L46" s="1528"/>
      <c r="M46" s="1526"/>
      <c r="N46" s="1527"/>
      <c r="O46" s="1527"/>
      <c r="P46" s="1527"/>
      <c r="Q46" s="1527"/>
      <c r="R46" s="1528"/>
      <c r="S46" s="1526"/>
      <c r="T46" s="1527"/>
      <c r="U46" s="1527"/>
      <c r="V46" s="1527"/>
      <c r="W46" s="1527"/>
      <c r="X46" s="1528"/>
      <c r="Y46" s="1526"/>
      <c r="Z46" s="1527"/>
      <c r="AA46" s="1527"/>
      <c r="AB46" s="1527"/>
      <c r="AC46" s="1527"/>
      <c r="AD46" s="1528"/>
      <c r="AE46" s="1526"/>
      <c r="AF46" s="1527"/>
      <c r="AG46" s="1527"/>
      <c r="AH46" s="1527"/>
      <c r="AI46" s="1527"/>
      <c r="AJ46" s="1528"/>
      <c r="AK46" s="1526"/>
      <c r="AL46" s="1527"/>
      <c r="AM46" s="1527"/>
      <c r="AN46" s="1527"/>
      <c r="AO46" s="1527"/>
      <c r="AP46" s="1528"/>
      <c r="AQ46" s="1526"/>
      <c r="AR46" s="1527"/>
      <c r="AS46" s="1527"/>
      <c r="AT46" s="1527"/>
      <c r="AU46" s="1527"/>
      <c r="AV46" s="1528"/>
      <c r="AW46" s="1526"/>
      <c r="AX46" s="1527"/>
      <c r="AY46" s="1527"/>
      <c r="AZ46" s="1527"/>
      <c r="BA46" s="1527"/>
      <c r="BB46" s="1528"/>
      <c r="BC46" s="1526"/>
      <c r="BD46" s="1527"/>
      <c r="BE46" s="1527"/>
      <c r="BF46" s="1527"/>
      <c r="BG46" s="1527"/>
      <c r="BH46" s="1528"/>
    </row>
    <row r="48" spans="1:60">
      <c r="A48" s="66" t="s">
        <v>1236</v>
      </c>
      <c r="G48" s="66" t="s">
        <v>1236</v>
      </c>
      <c r="M48" s="66" t="s">
        <v>1236</v>
      </c>
      <c r="S48" s="66" t="s">
        <v>1236</v>
      </c>
      <c r="Y48" s="66" t="s">
        <v>1236</v>
      </c>
      <c r="AE48" s="66" t="s">
        <v>1236</v>
      </c>
      <c r="AK48" s="66" t="s">
        <v>1236</v>
      </c>
      <c r="AQ48" s="66" t="s">
        <v>1236</v>
      </c>
      <c r="AW48" s="66" t="s">
        <v>1236</v>
      </c>
      <c r="BC48" s="66" t="s">
        <v>1236</v>
      </c>
    </row>
    <row r="49" spans="1:60">
      <c r="A49" s="66" t="s">
        <v>1237</v>
      </c>
      <c r="G49" s="66" t="s">
        <v>1237</v>
      </c>
      <c r="M49" s="66" t="s">
        <v>1237</v>
      </c>
      <c r="S49" s="66" t="s">
        <v>1237</v>
      </c>
      <c r="Y49" s="66" t="s">
        <v>1237</v>
      </c>
      <c r="AE49" s="66" t="s">
        <v>1237</v>
      </c>
      <c r="AK49" s="66" t="s">
        <v>1237</v>
      </c>
      <c r="AQ49" s="66" t="s">
        <v>1237</v>
      </c>
      <c r="AW49" s="66" t="s">
        <v>1237</v>
      </c>
      <c r="BC49" s="66" t="s">
        <v>1237</v>
      </c>
    </row>
    <row r="50" spans="1:60">
      <c r="A50" s="384" t="s">
        <v>1238</v>
      </c>
      <c r="B50" s="382"/>
      <c r="C50" s="382"/>
      <c r="D50" s="382"/>
      <c r="E50" s="382"/>
      <c r="F50" s="382"/>
      <c r="G50" s="384" t="s">
        <v>1238</v>
      </c>
      <c r="H50" s="382"/>
      <c r="I50" s="382"/>
      <c r="J50" s="382"/>
      <c r="K50" s="382"/>
      <c r="L50" s="382"/>
      <c r="M50" s="384" t="s">
        <v>1238</v>
      </c>
      <c r="N50" s="382"/>
      <c r="O50" s="382"/>
      <c r="P50" s="382"/>
      <c r="Q50" s="382"/>
      <c r="R50" s="382"/>
      <c r="S50" s="384" t="s">
        <v>1238</v>
      </c>
      <c r="T50" s="382"/>
      <c r="U50" s="382"/>
      <c r="V50" s="382"/>
      <c r="W50" s="382"/>
      <c r="X50" s="382"/>
      <c r="Y50" s="384" t="s">
        <v>1238</v>
      </c>
      <c r="Z50" s="382"/>
      <c r="AA50" s="382"/>
      <c r="AB50" s="382"/>
      <c r="AC50" s="382"/>
      <c r="AD50" s="382"/>
      <c r="AE50" s="384" t="s">
        <v>1238</v>
      </c>
      <c r="AF50" s="382"/>
      <c r="AG50" s="382"/>
      <c r="AH50" s="382"/>
      <c r="AI50" s="382"/>
      <c r="AJ50" s="382"/>
      <c r="AK50" s="384" t="s">
        <v>1238</v>
      </c>
      <c r="AL50" s="382"/>
      <c r="AM50" s="382"/>
      <c r="AN50" s="382"/>
      <c r="AO50" s="382"/>
      <c r="AP50" s="382"/>
      <c r="AQ50" s="384" t="s">
        <v>1238</v>
      </c>
      <c r="AR50" s="382"/>
      <c r="AS50" s="382"/>
      <c r="AT50" s="382"/>
      <c r="AU50" s="382"/>
      <c r="AV50" s="382"/>
      <c r="AW50" s="384" t="s">
        <v>1238</v>
      </c>
      <c r="AX50" s="382"/>
      <c r="AY50" s="382"/>
      <c r="AZ50" s="382"/>
      <c r="BA50" s="382"/>
      <c r="BB50" s="382"/>
      <c r="BC50" s="384" t="s">
        <v>1238</v>
      </c>
      <c r="BD50" s="382"/>
      <c r="BE50" s="382"/>
      <c r="BF50" s="382"/>
      <c r="BG50" s="382"/>
      <c r="BH50" s="382"/>
    </row>
    <row r="52" spans="1:60">
      <c r="D52" s="1262" t="s">
        <v>125</v>
      </c>
      <c r="E52" s="1262"/>
      <c r="F52" s="1262"/>
      <c r="J52" s="1262" t="s">
        <v>125</v>
      </c>
      <c r="K52" s="1262"/>
      <c r="L52" s="1262"/>
      <c r="P52" s="1262" t="s">
        <v>125</v>
      </c>
      <c r="Q52" s="1262"/>
      <c r="R52" s="1262"/>
      <c r="V52" s="1262" t="s">
        <v>125</v>
      </c>
      <c r="W52" s="1262"/>
      <c r="X52" s="1262"/>
      <c r="AB52" s="1262" t="s">
        <v>125</v>
      </c>
      <c r="AC52" s="1262"/>
      <c r="AD52" s="1262"/>
      <c r="AH52" s="1262" t="s">
        <v>125</v>
      </c>
      <c r="AI52" s="1262"/>
      <c r="AJ52" s="1262"/>
      <c r="AN52" s="1262" t="s">
        <v>125</v>
      </c>
      <c r="AO52" s="1262"/>
      <c r="AP52" s="1262"/>
      <c r="AT52" s="1262" t="s">
        <v>125</v>
      </c>
      <c r="AU52" s="1262"/>
      <c r="AV52" s="1262"/>
      <c r="AZ52" s="1262" t="s">
        <v>125</v>
      </c>
      <c r="BA52" s="1262"/>
      <c r="BB52" s="1262"/>
      <c r="BF52" s="1262" t="s">
        <v>125</v>
      </c>
      <c r="BG52" s="1262"/>
      <c r="BH52" s="1262"/>
    </row>
  </sheetData>
  <mergeCells count="80">
    <mergeCell ref="AW34:BB35"/>
    <mergeCell ref="AW45:BB46"/>
    <mergeCell ref="AZ52:BB52"/>
    <mergeCell ref="BC1:BH1"/>
    <mergeCell ref="BC3:BH3"/>
    <mergeCell ref="BC7:BH7"/>
    <mergeCell ref="BC11:BH11"/>
    <mergeCell ref="BC23:BH24"/>
    <mergeCell ref="BC34:BH35"/>
    <mergeCell ref="BC45:BH46"/>
    <mergeCell ref="BF52:BH52"/>
    <mergeCell ref="AW1:BB1"/>
    <mergeCell ref="AW3:BB3"/>
    <mergeCell ref="AW7:BB7"/>
    <mergeCell ref="AW11:BB11"/>
    <mergeCell ref="AW23:BB24"/>
    <mergeCell ref="AK34:AP35"/>
    <mergeCell ref="AK45:AP46"/>
    <mergeCell ref="AN52:AP52"/>
    <mergeCell ref="AQ1:AV1"/>
    <mergeCell ref="AQ3:AV3"/>
    <mergeCell ref="AQ7:AV7"/>
    <mergeCell ref="AQ11:AV11"/>
    <mergeCell ref="AQ23:AV24"/>
    <mergeCell ref="AQ34:AV35"/>
    <mergeCell ref="AQ45:AV46"/>
    <mergeCell ref="AT52:AV52"/>
    <mergeCell ref="AK1:AP1"/>
    <mergeCell ref="AK3:AP3"/>
    <mergeCell ref="AK7:AP7"/>
    <mergeCell ref="AK11:AP11"/>
    <mergeCell ref="AK23:AP24"/>
    <mergeCell ref="M23:R24"/>
    <mergeCell ref="M34:R35"/>
    <mergeCell ref="M45:R46"/>
    <mergeCell ref="P52:R52"/>
    <mergeCell ref="G1:L1"/>
    <mergeCell ref="G3:L3"/>
    <mergeCell ref="G7:L7"/>
    <mergeCell ref="G11:L11"/>
    <mergeCell ref="M1:R1"/>
    <mergeCell ref="M3:R3"/>
    <mergeCell ref="M7:R7"/>
    <mergeCell ref="M11:R11"/>
    <mergeCell ref="J52:L52"/>
    <mergeCell ref="G23:L24"/>
    <mergeCell ref="G34:L35"/>
    <mergeCell ref="G45:L46"/>
    <mergeCell ref="A1:F1"/>
    <mergeCell ref="A3:F3"/>
    <mergeCell ref="A7:F7"/>
    <mergeCell ref="A11:F11"/>
    <mergeCell ref="D52:F52"/>
    <mergeCell ref="A23:F24"/>
    <mergeCell ref="A34:F35"/>
    <mergeCell ref="A45:F46"/>
    <mergeCell ref="S45:X46"/>
    <mergeCell ref="V52:X52"/>
    <mergeCell ref="Y1:AD1"/>
    <mergeCell ref="Y3:AD3"/>
    <mergeCell ref="Y7:AD7"/>
    <mergeCell ref="Y11:AD11"/>
    <mergeCell ref="Y23:AD24"/>
    <mergeCell ref="Y34:AD35"/>
    <mergeCell ref="Y45:AD46"/>
    <mergeCell ref="AB52:AD52"/>
    <mergeCell ref="S1:X1"/>
    <mergeCell ref="S3:X3"/>
    <mergeCell ref="S7:X7"/>
    <mergeCell ref="S11:X11"/>
    <mergeCell ref="S23:X24"/>
    <mergeCell ref="S34:X35"/>
    <mergeCell ref="AE45:AJ46"/>
    <mergeCell ref="AH52:AJ52"/>
    <mergeCell ref="AE1:AJ1"/>
    <mergeCell ref="AE3:AJ3"/>
    <mergeCell ref="AE7:AJ7"/>
    <mergeCell ref="AE11:AJ11"/>
    <mergeCell ref="AE23:AJ24"/>
    <mergeCell ref="AE34:AJ35"/>
  </mergeCells>
  <phoneticPr fontId="4" type="noConversion"/>
  <hyperlinks>
    <hyperlink ref="D52" location="'TABLA DE CONTENIDO'!A1" display="'TABLA DE CONTENIDO'!A1" xr:uid="{00000000-0004-0000-1F00-000000000000}"/>
    <hyperlink ref="D52:E52" location="'TABLA DE CONTENIDO'!A1" display="VOLVER A TABLA DE CONTENIDO" xr:uid="{00000000-0004-0000-1F00-000001000000}"/>
    <hyperlink ref="J52" location="'TABLA DE CONTENIDO'!A1" display="'TABLA DE CONTENIDO'!A1" xr:uid="{00000000-0004-0000-1F00-000002000000}"/>
    <hyperlink ref="J52:K52" location="'TABLA DE CONTENIDO'!A1" display="VOLVER A TABLA DE CONTENIDO" xr:uid="{00000000-0004-0000-1F00-000003000000}"/>
    <hyperlink ref="P52" location="'TABLA DE CONTENIDO'!A1" display="'TABLA DE CONTENIDO'!A1" xr:uid="{00000000-0004-0000-1F00-000004000000}"/>
    <hyperlink ref="P52:Q52" location="'TABLA DE CONTENIDO'!A1" display="VOLVER A TABLA DE CONTENIDO" xr:uid="{00000000-0004-0000-1F00-000005000000}"/>
    <hyperlink ref="V52" location="'TABLA DE CONTENIDO'!A1" display="'TABLA DE CONTENIDO'!A1" xr:uid="{00000000-0004-0000-1F00-000006000000}"/>
    <hyperlink ref="V52:W52" location="'TABLA DE CONTENIDO'!A1" display="VOLVER A TABLA DE CONTENIDO" xr:uid="{00000000-0004-0000-1F00-000007000000}"/>
    <hyperlink ref="AB52" location="'TABLA DE CONTENIDO'!A1" display="'TABLA DE CONTENIDO'!A1" xr:uid="{00000000-0004-0000-1F00-000008000000}"/>
    <hyperlink ref="AB52:AC52" location="'TABLA DE CONTENIDO'!A1" display="VOLVER A TABLA DE CONTENIDO" xr:uid="{00000000-0004-0000-1F00-000009000000}"/>
    <hyperlink ref="AH52" location="'TABLA DE CONTENIDO'!A1" display="'TABLA DE CONTENIDO'!A1" xr:uid="{00000000-0004-0000-1F00-00000A000000}"/>
    <hyperlink ref="AH52:AI52" location="'TABLA DE CONTENIDO'!A1" display="VOLVER A TABLA DE CONTENIDO" xr:uid="{00000000-0004-0000-1F00-00000B000000}"/>
    <hyperlink ref="AN52" location="'TABLA DE CONTENIDO'!A1" display="'TABLA DE CONTENIDO'!A1" xr:uid="{00000000-0004-0000-1F00-00000C000000}"/>
    <hyperlink ref="AN52:AO52" location="'TABLA DE CONTENIDO'!A1" display="VOLVER A TABLA DE CONTENIDO" xr:uid="{00000000-0004-0000-1F00-00000D000000}"/>
    <hyperlink ref="AT52" location="'TABLA DE CONTENIDO'!A1" display="'TABLA DE CONTENIDO'!A1" xr:uid="{00000000-0004-0000-1F00-00000E000000}"/>
    <hyperlink ref="AT52:AU52" location="'TABLA DE CONTENIDO'!A1" display="VOLVER A TABLA DE CONTENIDO" xr:uid="{00000000-0004-0000-1F00-00000F000000}"/>
    <hyperlink ref="AZ52" location="'TABLA DE CONTENIDO'!A1" display="'TABLA DE CONTENIDO'!A1" xr:uid="{00000000-0004-0000-1F00-000010000000}"/>
    <hyperlink ref="AZ52:BA52" location="'TABLA DE CONTENIDO'!A1" display="VOLVER A TABLA DE CONTENIDO" xr:uid="{00000000-0004-0000-1F00-000011000000}"/>
    <hyperlink ref="BF52" location="'TABLA DE CONTENIDO'!A1" display="'TABLA DE CONTENIDO'!A1" xr:uid="{00000000-0004-0000-1F00-000012000000}"/>
    <hyperlink ref="BF52:BG52" location="'TABLA DE CONTENIDO'!A1" display="VOLVER A TABLA DE CONTENIDO" xr:uid="{00000000-0004-0000-1F00-000013000000}"/>
  </hyperlinks>
  <printOptions horizontalCentered="1" verticalCentered="1"/>
  <pageMargins left="0.59055118110236227" right="0.39370078740157483" top="0.78740157480314965" bottom="0.39370078740157483" header="0" footer="0"/>
  <pageSetup orientation="portrait" horizontalDpi="300" verticalDpi="300"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R52"/>
  <sheetViews>
    <sheetView topLeftCell="A14" workbookViewId="0">
      <selection activeCell="D20" sqref="D20"/>
    </sheetView>
  </sheetViews>
  <sheetFormatPr defaultColWidth="11.42578125" defaultRowHeight="12.75"/>
  <cols>
    <col min="1" max="18" width="14.7109375" customWidth="1"/>
  </cols>
  <sheetData>
    <row r="1" spans="1:18" ht="23.25">
      <c r="A1" s="1259" t="s">
        <v>1</v>
      </c>
      <c r="B1" s="1259"/>
      <c r="C1" s="1259"/>
      <c r="D1" s="1259"/>
      <c r="E1" s="1259"/>
      <c r="F1" s="1259"/>
      <c r="G1" s="1259" t="s">
        <v>1</v>
      </c>
      <c r="H1" s="1259"/>
      <c r="I1" s="1259"/>
      <c r="J1" s="1259"/>
      <c r="K1" s="1259"/>
      <c r="L1" s="1259"/>
      <c r="M1" s="1259" t="s">
        <v>1</v>
      </c>
      <c r="N1" s="1259"/>
      <c r="O1" s="1259"/>
      <c r="P1" s="1259"/>
      <c r="Q1" s="1259"/>
      <c r="R1" s="1259"/>
    </row>
    <row r="2" spans="1:18" ht="17.25" customHeight="1">
      <c r="A2" s="299"/>
      <c r="B2" s="299"/>
      <c r="C2" s="299"/>
      <c r="D2" s="299"/>
      <c r="E2" s="299"/>
      <c r="F2" s="299"/>
      <c r="G2" s="299"/>
      <c r="H2" s="299"/>
      <c r="I2" s="299"/>
      <c r="J2" s="299"/>
      <c r="K2" s="299"/>
      <c r="L2" s="299"/>
      <c r="M2" s="299"/>
      <c r="N2" s="299"/>
      <c r="O2" s="299"/>
      <c r="P2" s="299"/>
      <c r="Q2" s="299"/>
      <c r="R2" s="299"/>
    </row>
    <row r="3" spans="1:18" ht="18">
      <c r="A3" s="1260" t="s">
        <v>84</v>
      </c>
      <c r="B3" s="1260"/>
      <c r="C3" s="1260"/>
      <c r="D3" s="1260"/>
      <c r="E3" s="1260"/>
      <c r="F3" s="1260"/>
      <c r="G3" s="1260" t="s">
        <v>84</v>
      </c>
      <c r="H3" s="1260"/>
      <c r="I3" s="1260"/>
      <c r="J3" s="1260"/>
      <c r="K3" s="1260"/>
      <c r="L3" s="1260"/>
      <c r="M3" s="1260" t="s">
        <v>84</v>
      </c>
      <c r="N3" s="1260"/>
      <c r="O3" s="1260"/>
      <c r="P3" s="1260"/>
      <c r="Q3" s="1260"/>
      <c r="R3" s="1260"/>
    </row>
    <row r="4" spans="1:18">
      <c r="B4" s="45"/>
      <c r="C4" s="38"/>
      <c r="D4" s="38"/>
      <c r="E4" s="1"/>
      <c r="F4" s="1"/>
      <c r="H4" s="45"/>
      <c r="I4" s="38"/>
      <c r="J4" s="38"/>
      <c r="K4" s="1"/>
      <c r="L4" s="1"/>
      <c r="N4" s="45"/>
      <c r="O4" s="38"/>
      <c r="P4" s="38"/>
      <c r="Q4" s="1"/>
      <c r="R4" s="1"/>
    </row>
    <row r="5" spans="1:18">
      <c r="B5" s="50"/>
      <c r="C5" s="41"/>
      <c r="D5" s="38"/>
      <c r="E5" s="1"/>
      <c r="F5" s="1"/>
      <c r="H5" s="50"/>
      <c r="I5" s="41"/>
      <c r="J5" s="38"/>
      <c r="K5" s="1"/>
      <c r="L5" s="1"/>
      <c r="N5" s="50"/>
      <c r="O5" s="41"/>
      <c r="P5" s="38"/>
      <c r="Q5" s="1"/>
      <c r="R5" s="1"/>
    </row>
    <row r="6" spans="1:18">
      <c r="B6" s="45"/>
      <c r="C6" s="38"/>
      <c r="D6" s="38"/>
      <c r="E6" s="1"/>
      <c r="F6" s="1"/>
      <c r="H6" s="45"/>
      <c r="I6" s="38"/>
      <c r="J6" s="38"/>
      <c r="K6" s="1"/>
      <c r="L6" s="1"/>
      <c r="N6" s="45"/>
      <c r="O6" s="38"/>
      <c r="P6" s="38"/>
      <c r="Q6" s="1"/>
      <c r="R6" s="1"/>
    </row>
    <row r="7" spans="1:18" ht="20.25">
      <c r="A7" s="1252" t="s">
        <v>1239</v>
      </c>
      <c r="B7" s="1252"/>
      <c r="C7" s="1252"/>
      <c r="D7" s="1252"/>
      <c r="E7" s="1252"/>
      <c r="F7" s="1252"/>
      <c r="G7" s="1252" t="s">
        <v>1239</v>
      </c>
      <c r="H7" s="1252"/>
      <c r="I7" s="1252"/>
      <c r="J7" s="1252"/>
      <c r="K7" s="1252"/>
      <c r="L7" s="1252"/>
      <c r="M7" s="1252" t="s">
        <v>1239</v>
      </c>
      <c r="N7" s="1252"/>
      <c r="O7" s="1252"/>
      <c r="P7" s="1252"/>
      <c r="Q7" s="1252"/>
      <c r="R7" s="1252"/>
    </row>
    <row r="8" spans="1:18">
      <c r="B8" s="45"/>
      <c r="C8" s="38"/>
      <c r="D8" s="38"/>
      <c r="E8" s="1"/>
      <c r="F8" s="1"/>
      <c r="H8" s="45"/>
      <c r="I8" s="38"/>
      <c r="J8" s="38"/>
      <c r="K8" s="1"/>
      <c r="L8" s="1"/>
      <c r="N8" s="45"/>
      <c r="O8" s="38"/>
      <c r="P8" s="38"/>
      <c r="Q8" s="1"/>
      <c r="R8" s="1"/>
    </row>
    <row r="9" spans="1:18">
      <c r="A9" s="190" t="s">
        <v>129</v>
      </c>
      <c r="B9" s="39"/>
      <c r="C9" s="467" t="s">
        <v>192</v>
      </c>
      <c r="D9" s="3"/>
      <c r="E9" s="3"/>
      <c r="G9" s="190" t="s">
        <v>129</v>
      </c>
      <c r="H9" s="39"/>
      <c r="I9" s="467" t="s">
        <v>192</v>
      </c>
      <c r="J9" s="3"/>
      <c r="K9" s="3"/>
      <c r="M9" s="190" t="s">
        <v>129</v>
      </c>
      <c r="N9" s="39"/>
      <c r="O9" s="467" t="s">
        <v>192</v>
      </c>
      <c r="P9" s="3"/>
      <c r="Q9" s="3"/>
    </row>
    <row r="10" spans="1:18">
      <c r="A10" s="190"/>
      <c r="B10" s="39"/>
      <c r="G10" s="190"/>
      <c r="H10" s="39"/>
      <c r="M10" s="190"/>
      <c r="N10" s="39"/>
    </row>
    <row r="11" spans="1:18">
      <c r="A11" s="1529" t="s">
        <v>373</v>
      </c>
      <c r="B11" s="1529"/>
      <c r="C11" s="1529"/>
      <c r="D11" s="1529"/>
      <c r="E11" s="1529"/>
      <c r="F11" s="1529"/>
      <c r="G11" s="1529" t="str">
        <f>+A11</f>
        <v>TRIMESTRE EVALUADO: JULIO - SEPTIEMBRE 2020</v>
      </c>
      <c r="H11" s="1529"/>
      <c r="I11" s="1529"/>
      <c r="J11" s="1529"/>
      <c r="K11" s="1529"/>
      <c r="L11" s="1529"/>
      <c r="M11" s="1529" t="str">
        <f>+G11</f>
        <v>TRIMESTRE EVALUADO: JULIO - SEPTIEMBRE 2020</v>
      </c>
      <c r="N11" s="1529"/>
      <c r="O11" s="1529"/>
      <c r="P11" s="1529"/>
      <c r="Q11" s="1529"/>
      <c r="R11" s="1529"/>
    </row>
    <row r="12" spans="1:18" ht="13.5" thickBot="1"/>
    <row r="13" spans="1:18">
      <c r="A13" s="16" t="s">
        <v>1240</v>
      </c>
      <c r="B13" s="17"/>
      <c r="C13" s="17"/>
      <c r="D13" s="17"/>
      <c r="E13" s="17"/>
      <c r="F13" s="18"/>
      <c r="G13" s="16" t="s">
        <v>1241</v>
      </c>
      <c r="H13" s="17"/>
      <c r="I13" s="17"/>
      <c r="J13" s="17"/>
      <c r="K13" s="17"/>
      <c r="L13" s="18"/>
      <c r="M13" s="16" t="s">
        <v>1242</v>
      </c>
      <c r="N13" s="17"/>
      <c r="O13" s="17"/>
      <c r="P13" s="17"/>
      <c r="Q13" s="17"/>
      <c r="R13" s="18"/>
    </row>
    <row r="14" spans="1:18">
      <c r="A14" s="9"/>
      <c r="F14" s="19"/>
      <c r="G14" s="9"/>
      <c r="L14" s="19"/>
      <c r="M14" s="9"/>
      <c r="R14" s="19"/>
    </row>
    <row r="15" spans="1:18">
      <c r="A15" s="9"/>
      <c r="F15" s="19"/>
      <c r="G15" s="9"/>
      <c r="L15" s="19"/>
      <c r="M15" s="9"/>
      <c r="R15" s="19"/>
    </row>
    <row r="16" spans="1:18">
      <c r="A16" s="9"/>
      <c r="F16" s="19"/>
      <c r="G16" s="9"/>
      <c r="L16" s="19"/>
      <c r="M16" s="9"/>
      <c r="R16" s="19"/>
    </row>
    <row r="17" spans="1:18">
      <c r="A17" s="9"/>
      <c r="F17" s="19"/>
      <c r="G17" s="9"/>
      <c r="L17" s="19"/>
      <c r="M17" s="9"/>
      <c r="R17" s="19"/>
    </row>
    <row r="18" spans="1:18">
      <c r="A18" s="9"/>
      <c r="F18" s="19"/>
      <c r="G18" s="9"/>
      <c r="L18" s="19"/>
      <c r="M18" s="9"/>
      <c r="R18" s="19"/>
    </row>
    <row r="19" spans="1:18">
      <c r="A19" s="9"/>
      <c r="F19" s="19"/>
      <c r="G19" s="9"/>
      <c r="L19" s="19"/>
      <c r="M19" s="9"/>
      <c r="R19" s="19"/>
    </row>
    <row r="20" spans="1:18">
      <c r="A20" s="9"/>
      <c r="F20" s="19"/>
      <c r="G20" s="9"/>
      <c r="L20" s="19"/>
      <c r="M20" s="9"/>
      <c r="R20" s="19"/>
    </row>
    <row r="21" spans="1:18">
      <c r="A21" s="9"/>
      <c r="F21" s="19"/>
      <c r="G21" s="9"/>
      <c r="L21" s="19"/>
      <c r="M21" s="9"/>
      <c r="R21" s="19"/>
    </row>
    <row r="22" spans="1:18">
      <c r="A22" s="9"/>
      <c r="F22" s="19"/>
      <c r="G22" s="9"/>
      <c r="L22" s="19"/>
      <c r="M22" s="9"/>
      <c r="R22" s="19"/>
    </row>
    <row r="23" spans="1:18">
      <c r="A23" s="9"/>
      <c r="F23" s="19"/>
      <c r="G23" s="9"/>
      <c r="L23" s="19"/>
      <c r="M23" s="9"/>
      <c r="R23" s="19"/>
    </row>
    <row r="24" spans="1:18">
      <c r="A24" s="9"/>
      <c r="F24" s="19"/>
      <c r="G24" s="9"/>
      <c r="L24" s="19"/>
      <c r="M24" s="9"/>
      <c r="R24" s="19"/>
    </row>
    <row r="25" spans="1:18">
      <c r="A25" s="9"/>
      <c r="F25" s="19"/>
      <c r="G25" s="9"/>
      <c r="L25" s="19"/>
      <c r="M25" s="9"/>
      <c r="R25" s="19"/>
    </row>
    <row r="26" spans="1:18">
      <c r="A26" s="9"/>
      <c r="F26" s="19"/>
      <c r="G26" s="9"/>
      <c r="L26" s="19"/>
      <c r="M26" s="9"/>
      <c r="R26" s="19"/>
    </row>
    <row r="27" spans="1:18">
      <c r="A27" s="9"/>
      <c r="F27" s="19"/>
      <c r="G27" s="9"/>
      <c r="L27" s="19"/>
      <c r="M27" s="9"/>
      <c r="R27" s="19"/>
    </row>
    <row r="28" spans="1:18">
      <c r="A28" s="9"/>
      <c r="F28" s="19"/>
      <c r="G28" s="9"/>
      <c r="L28" s="19"/>
      <c r="M28" s="9"/>
      <c r="R28" s="19"/>
    </row>
    <row r="29" spans="1:18">
      <c r="A29" s="9"/>
      <c r="F29" s="19"/>
      <c r="G29" s="9"/>
      <c r="L29" s="19"/>
      <c r="M29" s="9"/>
      <c r="R29" s="19"/>
    </row>
    <row r="30" spans="1:18">
      <c r="A30" s="9"/>
      <c r="F30" s="19"/>
      <c r="G30" s="9"/>
      <c r="L30" s="19"/>
      <c r="M30" s="9"/>
      <c r="R30" s="19"/>
    </row>
    <row r="31" spans="1:18">
      <c r="A31" s="9"/>
      <c r="F31" s="19"/>
      <c r="G31" s="9"/>
      <c r="L31" s="19"/>
      <c r="M31" s="9"/>
      <c r="R31" s="19"/>
    </row>
    <row r="32" spans="1:18">
      <c r="A32" s="9"/>
      <c r="F32" s="19"/>
      <c r="G32" s="9"/>
      <c r="L32" s="19"/>
      <c r="M32" s="9"/>
      <c r="R32" s="19"/>
    </row>
    <row r="33" spans="1:18">
      <c r="A33" s="9"/>
      <c r="F33" s="19"/>
      <c r="G33" s="9"/>
      <c r="L33" s="19"/>
      <c r="M33" s="9"/>
      <c r="R33" s="19"/>
    </row>
    <row r="34" spans="1:18">
      <c r="A34" s="9"/>
      <c r="F34" s="19"/>
      <c r="G34" s="9"/>
      <c r="L34" s="19"/>
      <c r="M34" s="9"/>
      <c r="R34" s="19"/>
    </row>
    <row r="35" spans="1:18">
      <c r="A35" s="9"/>
      <c r="F35" s="19"/>
      <c r="G35" s="9"/>
      <c r="L35" s="19"/>
      <c r="M35" s="9"/>
      <c r="R35" s="19"/>
    </row>
    <row r="36" spans="1:18">
      <c r="A36" s="9"/>
      <c r="F36" s="19"/>
      <c r="G36" s="9"/>
      <c r="L36" s="19"/>
      <c r="M36" s="9"/>
      <c r="R36" s="19"/>
    </row>
    <row r="37" spans="1:18">
      <c r="A37" s="9"/>
      <c r="F37" s="19"/>
      <c r="G37" s="9"/>
      <c r="L37" s="19"/>
      <c r="M37" s="9"/>
      <c r="R37" s="19"/>
    </row>
    <row r="38" spans="1:18">
      <c r="A38" s="9"/>
      <c r="F38" s="19"/>
      <c r="G38" s="9"/>
      <c r="L38" s="19"/>
      <c r="M38" s="9"/>
      <c r="R38" s="19"/>
    </row>
    <row r="39" spans="1:18">
      <c r="A39" s="9"/>
      <c r="F39" s="19"/>
      <c r="G39" s="9"/>
      <c r="L39" s="19"/>
      <c r="M39" s="9"/>
      <c r="R39" s="19"/>
    </row>
    <row r="40" spans="1:18">
      <c r="A40" s="9"/>
      <c r="F40" s="19"/>
      <c r="G40" s="9"/>
      <c r="L40" s="19"/>
      <c r="M40" s="9"/>
      <c r="R40" s="19"/>
    </row>
    <row r="41" spans="1:18">
      <c r="A41" s="9"/>
      <c r="F41" s="19"/>
      <c r="G41" s="9"/>
      <c r="L41" s="19"/>
      <c r="M41" s="9"/>
      <c r="R41" s="19"/>
    </row>
    <row r="42" spans="1:18">
      <c r="A42" s="9"/>
      <c r="F42" s="19"/>
      <c r="G42" s="9"/>
      <c r="L42" s="19"/>
      <c r="M42" s="9"/>
      <c r="R42" s="19"/>
    </row>
    <row r="43" spans="1:18">
      <c r="A43" s="9"/>
      <c r="F43" s="19"/>
      <c r="G43" s="9"/>
      <c r="L43" s="19"/>
      <c r="M43" s="9"/>
      <c r="R43" s="19"/>
    </row>
    <row r="44" spans="1:18">
      <c r="A44" s="9"/>
      <c r="F44" s="19"/>
      <c r="G44" s="9"/>
      <c r="L44" s="19"/>
      <c r="M44" s="9"/>
      <c r="R44" s="19"/>
    </row>
    <row r="45" spans="1:18">
      <c r="A45" s="9"/>
      <c r="F45" s="19"/>
      <c r="G45" s="9"/>
      <c r="L45" s="19"/>
      <c r="M45" s="9"/>
      <c r="R45" s="19"/>
    </row>
    <row r="46" spans="1:18" ht="13.5" thickBot="1">
      <c r="A46" s="11"/>
      <c r="B46" s="20"/>
      <c r="C46" s="20"/>
      <c r="D46" s="20"/>
      <c r="E46" s="20"/>
      <c r="F46" s="21"/>
      <c r="G46" s="11"/>
      <c r="H46" s="20"/>
      <c r="I46" s="20"/>
      <c r="J46" s="20"/>
      <c r="K46" s="20"/>
      <c r="L46" s="21"/>
      <c r="M46" s="11"/>
      <c r="N46" s="20"/>
      <c r="O46" s="20"/>
      <c r="P46" s="20"/>
      <c r="Q46" s="20"/>
      <c r="R46" s="21"/>
    </row>
    <row r="49" spans="1:18">
      <c r="A49" s="66" t="s">
        <v>1243</v>
      </c>
      <c r="G49" s="66" t="s">
        <v>1243</v>
      </c>
      <c r="M49" s="66" t="s">
        <v>1243</v>
      </c>
    </row>
    <row r="50" spans="1:18">
      <c r="A50" s="1638" t="s">
        <v>1244</v>
      </c>
      <c r="B50" s="1638"/>
      <c r="C50" s="1638"/>
      <c r="D50" s="1638"/>
      <c r="E50" s="382"/>
      <c r="G50" s="1638" t="s">
        <v>1244</v>
      </c>
      <c r="H50" s="1638"/>
      <c r="I50" s="1638"/>
      <c r="J50" s="1638"/>
      <c r="K50" s="382"/>
      <c r="M50" s="1638" t="s">
        <v>1244</v>
      </c>
      <c r="N50" s="1638"/>
      <c r="O50" s="1638"/>
      <c r="P50" s="1638"/>
      <c r="Q50" s="382"/>
    </row>
    <row r="52" spans="1:18">
      <c r="D52" s="1262" t="s">
        <v>125</v>
      </c>
      <c r="E52" s="1501"/>
      <c r="F52" s="1501"/>
      <c r="J52" s="1262" t="s">
        <v>125</v>
      </c>
      <c r="K52" s="1501"/>
      <c r="L52" s="1501"/>
      <c r="P52" s="1262" t="s">
        <v>125</v>
      </c>
      <c r="Q52" s="1501"/>
      <c r="R52" s="1501"/>
    </row>
  </sheetData>
  <mergeCells count="15">
    <mergeCell ref="M1:R1"/>
    <mergeCell ref="M3:R3"/>
    <mergeCell ref="M7:R7"/>
    <mergeCell ref="M11:R11"/>
    <mergeCell ref="P52:R52"/>
    <mergeCell ref="G1:L1"/>
    <mergeCell ref="G3:L3"/>
    <mergeCell ref="G7:L7"/>
    <mergeCell ref="G11:L11"/>
    <mergeCell ref="J52:L52"/>
    <mergeCell ref="A1:F1"/>
    <mergeCell ref="A3:F3"/>
    <mergeCell ref="A7:F7"/>
    <mergeCell ref="A11:F11"/>
    <mergeCell ref="D52:F52"/>
  </mergeCells>
  <phoneticPr fontId="4" type="noConversion"/>
  <hyperlinks>
    <hyperlink ref="D52" location="'TABLA DE CONTENIDO'!A1" display="'TABLA DE CONTENIDO'!A1" xr:uid="{00000000-0004-0000-2000-000000000000}"/>
    <hyperlink ref="D52:F52" location="'TABLA DE CONTENIDO'!A1" display="VOLVER A TABLA DE CONTENIDO" xr:uid="{00000000-0004-0000-2000-000001000000}"/>
    <hyperlink ref="J52" location="'TABLA DE CONTENIDO'!A1" display="'TABLA DE CONTENIDO'!A1" xr:uid="{00000000-0004-0000-2000-000002000000}"/>
    <hyperlink ref="J52:L52" location="'TABLA DE CONTENIDO'!A1" display="VOLVER A TABLA DE CONTENIDO" xr:uid="{00000000-0004-0000-2000-000003000000}"/>
    <hyperlink ref="P52" location="'TABLA DE CONTENIDO'!A1" display="'TABLA DE CONTENIDO'!A1" xr:uid="{00000000-0004-0000-2000-000004000000}"/>
    <hyperlink ref="P52:R52" location="'TABLA DE CONTENIDO'!A1" display="VOLVER A TABLA DE CONTENIDO" xr:uid="{00000000-0004-0000-2000-000005000000}"/>
  </hyperlinks>
  <printOptions horizontalCentered="1" verticalCentered="1"/>
  <pageMargins left="0.59055118110236227" right="0.49" top="0.59055118110236227" bottom="0.98425196850393704" header="0" footer="0"/>
  <pageSetup orientation="portrait" horizontalDpi="300" verticalDpi="300"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V50"/>
  <sheetViews>
    <sheetView topLeftCell="C13" workbookViewId="0">
      <selection activeCell="D20" sqref="D20"/>
    </sheetView>
  </sheetViews>
  <sheetFormatPr defaultColWidth="11.42578125" defaultRowHeight="12.75"/>
  <cols>
    <col min="1" max="1" width="5" customWidth="1"/>
    <col min="5" max="5" width="27.28515625" customWidth="1"/>
    <col min="6" max="6" width="21.28515625" customWidth="1"/>
    <col min="8" max="8" width="5" customWidth="1"/>
    <col min="12" max="12" width="27.28515625" customWidth="1"/>
    <col min="13" max="13" width="21.28515625" customWidth="1"/>
  </cols>
  <sheetData>
    <row r="1" spans="1:22" ht="23.25">
      <c r="A1" s="1259" t="s">
        <v>1</v>
      </c>
      <c r="B1" s="1259"/>
      <c r="C1" s="1259"/>
      <c r="D1" s="1259"/>
      <c r="E1" s="1259"/>
      <c r="F1" s="1259"/>
      <c r="G1" s="1259"/>
      <c r="H1" s="1259" t="s">
        <v>1</v>
      </c>
      <c r="I1" s="1259"/>
      <c r="J1" s="1259"/>
      <c r="K1" s="1259"/>
      <c r="L1" s="1259"/>
      <c r="M1" s="1259"/>
      <c r="N1" s="1259"/>
    </row>
    <row r="2" spans="1:22" ht="23.25">
      <c r="A2" s="299"/>
      <c r="B2" s="299"/>
      <c r="C2" s="299"/>
      <c r="D2" s="299"/>
      <c r="E2" s="299"/>
      <c r="F2" s="299"/>
      <c r="H2" s="299"/>
      <c r="I2" s="299"/>
      <c r="J2" s="299"/>
      <c r="K2" s="299"/>
      <c r="L2" s="299"/>
      <c r="M2" s="299"/>
    </row>
    <row r="3" spans="1:22" ht="18">
      <c r="A3" s="1260" t="s">
        <v>84</v>
      </c>
      <c r="B3" s="1260"/>
      <c r="C3" s="1260"/>
      <c r="D3" s="1260"/>
      <c r="E3" s="1260"/>
      <c r="F3" s="1260"/>
      <c r="H3" s="1260" t="s">
        <v>84</v>
      </c>
      <c r="I3" s="1260"/>
      <c r="J3" s="1260"/>
      <c r="K3" s="1260"/>
      <c r="L3" s="1260"/>
      <c r="M3" s="1260"/>
    </row>
    <row r="4" spans="1:22">
      <c r="B4" s="45"/>
      <c r="C4" s="38"/>
      <c r="D4" s="38"/>
      <c r="E4" s="1"/>
      <c r="F4" s="1"/>
      <c r="I4" s="45"/>
      <c r="J4" s="38"/>
      <c r="K4" s="38"/>
      <c r="L4" s="1"/>
      <c r="M4" s="1"/>
    </row>
    <row r="5" spans="1:22" ht="20.25">
      <c r="A5" s="1252" t="s">
        <v>1245</v>
      </c>
      <c r="B5" s="1252"/>
      <c r="C5" s="1252"/>
      <c r="D5" s="1252"/>
      <c r="E5" s="1252"/>
      <c r="F5" s="1252"/>
      <c r="G5" s="1252"/>
      <c r="H5" s="1252" t="s">
        <v>1245</v>
      </c>
      <c r="I5" s="1252"/>
      <c r="J5" s="1252"/>
      <c r="K5" s="1252"/>
      <c r="L5" s="1252"/>
      <c r="M5" s="1252"/>
      <c r="N5" s="1252"/>
    </row>
    <row r="6" spans="1:22">
      <c r="A6" t="s">
        <v>557</v>
      </c>
      <c r="B6" s="45"/>
      <c r="C6" s="38"/>
      <c r="D6" s="38"/>
      <c r="E6" s="1"/>
      <c r="F6" s="1"/>
      <c r="H6" t="s">
        <v>557</v>
      </c>
      <c r="I6" s="45"/>
      <c r="J6" s="38"/>
      <c r="K6" s="38"/>
      <c r="L6" s="1"/>
      <c r="M6" s="1"/>
    </row>
    <row r="7" spans="1:22">
      <c r="A7" s="190" t="s">
        <v>129</v>
      </c>
      <c r="B7" s="39"/>
      <c r="D7" s="3" t="s">
        <v>88</v>
      </c>
      <c r="E7" s="3"/>
      <c r="F7" s="3"/>
      <c r="H7" s="190" t="s">
        <v>129</v>
      </c>
      <c r="I7" s="39"/>
      <c r="K7" s="3" t="s">
        <v>88</v>
      </c>
      <c r="L7" s="3"/>
      <c r="M7" s="3"/>
    </row>
    <row r="8" spans="1:22">
      <c r="A8" s="190"/>
      <c r="B8" s="39"/>
      <c r="H8" s="190"/>
      <c r="I8" s="39"/>
    </row>
    <row r="10" spans="1:22">
      <c r="A10" s="1529" t="s">
        <v>373</v>
      </c>
      <c r="B10" s="1529"/>
      <c r="C10" s="1529"/>
      <c r="D10" s="1529"/>
      <c r="E10" s="1529"/>
      <c r="F10" s="1529"/>
      <c r="H10" s="1529" t="str">
        <f>+A10</f>
        <v>TRIMESTRE EVALUADO: JULIO - SEPTIEMBRE 2020</v>
      </c>
      <c r="I10" s="1529"/>
      <c r="J10" s="1529"/>
      <c r="K10" s="1529"/>
      <c r="L10" s="1529"/>
      <c r="M10" s="1529"/>
    </row>
    <row r="12" spans="1:22" ht="13.5" thickBot="1">
      <c r="A12" s="20"/>
      <c r="B12" s="20"/>
      <c r="C12" s="20"/>
      <c r="D12" s="20"/>
      <c r="E12" s="20"/>
      <c r="F12" s="20"/>
      <c r="H12" s="20"/>
      <c r="I12" s="20"/>
      <c r="J12" s="20"/>
      <c r="K12" s="20"/>
      <c r="L12" s="20"/>
      <c r="M12" s="20"/>
    </row>
    <row r="13" spans="1:22" ht="12.75" customHeight="1">
      <c r="A13" s="1534" t="s">
        <v>1246</v>
      </c>
      <c r="B13" s="1535"/>
      <c r="C13" s="1535"/>
      <c r="D13" s="1535"/>
      <c r="E13" s="1535"/>
      <c r="F13" s="1535"/>
      <c r="G13" s="1536"/>
      <c r="H13" s="1534" t="s">
        <v>1247</v>
      </c>
      <c r="I13" s="1535"/>
      <c r="J13" s="1535"/>
      <c r="K13" s="1535"/>
      <c r="L13" s="1535"/>
      <c r="M13" s="1535"/>
      <c r="N13" s="1536"/>
      <c r="Q13" s="895">
        <v>1</v>
      </c>
      <c r="R13" s="1542" t="s">
        <v>1248</v>
      </c>
      <c r="S13" s="1543"/>
      <c r="T13" s="1543"/>
      <c r="U13" s="1543"/>
      <c r="V13" s="1544"/>
    </row>
    <row r="14" spans="1:22" ht="12.75" customHeight="1">
      <c r="A14" s="1530"/>
      <c r="B14" s="1537"/>
      <c r="C14" s="1537"/>
      <c r="D14" s="1537"/>
      <c r="E14" s="1537"/>
      <c r="F14" s="1537"/>
      <c r="G14" s="1538"/>
      <c r="H14" s="1530"/>
      <c r="I14" s="1537"/>
      <c r="J14" s="1537"/>
      <c r="K14" s="1537"/>
      <c r="L14" s="1537"/>
      <c r="M14" s="1537"/>
      <c r="N14" s="1538"/>
      <c r="Q14" s="895">
        <v>2</v>
      </c>
      <c r="R14" s="1542" t="s">
        <v>1249</v>
      </c>
      <c r="S14" s="1543"/>
      <c r="T14" s="1543"/>
      <c r="U14" s="1543"/>
      <c r="V14" s="1544"/>
    </row>
    <row r="15" spans="1:22" ht="12.75" customHeight="1">
      <c r="A15" s="1530"/>
      <c r="B15" s="1537"/>
      <c r="C15" s="1537"/>
      <c r="D15" s="1537"/>
      <c r="E15" s="1537"/>
      <c r="F15" s="1537"/>
      <c r="G15" s="1538"/>
      <c r="H15" s="1530"/>
      <c r="I15" s="1537"/>
      <c r="J15" s="1537"/>
      <c r="K15" s="1537"/>
      <c r="L15" s="1537"/>
      <c r="M15" s="1537"/>
      <c r="N15" s="1538"/>
      <c r="Q15" s="895">
        <v>3</v>
      </c>
      <c r="R15" s="1542" t="s">
        <v>1250</v>
      </c>
      <c r="S15" s="1545"/>
      <c r="T15" s="1545"/>
      <c r="U15" s="1545"/>
      <c r="V15" s="1546"/>
    </row>
    <row r="16" spans="1:22" ht="12.75" customHeight="1">
      <c r="A16" s="1530"/>
      <c r="B16" s="1537"/>
      <c r="C16" s="1537"/>
      <c r="D16" s="1537"/>
      <c r="E16" s="1537"/>
      <c r="F16" s="1537"/>
      <c r="G16" s="1538"/>
      <c r="H16" s="1530"/>
      <c r="I16" s="1537"/>
      <c r="J16" s="1537"/>
      <c r="K16" s="1537"/>
      <c r="L16" s="1537"/>
      <c r="M16" s="1537"/>
      <c r="N16" s="1538"/>
      <c r="Q16" s="895">
        <v>4</v>
      </c>
      <c r="R16" s="1547" t="s">
        <v>1251</v>
      </c>
      <c r="S16" s="1548"/>
      <c r="T16" s="1548"/>
      <c r="U16" s="1548"/>
      <c r="V16" s="1548"/>
    </row>
    <row r="17" spans="1:22" ht="12.75" customHeight="1">
      <c r="A17" s="1530"/>
      <c r="B17" s="1537"/>
      <c r="C17" s="1537"/>
      <c r="D17" s="1537"/>
      <c r="E17" s="1537"/>
      <c r="F17" s="1537"/>
      <c r="G17" s="1538"/>
      <c r="H17" s="1530"/>
      <c r="I17" s="1537"/>
      <c r="J17" s="1537"/>
      <c r="K17" s="1537"/>
      <c r="L17" s="1537"/>
      <c r="M17" s="1537"/>
      <c r="N17" s="1538"/>
      <c r="Q17" s="895">
        <v>5</v>
      </c>
      <c r="R17" s="1542" t="s">
        <v>1252</v>
      </c>
      <c r="S17" s="1543"/>
      <c r="T17" s="1543"/>
      <c r="U17" s="1543"/>
      <c r="V17" s="1544"/>
    </row>
    <row r="18" spans="1:22" ht="12.75" customHeight="1">
      <c r="A18" s="1530"/>
      <c r="B18" s="1537"/>
      <c r="C18" s="1537"/>
      <c r="D18" s="1537"/>
      <c r="E18" s="1537"/>
      <c r="F18" s="1537"/>
      <c r="G18" s="1538"/>
      <c r="H18" s="1530"/>
      <c r="I18" s="1537"/>
      <c r="J18" s="1537"/>
      <c r="K18" s="1537"/>
      <c r="L18" s="1537"/>
      <c r="M18" s="1537"/>
      <c r="N18" s="1538"/>
      <c r="Q18" s="895">
        <v>6</v>
      </c>
      <c r="R18" s="1539" t="s">
        <v>1253</v>
      </c>
      <c r="S18" s="1540"/>
      <c r="T18" s="1540"/>
      <c r="U18" s="1540"/>
      <c r="V18" s="1541"/>
    </row>
    <row r="19" spans="1:22">
      <c r="A19" s="1530"/>
      <c r="B19" s="1537"/>
      <c r="C19" s="1537"/>
      <c r="D19" s="1537"/>
      <c r="E19" s="1537"/>
      <c r="F19" s="1537"/>
      <c r="G19" s="1538"/>
      <c r="H19" s="1530"/>
      <c r="I19" s="1537"/>
      <c r="J19" s="1537"/>
      <c r="K19" s="1537"/>
      <c r="L19" s="1537"/>
      <c r="M19" s="1537"/>
      <c r="N19" s="1538"/>
    </row>
    <row r="20" spans="1:22" ht="12.75" customHeight="1">
      <c r="A20" s="1533" t="s">
        <v>1254</v>
      </c>
      <c r="B20" s="1531"/>
      <c r="C20" s="1531"/>
      <c r="D20" s="1531"/>
      <c r="E20" s="1531"/>
      <c r="F20" s="1531"/>
      <c r="G20" s="1532"/>
      <c r="H20" s="1530" t="s">
        <v>1255</v>
      </c>
      <c r="I20" s="1537"/>
      <c r="J20" s="1537"/>
      <c r="K20" s="1537"/>
      <c r="L20" s="1537"/>
      <c r="M20" s="1537"/>
      <c r="N20" s="1538"/>
    </row>
    <row r="21" spans="1:22">
      <c r="A21" s="1533"/>
      <c r="B21" s="1531"/>
      <c r="C21" s="1531"/>
      <c r="D21" s="1531"/>
      <c r="E21" s="1531"/>
      <c r="F21" s="1531"/>
      <c r="G21" s="1532"/>
      <c r="H21" s="1530"/>
      <c r="I21" s="1537"/>
      <c r="J21" s="1537"/>
      <c r="K21" s="1537"/>
      <c r="L21" s="1537"/>
      <c r="M21" s="1537"/>
      <c r="N21" s="1538"/>
    </row>
    <row r="22" spans="1:22">
      <c r="A22" s="1533"/>
      <c r="B22" s="1531"/>
      <c r="C22" s="1531"/>
      <c r="D22" s="1531"/>
      <c r="E22" s="1531"/>
      <c r="F22" s="1531"/>
      <c r="G22" s="1532"/>
      <c r="H22" s="1530"/>
      <c r="I22" s="1537"/>
      <c r="J22" s="1537"/>
      <c r="K22" s="1537"/>
      <c r="L22" s="1537"/>
      <c r="M22" s="1537"/>
      <c r="N22" s="1538"/>
    </row>
    <row r="23" spans="1:22">
      <c r="A23" s="1533"/>
      <c r="B23" s="1531"/>
      <c r="C23" s="1531"/>
      <c r="D23" s="1531"/>
      <c r="E23" s="1531"/>
      <c r="F23" s="1531"/>
      <c r="G23" s="1532"/>
      <c r="H23" s="1530"/>
      <c r="I23" s="1537"/>
      <c r="J23" s="1537"/>
      <c r="K23" s="1537"/>
      <c r="L23" s="1537"/>
      <c r="M23" s="1537"/>
      <c r="N23" s="1538"/>
    </row>
    <row r="24" spans="1:22" ht="42" customHeight="1">
      <c r="A24" s="1533"/>
      <c r="B24" s="1531"/>
      <c r="C24" s="1531"/>
      <c r="D24" s="1531"/>
      <c r="E24" s="1531"/>
      <c r="F24" s="1531"/>
      <c r="G24" s="1532"/>
      <c r="H24" s="1530"/>
      <c r="I24" s="1537"/>
      <c r="J24" s="1537"/>
      <c r="K24" s="1537"/>
      <c r="L24" s="1537"/>
      <c r="M24" s="1537"/>
      <c r="N24" s="1538"/>
    </row>
    <row r="25" spans="1:22" ht="12.75" customHeight="1">
      <c r="A25" s="1530" t="s">
        <v>1256</v>
      </c>
      <c r="B25" s="1531"/>
      <c r="C25" s="1531"/>
      <c r="D25" s="1531"/>
      <c r="E25" s="1531"/>
      <c r="F25" s="1531"/>
      <c r="G25" s="1532"/>
      <c r="H25" s="1530" t="s">
        <v>1257</v>
      </c>
      <c r="I25" s="1537"/>
      <c r="J25" s="1537"/>
      <c r="K25" s="1537"/>
      <c r="L25" s="1537"/>
      <c r="M25" s="1537"/>
      <c r="N25" s="1538"/>
    </row>
    <row r="26" spans="1:22">
      <c r="A26" s="1533"/>
      <c r="B26" s="1531"/>
      <c r="C26" s="1531"/>
      <c r="D26" s="1531"/>
      <c r="E26" s="1531"/>
      <c r="F26" s="1531"/>
      <c r="G26" s="1532"/>
      <c r="H26" s="1530"/>
      <c r="I26" s="1537"/>
      <c r="J26" s="1537"/>
      <c r="K26" s="1537"/>
      <c r="L26" s="1537"/>
      <c r="M26" s="1537"/>
      <c r="N26" s="1538"/>
    </row>
    <row r="27" spans="1:22">
      <c r="A27" s="1533"/>
      <c r="B27" s="1531"/>
      <c r="C27" s="1531"/>
      <c r="D27" s="1531"/>
      <c r="E27" s="1531"/>
      <c r="F27" s="1531"/>
      <c r="G27" s="1532"/>
      <c r="H27" s="1530"/>
      <c r="I27" s="1537"/>
      <c r="J27" s="1537"/>
      <c r="K27" s="1537"/>
      <c r="L27" s="1537"/>
      <c r="M27" s="1537"/>
      <c r="N27" s="1538"/>
    </row>
    <row r="28" spans="1:22">
      <c r="A28" s="1533"/>
      <c r="B28" s="1531"/>
      <c r="C28" s="1531"/>
      <c r="D28" s="1531"/>
      <c r="E28" s="1531"/>
      <c r="F28" s="1531"/>
      <c r="G28" s="1532"/>
      <c r="H28" s="1530"/>
      <c r="I28" s="1537"/>
      <c r="J28" s="1537"/>
      <c r="K28" s="1537"/>
      <c r="L28" s="1537"/>
      <c r="M28" s="1537"/>
      <c r="N28" s="1538"/>
    </row>
    <row r="29" spans="1:22">
      <c r="A29" s="1533"/>
      <c r="B29" s="1531"/>
      <c r="C29" s="1531"/>
      <c r="D29" s="1531"/>
      <c r="E29" s="1531"/>
      <c r="F29" s="1531"/>
      <c r="G29" s="1532"/>
      <c r="H29" s="1530"/>
      <c r="I29" s="1537"/>
      <c r="J29" s="1537"/>
      <c r="K29" s="1537"/>
      <c r="L29" s="1537"/>
      <c r="M29" s="1537"/>
      <c r="N29" s="1538"/>
    </row>
    <row r="30" spans="1:22" ht="16.5" customHeight="1">
      <c r="A30" s="1533"/>
      <c r="B30" s="1531"/>
      <c r="C30" s="1531"/>
      <c r="D30" s="1531"/>
      <c r="E30" s="1531"/>
      <c r="F30" s="1531"/>
      <c r="G30" s="1532"/>
      <c r="H30" s="1530"/>
      <c r="I30" s="1537"/>
      <c r="J30" s="1537"/>
      <c r="K30" s="1537"/>
      <c r="L30" s="1537"/>
      <c r="M30" s="1537"/>
      <c r="N30" s="1538"/>
    </row>
    <row r="31" spans="1:22" ht="15" customHeight="1">
      <c r="A31" s="1533"/>
      <c r="B31" s="1531"/>
      <c r="C31" s="1531"/>
      <c r="D31" s="1531"/>
      <c r="E31" s="1531"/>
      <c r="F31" s="1531"/>
      <c r="G31" s="1532"/>
      <c r="H31" s="1530"/>
      <c r="I31" s="1537"/>
      <c r="J31" s="1537"/>
      <c r="K31" s="1537"/>
      <c r="L31" s="1537"/>
      <c r="M31" s="1537"/>
      <c r="N31" s="1538"/>
    </row>
    <row r="32" spans="1:22">
      <c r="A32" s="1533"/>
      <c r="B32" s="1531"/>
      <c r="C32" s="1531"/>
      <c r="D32" s="1531"/>
      <c r="E32" s="1531"/>
      <c r="F32" s="1531"/>
      <c r="G32" s="1532"/>
      <c r="H32" s="1100"/>
      <c r="I32" s="1101"/>
      <c r="J32" s="1101"/>
      <c r="K32" s="1101"/>
      <c r="L32" s="1101"/>
      <c r="M32" s="1101"/>
      <c r="N32" s="1102"/>
    </row>
    <row r="33" spans="1:14">
      <c r="A33" s="1533"/>
      <c r="B33" s="1531"/>
      <c r="C33" s="1531"/>
      <c r="D33" s="1531"/>
      <c r="E33" s="1531"/>
      <c r="F33" s="1531"/>
      <c r="G33" s="1532"/>
      <c r="H33" s="1100"/>
      <c r="I33" s="1101"/>
      <c r="J33" s="1101"/>
      <c r="K33" s="1101"/>
      <c r="L33" s="1101"/>
      <c r="M33" s="1101"/>
      <c r="N33" s="1102"/>
    </row>
    <row r="34" spans="1:14">
      <c r="A34" s="1533"/>
      <c r="B34" s="1531"/>
      <c r="C34" s="1531"/>
      <c r="D34" s="1531"/>
      <c r="E34" s="1531"/>
      <c r="F34" s="1531"/>
      <c r="G34" s="1532"/>
      <c r="H34" s="1100"/>
      <c r="I34" s="1101"/>
      <c r="J34" s="1101"/>
      <c r="K34" s="1101"/>
      <c r="L34" s="1101"/>
      <c r="M34" s="1101"/>
      <c r="N34" s="1102"/>
    </row>
    <row r="35" spans="1:14">
      <c r="A35" s="1533"/>
      <c r="B35" s="1531"/>
      <c r="C35" s="1531"/>
      <c r="D35" s="1531"/>
      <c r="E35" s="1531"/>
      <c r="F35" s="1531"/>
      <c r="G35" s="1532"/>
      <c r="H35" s="1100"/>
      <c r="I35" s="1101"/>
      <c r="J35" s="1101"/>
      <c r="K35" s="1101"/>
      <c r="L35" s="1101"/>
      <c r="M35" s="1101"/>
      <c r="N35" s="1102"/>
    </row>
    <row r="36" spans="1:14">
      <c r="A36" s="1533"/>
      <c r="B36" s="1531"/>
      <c r="C36" s="1531"/>
      <c r="D36" s="1531"/>
      <c r="E36" s="1531"/>
      <c r="F36" s="1531"/>
      <c r="G36" s="1532"/>
      <c r="H36" s="1100"/>
      <c r="I36" s="1101"/>
      <c r="J36" s="1101"/>
      <c r="K36" s="1101"/>
      <c r="L36" s="1101"/>
      <c r="M36" s="1101"/>
      <c r="N36" s="1102"/>
    </row>
    <row r="37" spans="1:14">
      <c r="A37" s="1533"/>
      <c r="B37" s="1531"/>
      <c r="C37" s="1531"/>
      <c r="D37" s="1531"/>
      <c r="E37" s="1531"/>
      <c r="F37" s="1531"/>
      <c r="G37" s="1532"/>
      <c r="H37" s="1100"/>
      <c r="I37" s="1101"/>
      <c r="J37" s="1101"/>
      <c r="K37" s="1101"/>
      <c r="L37" s="1101"/>
      <c r="M37" s="1101"/>
      <c r="N37" s="1102"/>
    </row>
    <row r="38" spans="1:14">
      <c r="A38" s="1533"/>
      <c r="B38" s="1531"/>
      <c r="C38" s="1531"/>
      <c r="D38" s="1531"/>
      <c r="E38" s="1531"/>
      <c r="F38" s="1531"/>
      <c r="G38" s="1532"/>
      <c r="H38" s="1100"/>
      <c r="I38" s="1101"/>
      <c r="J38" s="1101"/>
      <c r="K38" s="1101"/>
      <c r="L38" s="1101"/>
      <c r="M38" s="1101"/>
      <c r="N38" s="1102"/>
    </row>
    <row r="39" spans="1:14">
      <c r="A39" s="1533"/>
      <c r="B39" s="1531"/>
      <c r="C39" s="1531"/>
      <c r="D39" s="1531"/>
      <c r="E39" s="1531"/>
      <c r="F39" s="1531"/>
      <c r="G39" s="1532"/>
      <c r="H39" s="1100"/>
      <c r="I39" s="1101"/>
      <c r="J39" s="1101"/>
      <c r="K39" s="1101"/>
      <c r="L39" s="1101"/>
      <c r="M39" s="1101"/>
      <c r="N39" s="1102"/>
    </row>
    <row r="40" spans="1:14">
      <c r="A40" s="1533"/>
      <c r="B40" s="1531"/>
      <c r="C40" s="1531"/>
      <c r="D40" s="1531"/>
      <c r="E40" s="1531"/>
      <c r="F40" s="1531"/>
      <c r="G40" s="1532"/>
      <c r="H40" s="1100"/>
      <c r="I40" s="1101"/>
      <c r="J40" s="1101"/>
      <c r="K40" s="1101"/>
      <c r="L40" s="1101"/>
      <c r="M40" s="1101"/>
      <c r="N40" s="1102"/>
    </row>
    <row r="41" spans="1:14">
      <c r="A41" s="1533"/>
      <c r="B41" s="1531"/>
      <c r="C41" s="1531"/>
      <c r="D41" s="1531"/>
      <c r="E41" s="1531"/>
      <c r="F41" s="1531"/>
      <c r="G41" s="1532"/>
      <c r="H41" s="1100"/>
      <c r="I41" s="1101"/>
      <c r="J41" s="1101"/>
      <c r="K41" s="1101"/>
      <c r="L41" s="1101"/>
      <c r="M41" s="1101"/>
      <c r="N41" s="1102"/>
    </row>
    <row r="42" spans="1:14">
      <c r="A42" s="1533"/>
      <c r="B42" s="1531"/>
      <c r="C42" s="1531"/>
      <c r="D42" s="1531"/>
      <c r="E42" s="1531"/>
      <c r="F42" s="1531"/>
      <c r="G42" s="1532"/>
      <c r="H42" s="1100"/>
      <c r="I42" s="1101"/>
      <c r="J42" s="1101"/>
      <c r="K42" s="1101"/>
      <c r="L42" s="1101"/>
      <c r="M42" s="1101"/>
      <c r="N42" s="1102"/>
    </row>
    <row r="43" spans="1:14">
      <c r="A43" s="1533"/>
      <c r="B43" s="1531"/>
      <c r="C43" s="1531"/>
      <c r="D43" s="1531"/>
      <c r="E43" s="1531"/>
      <c r="F43" s="1531"/>
      <c r="G43" s="1532"/>
      <c r="H43" s="1100"/>
      <c r="I43" s="1101"/>
      <c r="J43" s="1101"/>
      <c r="K43" s="1101"/>
      <c r="L43" s="1101"/>
      <c r="M43" s="1101"/>
      <c r="N43" s="1102"/>
    </row>
    <row r="44" spans="1:14">
      <c r="A44" s="1533"/>
      <c r="B44" s="1531"/>
      <c r="C44" s="1531"/>
      <c r="D44" s="1531"/>
      <c r="E44" s="1531"/>
      <c r="F44" s="1531"/>
      <c r="G44" s="1532"/>
      <c r="H44" s="1100"/>
      <c r="I44" s="1101"/>
      <c r="J44" s="1101"/>
      <c r="K44" s="1101"/>
      <c r="L44" s="1101"/>
      <c r="M44" s="1101"/>
      <c r="N44" s="1102"/>
    </row>
    <row r="45" spans="1:14">
      <c r="A45" s="1533"/>
      <c r="B45" s="1531"/>
      <c r="C45" s="1531"/>
      <c r="D45" s="1531"/>
      <c r="E45" s="1531"/>
      <c r="F45" s="1531"/>
      <c r="G45" s="1532"/>
      <c r="H45" s="1100"/>
      <c r="I45" s="1101"/>
      <c r="J45" s="1101"/>
      <c r="K45" s="1101"/>
      <c r="L45" s="1101"/>
      <c r="M45" s="1101"/>
      <c r="N45" s="1102"/>
    </row>
    <row r="46" spans="1:14">
      <c r="A46" s="1533"/>
      <c r="B46" s="1531"/>
      <c r="C46" s="1531"/>
      <c r="D46" s="1531"/>
      <c r="E46" s="1531"/>
      <c r="F46" s="1531"/>
      <c r="G46" s="1532"/>
      <c r="H46" s="1100"/>
      <c r="I46" s="1101"/>
      <c r="J46" s="1101"/>
      <c r="K46" s="1101"/>
      <c r="L46" s="1101"/>
      <c r="M46" s="1101"/>
      <c r="N46" s="1102"/>
    </row>
    <row r="47" spans="1:14" ht="13.5" thickBot="1">
      <c r="A47" s="11"/>
      <c r="B47" s="20"/>
      <c r="C47" s="20"/>
      <c r="D47" s="20"/>
      <c r="E47" s="20"/>
      <c r="F47" s="20"/>
      <c r="G47" s="21"/>
      <c r="H47" s="11"/>
      <c r="I47" s="20"/>
      <c r="J47" s="20"/>
      <c r="K47" s="20"/>
      <c r="L47" s="20"/>
      <c r="M47" s="20"/>
      <c r="N47" s="21"/>
    </row>
    <row r="49" spans="2:14">
      <c r="F49" s="1262" t="s">
        <v>125</v>
      </c>
      <c r="G49" s="1262"/>
      <c r="M49" s="1262" t="s">
        <v>125</v>
      </c>
      <c r="N49" s="1262"/>
    </row>
    <row r="50" spans="2:14">
      <c r="B50" s="2"/>
      <c r="C50" s="2"/>
      <c r="D50" s="2"/>
      <c r="E50" s="2"/>
      <c r="F50" s="2"/>
      <c r="I50" s="2"/>
      <c r="J50" s="2"/>
      <c r="K50" s="2"/>
      <c r="L50" s="2"/>
      <c r="M50" s="2"/>
    </row>
  </sheetData>
  <mergeCells count="22">
    <mergeCell ref="R18:V18"/>
    <mergeCell ref="A3:F3"/>
    <mergeCell ref="A10:F10"/>
    <mergeCell ref="A1:G1"/>
    <mergeCell ref="A5:G5"/>
    <mergeCell ref="H1:N1"/>
    <mergeCell ref="H3:M3"/>
    <mergeCell ref="H5:N5"/>
    <mergeCell ref="H10:M10"/>
    <mergeCell ref="R13:V13"/>
    <mergeCell ref="R14:V14"/>
    <mergeCell ref="R15:V15"/>
    <mergeCell ref="R16:V16"/>
    <mergeCell ref="R17:V17"/>
    <mergeCell ref="A25:G46"/>
    <mergeCell ref="A13:G19"/>
    <mergeCell ref="H13:N19"/>
    <mergeCell ref="H20:N24"/>
    <mergeCell ref="F49:G49"/>
    <mergeCell ref="A20:G24"/>
    <mergeCell ref="M49:N49"/>
    <mergeCell ref="H25:N31"/>
  </mergeCells>
  <phoneticPr fontId="4" type="noConversion"/>
  <hyperlinks>
    <hyperlink ref="F49" location="'TABLA DE CONTENIDO'!A1" display="VOLVER A TABLA DE CONTENIDO" xr:uid="{00000000-0004-0000-2100-000000000000}"/>
    <hyperlink ref="M49" location="'TABLA DE CONTENIDO'!A1" display="VOLVER A TABLA DE CONTENIDO" xr:uid="{00000000-0004-0000-2100-000001000000}"/>
  </hyperlinks>
  <printOptions horizontalCentered="1"/>
  <pageMargins left="0.51181102362204722" right="0.41" top="0.78740157480314965" bottom="0.98425196850393704" header="0.51181102362204722" footer="0.51181102362204722"/>
  <pageSetup scale="97" orientation="portrait" horizontalDpi="300" verticalDpi="300" r:id="rId1"/>
  <headerFooter alignWithMargins="0"/>
  <drawing r:id="rId2"/>
  <legacyDrawing r:id="rId3"/>
  <oleObjects>
    <mc:AlternateContent xmlns:mc="http://schemas.openxmlformats.org/markup-compatibility/2006">
      <mc:Choice Requires="x14">
        <oleObject progId="Word.Document.6" shapeId="13313" r:id="rId4">
          <objectPr defaultSize="0" autoLine="0" autoPict="0" r:id="rId5">
            <anchor moveWithCells="1">
              <from>
                <xdr:col>0</xdr:col>
                <xdr:colOff>0</xdr:colOff>
                <xdr:row>0</xdr:row>
                <xdr:rowOff>0</xdr:rowOff>
              </from>
              <to>
                <xdr:col>2</xdr:col>
                <xdr:colOff>38100</xdr:colOff>
                <xdr:row>3</xdr:row>
                <xdr:rowOff>114300</xdr:rowOff>
              </to>
            </anchor>
          </objectPr>
        </oleObject>
      </mc:Choice>
      <mc:Fallback>
        <oleObject progId="Word.Document.6" shapeId="13313" r:id="rId4"/>
      </mc:Fallback>
    </mc:AlternateContent>
    <mc:AlternateContent xmlns:mc="http://schemas.openxmlformats.org/markup-compatibility/2006">
      <mc:Choice Requires="x14">
        <oleObject progId="Word.Document.6" shapeId="13685" r:id="rId6">
          <objectPr defaultSize="0" autoLine="0" autoPict="0" r:id="rId5">
            <anchor moveWithCells="1">
              <from>
                <xdr:col>7</xdr:col>
                <xdr:colOff>0</xdr:colOff>
                <xdr:row>0</xdr:row>
                <xdr:rowOff>0</xdr:rowOff>
              </from>
              <to>
                <xdr:col>9</xdr:col>
                <xdr:colOff>38100</xdr:colOff>
                <xdr:row>3</xdr:row>
                <xdr:rowOff>114300</xdr:rowOff>
              </to>
            </anchor>
          </objectPr>
        </oleObject>
      </mc:Choice>
      <mc:Fallback>
        <oleObject progId="Word.Document.6" shapeId="13685" r:id="rId6"/>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G364"/>
  <sheetViews>
    <sheetView workbookViewId="0">
      <selection activeCell="D20" sqref="D20"/>
    </sheetView>
  </sheetViews>
  <sheetFormatPr defaultColWidth="11.42578125" defaultRowHeight="12.75"/>
  <cols>
    <col min="1" max="1" width="5" customWidth="1"/>
    <col min="5" max="5" width="27.28515625" customWidth="1"/>
    <col min="6" max="6" width="21.28515625" customWidth="1"/>
    <col min="7" max="7" width="12.28515625" customWidth="1"/>
  </cols>
  <sheetData>
    <row r="1" spans="1:7" ht="23.25">
      <c r="A1" s="1259" t="s">
        <v>1</v>
      </c>
      <c r="B1" s="1259"/>
      <c r="C1" s="1259"/>
      <c r="D1" s="1259"/>
      <c r="E1" s="1259"/>
      <c r="F1" s="1259"/>
      <c r="G1" s="1259"/>
    </row>
    <row r="2" spans="1:7" ht="23.25">
      <c r="A2" s="299"/>
      <c r="B2" s="299"/>
      <c r="C2" s="299"/>
      <c r="D2" s="299"/>
      <c r="E2" s="299"/>
      <c r="F2" s="299"/>
    </row>
    <row r="3" spans="1:7" ht="18">
      <c r="A3" s="1260" t="s">
        <v>84</v>
      </c>
      <c r="B3" s="1260"/>
      <c r="C3" s="1260"/>
      <c r="D3" s="1260"/>
      <c r="E3" s="1260"/>
      <c r="F3" s="1260"/>
    </row>
    <row r="4" spans="1:7">
      <c r="B4" s="45"/>
      <c r="C4" s="38"/>
      <c r="D4" s="38"/>
      <c r="E4" s="1"/>
      <c r="F4" s="1"/>
    </row>
    <row r="5" spans="1:7" ht="20.25">
      <c r="A5" s="1252" t="s">
        <v>1258</v>
      </c>
      <c r="B5" s="1252"/>
      <c r="C5" s="1252"/>
      <c r="D5" s="1252"/>
      <c r="E5" s="1252"/>
      <c r="F5" s="1252"/>
      <c r="G5" s="1252"/>
    </row>
    <row r="6" spans="1:7">
      <c r="A6" t="s">
        <v>557</v>
      </c>
      <c r="B6" s="45"/>
      <c r="C6" s="38"/>
      <c r="D6" s="38"/>
      <c r="E6" s="1"/>
      <c r="F6" s="1"/>
    </row>
    <row r="7" spans="1:7">
      <c r="A7" s="190" t="s">
        <v>129</v>
      </c>
      <c r="B7" s="39"/>
      <c r="D7" s="3" t="s">
        <v>88</v>
      </c>
      <c r="E7" s="3"/>
      <c r="F7" s="3"/>
    </row>
    <row r="8" spans="1:7">
      <c r="A8" s="190"/>
      <c r="B8" s="39"/>
    </row>
    <row r="10" spans="1:7">
      <c r="A10" s="1529" t="s">
        <v>1259</v>
      </c>
      <c r="B10" s="1529"/>
      <c r="C10" s="1529"/>
      <c r="D10" s="1529"/>
      <c r="E10" s="1529"/>
      <c r="F10" s="1529"/>
    </row>
    <row r="11" spans="1:7" ht="13.5" thickBot="1">
      <c r="A11" s="20"/>
      <c r="B11" s="20"/>
      <c r="C11" s="20"/>
      <c r="D11" s="20"/>
      <c r="E11" s="20"/>
      <c r="F11" s="20"/>
    </row>
    <row r="12" spans="1:7">
      <c r="A12" s="16"/>
      <c r="B12" s="17"/>
      <c r="C12" s="17"/>
      <c r="D12" s="17"/>
      <c r="E12" s="17"/>
      <c r="F12" s="17"/>
      <c r="G12" s="18"/>
    </row>
    <row r="13" spans="1:7">
      <c r="A13" s="9"/>
      <c r="G13" s="19"/>
    </row>
    <row r="14" spans="1:7">
      <c r="A14" s="9"/>
      <c r="G14" s="19"/>
    </row>
    <row r="15" spans="1:7">
      <c r="A15" s="9"/>
      <c r="G15" s="19"/>
    </row>
    <row r="16" spans="1:7">
      <c r="A16" s="9"/>
      <c r="G16" s="19"/>
    </row>
    <row r="17" spans="1:7">
      <c r="A17" s="9"/>
      <c r="G17" s="19"/>
    </row>
    <row r="18" spans="1:7">
      <c r="A18" s="9"/>
      <c r="G18" s="19"/>
    </row>
    <row r="19" spans="1:7">
      <c r="A19" s="9"/>
      <c r="G19" s="19"/>
    </row>
    <row r="20" spans="1:7" ht="53.25" customHeight="1">
      <c r="A20" s="1549"/>
      <c r="B20" s="1550"/>
      <c r="C20" s="1550"/>
      <c r="D20" s="1550"/>
      <c r="E20" s="1550"/>
      <c r="F20" s="1550"/>
      <c r="G20" s="1551"/>
    </row>
    <row r="21" spans="1:7">
      <c r="A21" s="437"/>
      <c r="B21" s="438"/>
      <c r="C21" s="438"/>
      <c r="D21" s="438"/>
      <c r="E21" s="438"/>
      <c r="F21" s="438"/>
      <c r="G21" s="439"/>
    </row>
    <row r="22" spans="1:7">
      <c r="A22" s="437"/>
      <c r="B22" s="438"/>
      <c r="C22" s="438"/>
      <c r="D22" s="438"/>
      <c r="E22" s="438"/>
      <c r="F22" s="438"/>
      <c r="G22" s="439"/>
    </row>
    <row r="23" spans="1:7">
      <c r="A23" s="9"/>
      <c r="E23" s="440"/>
      <c r="G23" s="19"/>
    </row>
    <row r="24" spans="1:7">
      <c r="A24" s="9"/>
      <c r="G24" s="19"/>
    </row>
    <row r="25" spans="1:7">
      <c r="A25" s="9"/>
      <c r="G25" s="19"/>
    </row>
    <row r="26" spans="1:7">
      <c r="A26" s="9"/>
      <c r="G26" s="19"/>
    </row>
    <row r="27" spans="1:7">
      <c r="A27" s="9"/>
      <c r="G27" s="19"/>
    </row>
    <row r="28" spans="1:7">
      <c r="A28" s="9"/>
      <c r="G28" s="19"/>
    </row>
    <row r="29" spans="1:7">
      <c r="A29" s="9"/>
      <c r="G29" s="19"/>
    </row>
    <row r="30" spans="1:7">
      <c r="A30" s="9"/>
      <c r="G30" s="19"/>
    </row>
    <row r="31" spans="1:7">
      <c r="A31" s="9"/>
      <c r="G31" s="19"/>
    </row>
    <row r="32" spans="1:7">
      <c r="A32" s="9"/>
      <c r="G32" s="19"/>
    </row>
    <row r="33" spans="1:7">
      <c r="A33" s="9"/>
      <c r="G33" s="19"/>
    </row>
    <row r="34" spans="1:7">
      <c r="A34" s="9"/>
      <c r="G34" s="19"/>
    </row>
    <row r="35" spans="1:7">
      <c r="A35" s="9"/>
      <c r="G35" s="19"/>
    </row>
    <row r="36" spans="1:7">
      <c r="A36" s="9"/>
      <c r="G36" s="19"/>
    </row>
    <row r="37" spans="1:7">
      <c r="A37" s="9"/>
      <c r="G37" s="19"/>
    </row>
    <row r="38" spans="1:7">
      <c r="A38" s="9"/>
      <c r="G38" s="19"/>
    </row>
    <row r="39" spans="1:7">
      <c r="A39" s="9"/>
      <c r="G39" s="19"/>
    </row>
    <row r="40" spans="1:7">
      <c r="A40" s="9"/>
      <c r="G40" s="19"/>
    </row>
    <row r="41" spans="1:7">
      <c r="A41" s="9"/>
      <c r="G41" s="19"/>
    </row>
    <row r="42" spans="1:7">
      <c r="A42" s="9"/>
      <c r="G42" s="19"/>
    </row>
    <row r="43" spans="1:7">
      <c r="A43" s="9"/>
      <c r="G43" s="19"/>
    </row>
    <row r="44" spans="1:7">
      <c r="A44" s="9"/>
      <c r="D44" s="1308" t="s">
        <v>1260</v>
      </c>
      <c r="E44" s="1336"/>
      <c r="G44" s="19"/>
    </row>
    <row r="45" spans="1:7">
      <c r="A45" s="9"/>
      <c r="G45" s="19"/>
    </row>
    <row r="46" spans="1:7">
      <c r="A46" s="9"/>
      <c r="G46" s="19"/>
    </row>
    <row r="47" spans="1:7">
      <c r="A47" s="9"/>
      <c r="G47" s="19"/>
    </row>
    <row r="48" spans="1:7">
      <c r="A48" s="9"/>
      <c r="G48" s="19"/>
    </row>
    <row r="49" spans="1:7">
      <c r="A49" s="9"/>
      <c r="G49" s="19"/>
    </row>
    <row r="50" spans="1:7">
      <c r="A50" s="9"/>
      <c r="G50" s="19"/>
    </row>
    <row r="51" spans="1:7">
      <c r="A51" s="9"/>
      <c r="G51" s="19"/>
    </row>
    <row r="52" spans="1:7">
      <c r="A52" s="9"/>
      <c r="G52" s="19"/>
    </row>
    <row r="53" spans="1:7">
      <c r="A53" s="9"/>
      <c r="G53" s="19"/>
    </row>
    <row r="54" spans="1:7">
      <c r="A54" s="9"/>
      <c r="G54" s="19"/>
    </row>
    <row r="55" spans="1:7">
      <c r="A55" s="9"/>
      <c r="G55" s="19"/>
    </row>
    <row r="56" spans="1:7">
      <c r="A56" s="9"/>
      <c r="G56" s="19"/>
    </row>
    <row r="57" spans="1:7">
      <c r="A57" s="9"/>
      <c r="G57" s="19"/>
    </row>
    <row r="58" spans="1:7">
      <c r="A58" s="9"/>
      <c r="G58" s="19"/>
    </row>
    <row r="59" spans="1:7">
      <c r="A59" s="9"/>
      <c r="G59" s="19"/>
    </row>
    <row r="60" spans="1:7">
      <c r="A60" s="9"/>
      <c r="G60" s="19"/>
    </row>
    <row r="61" spans="1:7">
      <c r="A61" s="9"/>
      <c r="G61" s="19"/>
    </row>
    <row r="62" spans="1:7">
      <c r="A62" s="9"/>
      <c r="G62" s="19"/>
    </row>
    <row r="63" spans="1:7">
      <c r="A63" s="9"/>
      <c r="G63" s="19"/>
    </row>
    <row r="64" spans="1:7">
      <c r="A64" s="9"/>
      <c r="G64" s="19"/>
    </row>
    <row r="65" spans="1:7">
      <c r="A65" s="9"/>
      <c r="G65" s="19"/>
    </row>
    <row r="66" spans="1:7">
      <c r="A66" s="9"/>
      <c r="G66" s="19"/>
    </row>
    <row r="67" spans="1:7">
      <c r="A67" s="9"/>
      <c r="G67" s="19"/>
    </row>
    <row r="68" spans="1:7">
      <c r="A68" s="9"/>
      <c r="G68" s="19"/>
    </row>
    <row r="69" spans="1:7">
      <c r="A69" s="9"/>
      <c r="G69" s="19"/>
    </row>
    <row r="70" spans="1:7">
      <c r="A70" s="9"/>
      <c r="G70" s="19"/>
    </row>
    <row r="71" spans="1:7">
      <c r="A71" s="9"/>
      <c r="G71" s="19"/>
    </row>
    <row r="72" spans="1:7">
      <c r="A72" s="9"/>
      <c r="G72" s="19"/>
    </row>
    <row r="73" spans="1:7">
      <c r="A73" s="9"/>
      <c r="G73" s="19"/>
    </row>
    <row r="74" spans="1:7">
      <c r="A74" s="9"/>
      <c r="G74" s="19"/>
    </row>
    <row r="75" spans="1:7">
      <c r="A75" s="9"/>
      <c r="G75" s="19"/>
    </row>
    <row r="76" spans="1:7">
      <c r="A76" s="9"/>
      <c r="G76" s="19"/>
    </row>
    <row r="77" spans="1:7">
      <c r="A77" s="9"/>
      <c r="G77" s="19"/>
    </row>
    <row r="78" spans="1:7">
      <c r="A78" s="9"/>
      <c r="G78" s="19"/>
    </row>
    <row r="79" spans="1:7">
      <c r="A79" s="9"/>
      <c r="G79" s="19"/>
    </row>
    <row r="80" spans="1:7">
      <c r="A80" s="9"/>
      <c r="G80" s="19"/>
    </row>
    <row r="81" spans="1:7">
      <c r="A81" s="9"/>
      <c r="G81" s="19"/>
    </row>
    <row r="82" spans="1:7">
      <c r="A82" s="9"/>
      <c r="D82" s="1308" t="s">
        <v>1261</v>
      </c>
      <c r="E82" s="1336"/>
      <c r="G82" s="19"/>
    </row>
    <row r="83" spans="1:7">
      <c r="A83" s="9"/>
      <c r="G83" s="19"/>
    </row>
    <row r="84" spans="1:7">
      <c r="A84" s="9"/>
      <c r="G84" s="19"/>
    </row>
    <row r="85" spans="1:7">
      <c r="A85" s="9"/>
      <c r="G85" s="19"/>
    </row>
    <row r="86" spans="1:7">
      <c r="A86" s="9"/>
      <c r="G86" s="19"/>
    </row>
    <row r="87" spans="1:7">
      <c r="A87" s="9"/>
      <c r="G87" s="19"/>
    </row>
    <row r="88" spans="1:7">
      <c r="A88" s="9"/>
      <c r="G88" s="19"/>
    </row>
    <row r="89" spans="1:7">
      <c r="A89" s="9"/>
      <c r="G89" s="19"/>
    </row>
    <row r="90" spans="1:7">
      <c r="A90" s="9"/>
      <c r="G90" s="19"/>
    </row>
    <row r="91" spans="1:7">
      <c r="A91" s="9"/>
      <c r="G91" s="19"/>
    </row>
    <row r="92" spans="1:7">
      <c r="A92" s="9"/>
      <c r="G92" s="19"/>
    </row>
    <row r="93" spans="1:7">
      <c r="A93" s="9"/>
      <c r="G93" s="19"/>
    </row>
    <row r="94" spans="1:7">
      <c r="A94" s="9"/>
      <c r="G94" s="19"/>
    </row>
    <row r="95" spans="1:7">
      <c r="A95" s="9"/>
      <c r="G95" s="19"/>
    </row>
    <row r="96" spans="1:7">
      <c r="A96" s="9"/>
      <c r="G96" s="19"/>
    </row>
    <row r="97" spans="1:7">
      <c r="A97" s="9"/>
      <c r="G97" s="19"/>
    </row>
    <row r="98" spans="1:7">
      <c r="A98" s="9"/>
      <c r="G98" s="19"/>
    </row>
    <row r="99" spans="1:7">
      <c r="A99" s="9"/>
      <c r="G99" s="19"/>
    </row>
    <row r="100" spans="1:7">
      <c r="A100" s="9"/>
      <c r="G100" s="19"/>
    </row>
    <row r="101" spans="1:7">
      <c r="A101" s="9"/>
      <c r="G101" s="19"/>
    </row>
    <row r="102" spans="1:7">
      <c r="A102" s="9"/>
      <c r="G102" s="19"/>
    </row>
    <row r="103" spans="1:7">
      <c r="A103" s="9"/>
      <c r="G103" s="19"/>
    </row>
    <row r="104" spans="1:7">
      <c r="A104" s="9"/>
      <c r="G104" s="19"/>
    </row>
    <row r="105" spans="1:7">
      <c r="A105" s="9"/>
      <c r="G105" s="19"/>
    </row>
    <row r="106" spans="1:7">
      <c r="A106" s="9"/>
      <c r="G106" s="19"/>
    </row>
    <row r="107" spans="1:7">
      <c r="A107" s="9"/>
      <c r="G107" s="19"/>
    </row>
    <row r="108" spans="1:7">
      <c r="A108" s="9"/>
      <c r="G108" s="19"/>
    </row>
    <row r="109" spans="1:7">
      <c r="A109" s="9"/>
      <c r="G109" s="19"/>
    </row>
    <row r="110" spans="1:7" ht="13.5" thickBot="1">
      <c r="A110" s="11"/>
      <c r="B110" s="20"/>
      <c r="C110" s="20"/>
      <c r="D110" s="20"/>
      <c r="E110" s="20"/>
      <c r="F110" s="20"/>
      <c r="G110" s="21"/>
    </row>
    <row r="111" spans="1:7">
      <c r="A111" s="16"/>
      <c r="B111" s="17"/>
      <c r="C111" s="17"/>
      <c r="D111" s="17"/>
      <c r="E111" s="17"/>
      <c r="F111" s="17"/>
      <c r="G111" s="18"/>
    </row>
    <row r="112" spans="1:7">
      <c r="A112" s="9"/>
      <c r="G112" s="19"/>
    </row>
    <row r="113" spans="1:7">
      <c r="A113" s="9"/>
      <c r="G113" s="19"/>
    </row>
    <row r="114" spans="1:7">
      <c r="A114" s="9"/>
      <c r="G114" s="19"/>
    </row>
    <row r="115" spans="1:7">
      <c r="A115" s="9"/>
      <c r="G115" s="19"/>
    </row>
    <row r="116" spans="1:7">
      <c r="A116" s="9"/>
      <c r="G116" s="19"/>
    </row>
    <row r="117" spans="1:7">
      <c r="A117" s="9"/>
      <c r="G117" s="19"/>
    </row>
    <row r="118" spans="1:7">
      <c r="A118" s="9"/>
      <c r="G118" s="19"/>
    </row>
    <row r="119" spans="1:7">
      <c r="A119" s="9"/>
      <c r="G119" s="19"/>
    </row>
    <row r="120" spans="1:7">
      <c r="A120" s="9"/>
      <c r="G120" s="19"/>
    </row>
    <row r="121" spans="1:7">
      <c r="A121" s="9"/>
      <c r="G121" s="19"/>
    </row>
    <row r="122" spans="1:7">
      <c r="A122" s="9"/>
      <c r="G122" s="19"/>
    </row>
    <row r="123" spans="1:7">
      <c r="A123" s="9"/>
      <c r="G123" s="19"/>
    </row>
    <row r="124" spans="1:7">
      <c r="A124" s="9"/>
      <c r="G124" s="19"/>
    </row>
    <row r="125" spans="1:7">
      <c r="A125" s="9"/>
      <c r="G125" s="19"/>
    </row>
    <row r="126" spans="1:7">
      <c r="A126" s="9"/>
      <c r="G126" s="19"/>
    </row>
    <row r="127" spans="1:7">
      <c r="A127" s="9"/>
      <c r="G127" s="19"/>
    </row>
    <row r="128" spans="1:7">
      <c r="A128" s="9"/>
      <c r="G128" s="19"/>
    </row>
    <row r="129" spans="1:7">
      <c r="A129" s="9"/>
      <c r="G129" s="19"/>
    </row>
    <row r="130" spans="1:7">
      <c r="A130" s="9"/>
      <c r="G130" s="19"/>
    </row>
    <row r="131" spans="1:7">
      <c r="A131" s="9"/>
      <c r="G131" s="19"/>
    </row>
    <row r="132" spans="1:7">
      <c r="A132" s="9"/>
      <c r="G132" s="19"/>
    </row>
    <row r="133" spans="1:7">
      <c r="A133" s="9"/>
      <c r="G133" s="19"/>
    </row>
    <row r="134" spans="1:7">
      <c r="A134" s="9"/>
      <c r="G134" s="19"/>
    </row>
    <row r="135" spans="1:7">
      <c r="A135" s="9"/>
      <c r="G135" s="19"/>
    </row>
    <row r="136" spans="1:7">
      <c r="A136" s="9"/>
      <c r="G136" s="19"/>
    </row>
    <row r="137" spans="1:7">
      <c r="A137" s="9"/>
      <c r="G137" s="19"/>
    </row>
    <row r="138" spans="1:7">
      <c r="A138" s="9"/>
      <c r="G138" s="19"/>
    </row>
    <row r="139" spans="1:7">
      <c r="A139" s="9"/>
      <c r="G139" s="19"/>
    </row>
    <row r="140" spans="1:7">
      <c r="A140" s="9"/>
      <c r="G140" s="19"/>
    </row>
    <row r="141" spans="1:7">
      <c r="A141" s="9"/>
      <c r="G141" s="19"/>
    </row>
    <row r="142" spans="1:7">
      <c r="A142" s="9"/>
      <c r="G142" s="19"/>
    </row>
    <row r="143" spans="1:7">
      <c r="A143" s="9"/>
      <c r="G143" s="19"/>
    </row>
    <row r="144" spans="1:7">
      <c r="A144" s="9"/>
      <c r="G144" s="19"/>
    </row>
    <row r="145" spans="1:7">
      <c r="A145" s="9"/>
      <c r="G145" s="19"/>
    </row>
    <row r="146" spans="1:7">
      <c r="A146" s="9"/>
      <c r="G146" s="19"/>
    </row>
    <row r="147" spans="1:7">
      <c r="A147" s="9"/>
      <c r="G147" s="19"/>
    </row>
    <row r="148" spans="1:7">
      <c r="A148" s="9"/>
      <c r="G148" s="19"/>
    </row>
    <row r="149" spans="1:7">
      <c r="A149" s="9"/>
      <c r="G149" s="19"/>
    </row>
    <row r="150" spans="1:7">
      <c r="A150" s="9"/>
      <c r="G150" s="19"/>
    </row>
    <row r="151" spans="1:7">
      <c r="A151" s="9"/>
      <c r="G151" s="19"/>
    </row>
    <row r="152" spans="1:7">
      <c r="A152" s="9"/>
      <c r="G152" s="19"/>
    </row>
    <row r="153" spans="1:7">
      <c r="A153" s="9"/>
      <c r="G153" s="19"/>
    </row>
    <row r="154" spans="1:7">
      <c r="A154" s="9"/>
      <c r="G154" s="19"/>
    </row>
    <row r="155" spans="1:7">
      <c r="A155" s="9"/>
      <c r="D155" s="1308" t="s">
        <v>1260</v>
      </c>
      <c r="E155" s="1336"/>
      <c r="G155" s="19"/>
    </row>
    <row r="156" spans="1:7">
      <c r="A156" s="9"/>
      <c r="G156" s="19"/>
    </row>
    <row r="157" spans="1:7">
      <c r="A157" s="9"/>
      <c r="G157" s="19"/>
    </row>
    <row r="158" spans="1:7">
      <c r="A158" s="9"/>
      <c r="G158" s="19"/>
    </row>
    <row r="159" spans="1:7">
      <c r="A159" s="9"/>
      <c r="G159" s="19"/>
    </row>
    <row r="160" spans="1:7">
      <c r="A160" s="9"/>
      <c r="G160" s="19"/>
    </row>
    <row r="161" spans="1:7">
      <c r="A161" s="9"/>
      <c r="G161" s="19"/>
    </row>
    <row r="162" spans="1:7">
      <c r="A162" s="9"/>
      <c r="G162" s="19"/>
    </row>
    <row r="163" spans="1:7">
      <c r="A163" s="9"/>
      <c r="G163" s="19"/>
    </row>
    <row r="164" spans="1:7">
      <c r="A164" s="9"/>
      <c r="G164" s="19"/>
    </row>
    <row r="165" spans="1:7">
      <c r="A165" s="9"/>
      <c r="G165" s="19"/>
    </row>
    <row r="166" spans="1:7">
      <c r="A166" s="9"/>
      <c r="G166" s="19"/>
    </row>
    <row r="167" spans="1:7">
      <c r="A167" s="9"/>
      <c r="G167" s="19"/>
    </row>
    <row r="168" spans="1:7">
      <c r="A168" s="9"/>
      <c r="G168" s="19"/>
    </row>
    <row r="169" spans="1:7">
      <c r="A169" s="9"/>
      <c r="G169" s="19"/>
    </row>
    <row r="170" spans="1:7">
      <c r="A170" s="9"/>
      <c r="G170" s="19"/>
    </row>
    <row r="171" spans="1:7">
      <c r="A171" s="9"/>
      <c r="G171" s="19"/>
    </row>
    <row r="172" spans="1:7">
      <c r="A172" s="9"/>
      <c r="G172" s="19"/>
    </row>
    <row r="173" spans="1:7">
      <c r="A173" s="9"/>
      <c r="G173" s="19"/>
    </row>
    <row r="174" spans="1:7">
      <c r="A174" s="9"/>
      <c r="G174" s="19"/>
    </row>
    <row r="175" spans="1:7">
      <c r="A175" s="9"/>
      <c r="G175" s="19"/>
    </row>
    <row r="176" spans="1:7">
      <c r="A176" s="9"/>
      <c r="G176" s="19"/>
    </row>
    <row r="177" spans="1:7">
      <c r="A177" s="9"/>
      <c r="G177" s="19"/>
    </row>
    <row r="178" spans="1:7">
      <c r="A178" s="9"/>
      <c r="G178" s="19"/>
    </row>
    <row r="179" spans="1:7">
      <c r="A179" s="9"/>
      <c r="G179" s="19"/>
    </row>
    <row r="180" spans="1:7">
      <c r="A180" s="9"/>
      <c r="G180" s="19"/>
    </row>
    <row r="181" spans="1:7">
      <c r="A181" s="9"/>
      <c r="G181" s="19"/>
    </row>
    <row r="182" spans="1:7">
      <c r="A182" s="9"/>
      <c r="G182" s="19"/>
    </row>
    <row r="183" spans="1:7">
      <c r="A183" s="9"/>
      <c r="G183" s="19"/>
    </row>
    <row r="184" spans="1:7">
      <c r="A184" s="9"/>
      <c r="G184" s="19"/>
    </row>
    <row r="185" spans="1:7">
      <c r="A185" s="9"/>
      <c r="G185" s="19"/>
    </row>
    <row r="186" spans="1:7">
      <c r="A186" s="9"/>
      <c r="G186" s="19"/>
    </row>
    <row r="187" spans="1:7">
      <c r="A187" s="9"/>
      <c r="D187" s="1308" t="s">
        <v>1261</v>
      </c>
      <c r="E187" s="1336"/>
      <c r="G187" s="19"/>
    </row>
    <row r="188" spans="1:7">
      <c r="A188" s="9"/>
      <c r="G188" s="19"/>
    </row>
    <row r="189" spans="1:7">
      <c r="A189" s="9"/>
      <c r="G189" s="19"/>
    </row>
    <row r="190" spans="1:7">
      <c r="A190" s="9"/>
      <c r="G190" s="19"/>
    </row>
    <row r="191" spans="1:7">
      <c r="A191" s="9"/>
      <c r="G191" s="19"/>
    </row>
    <row r="192" spans="1:7">
      <c r="A192" s="9"/>
      <c r="G192" s="19"/>
    </row>
    <row r="193" spans="1:7">
      <c r="A193" s="9"/>
      <c r="G193" s="19"/>
    </row>
    <row r="194" spans="1:7">
      <c r="A194" s="9"/>
      <c r="G194" s="19"/>
    </row>
    <row r="195" spans="1:7">
      <c r="A195" s="9"/>
      <c r="G195" s="19"/>
    </row>
    <row r="196" spans="1:7">
      <c r="A196" s="9"/>
      <c r="G196" s="19"/>
    </row>
    <row r="197" spans="1:7">
      <c r="A197" s="9"/>
      <c r="G197" s="19"/>
    </row>
    <row r="198" spans="1:7">
      <c r="A198" s="9"/>
      <c r="G198" s="19"/>
    </row>
    <row r="199" spans="1:7">
      <c r="A199" s="9"/>
      <c r="G199" s="19"/>
    </row>
    <row r="200" spans="1:7">
      <c r="A200" s="9"/>
      <c r="G200" s="19"/>
    </row>
    <row r="201" spans="1:7">
      <c r="A201" s="9"/>
      <c r="G201" s="19"/>
    </row>
    <row r="202" spans="1:7">
      <c r="A202" s="9"/>
      <c r="G202" s="19"/>
    </row>
    <row r="203" spans="1:7">
      <c r="A203" s="9"/>
      <c r="G203" s="19"/>
    </row>
    <row r="204" spans="1:7">
      <c r="A204" s="9"/>
      <c r="G204" s="19"/>
    </row>
    <row r="205" spans="1:7">
      <c r="A205" s="9"/>
      <c r="G205" s="19"/>
    </row>
    <row r="206" spans="1:7">
      <c r="A206" s="9"/>
      <c r="G206" s="19"/>
    </row>
    <row r="207" spans="1:7">
      <c r="A207" s="9"/>
      <c r="G207" s="19"/>
    </row>
    <row r="208" spans="1:7">
      <c r="A208" s="9"/>
      <c r="G208" s="19"/>
    </row>
    <row r="209" spans="1:7">
      <c r="A209" s="9"/>
      <c r="G209" s="19"/>
    </row>
    <row r="210" spans="1:7">
      <c r="A210" s="9"/>
      <c r="G210" s="19"/>
    </row>
    <row r="211" spans="1:7">
      <c r="A211" s="9"/>
      <c r="G211" s="19"/>
    </row>
    <row r="212" spans="1:7">
      <c r="A212" s="9"/>
      <c r="G212" s="19"/>
    </row>
    <row r="213" spans="1:7">
      <c r="A213" s="9"/>
      <c r="G213" s="19"/>
    </row>
    <row r="214" spans="1:7">
      <c r="A214" s="9"/>
      <c r="G214" s="19"/>
    </row>
    <row r="215" spans="1:7" ht="13.5" thickBot="1">
      <c r="A215" s="11"/>
      <c r="B215" s="20"/>
      <c r="C215" s="20"/>
      <c r="D215" s="20"/>
      <c r="E215" s="20"/>
      <c r="F215" s="20"/>
      <c r="G215" s="21"/>
    </row>
    <row r="216" spans="1:7">
      <c r="A216" s="9"/>
      <c r="G216" s="19"/>
    </row>
    <row r="217" spans="1:7">
      <c r="A217" s="9"/>
      <c r="G217" s="19"/>
    </row>
    <row r="218" spans="1:7" ht="12.75" customHeight="1">
      <c r="A218" s="9"/>
      <c r="B218" s="1552"/>
      <c r="C218" s="1552"/>
      <c r="D218" s="1552"/>
      <c r="E218" s="1552"/>
      <c r="F218" s="1552"/>
      <c r="G218" s="19"/>
    </row>
    <row r="219" spans="1:7" ht="33" customHeight="1">
      <c r="A219" s="9"/>
      <c r="B219" s="1552"/>
      <c r="C219" s="1552"/>
      <c r="D219" s="1552"/>
      <c r="E219" s="1552"/>
      <c r="F219" s="1552"/>
      <c r="G219" s="19"/>
    </row>
    <row r="220" spans="1:7">
      <c r="A220" s="9"/>
      <c r="G220" s="19"/>
    </row>
    <row r="221" spans="1:7">
      <c r="A221" s="9"/>
      <c r="G221" s="19"/>
    </row>
    <row r="222" spans="1:7">
      <c r="A222" s="9"/>
      <c r="G222" s="19"/>
    </row>
    <row r="223" spans="1:7">
      <c r="A223" s="9"/>
      <c r="G223" s="19"/>
    </row>
    <row r="224" spans="1:7">
      <c r="A224" s="9"/>
      <c r="G224" s="19"/>
    </row>
    <row r="225" spans="1:7">
      <c r="A225" s="9"/>
      <c r="G225" s="19"/>
    </row>
    <row r="226" spans="1:7">
      <c r="A226" s="9"/>
      <c r="G226" s="19"/>
    </row>
    <row r="227" spans="1:7">
      <c r="A227" s="9"/>
      <c r="G227" s="19"/>
    </row>
    <row r="228" spans="1:7">
      <c r="A228" s="9"/>
      <c r="G228" s="19"/>
    </row>
    <row r="229" spans="1:7">
      <c r="A229" s="9"/>
      <c r="G229" s="19"/>
    </row>
    <row r="230" spans="1:7">
      <c r="A230" s="9"/>
      <c r="G230" s="19"/>
    </row>
    <row r="231" spans="1:7">
      <c r="A231" s="9"/>
      <c r="G231" s="19"/>
    </row>
    <row r="232" spans="1:7">
      <c r="A232" s="9"/>
      <c r="G232" s="19"/>
    </row>
    <row r="233" spans="1:7">
      <c r="A233" s="9"/>
      <c r="G233" s="19"/>
    </row>
    <row r="234" spans="1:7">
      <c r="A234" s="9"/>
      <c r="G234" s="19"/>
    </row>
    <row r="235" spans="1:7">
      <c r="A235" s="9"/>
      <c r="G235" s="19"/>
    </row>
    <row r="236" spans="1:7">
      <c r="A236" s="9"/>
      <c r="G236" s="19"/>
    </row>
    <row r="237" spans="1:7">
      <c r="A237" s="9"/>
      <c r="G237" s="19"/>
    </row>
    <row r="238" spans="1:7">
      <c r="A238" s="9"/>
      <c r="G238" s="19"/>
    </row>
    <row r="239" spans="1:7">
      <c r="A239" s="9"/>
      <c r="G239" s="19"/>
    </row>
    <row r="240" spans="1:7">
      <c r="A240" s="9"/>
      <c r="G240" s="19"/>
    </row>
    <row r="241" spans="1:7">
      <c r="A241" s="9"/>
      <c r="G241" s="19"/>
    </row>
    <row r="242" spans="1:7">
      <c r="A242" s="9"/>
      <c r="G242" s="19"/>
    </row>
    <row r="243" spans="1:7">
      <c r="A243" s="9"/>
      <c r="G243" s="19"/>
    </row>
    <row r="244" spans="1:7">
      <c r="A244" s="9"/>
      <c r="G244" s="19"/>
    </row>
    <row r="245" spans="1:7">
      <c r="A245" s="9"/>
      <c r="G245" s="19"/>
    </row>
    <row r="246" spans="1:7">
      <c r="A246" s="9"/>
      <c r="G246" s="19"/>
    </row>
    <row r="247" spans="1:7">
      <c r="A247" s="9"/>
      <c r="G247" s="19"/>
    </row>
    <row r="248" spans="1:7">
      <c r="A248" s="9"/>
      <c r="G248" s="19"/>
    </row>
    <row r="249" spans="1:7">
      <c r="A249" s="9"/>
      <c r="G249" s="19"/>
    </row>
    <row r="250" spans="1:7">
      <c r="A250" s="9"/>
      <c r="G250" s="19"/>
    </row>
    <row r="251" spans="1:7">
      <c r="A251" s="9"/>
      <c r="G251" s="19"/>
    </row>
    <row r="252" spans="1:7">
      <c r="A252" s="9"/>
      <c r="G252" s="19"/>
    </row>
    <row r="253" spans="1:7">
      <c r="A253" s="9"/>
      <c r="G253" s="19"/>
    </row>
    <row r="254" spans="1:7">
      <c r="A254" s="9"/>
      <c r="G254" s="19"/>
    </row>
    <row r="255" spans="1:7">
      <c r="A255" s="9"/>
      <c r="G255" s="19"/>
    </row>
    <row r="256" spans="1:7">
      <c r="A256" s="9"/>
      <c r="G256" s="19"/>
    </row>
    <row r="257" spans="1:7">
      <c r="A257" s="9"/>
      <c r="G257" s="19"/>
    </row>
    <row r="258" spans="1:7">
      <c r="A258" s="9"/>
      <c r="G258" s="19"/>
    </row>
    <row r="259" spans="1:7">
      <c r="A259" s="9"/>
      <c r="G259" s="19"/>
    </row>
    <row r="260" spans="1:7">
      <c r="A260" s="9"/>
      <c r="G260" s="19"/>
    </row>
    <row r="261" spans="1:7">
      <c r="A261" s="9"/>
      <c r="G261" s="19"/>
    </row>
    <row r="262" spans="1:7">
      <c r="A262" s="9"/>
      <c r="G262" s="19"/>
    </row>
    <row r="263" spans="1:7">
      <c r="A263" s="9"/>
      <c r="G263" s="19"/>
    </row>
    <row r="264" spans="1:7">
      <c r="A264" s="9"/>
      <c r="G264" s="19"/>
    </row>
    <row r="265" spans="1:7">
      <c r="A265" s="9"/>
      <c r="G265" s="19"/>
    </row>
    <row r="266" spans="1:7">
      <c r="A266" s="9"/>
      <c r="G266" s="19"/>
    </row>
    <row r="267" spans="1:7">
      <c r="A267" s="9"/>
      <c r="G267" s="19"/>
    </row>
    <row r="268" spans="1:7">
      <c r="A268" s="9"/>
      <c r="G268" s="19"/>
    </row>
    <row r="269" spans="1:7">
      <c r="A269" s="9"/>
      <c r="G269" s="19"/>
    </row>
    <row r="270" spans="1:7">
      <c r="A270" s="9"/>
      <c r="G270" s="19"/>
    </row>
    <row r="271" spans="1:7">
      <c r="A271" s="9"/>
      <c r="G271" s="19"/>
    </row>
    <row r="272" spans="1:7">
      <c r="A272" s="9"/>
      <c r="G272" s="19"/>
    </row>
    <row r="273" spans="1:7">
      <c r="A273" s="9"/>
      <c r="G273" s="19"/>
    </row>
    <row r="274" spans="1:7">
      <c r="A274" s="9"/>
      <c r="G274" s="19"/>
    </row>
    <row r="275" spans="1:7">
      <c r="A275" s="9"/>
      <c r="G275" s="19"/>
    </row>
    <row r="276" spans="1:7">
      <c r="A276" s="9"/>
      <c r="G276" s="19"/>
    </row>
    <row r="277" spans="1:7">
      <c r="A277" s="9"/>
      <c r="G277" s="19"/>
    </row>
    <row r="278" spans="1:7">
      <c r="A278" s="9"/>
      <c r="G278" s="19"/>
    </row>
    <row r="279" spans="1:7">
      <c r="A279" s="9"/>
      <c r="G279" s="19"/>
    </row>
    <row r="280" spans="1:7">
      <c r="A280" s="9"/>
      <c r="G280" s="19"/>
    </row>
    <row r="281" spans="1:7">
      <c r="A281" s="9"/>
      <c r="G281" s="19"/>
    </row>
    <row r="282" spans="1:7">
      <c r="A282" s="9"/>
      <c r="G282" s="19"/>
    </row>
    <row r="283" spans="1:7">
      <c r="A283" s="9"/>
      <c r="G283" s="19"/>
    </row>
    <row r="284" spans="1:7">
      <c r="A284" s="9"/>
      <c r="G284" s="19"/>
    </row>
    <row r="285" spans="1:7">
      <c r="A285" s="9"/>
      <c r="G285" s="19"/>
    </row>
    <row r="286" spans="1:7">
      <c r="A286" s="9"/>
      <c r="G286" s="19"/>
    </row>
    <row r="287" spans="1:7">
      <c r="A287" s="9"/>
      <c r="G287" s="19"/>
    </row>
    <row r="288" spans="1:7">
      <c r="A288" s="9"/>
      <c r="G288" s="19"/>
    </row>
    <row r="289" spans="1:7">
      <c r="A289" s="9"/>
      <c r="G289" s="19"/>
    </row>
    <row r="290" spans="1:7">
      <c r="A290" s="9"/>
      <c r="G290" s="19"/>
    </row>
    <row r="291" spans="1:7">
      <c r="A291" s="9"/>
      <c r="G291" s="19"/>
    </row>
    <row r="292" spans="1:7">
      <c r="A292" s="9"/>
      <c r="G292" s="19"/>
    </row>
    <row r="293" spans="1:7">
      <c r="A293" s="9"/>
      <c r="D293" s="1308" t="s">
        <v>1260</v>
      </c>
      <c r="E293" s="1336"/>
      <c r="G293" s="19"/>
    </row>
    <row r="294" spans="1:7">
      <c r="A294" s="9"/>
      <c r="G294" s="19"/>
    </row>
    <row r="295" spans="1:7">
      <c r="A295" s="9"/>
      <c r="G295" s="19"/>
    </row>
    <row r="296" spans="1:7">
      <c r="A296" s="9"/>
      <c r="G296" s="19"/>
    </row>
    <row r="297" spans="1:7">
      <c r="A297" s="9"/>
      <c r="G297" s="19"/>
    </row>
    <row r="298" spans="1:7">
      <c r="A298" s="9"/>
      <c r="G298" s="19"/>
    </row>
    <row r="299" spans="1:7">
      <c r="A299" s="9"/>
      <c r="G299" s="19"/>
    </row>
    <row r="300" spans="1:7">
      <c r="A300" s="9"/>
      <c r="G300" s="19"/>
    </row>
    <row r="301" spans="1:7">
      <c r="A301" s="9"/>
      <c r="G301" s="19"/>
    </row>
    <row r="302" spans="1:7">
      <c r="A302" s="9"/>
      <c r="G302" s="19"/>
    </row>
    <row r="303" spans="1:7">
      <c r="A303" s="9"/>
      <c r="G303" s="19"/>
    </row>
    <row r="304" spans="1:7">
      <c r="A304" s="9"/>
      <c r="G304" s="19"/>
    </row>
    <row r="305" spans="1:7">
      <c r="A305" s="9"/>
      <c r="G305" s="19"/>
    </row>
    <row r="306" spans="1:7">
      <c r="A306" s="9"/>
      <c r="G306" s="19"/>
    </row>
    <row r="307" spans="1:7">
      <c r="A307" s="9"/>
      <c r="G307" s="19"/>
    </row>
    <row r="308" spans="1:7">
      <c r="A308" s="9"/>
      <c r="G308" s="19"/>
    </row>
    <row r="309" spans="1:7">
      <c r="A309" s="9"/>
      <c r="G309" s="19"/>
    </row>
    <row r="310" spans="1:7">
      <c r="A310" s="9"/>
      <c r="G310" s="19"/>
    </row>
    <row r="311" spans="1:7">
      <c r="A311" s="9"/>
      <c r="G311" s="19"/>
    </row>
    <row r="312" spans="1:7">
      <c r="A312" s="9"/>
      <c r="G312" s="19"/>
    </row>
    <row r="313" spans="1:7">
      <c r="A313" s="9"/>
      <c r="G313" s="19"/>
    </row>
    <row r="314" spans="1:7">
      <c r="A314" s="9"/>
      <c r="G314" s="19"/>
    </row>
    <row r="315" spans="1:7">
      <c r="A315" s="9"/>
      <c r="G315" s="19"/>
    </row>
    <row r="316" spans="1:7">
      <c r="A316" s="9"/>
      <c r="G316" s="19"/>
    </row>
    <row r="317" spans="1:7">
      <c r="A317" s="9"/>
      <c r="G317" s="19"/>
    </row>
    <row r="318" spans="1:7">
      <c r="A318" s="9"/>
      <c r="G318" s="19"/>
    </row>
    <row r="319" spans="1:7">
      <c r="A319" s="9"/>
      <c r="G319" s="19"/>
    </row>
    <row r="320" spans="1:7">
      <c r="A320" s="9"/>
      <c r="G320" s="19"/>
    </row>
    <row r="321" spans="1:7">
      <c r="A321" s="9"/>
      <c r="G321" s="19"/>
    </row>
    <row r="322" spans="1:7">
      <c r="A322" s="9"/>
      <c r="G322" s="19"/>
    </row>
    <row r="323" spans="1:7">
      <c r="A323" s="9"/>
      <c r="G323" s="19"/>
    </row>
    <row r="324" spans="1:7">
      <c r="A324" s="9"/>
      <c r="G324" s="19"/>
    </row>
    <row r="325" spans="1:7">
      <c r="A325" s="9"/>
      <c r="D325" s="1308" t="s">
        <v>1261</v>
      </c>
      <c r="E325" s="1336"/>
      <c r="G325" s="19"/>
    </row>
    <row r="326" spans="1:7">
      <c r="A326" s="9"/>
      <c r="G326" s="19"/>
    </row>
    <row r="327" spans="1:7">
      <c r="A327" s="9"/>
      <c r="G327" s="19"/>
    </row>
    <row r="328" spans="1:7">
      <c r="A328" s="9"/>
      <c r="G328" s="19"/>
    </row>
    <row r="329" spans="1:7">
      <c r="A329" s="9"/>
      <c r="G329" s="19"/>
    </row>
    <row r="330" spans="1:7">
      <c r="A330" s="9"/>
      <c r="G330" s="19"/>
    </row>
    <row r="331" spans="1:7">
      <c r="A331" s="9"/>
      <c r="G331" s="19"/>
    </row>
    <row r="332" spans="1:7">
      <c r="A332" s="9"/>
      <c r="G332" s="19"/>
    </row>
    <row r="333" spans="1:7">
      <c r="A333" s="9"/>
      <c r="G333" s="19"/>
    </row>
    <row r="334" spans="1:7">
      <c r="A334" s="9"/>
      <c r="G334" s="19"/>
    </row>
    <row r="335" spans="1:7">
      <c r="A335" s="9"/>
      <c r="G335" s="19"/>
    </row>
    <row r="336" spans="1:7">
      <c r="A336" s="9"/>
      <c r="G336" s="19"/>
    </row>
    <row r="337" spans="1:7">
      <c r="A337" s="9"/>
      <c r="G337" s="19"/>
    </row>
    <row r="338" spans="1:7">
      <c r="A338" s="9"/>
      <c r="G338" s="19"/>
    </row>
    <row r="339" spans="1:7">
      <c r="A339" s="9"/>
      <c r="G339" s="19"/>
    </row>
    <row r="340" spans="1:7">
      <c r="A340" s="9"/>
      <c r="G340" s="19"/>
    </row>
    <row r="341" spans="1:7">
      <c r="A341" s="9"/>
      <c r="G341" s="19"/>
    </row>
    <row r="342" spans="1:7">
      <c r="A342" s="9"/>
      <c r="G342" s="19"/>
    </row>
    <row r="343" spans="1:7">
      <c r="A343" s="9"/>
      <c r="G343" s="19"/>
    </row>
    <row r="344" spans="1:7">
      <c r="A344" s="9"/>
      <c r="G344" s="19"/>
    </row>
    <row r="345" spans="1:7">
      <c r="A345" s="9"/>
      <c r="G345" s="19"/>
    </row>
    <row r="346" spans="1:7">
      <c r="A346" s="9"/>
      <c r="G346" s="19"/>
    </row>
    <row r="347" spans="1:7">
      <c r="A347" s="9"/>
      <c r="G347" s="19"/>
    </row>
    <row r="348" spans="1:7">
      <c r="A348" s="9"/>
      <c r="G348" s="19"/>
    </row>
    <row r="349" spans="1:7">
      <c r="A349" s="9"/>
      <c r="G349" s="19"/>
    </row>
    <row r="350" spans="1:7">
      <c r="A350" s="9"/>
      <c r="G350" s="19"/>
    </row>
    <row r="351" spans="1:7">
      <c r="A351" s="9"/>
      <c r="G351" s="19"/>
    </row>
    <row r="352" spans="1:7">
      <c r="A352" s="9"/>
      <c r="G352" s="19"/>
    </row>
    <row r="353" spans="1:7">
      <c r="A353" s="9"/>
      <c r="G353" s="19"/>
    </row>
    <row r="354" spans="1:7">
      <c r="A354" s="9"/>
      <c r="G354" s="19"/>
    </row>
    <row r="355" spans="1:7">
      <c r="A355" s="9"/>
      <c r="G355" s="19"/>
    </row>
    <row r="356" spans="1:7">
      <c r="A356" s="9"/>
      <c r="G356" s="19"/>
    </row>
    <row r="357" spans="1:7">
      <c r="A357" s="9"/>
      <c r="G357" s="19"/>
    </row>
    <row r="358" spans="1:7">
      <c r="A358" s="9"/>
      <c r="G358" s="19"/>
    </row>
    <row r="359" spans="1:7">
      <c r="A359" s="9"/>
      <c r="G359" s="19"/>
    </row>
    <row r="360" spans="1:7">
      <c r="A360" s="9"/>
      <c r="G360" s="19"/>
    </row>
    <row r="361" spans="1:7" ht="13.5" thickBot="1">
      <c r="A361" s="11"/>
      <c r="B361" s="20"/>
      <c r="C361" s="20"/>
      <c r="D361" s="20"/>
      <c r="E361" s="20"/>
      <c r="F361" s="20"/>
      <c r="G361" s="21"/>
    </row>
    <row r="363" spans="1:7">
      <c r="F363" s="1262" t="s">
        <v>125</v>
      </c>
      <c r="G363" s="1262"/>
    </row>
    <row r="364" spans="1:7">
      <c r="B364" s="2"/>
      <c r="C364" s="2"/>
      <c r="D364" s="2"/>
      <c r="E364" s="2"/>
      <c r="F364" s="2"/>
    </row>
  </sheetData>
  <mergeCells count="13">
    <mergeCell ref="A1:G1"/>
    <mergeCell ref="A3:F3"/>
    <mergeCell ref="A5:G5"/>
    <mergeCell ref="A10:F10"/>
    <mergeCell ref="F363:G363"/>
    <mergeCell ref="A20:G20"/>
    <mergeCell ref="D44:E44"/>
    <mergeCell ref="D82:E82"/>
    <mergeCell ref="D155:E155"/>
    <mergeCell ref="D187:E187"/>
    <mergeCell ref="D293:E293"/>
    <mergeCell ref="D325:E325"/>
    <mergeCell ref="B218:F219"/>
  </mergeCells>
  <hyperlinks>
    <hyperlink ref="F363" location="'TABLA DE CONTENIDO'!A1" display="VOLVER A TABLA DE CONTENIDO" xr:uid="{00000000-0004-0000-2200-000000000000}"/>
  </hyperlinks>
  <printOptions horizontalCentered="1" verticalCentered="1"/>
  <pageMargins left="0.51181102362204722" right="0.39370078740157483" top="0.78740157480314965" bottom="0.98425196850393704" header="0.51181102362204722" footer="0.51181102362204722"/>
  <pageSetup scale="19" orientation="portrait" horizontalDpi="300" verticalDpi="300" r:id="rId1"/>
  <headerFooter alignWithMargins="0"/>
  <drawing r:id="rId2"/>
  <legacyDrawing r:id="rId3"/>
  <oleObjects>
    <mc:AlternateContent xmlns:mc="http://schemas.openxmlformats.org/markup-compatibility/2006">
      <mc:Choice Requires="x14">
        <oleObject progId="Word.Document.6" shapeId="47105" r:id="rId4">
          <objectPr defaultSize="0" autoLine="0" autoPict="0" r:id="rId5">
            <anchor moveWithCells="1">
              <from>
                <xdr:col>0</xdr:col>
                <xdr:colOff>0</xdr:colOff>
                <xdr:row>0</xdr:row>
                <xdr:rowOff>0</xdr:rowOff>
              </from>
              <to>
                <xdr:col>2</xdr:col>
                <xdr:colOff>38100</xdr:colOff>
                <xdr:row>3</xdr:row>
                <xdr:rowOff>114300</xdr:rowOff>
              </to>
            </anchor>
          </objectPr>
        </oleObject>
      </mc:Choice>
      <mc:Fallback>
        <oleObject progId="Word.Document.6" shapeId="47105" r:id="rId4"/>
      </mc:Fallback>
    </mc:AlternateContent>
  </oleObjec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workbookViewId="0">
      <selection activeCell="D20" sqref="D20"/>
    </sheetView>
  </sheetViews>
  <sheetFormatPr defaultColWidth="11.42578125"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Sub-direccin de ConservacSub-di</dc:creator>
  <cp:keywords/>
  <dc:description/>
  <cp:lastModifiedBy>maestre.dallendys@outlook.com</cp:lastModifiedBy>
  <cp:revision/>
  <dcterms:created xsi:type="dcterms:W3CDTF">1999-02-23T14:42:21Z</dcterms:created>
  <dcterms:modified xsi:type="dcterms:W3CDTF">2025-03-27T18:04:59Z</dcterms:modified>
  <cp:category/>
  <cp:contentStatus/>
</cp:coreProperties>
</file>