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harts/chart1.xml" ContentType="application/vnd.openxmlformats-officedocument.drawingml.chart+xml"/>
  <Override PartName="/xl/drawings/drawing6.xml" ContentType="application/vnd.openxmlformats-officedocument.drawing+xml"/>
  <Override PartName="/xl/drawings/drawing7.xml" ContentType="application/vnd.openxmlformats-officedocument.drawing+xml"/>
  <Override PartName="/xl/charts/chart2.xml" ContentType="application/vnd.openxmlformats-officedocument.drawingml.chart+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calcChain.xml" ContentType="application/vnd.openxmlformats-officedocument.spreadsheetml.calcChain+xml"/>
  <Override PartName="/xl/embeddings/oleObject1.bin" ContentType="application/vnd.openxmlformats-officedocument.oleObject"/>
  <Override PartName="/xl/embeddings/oleObject2.bin" ContentType="application/vnd.openxmlformats-officedocument.oleObject"/>
  <Override PartName="/xl/embeddings/oleObject3.bin" ContentType="application/vnd.openxmlformats-officedocument.oleObject"/>
  <Override PartName="/xl/embeddings/oleObject4.bin" ContentType="application/vnd.openxmlformats-officedocument.oleObject"/>
  <Override PartName="/xl/embeddings/oleObject5.bin" ContentType="application/vnd.openxmlformats-officedocument.oleObject"/>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723"/>
  <workbookPr/>
  <mc:AlternateContent xmlns:mc="http://schemas.openxmlformats.org/markup-compatibility/2006">
    <mc:Choice Requires="x15">
      <x15ac:absPath xmlns:x15ac="http://schemas.microsoft.com/office/spreadsheetml/2010/11/ac" url="G:\Mi unidad\INFORMES TRIM,EJECT,FINAL, CRIT TEC\ARA INGENIERÍA\AÑO 2023\ENERO - MARZO 2023\"/>
    </mc:Choice>
  </mc:AlternateContent>
  <xr:revisionPtr revIDLastSave="0" documentId="13_ncr:1_{FDC0AF6C-56AB-46D2-82CA-9F0D0C1B15C1}" xr6:coauthVersionLast="47" xr6:coauthVersionMax="47" xr10:uidLastSave="{00000000-0000-0000-0000-000000000000}"/>
  <bookViews>
    <workbookView xWindow="-120" yWindow="-120" windowWidth="20730" windowHeight="11160" tabRatio="862" xr2:uid="{00000000-000D-0000-FFFF-FFFF00000000}"/>
  </bookViews>
  <sheets>
    <sheet name="PORTADA" sheetId="33" r:id="rId1"/>
    <sheet name="TABLA DE CONTENIDO" sheetId="2" r:id="rId2"/>
    <sheet name="GENERALIDADES " sheetId="3" r:id="rId3"/>
    <sheet name="CUMPLIMIENTO % " sheetId="6" r:id="rId4"/>
    <sheet name="ESTADO RED VIS" sheetId="27" r:id="rId5"/>
    <sheet name="SEMAFORO VIS" sheetId="50" r:id="rId6"/>
    <sheet name="TORTA EST. VIAS VIS" sheetId="12" r:id="rId7"/>
    <sheet name="ESTADO RED TEC" sheetId="43" r:id="rId8"/>
    <sheet name="SEMAFORO TEC" sheetId="53" r:id="rId9"/>
    <sheet name="TORTA EST. VIAS TEC" sheetId="41" r:id="rId10"/>
    <sheet name="MAPA EST RED" sheetId="51" r:id="rId11"/>
    <sheet name="NECESIDAD VIA" sheetId="7" r:id="rId12"/>
    <sheet name="NECESIDADES CRITICAS" sheetId="28" r:id="rId13"/>
    <sheet name="CANT OBRA" sheetId="13" r:id="rId14"/>
    <sheet name="INF. EMERGENCIAS" sheetId="5" r:id="rId15"/>
    <sheet name="PUENTES" sheetId="4" r:id="rId16"/>
    <sheet name="NEC PTES" sheetId="18" r:id="rId17"/>
    <sheet name="PONTONES" sheetId="21" r:id="rId18"/>
    <sheet name="NEC. PONTONES" sheetId="29" r:id="rId19"/>
    <sheet name="TUNELES" sheetId="44" r:id="rId20"/>
    <sheet name="NECESIDADES EN TÚNELES" sheetId="45" r:id="rId21"/>
    <sheet name="Señalización Vertical" sheetId="39" r:id="rId22"/>
    <sheet name="Señalización Horizontal" sheetId="40" r:id="rId23"/>
    <sheet name="ACCIDENTALIDAD" sheetId="8" r:id="rId24"/>
    <sheet name="DEFENSA VIAS" sheetId="16" r:id="rId25"/>
    <sheet name="SEGUIMIENTO" sheetId="9" r:id="rId26"/>
    <sheet name="CUANTI AMV" sheetId="38" r:id="rId27"/>
    <sheet name="CUALI AMV" sheetId="37" r:id="rId28"/>
    <sheet name="CUANTI MR" sheetId="36" r:id="rId29"/>
    <sheet name="CUALI MR" sheetId="35" r:id="rId30"/>
    <sheet name="INTERVENTORIA DE CONTRATOS" sheetId="46" r:id="rId31"/>
    <sheet name="FOTOS" sheetId="15" r:id="rId32"/>
    <sheet name="PRENSA" sheetId="32" r:id="rId33"/>
    <sheet name="COMENTARIOS" sheetId="14" r:id="rId34"/>
    <sheet name="CAPACITACION T.M. RUTINARIO" sheetId="48" r:id="rId35"/>
  </sheets>
  <externalReferences>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s>
  <definedNames>
    <definedName name="\a" localSheetId="5">#REF!</definedName>
    <definedName name="\a">#REF!</definedName>
    <definedName name="\s" localSheetId="5">#REF!</definedName>
    <definedName name="\s">#REF!</definedName>
    <definedName name="\X">#N/A</definedName>
    <definedName name="\Z">#N/A</definedName>
    <definedName name="_________AFC1">[1]INV!$A$25:$D$28</definedName>
    <definedName name="_________AFC3">[1]INV!$F$25:$I$28</definedName>
    <definedName name="_________AFC5">[1]INV!$K$25:$N$28</definedName>
    <definedName name="_________BGC1">[1]INV!$A$5:$D$8</definedName>
    <definedName name="_________BGC3">[1]INV!$F$5:$I$8</definedName>
    <definedName name="_________BGC5">[1]INV!$K$5:$N$8</definedName>
    <definedName name="_________CAC1">[1]INV!$A$19:$D$22</definedName>
    <definedName name="_________CAC3">[1]INV!$F$19:$I$22</definedName>
    <definedName name="_________CAC5">[1]INV!$K$19:$N$22</definedName>
    <definedName name="_________PJ50" localSheetId="5">#REF!</definedName>
    <definedName name="_________PJ50">#REF!</definedName>
    <definedName name="_________SBC1">[1]INV!$A$12:$D$15</definedName>
    <definedName name="_________SBC3">[1]INV!$F$12:$I$15</definedName>
    <definedName name="_________SBC5">[1]INV!$K$12:$N$15</definedName>
    <definedName name="________AFC1">[1]INV!$A$25:$D$28</definedName>
    <definedName name="________AFC3">[1]INV!$F$25:$I$28</definedName>
    <definedName name="________AFC5">[1]INV!$K$25:$N$28</definedName>
    <definedName name="________BGC1">[1]INV!$A$5:$D$8</definedName>
    <definedName name="________BGC3">[1]INV!$F$5:$I$8</definedName>
    <definedName name="________BGC5">[1]INV!$K$5:$N$8</definedName>
    <definedName name="________CAC1">[1]INV!$A$19:$D$22</definedName>
    <definedName name="________CAC3">[1]INV!$F$19:$I$22</definedName>
    <definedName name="________CAC5">[1]INV!$K$19:$N$22</definedName>
    <definedName name="________MA2" localSheetId="5">#REF!</definedName>
    <definedName name="________MA2">#REF!</definedName>
    <definedName name="________PJ50" localSheetId="5">#REF!</definedName>
    <definedName name="________PJ50">#REF!</definedName>
    <definedName name="________SBC1">[1]INV!$A$12:$D$15</definedName>
    <definedName name="________SBC3">[1]INV!$F$12:$I$15</definedName>
    <definedName name="________SBC5">[1]INV!$K$12:$N$15</definedName>
    <definedName name="_______AFC1">[1]INV!$A$25:$D$28</definedName>
    <definedName name="_______AFC3">[1]INV!$F$25:$I$28</definedName>
    <definedName name="_______AFC5">[1]INV!$K$25:$N$28</definedName>
    <definedName name="_______BGC1">[1]INV!$A$5:$D$8</definedName>
    <definedName name="_______BGC3">[1]INV!$F$5:$I$8</definedName>
    <definedName name="_______BGC5">[1]INV!$K$5:$N$8</definedName>
    <definedName name="_______CAC1">[1]INV!$A$19:$D$22</definedName>
    <definedName name="_______CAC3">[1]INV!$F$19:$I$22</definedName>
    <definedName name="_______CAC5">[1]INV!$K$19:$N$22</definedName>
    <definedName name="_______MA2" localSheetId="5">#REF!</definedName>
    <definedName name="_______MA2">#REF!</definedName>
    <definedName name="_______PJ50" localSheetId="5">#REF!</definedName>
    <definedName name="_______PJ50">#REF!</definedName>
    <definedName name="_______SBC1">[1]INV!$A$12:$D$15</definedName>
    <definedName name="_______SBC3">[1]INV!$F$12:$I$15</definedName>
    <definedName name="_______SBC5">[1]INV!$K$12:$N$15</definedName>
    <definedName name="______AFC1">[1]INV!$A$25:$D$28</definedName>
    <definedName name="______AFC3">[1]INV!$F$25:$I$28</definedName>
    <definedName name="______AFC5">[1]INV!$K$25:$N$28</definedName>
    <definedName name="______BGC1">[1]INV!$A$5:$D$8</definedName>
    <definedName name="______BGC3">[1]INV!$F$5:$I$8</definedName>
    <definedName name="______BGC5">[1]INV!$K$5:$N$8</definedName>
    <definedName name="______CAC1">[1]INV!$A$19:$D$22</definedName>
    <definedName name="______CAC3">[1]INV!$F$19:$I$22</definedName>
    <definedName name="______CAC5">[1]INV!$K$19:$N$22</definedName>
    <definedName name="______MA2" localSheetId="5">#REF!</definedName>
    <definedName name="______MA2">#REF!</definedName>
    <definedName name="______PJ50" localSheetId="5">#REF!</definedName>
    <definedName name="______PJ50">#REF!</definedName>
    <definedName name="______SBC1">[1]INV!$A$12:$D$15</definedName>
    <definedName name="______SBC3">[1]INV!$F$12:$I$15</definedName>
    <definedName name="______SBC5">[1]INV!$K$12:$N$15</definedName>
    <definedName name="_____AFC1">[1]INV!$A$25:$D$28</definedName>
    <definedName name="_____AFC3">[1]INV!$F$25:$I$28</definedName>
    <definedName name="_____AFC5">[1]INV!$K$25:$N$28</definedName>
    <definedName name="_____BGC1">[1]INV!$A$5:$D$8</definedName>
    <definedName name="_____BGC3">[1]INV!$F$5:$I$8</definedName>
    <definedName name="_____BGC5">[1]INV!$K$5:$N$8</definedName>
    <definedName name="_____CAC1">[1]INV!$A$19:$D$22</definedName>
    <definedName name="_____CAC3">[1]INV!$F$19:$I$22</definedName>
    <definedName name="_____CAC5">[1]INV!$K$19:$N$22</definedName>
    <definedName name="_____MA2" localSheetId="5">#REF!</definedName>
    <definedName name="_____MA2">#REF!</definedName>
    <definedName name="_____PJ50" localSheetId="5">#REF!</definedName>
    <definedName name="_____PJ50">#REF!</definedName>
    <definedName name="_____SBC1">[1]INV!$A$12:$D$15</definedName>
    <definedName name="_____SBC3">[1]INV!$F$12:$I$15</definedName>
    <definedName name="_____SBC5">[1]INV!$K$12:$N$15</definedName>
    <definedName name="____AFC1">[1]INV!$A$25:$D$28</definedName>
    <definedName name="____AFC3">[1]INV!$F$25:$I$28</definedName>
    <definedName name="____AFC5">[1]INV!$K$25:$N$28</definedName>
    <definedName name="____BGC1">[1]INV!$A$5:$D$8</definedName>
    <definedName name="____BGC3">[1]INV!$F$5:$I$8</definedName>
    <definedName name="____BGC5">[1]INV!$K$5:$N$8</definedName>
    <definedName name="____CAC1">[1]INV!$A$19:$D$22</definedName>
    <definedName name="____CAC3">[1]INV!$F$19:$I$22</definedName>
    <definedName name="____CAC5">[1]INV!$K$19:$N$22</definedName>
    <definedName name="____MA2" localSheetId="5">#REF!</definedName>
    <definedName name="____MA2">#REF!</definedName>
    <definedName name="____PJ50" localSheetId="5">#REF!</definedName>
    <definedName name="____PJ50">#REF!</definedName>
    <definedName name="____pj51" localSheetId="5">#REF!</definedName>
    <definedName name="____pj51">#REF!</definedName>
    <definedName name="____SBC1">[1]INV!$A$12:$D$15</definedName>
    <definedName name="____SBC3">[1]INV!$F$12:$I$15</definedName>
    <definedName name="____SBC5">[1]INV!$K$12:$N$15</definedName>
    <definedName name="___AFC1">[1]INV!$A$25:$D$28</definedName>
    <definedName name="___AFC3">[1]INV!$F$25:$I$28</definedName>
    <definedName name="___AFC5">[1]INV!$K$25:$N$28</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MA2" localSheetId="5">#REF!</definedName>
    <definedName name="___MA2">#REF!</definedName>
    <definedName name="___PJ50" localSheetId="5">#REF!</definedName>
    <definedName name="___PJ50">#REF!</definedName>
    <definedName name="___pj51" localSheetId="5">#REF!</definedName>
    <definedName name="___pj51">#REF!</definedName>
    <definedName name="___SBC1">[1]INV!$A$12:$D$15</definedName>
    <definedName name="___SBC3">[1]INV!$F$12:$I$15</definedName>
    <definedName name="___SBC5">[1]INV!$K$12:$N$15</definedName>
    <definedName name="__AFC1">[1]INV!$A$25:$D$28</definedName>
    <definedName name="__AFC3">[1]INV!$F$25:$I$28</definedName>
    <definedName name="__AFC5">[1]INV!$K$25:$N$28</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F">#N/A</definedName>
    <definedName name="__FS01">#N/A</definedName>
    <definedName name="__MA2" localSheetId="5">#REF!</definedName>
    <definedName name="__MA2">#REF!</definedName>
    <definedName name="__mun2" localSheetId="5">[2]PESOS!#REF!</definedName>
    <definedName name="__mun2">[2]PESOS!#REF!</definedName>
    <definedName name="__num10" localSheetId="5">#REF!</definedName>
    <definedName name="__num10">#REF!</definedName>
    <definedName name="__num2" localSheetId="5">#REF!</definedName>
    <definedName name="__num2">#REF!</definedName>
    <definedName name="__num3" localSheetId="5">#REF!</definedName>
    <definedName name="__num3">#REF!</definedName>
    <definedName name="__num4" localSheetId="5">#REF!</definedName>
    <definedName name="__num4">#REF!</definedName>
    <definedName name="__num5" localSheetId="5">#REF!</definedName>
    <definedName name="__num5">#REF!</definedName>
    <definedName name="__num6" localSheetId="5">#REF!</definedName>
    <definedName name="__num6">#REF!</definedName>
    <definedName name="__num7" localSheetId="5">#REF!</definedName>
    <definedName name="__num7">#REF!</definedName>
    <definedName name="__num8" localSheetId="5">#REF!</definedName>
    <definedName name="__num8">#REF!</definedName>
    <definedName name="__num9" localSheetId="5">#REF!</definedName>
    <definedName name="__num9">#REF!</definedName>
    <definedName name="__PJ50" localSheetId="5">#REF!</definedName>
    <definedName name="__PJ50">#REF!</definedName>
    <definedName name="__pj51" localSheetId="5">#REF!</definedName>
    <definedName name="__pj51">#REF!</definedName>
    <definedName name="__ref4" localSheetId="5">#REF!</definedName>
    <definedName name="__ref4">#REF!</definedName>
    <definedName name="__SBC1">[1]INV!$A$12:$D$15</definedName>
    <definedName name="__SBC3">[1]INV!$F$12:$I$15</definedName>
    <definedName name="__SBC5">[1]INV!$K$12:$N$15</definedName>
    <definedName name="_a1" localSheetId="10" hidden="1">{"TAB1",#N/A,TRUE,"GENERAL";"TAB2",#N/A,TRUE,"GENERAL";"TAB3",#N/A,TRUE,"GENERAL";"TAB4",#N/A,TRUE,"GENERAL";"TAB5",#N/A,TRUE,"GENERAL"}</definedName>
    <definedName name="_a1" localSheetId="8" hidden="1">{"TAB1",#N/A,TRUE,"GENERAL";"TAB2",#N/A,TRUE,"GENERAL";"TAB3",#N/A,TRUE,"GENERAL";"TAB4",#N/A,TRUE,"GENERAL";"TAB5",#N/A,TRUE,"GENERAL"}</definedName>
    <definedName name="_a1" localSheetId="5" hidden="1">{"TAB1",#N/A,TRUE,"GENERAL";"TAB2",#N/A,TRUE,"GENERAL";"TAB3",#N/A,TRUE,"GENERAL";"TAB4",#N/A,TRUE,"GENERAL";"TAB5",#N/A,TRUE,"GENERAL"}</definedName>
    <definedName name="_a1" hidden="1">{"TAB1",#N/A,TRUE,"GENERAL";"TAB2",#N/A,TRUE,"GENERAL";"TAB3",#N/A,TRUE,"GENERAL";"TAB4",#N/A,TRUE,"GENERAL";"TAB5",#N/A,TRUE,"GENERAL"}</definedName>
    <definedName name="_a3" localSheetId="10" hidden="1">{"TAB1",#N/A,TRUE,"GENERAL";"TAB2",#N/A,TRUE,"GENERAL";"TAB3",#N/A,TRUE,"GENERAL";"TAB4",#N/A,TRUE,"GENERAL";"TAB5",#N/A,TRUE,"GENERAL"}</definedName>
    <definedName name="_a3" localSheetId="8" hidden="1">{"TAB1",#N/A,TRUE,"GENERAL";"TAB2",#N/A,TRUE,"GENERAL";"TAB3",#N/A,TRUE,"GENERAL";"TAB4",#N/A,TRUE,"GENERAL";"TAB5",#N/A,TRUE,"GENERAL"}</definedName>
    <definedName name="_a3" localSheetId="5" hidden="1">{"TAB1",#N/A,TRUE,"GENERAL";"TAB2",#N/A,TRUE,"GENERAL";"TAB3",#N/A,TRUE,"GENERAL";"TAB4",#N/A,TRUE,"GENERAL";"TAB5",#N/A,TRUE,"GENERAL"}</definedName>
    <definedName name="_a3" hidden="1">{"TAB1",#N/A,TRUE,"GENERAL";"TAB2",#N/A,TRUE,"GENERAL";"TAB3",#N/A,TRUE,"GENERAL";"TAB4",#N/A,TRUE,"GENERAL";"TAB5",#N/A,TRUE,"GENERAL"}</definedName>
    <definedName name="_a4" localSheetId="10" hidden="1">{"via1",#N/A,TRUE,"general";"via2",#N/A,TRUE,"general";"via3",#N/A,TRUE,"general"}</definedName>
    <definedName name="_a4" localSheetId="8" hidden="1">{"via1",#N/A,TRUE,"general";"via2",#N/A,TRUE,"general";"via3",#N/A,TRUE,"general"}</definedName>
    <definedName name="_a4" localSheetId="5" hidden="1">{"via1",#N/A,TRUE,"general";"via2",#N/A,TRUE,"general";"via3",#N/A,TRUE,"general"}</definedName>
    <definedName name="_a4" hidden="1">{"via1",#N/A,TRUE,"general";"via2",#N/A,TRUE,"general";"via3",#N/A,TRUE,"general"}</definedName>
    <definedName name="_a5" localSheetId="10" hidden="1">{"TAB1",#N/A,TRUE,"GENERAL";"TAB2",#N/A,TRUE,"GENERAL";"TAB3",#N/A,TRUE,"GENERAL";"TAB4",#N/A,TRUE,"GENERAL";"TAB5",#N/A,TRUE,"GENERAL"}</definedName>
    <definedName name="_a5" localSheetId="8" hidden="1">{"TAB1",#N/A,TRUE,"GENERAL";"TAB2",#N/A,TRUE,"GENERAL";"TAB3",#N/A,TRUE,"GENERAL";"TAB4",#N/A,TRUE,"GENERAL";"TAB5",#N/A,TRUE,"GENERAL"}</definedName>
    <definedName name="_a5" localSheetId="5" hidden="1">{"TAB1",#N/A,TRUE,"GENERAL";"TAB2",#N/A,TRUE,"GENERAL";"TAB3",#N/A,TRUE,"GENERAL";"TAB4",#N/A,TRUE,"GENERAL";"TAB5",#N/A,TRUE,"GENERAL"}</definedName>
    <definedName name="_a5" hidden="1">{"TAB1",#N/A,TRUE,"GENERAL";"TAB2",#N/A,TRUE,"GENERAL";"TAB3",#N/A,TRUE,"GENERAL";"TAB4",#N/A,TRUE,"GENERAL";"TAB5",#N/A,TRUE,"GENERAL"}</definedName>
    <definedName name="_a6" localSheetId="10" hidden="1">{"TAB1",#N/A,TRUE,"GENERAL";"TAB2",#N/A,TRUE,"GENERAL";"TAB3",#N/A,TRUE,"GENERAL";"TAB4",#N/A,TRUE,"GENERAL";"TAB5",#N/A,TRUE,"GENERAL"}</definedName>
    <definedName name="_a6" localSheetId="8" hidden="1">{"TAB1",#N/A,TRUE,"GENERAL";"TAB2",#N/A,TRUE,"GENERAL";"TAB3",#N/A,TRUE,"GENERAL";"TAB4",#N/A,TRUE,"GENERAL";"TAB5",#N/A,TRUE,"GENERAL"}</definedName>
    <definedName name="_a6" localSheetId="5" hidden="1">{"TAB1",#N/A,TRUE,"GENERAL";"TAB2",#N/A,TRUE,"GENERAL";"TAB3",#N/A,TRUE,"GENERAL";"TAB4",#N/A,TRUE,"GENERAL";"TAB5",#N/A,TRUE,"GENERAL"}</definedName>
    <definedName name="_a6" hidden="1">{"TAB1",#N/A,TRUE,"GENERAL";"TAB2",#N/A,TRUE,"GENERAL";"TAB3",#N/A,TRUE,"GENERAL";"TAB4",#N/A,TRUE,"GENERAL";"TAB5",#N/A,TRUE,"GENERAL"}</definedName>
    <definedName name="_AFC1">[1]INV!$A$25:$D$28</definedName>
    <definedName name="_AFC3">[1]INV!$F$25:$I$28</definedName>
    <definedName name="_AFC5">[1]INV!$K$25:$N$28</definedName>
    <definedName name="_APU221" localSheetId="5">#REF!</definedName>
    <definedName name="_APU221">#REF!</definedName>
    <definedName name="_APU465" localSheetId="5">[3]!absc</definedName>
    <definedName name="_APU465">[3]!absc</definedName>
    <definedName name="_b2" localSheetId="10" hidden="1">{"TAB1",#N/A,TRUE,"GENERAL";"TAB2",#N/A,TRUE,"GENERAL";"TAB3",#N/A,TRUE,"GENERAL";"TAB4",#N/A,TRUE,"GENERAL";"TAB5",#N/A,TRUE,"GENERAL"}</definedName>
    <definedName name="_b2" localSheetId="8" hidden="1">{"TAB1",#N/A,TRUE,"GENERAL";"TAB2",#N/A,TRUE,"GENERAL";"TAB3",#N/A,TRUE,"GENERAL";"TAB4",#N/A,TRUE,"GENERAL";"TAB5",#N/A,TRUE,"GENERAL"}</definedName>
    <definedName name="_b2" localSheetId="5" hidden="1">{"TAB1",#N/A,TRUE,"GENERAL";"TAB2",#N/A,TRUE,"GENERAL";"TAB3",#N/A,TRUE,"GENERAL";"TAB4",#N/A,TRUE,"GENERAL";"TAB5",#N/A,TRUE,"GENERAL"}</definedName>
    <definedName name="_b2" hidden="1">{"TAB1",#N/A,TRUE,"GENERAL";"TAB2",#N/A,TRUE,"GENERAL";"TAB3",#N/A,TRUE,"GENERAL";"TAB4",#N/A,TRUE,"GENERAL";"TAB5",#N/A,TRUE,"GENERAL"}</definedName>
    <definedName name="_b3" localSheetId="10" hidden="1">{"TAB1",#N/A,TRUE,"GENERAL";"TAB2",#N/A,TRUE,"GENERAL";"TAB3",#N/A,TRUE,"GENERAL";"TAB4",#N/A,TRUE,"GENERAL";"TAB5",#N/A,TRUE,"GENERAL"}</definedName>
    <definedName name="_b3" localSheetId="8" hidden="1">{"TAB1",#N/A,TRUE,"GENERAL";"TAB2",#N/A,TRUE,"GENERAL";"TAB3",#N/A,TRUE,"GENERAL";"TAB4",#N/A,TRUE,"GENERAL";"TAB5",#N/A,TRUE,"GENERAL"}</definedName>
    <definedName name="_b3" localSheetId="5" hidden="1">{"TAB1",#N/A,TRUE,"GENERAL";"TAB2",#N/A,TRUE,"GENERAL";"TAB3",#N/A,TRUE,"GENERAL";"TAB4",#N/A,TRUE,"GENERAL";"TAB5",#N/A,TRUE,"GENERAL"}</definedName>
    <definedName name="_b3" hidden="1">{"TAB1",#N/A,TRUE,"GENERAL";"TAB2",#N/A,TRUE,"GENERAL";"TAB3",#N/A,TRUE,"GENERAL";"TAB4",#N/A,TRUE,"GENERAL";"TAB5",#N/A,TRUE,"GENERAL"}</definedName>
    <definedName name="_b4" localSheetId="10" hidden="1">{"TAB1",#N/A,TRUE,"GENERAL";"TAB2",#N/A,TRUE,"GENERAL";"TAB3",#N/A,TRUE,"GENERAL";"TAB4",#N/A,TRUE,"GENERAL";"TAB5",#N/A,TRUE,"GENERAL"}</definedName>
    <definedName name="_b4" localSheetId="8" hidden="1">{"TAB1",#N/A,TRUE,"GENERAL";"TAB2",#N/A,TRUE,"GENERAL";"TAB3",#N/A,TRUE,"GENERAL";"TAB4",#N/A,TRUE,"GENERAL";"TAB5",#N/A,TRUE,"GENERAL"}</definedName>
    <definedName name="_b4" localSheetId="5" hidden="1">{"TAB1",#N/A,TRUE,"GENERAL";"TAB2",#N/A,TRUE,"GENERAL";"TAB3",#N/A,TRUE,"GENERAL";"TAB4",#N/A,TRUE,"GENERAL";"TAB5",#N/A,TRUE,"GENERAL"}</definedName>
    <definedName name="_b4" hidden="1">{"TAB1",#N/A,TRUE,"GENERAL";"TAB2",#N/A,TRUE,"GENERAL";"TAB3",#N/A,TRUE,"GENERAL";"TAB4",#N/A,TRUE,"GENERAL";"TAB5",#N/A,TRUE,"GENERAL"}</definedName>
    <definedName name="_b5" localSheetId="10" hidden="1">{"TAB1",#N/A,TRUE,"GENERAL";"TAB2",#N/A,TRUE,"GENERAL";"TAB3",#N/A,TRUE,"GENERAL";"TAB4",#N/A,TRUE,"GENERAL";"TAB5",#N/A,TRUE,"GENERAL"}</definedName>
    <definedName name="_b5" localSheetId="8" hidden="1">{"TAB1",#N/A,TRUE,"GENERAL";"TAB2",#N/A,TRUE,"GENERAL";"TAB3",#N/A,TRUE,"GENERAL";"TAB4",#N/A,TRUE,"GENERAL";"TAB5",#N/A,TRUE,"GENERAL"}</definedName>
    <definedName name="_b5" localSheetId="5" hidden="1">{"TAB1",#N/A,TRUE,"GENERAL";"TAB2",#N/A,TRUE,"GENERAL";"TAB3",#N/A,TRUE,"GENERAL";"TAB4",#N/A,TRUE,"GENERAL";"TAB5",#N/A,TRUE,"GENERAL"}</definedName>
    <definedName name="_b5" hidden="1">{"TAB1",#N/A,TRUE,"GENERAL";"TAB2",#N/A,TRUE,"GENERAL";"TAB3",#N/A,TRUE,"GENERAL";"TAB4",#N/A,TRUE,"GENERAL";"TAB5",#N/A,TRUE,"GENERAL"}</definedName>
    <definedName name="_b6" localSheetId="10" hidden="1">{"TAB1",#N/A,TRUE,"GENERAL";"TAB2",#N/A,TRUE,"GENERAL";"TAB3",#N/A,TRUE,"GENERAL";"TAB4",#N/A,TRUE,"GENERAL";"TAB5",#N/A,TRUE,"GENERAL"}</definedName>
    <definedName name="_b6" localSheetId="8" hidden="1">{"TAB1",#N/A,TRUE,"GENERAL";"TAB2",#N/A,TRUE,"GENERAL";"TAB3",#N/A,TRUE,"GENERAL";"TAB4",#N/A,TRUE,"GENERAL";"TAB5",#N/A,TRUE,"GENERAL"}</definedName>
    <definedName name="_b6" localSheetId="5" hidden="1">{"TAB1",#N/A,TRUE,"GENERAL";"TAB2",#N/A,TRUE,"GENERAL";"TAB3",#N/A,TRUE,"GENERAL";"TAB4",#N/A,TRUE,"GENERAL";"TAB5",#N/A,TRUE,"GENERAL"}</definedName>
    <definedName name="_b6" hidden="1">{"TAB1",#N/A,TRUE,"GENERAL";"TAB2",#N/A,TRUE,"GENERAL";"TAB3",#N/A,TRUE,"GENERAL";"TAB4",#N/A,TRUE,"GENERAL";"TAB5",#N/A,TRUE,"GENERAL"}</definedName>
    <definedName name="_b7" localSheetId="10" hidden="1">{"via1",#N/A,TRUE,"general";"via2",#N/A,TRUE,"general";"via3",#N/A,TRUE,"general"}</definedName>
    <definedName name="_b7" localSheetId="8" hidden="1">{"via1",#N/A,TRUE,"general";"via2",#N/A,TRUE,"general";"via3",#N/A,TRUE,"general"}</definedName>
    <definedName name="_b7" localSheetId="5" hidden="1">{"via1",#N/A,TRUE,"general";"via2",#N/A,TRUE,"general";"via3",#N/A,TRUE,"general"}</definedName>
    <definedName name="_b7" hidden="1">{"via1",#N/A,TRUE,"general";"via2",#N/A,TRUE,"general";"via3",#N/A,TRUE,"general"}</definedName>
    <definedName name="_b8" localSheetId="10" hidden="1">{"via1",#N/A,TRUE,"general";"via2",#N/A,TRUE,"general";"via3",#N/A,TRUE,"general"}</definedName>
    <definedName name="_b8" localSheetId="8" hidden="1">{"via1",#N/A,TRUE,"general";"via2",#N/A,TRUE,"general";"via3",#N/A,TRUE,"general"}</definedName>
    <definedName name="_b8" localSheetId="5" hidden="1">{"via1",#N/A,TRUE,"general";"via2",#N/A,TRUE,"general";"via3",#N/A,TRUE,"general"}</definedName>
    <definedName name="_b8" hidden="1">{"via1",#N/A,TRUE,"general";"via2",#N/A,TRUE,"general";"via3",#N/A,TRUE,"general"}</definedName>
    <definedName name="_bb9" localSheetId="10" hidden="1">{"TAB1",#N/A,TRUE,"GENERAL";"TAB2",#N/A,TRUE,"GENERAL";"TAB3",#N/A,TRUE,"GENERAL";"TAB4",#N/A,TRUE,"GENERAL";"TAB5",#N/A,TRUE,"GENERAL"}</definedName>
    <definedName name="_bb9" localSheetId="8" hidden="1">{"TAB1",#N/A,TRUE,"GENERAL";"TAB2",#N/A,TRUE,"GENERAL";"TAB3",#N/A,TRUE,"GENERAL";"TAB4",#N/A,TRUE,"GENERAL";"TAB5",#N/A,TRUE,"GENERAL"}</definedName>
    <definedName name="_bb9" localSheetId="5" hidden="1">{"TAB1",#N/A,TRUE,"GENERAL";"TAB2",#N/A,TRUE,"GENERAL";"TAB3",#N/A,TRUE,"GENERAL";"TAB4",#N/A,TRUE,"GENERAL";"TAB5",#N/A,TRUE,"GENERAL"}</definedName>
    <definedName name="_bb9" hidden="1">{"TAB1",#N/A,TRUE,"GENERAL";"TAB2",#N/A,TRUE,"GENERAL";"TAB3",#N/A,TRUE,"GENERAL";"TAB4",#N/A,TRUE,"GENERAL";"TAB5",#N/A,TRUE,"GENERAL"}</definedName>
    <definedName name="_bgb5" localSheetId="10" hidden="1">{"TAB1",#N/A,TRUE,"GENERAL";"TAB2",#N/A,TRUE,"GENERAL";"TAB3",#N/A,TRUE,"GENERAL";"TAB4",#N/A,TRUE,"GENERAL";"TAB5",#N/A,TRUE,"GENERAL"}</definedName>
    <definedName name="_bgb5" localSheetId="8" hidden="1">{"TAB1",#N/A,TRUE,"GENERAL";"TAB2",#N/A,TRUE,"GENERAL";"TAB3",#N/A,TRUE,"GENERAL";"TAB4",#N/A,TRUE,"GENERAL";"TAB5",#N/A,TRUE,"GENERAL"}</definedName>
    <definedName name="_bgb5" localSheetId="5" hidden="1">{"TAB1",#N/A,TRUE,"GENERAL";"TAB2",#N/A,TRUE,"GENERAL";"TAB3",#N/A,TRUE,"GENERAL";"TAB4",#N/A,TRUE,"GENERAL";"TAB5",#N/A,TRUE,"GENERAL"}</definedName>
    <definedName name="_bgb5" hidden="1">{"TAB1",#N/A,TRUE,"GENERAL";"TAB2",#N/A,TRUE,"GENERAL";"TAB3",#N/A,TRUE,"GENERAL";"TAB4",#N/A,TRUE,"GENERAL";"TAB5",#N/A,TRUE,"GENERAL"}</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EST1" localSheetId="5">#REF!</definedName>
    <definedName name="_EST1">#REF!</definedName>
    <definedName name="_EST10" localSheetId="5">#REF!</definedName>
    <definedName name="_EST10">#REF!</definedName>
    <definedName name="_EST11" localSheetId="5">#REF!</definedName>
    <definedName name="_EST11">#REF!</definedName>
    <definedName name="_EST12" localSheetId="5">#REF!</definedName>
    <definedName name="_EST12">#REF!</definedName>
    <definedName name="_EST13" localSheetId="5">#REF!</definedName>
    <definedName name="_EST13">#REF!</definedName>
    <definedName name="_EST14" localSheetId="5">#REF!</definedName>
    <definedName name="_EST14">#REF!</definedName>
    <definedName name="_EST15" localSheetId="5">#REF!</definedName>
    <definedName name="_EST15">#REF!</definedName>
    <definedName name="_EST16" localSheetId="5">#REF!</definedName>
    <definedName name="_EST16">#REF!</definedName>
    <definedName name="_EST17" localSheetId="5">#REF!</definedName>
    <definedName name="_EST17">#REF!</definedName>
    <definedName name="_EST18" localSheetId="5">#REF!</definedName>
    <definedName name="_EST18">#REF!</definedName>
    <definedName name="_EST19" localSheetId="5">#REF!</definedName>
    <definedName name="_EST19">#REF!</definedName>
    <definedName name="_EST2" localSheetId="5">#REF!</definedName>
    <definedName name="_EST2">#REF!</definedName>
    <definedName name="_EST3" localSheetId="5">#REF!</definedName>
    <definedName name="_EST3">#REF!</definedName>
    <definedName name="_EST4" localSheetId="5">#REF!</definedName>
    <definedName name="_EST4">#REF!</definedName>
    <definedName name="_EST5" localSheetId="5">#REF!</definedName>
    <definedName name="_EST5">#REF!</definedName>
    <definedName name="_EST6" localSheetId="5">#REF!</definedName>
    <definedName name="_EST6">#REF!</definedName>
    <definedName name="_EST7" localSheetId="5">#REF!</definedName>
    <definedName name="_EST7">#REF!</definedName>
    <definedName name="_EST8" localSheetId="5">#REF!</definedName>
    <definedName name="_EST8">#REF!</definedName>
    <definedName name="_EST9" localSheetId="5">#REF!</definedName>
    <definedName name="_EST9">#REF!</definedName>
    <definedName name="_EXC1" localSheetId="5">#REF!</definedName>
    <definedName name="_EXC1">#REF!</definedName>
    <definedName name="_EXC10" localSheetId="5">#REF!</definedName>
    <definedName name="_EXC10">#REF!</definedName>
    <definedName name="_EXC11" localSheetId="5">#REF!</definedName>
    <definedName name="_EXC11">#REF!</definedName>
    <definedName name="_EXC12" localSheetId="5">#REF!</definedName>
    <definedName name="_EXC12">#REF!</definedName>
    <definedName name="_EXC2" localSheetId="5">#REF!</definedName>
    <definedName name="_EXC2">#REF!</definedName>
    <definedName name="_EXC3" localSheetId="5">#REF!</definedName>
    <definedName name="_EXC3">#REF!</definedName>
    <definedName name="_EXC4" localSheetId="5">#REF!</definedName>
    <definedName name="_EXC4">#REF!</definedName>
    <definedName name="_EXC5" localSheetId="5">#REF!</definedName>
    <definedName name="_EXC5">#REF!</definedName>
    <definedName name="_EXC6" localSheetId="5">#REF!</definedName>
    <definedName name="_EXC6">#REF!</definedName>
    <definedName name="_EXC7" localSheetId="5">#REF!</definedName>
    <definedName name="_EXC7">#REF!</definedName>
    <definedName name="_EXC8" localSheetId="5">#REF!</definedName>
    <definedName name="_EXC8">#REF!</definedName>
    <definedName name="_EXC9" localSheetId="5">#REF!</definedName>
    <definedName name="_EXC9">#REF!</definedName>
    <definedName name="_F">#N/A</definedName>
    <definedName name="_Fill" localSheetId="5" hidden="1">#REF!</definedName>
    <definedName name="_Fill" hidden="1">#REF!</definedName>
    <definedName name="_FS01">#N/A</definedName>
    <definedName name="_g2" localSheetId="10" hidden="1">{"TAB1",#N/A,TRUE,"GENERAL";"TAB2",#N/A,TRUE,"GENERAL";"TAB3",#N/A,TRUE,"GENERAL";"TAB4",#N/A,TRUE,"GENERAL";"TAB5",#N/A,TRUE,"GENERAL"}</definedName>
    <definedName name="_g2" localSheetId="8" hidden="1">{"TAB1",#N/A,TRUE,"GENERAL";"TAB2",#N/A,TRUE,"GENERAL";"TAB3",#N/A,TRUE,"GENERAL";"TAB4",#N/A,TRUE,"GENERAL";"TAB5",#N/A,TRUE,"GENERAL"}</definedName>
    <definedName name="_g2" localSheetId="5" hidden="1">{"TAB1",#N/A,TRUE,"GENERAL";"TAB2",#N/A,TRUE,"GENERAL";"TAB3",#N/A,TRUE,"GENERAL";"TAB4",#N/A,TRUE,"GENERAL";"TAB5",#N/A,TRUE,"GENERAL"}</definedName>
    <definedName name="_g2" hidden="1">{"TAB1",#N/A,TRUE,"GENERAL";"TAB2",#N/A,TRUE,"GENERAL";"TAB3",#N/A,TRUE,"GENERAL";"TAB4",#N/A,TRUE,"GENERAL";"TAB5",#N/A,TRUE,"GENERAL"}</definedName>
    <definedName name="_g3" localSheetId="10" hidden="1">{"via1",#N/A,TRUE,"general";"via2",#N/A,TRUE,"general";"via3",#N/A,TRUE,"general"}</definedName>
    <definedName name="_g3" localSheetId="8" hidden="1">{"via1",#N/A,TRUE,"general";"via2",#N/A,TRUE,"general";"via3",#N/A,TRUE,"general"}</definedName>
    <definedName name="_g3" localSheetId="5" hidden="1">{"via1",#N/A,TRUE,"general";"via2",#N/A,TRUE,"general";"via3",#N/A,TRUE,"general"}</definedName>
    <definedName name="_g3" hidden="1">{"via1",#N/A,TRUE,"general";"via2",#N/A,TRUE,"general";"via3",#N/A,TRUE,"general"}</definedName>
    <definedName name="_g4" localSheetId="10" hidden="1">{"via1",#N/A,TRUE,"general";"via2",#N/A,TRUE,"general";"via3",#N/A,TRUE,"general"}</definedName>
    <definedName name="_g4" localSheetId="8" hidden="1">{"via1",#N/A,TRUE,"general";"via2",#N/A,TRUE,"general";"via3",#N/A,TRUE,"general"}</definedName>
    <definedName name="_g4" localSheetId="5" hidden="1">{"via1",#N/A,TRUE,"general";"via2",#N/A,TRUE,"general";"via3",#N/A,TRUE,"general"}</definedName>
    <definedName name="_g4" hidden="1">{"via1",#N/A,TRUE,"general";"via2",#N/A,TRUE,"general";"via3",#N/A,TRUE,"general"}</definedName>
    <definedName name="_g5" localSheetId="10" hidden="1">{"via1",#N/A,TRUE,"general";"via2",#N/A,TRUE,"general";"via3",#N/A,TRUE,"general"}</definedName>
    <definedName name="_g5" localSheetId="8" hidden="1">{"via1",#N/A,TRUE,"general";"via2",#N/A,TRUE,"general";"via3",#N/A,TRUE,"general"}</definedName>
    <definedName name="_g5" localSheetId="5" hidden="1">{"via1",#N/A,TRUE,"general";"via2",#N/A,TRUE,"general";"via3",#N/A,TRUE,"general"}</definedName>
    <definedName name="_g5" hidden="1">{"via1",#N/A,TRUE,"general";"via2",#N/A,TRUE,"general";"via3",#N/A,TRUE,"general"}</definedName>
    <definedName name="_g6" localSheetId="10" hidden="1">{"via1",#N/A,TRUE,"general";"via2",#N/A,TRUE,"general";"via3",#N/A,TRUE,"general"}</definedName>
    <definedName name="_g6" localSheetId="8" hidden="1">{"via1",#N/A,TRUE,"general";"via2",#N/A,TRUE,"general";"via3",#N/A,TRUE,"general"}</definedName>
    <definedName name="_g6" localSheetId="5" hidden="1">{"via1",#N/A,TRUE,"general";"via2",#N/A,TRUE,"general";"via3",#N/A,TRUE,"general"}</definedName>
    <definedName name="_g6" hidden="1">{"via1",#N/A,TRUE,"general";"via2",#N/A,TRUE,"general";"via3",#N/A,TRUE,"general"}</definedName>
    <definedName name="_g7" localSheetId="10" hidden="1">{"TAB1",#N/A,TRUE,"GENERAL";"TAB2",#N/A,TRUE,"GENERAL";"TAB3",#N/A,TRUE,"GENERAL";"TAB4",#N/A,TRUE,"GENERAL";"TAB5",#N/A,TRUE,"GENERAL"}</definedName>
    <definedName name="_g7" localSheetId="8" hidden="1">{"TAB1",#N/A,TRUE,"GENERAL";"TAB2",#N/A,TRUE,"GENERAL";"TAB3",#N/A,TRUE,"GENERAL";"TAB4",#N/A,TRUE,"GENERAL";"TAB5",#N/A,TRUE,"GENERAL"}</definedName>
    <definedName name="_g7" localSheetId="5" hidden="1">{"TAB1",#N/A,TRUE,"GENERAL";"TAB2",#N/A,TRUE,"GENERAL";"TAB3",#N/A,TRUE,"GENERAL";"TAB4",#N/A,TRUE,"GENERAL";"TAB5",#N/A,TRUE,"GENERAL"}</definedName>
    <definedName name="_g7" hidden="1">{"TAB1",#N/A,TRUE,"GENERAL";"TAB2",#N/A,TRUE,"GENERAL";"TAB3",#N/A,TRUE,"GENERAL";"TAB4",#N/A,TRUE,"GENERAL";"TAB5",#N/A,TRUE,"GENERAL"}</definedName>
    <definedName name="_GR1" localSheetId="10" hidden="1">{"TAB1",#N/A,TRUE,"GENERAL";"TAB2",#N/A,TRUE,"GENERAL";"TAB3",#N/A,TRUE,"GENERAL";"TAB4",#N/A,TRUE,"GENERAL";"TAB5",#N/A,TRUE,"GENERAL"}</definedName>
    <definedName name="_GR1" localSheetId="8" hidden="1">{"TAB1",#N/A,TRUE,"GENERAL";"TAB2",#N/A,TRUE,"GENERAL";"TAB3",#N/A,TRUE,"GENERAL";"TAB4",#N/A,TRUE,"GENERAL";"TAB5",#N/A,TRUE,"GENERAL"}</definedName>
    <definedName name="_GR1" localSheetId="5" hidden="1">{"TAB1",#N/A,TRUE,"GENERAL";"TAB2",#N/A,TRUE,"GENERAL";"TAB3",#N/A,TRUE,"GENERAL";"TAB4",#N/A,TRUE,"GENERAL";"TAB5",#N/A,TRUE,"GENERAL"}</definedName>
    <definedName name="_GR1" hidden="1">{"TAB1",#N/A,TRUE,"GENERAL";"TAB2",#N/A,TRUE,"GENERAL";"TAB3",#N/A,TRUE,"GENERAL";"TAB4",#N/A,TRUE,"GENERAL";"TAB5",#N/A,TRUE,"GENERAL"}</definedName>
    <definedName name="_gtr4" localSheetId="10" hidden="1">{"via1",#N/A,TRUE,"general";"via2",#N/A,TRUE,"general";"via3",#N/A,TRUE,"general"}</definedName>
    <definedName name="_gtr4" localSheetId="8" hidden="1">{"via1",#N/A,TRUE,"general";"via2",#N/A,TRUE,"general";"via3",#N/A,TRUE,"general"}</definedName>
    <definedName name="_gtr4" localSheetId="5" hidden="1">{"via1",#N/A,TRUE,"general";"via2",#N/A,TRUE,"general";"via3",#N/A,TRUE,"general"}</definedName>
    <definedName name="_gtr4" hidden="1">{"via1",#N/A,TRUE,"general";"via2",#N/A,TRUE,"general";"via3",#N/A,TRUE,"general"}</definedName>
    <definedName name="_h2" localSheetId="10" hidden="1">{"via1",#N/A,TRUE,"general";"via2",#N/A,TRUE,"general";"via3",#N/A,TRUE,"general"}</definedName>
    <definedName name="_h2" localSheetId="8" hidden="1">{"via1",#N/A,TRUE,"general";"via2",#N/A,TRUE,"general";"via3",#N/A,TRUE,"general"}</definedName>
    <definedName name="_h2" localSheetId="5" hidden="1">{"via1",#N/A,TRUE,"general";"via2",#N/A,TRUE,"general";"via3",#N/A,TRUE,"general"}</definedName>
    <definedName name="_h2" hidden="1">{"via1",#N/A,TRUE,"general";"via2",#N/A,TRUE,"general";"via3",#N/A,TRUE,"general"}</definedName>
    <definedName name="_h3" localSheetId="10" hidden="1">{"via1",#N/A,TRUE,"general";"via2",#N/A,TRUE,"general";"via3",#N/A,TRUE,"general"}</definedName>
    <definedName name="_h3" localSheetId="8" hidden="1">{"via1",#N/A,TRUE,"general";"via2",#N/A,TRUE,"general";"via3",#N/A,TRUE,"general"}</definedName>
    <definedName name="_h3" localSheetId="5" hidden="1">{"via1",#N/A,TRUE,"general";"via2",#N/A,TRUE,"general";"via3",#N/A,TRUE,"general"}</definedName>
    <definedName name="_h3" hidden="1">{"via1",#N/A,TRUE,"general";"via2",#N/A,TRUE,"general";"via3",#N/A,TRUE,"general"}</definedName>
    <definedName name="_h4" localSheetId="10" hidden="1">{"TAB1",#N/A,TRUE,"GENERAL";"TAB2",#N/A,TRUE,"GENERAL";"TAB3",#N/A,TRUE,"GENERAL";"TAB4",#N/A,TRUE,"GENERAL";"TAB5",#N/A,TRUE,"GENERAL"}</definedName>
    <definedName name="_h4" localSheetId="8" hidden="1">{"TAB1",#N/A,TRUE,"GENERAL";"TAB2",#N/A,TRUE,"GENERAL";"TAB3",#N/A,TRUE,"GENERAL";"TAB4",#N/A,TRUE,"GENERAL";"TAB5",#N/A,TRUE,"GENERAL"}</definedName>
    <definedName name="_h4" localSheetId="5" hidden="1">{"TAB1",#N/A,TRUE,"GENERAL";"TAB2",#N/A,TRUE,"GENERAL";"TAB3",#N/A,TRUE,"GENERAL";"TAB4",#N/A,TRUE,"GENERAL";"TAB5",#N/A,TRUE,"GENERAL"}</definedName>
    <definedName name="_h4" hidden="1">{"TAB1",#N/A,TRUE,"GENERAL";"TAB2",#N/A,TRUE,"GENERAL";"TAB3",#N/A,TRUE,"GENERAL";"TAB4",#N/A,TRUE,"GENERAL";"TAB5",#N/A,TRUE,"GENERAL"}</definedName>
    <definedName name="_h5" localSheetId="10" hidden="1">{"TAB1",#N/A,TRUE,"GENERAL";"TAB2",#N/A,TRUE,"GENERAL";"TAB3",#N/A,TRUE,"GENERAL";"TAB4",#N/A,TRUE,"GENERAL";"TAB5",#N/A,TRUE,"GENERAL"}</definedName>
    <definedName name="_h5" localSheetId="8" hidden="1">{"TAB1",#N/A,TRUE,"GENERAL";"TAB2",#N/A,TRUE,"GENERAL";"TAB3",#N/A,TRUE,"GENERAL";"TAB4",#N/A,TRUE,"GENERAL";"TAB5",#N/A,TRUE,"GENERAL"}</definedName>
    <definedName name="_h5" localSheetId="5" hidden="1">{"TAB1",#N/A,TRUE,"GENERAL";"TAB2",#N/A,TRUE,"GENERAL";"TAB3",#N/A,TRUE,"GENERAL";"TAB4",#N/A,TRUE,"GENERAL";"TAB5",#N/A,TRUE,"GENERAL"}</definedName>
    <definedName name="_h5" hidden="1">{"TAB1",#N/A,TRUE,"GENERAL";"TAB2",#N/A,TRUE,"GENERAL";"TAB3",#N/A,TRUE,"GENERAL";"TAB4",#N/A,TRUE,"GENERAL";"TAB5",#N/A,TRUE,"GENERAL"}</definedName>
    <definedName name="_h6" localSheetId="10" hidden="1">{"via1",#N/A,TRUE,"general";"via2",#N/A,TRUE,"general";"via3",#N/A,TRUE,"general"}</definedName>
    <definedName name="_h6" localSheetId="8" hidden="1">{"via1",#N/A,TRUE,"general";"via2",#N/A,TRUE,"general";"via3",#N/A,TRUE,"general"}</definedName>
    <definedName name="_h6" localSheetId="5" hidden="1">{"via1",#N/A,TRUE,"general";"via2",#N/A,TRUE,"general";"via3",#N/A,TRUE,"general"}</definedName>
    <definedName name="_h6" hidden="1">{"via1",#N/A,TRUE,"general";"via2",#N/A,TRUE,"general";"via3",#N/A,TRUE,"general"}</definedName>
    <definedName name="_h7" localSheetId="10" hidden="1">{"TAB1",#N/A,TRUE,"GENERAL";"TAB2",#N/A,TRUE,"GENERAL";"TAB3",#N/A,TRUE,"GENERAL";"TAB4",#N/A,TRUE,"GENERAL";"TAB5",#N/A,TRUE,"GENERAL"}</definedName>
    <definedName name="_h7" localSheetId="8" hidden="1">{"TAB1",#N/A,TRUE,"GENERAL";"TAB2",#N/A,TRUE,"GENERAL";"TAB3",#N/A,TRUE,"GENERAL";"TAB4",#N/A,TRUE,"GENERAL";"TAB5",#N/A,TRUE,"GENERAL"}</definedName>
    <definedName name="_h7" localSheetId="5" hidden="1">{"TAB1",#N/A,TRUE,"GENERAL";"TAB2",#N/A,TRUE,"GENERAL";"TAB3",#N/A,TRUE,"GENERAL";"TAB4",#N/A,TRUE,"GENERAL";"TAB5",#N/A,TRUE,"GENERAL"}</definedName>
    <definedName name="_h7" hidden="1">{"TAB1",#N/A,TRUE,"GENERAL";"TAB2",#N/A,TRUE,"GENERAL";"TAB3",#N/A,TRUE,"GENERAL";"TAB4",#N/A,TRUE,"GENERAL";"TAB5",#N/A,TRUE,"GENERAL"}</definedName>
    <definedName name="_h8" localSheetId="10" hidden="1">{"via1",#N/A,TRUE,"general";"via2",#N/A,TRUE,"general";"via3",#N/A,TRUE,"general"}</definedName>
    <definedName name="_h8" localSheetId="8" hidden="1">{"via1",#N/A,TRUE,"general";"via2",#N/A,TRUE,"general";"via3",#N/A,TRUE,"general"}</definedName>
    <definedName name="_h8" localSheetId="5" hidden="1">{"via1",#N/A,TRUE,"general";"via2",#N/A,TRUE,"general";"via3",#N/A,TRUE,"general"}</definedName>
    <definedName name="_h8" hidden="1">{"via1",#N/A,TRUE,"general";"via2",#N/A,TRUE,"general";"via3",#N/A,TRUE,"general"}</definedName>
    <definedName name="_hfh7" localSheetId="10" hidden="1">{"via1",#N/A,TRUE,"general";"via2",#N/A,TRUE,"general";"via3",#N/A,TRUE,"general"}</definedName>
    <definedName name="_hfh7" localSheetId="8" hidden="1">{"via1",#N/A,TRUE,"general";"via2",#N/A,TRUE,"general";"via3",#N/A,TRUE,"general"}</definedName>
    <definedName name="_hfh7" localSheetId="5" hidden="1">{"via1",#N/A,TRUE,"general";"via2",#N/A,TRUE,"general";"via3",#N/A,TRUE,"general"}</definedName>
    <definedName name="_hfh7" hidden="1">{"via1",#N/A,TRUE,"general";"via2",#N/A,TRUE,"general";"via3",#N/A,TRUE,"general"}</definedName>
    <definedName name="_i4" localSheetId="10" hidden="1">{"via1",#N/A,TRUE,"general";"via2",#N/A,TRUE,"general";"via3",#N/A,TRUE,"general"}</definedName>
    <definedName name="_i4" localSheetId="8" hidden="1">{"via1",#N/A,TRUE,"general";"via2",#N/A,TRUE,"general";"via3",#N/A,TRUE,"general"}</definedName>
    <definedName name="_i4" localSheetId="5" hidden="1">{"via1",#N/A,TRUE,"general";"via2",#N/A,TRUE,"general";"via3",#N/A,TRUE,"general"}</definedName>
    <definedName name="_i4" hidden="1">{"via1",#N/A,TRUE,"general";"via2",#N/A,TRUE,"general";"via3",#N/A,TRUE,"general"}</definedName>
    <definedName name="_i5" localSheetId="10" hidden="1">{"TAB1",#N/A,TRUE,"GENERAL";"TAB2",#N/A,TRUE,"GENERAL";"TAB3",#N/A,TRUE,"GENERAL";"TAB4",#N/A,TRUE,"GENERAL";"TAB5",#N/A,TRUE,"GENERAL"}</definedName>
    <definedName name="_i5" localSheetId="8" hidden="1">{"TAB1",#N/A,TRUE,"GENERAL";"TAB2",#N/A,TRUE,"GENERAL";"TAB3",#N/A,TRUE,"GENERAL";"TAB4",#N/A,TRUE,"GENERAL";"TAB5",#N/A,TRUE,"GENERAL"}</definedName>
    <definedName name="_i5" localSheetId="5" hidden="1">{"TAB1",#N/A,TRUE,"GENERAL";"TAB2",#N/A,TRUE,"GENERAL";"TAB3",#N/A,TRUE,"GENERAL";"TAB4",#N/A,TRUE,"GENERAL";"TAB5",#N/A,TRUE,"GENERAL"}</definedName>
    <definedName name="_i5" hidden="1">{"TAB1",#N/A,TRUE,"GENERAL";"TAB2",#N/A,TRUE,"GENERAL";"TAB3",#N/A,TRUE,"GENERAL";"TAB4",#N/A,TRUE,"GENERAL";"TAB5",#N/A,TRUE,"GENERAL"}</definedName>
    <definedName name="_i6" localSheetId="10" hidden="1">{"TAB1",#N/A,TRUE,"GENERAL";"TAB2",#N/A,TRUE,"GENERAL";"TAB3",#N/A,TRUE,"GENERAL";"TAB4",#N/A,TRUE,"GENERAL";"TAB5",#N/A,TRUE,"GENERAL"}</definedName>
    <definedName name="_i6" localSheetId="8" hidden="1">{"TAB1",#N/A,TRUE,"GENERAL";"TAB2",#N/A,TRUE,"GENERAL";"TAB3",#N/A,TRUE,"GENERAL";"TAB4",#N/A,TRUE,"GENERAL";"TAB5",#N/A,TRUE,"GENERAL"}</definedName>
    <definedName name="_i6" localSheetId="5" hidden="1">{"TAB1",#N/A,TRUE,"GENERAL";"TAB2",#N/A,TRUE,"GENERAL";"TAB3",#N/A,TRUE,"GENERAL";"TAB4",#N/A,TRUE,"GENERAL";"TAB5",#N/A,TRUE,"GENERAL"}</definedName>
    <definedName name="_i6" hidden="1">{"TAB1",#N/A,TRUE,"GENERAL";"TAB2",#N/A,TRUE,"GENERAL";"TAB3",#N/A,TRUE,"GENERAL";"TAB4",#N/A,TRUE,"GENERAL";"TAB5",#N/A,TRUE,"GENERAL"}</definedName>
    <definedName name="_i7" localSheetId="10" hidden="1">{"via1",#N/A,TRUE,"general";"via2",#N/A,TRUE,"general";"via3",#N/A,TRUE,"general"}</definedName>
    <definedName name="_i7" localSheetId="8" hidden="1">{"via1",#N/A,TRUE,"general";"via2",#N/A,TRUE,"general";"via3",#N/A,TRUE,"general"}</definedName>
    <definedName name="_i7" localSheetId="5" hidden="1">{"via1",#N/A,TRUE,"general";"via2",#N/A,TRUE,"general";"via3",#N/A,TRUE,"general"}</definedName>
    <definedName name="_i7" hidden="1">{"via1",#N/A,TRUE,"general";"via2",#N/A,TRUE,"general";"via3",#N/A,TRUE,"general"}</definedName>
    <definedName name="_i77" localSheetId="10" hidden="1">{"TAB1",#N/A,TRUE,"GENERAL";"TAB2",#N/A,TRUE,"GENERAL";"TAB3",#N/A,TRUE,"GENERAL";"TAB4",#N/A,TRUE,"GENERAL";"TAB5",#N/A,TRUE,"GENERAL"}</definedName>
    <definedName name="_i77" localSheetId="8" hidden="1">{"TAB1",#N/A,TRUE,"GENERAL";"TAB2",#N/A,TRUE,"GENERAL";"TAB3",#N/A,TRUE,"GENERAL";"TAB4",#N/A,TRUE,"GENERAL";"TAB5",#N/A,TRUE,"GENERAL"}</definedName>
    <definedName name="_i77" localSheetId="5" hidden="1">{"TAB1",#N/A,TRUE,"GENERAL";"TAB2",#N/A,TRUE,"GENERAL";"TAB3",#N/A,TRUE,"GENERAL";"TAB4",#N/A,TRUE,"GENERAL";"TAB5",#N/A,TRUE,"GENERAL"}</definedName>
    <definedName name="_i77" hidden="1">{"TAB1",#N/A,TRUE,"GENERAL";"TAB2",#N/A,TRUE,"GENERAL";"TAB3",#N/A,TRUE,"GENERAL";"TAB4",#N/A,TRUE,"GENERAL";"TAB5",#N/A,TRUE,"GENERAL"}</definedName>
    <definedName name="_i8" localSheetId="10" hidden="1">{"via1",#N/A,TRUE,"general";"via2",#N/A,TRUE,"general";"via3",#N/A,TRUE,"general"}</definedName>
    <definedName name="_i8" localSheetId="8" hidden="1">{"via1",#N/A,TRUE,"general";"via2",#N/A,TRUE,"general";"via3",#N/A,TRUE,"general"}</definedName>
    <definedName name="_i8" localSheetId="5" hidden="1">{"via1",#N/A,TRUE,"general";"via2",#N/A,TRUE,"general";"via3",#N/A,TRUE,"general"}</definedName>
    <definedName name="_i8" hidden="1">{"via1",#N/A,TRUE,"general";"via2",#N/A,TRUE,"general";"via3",#N/A,TRUE,"general"}</definedName>
    <definedName name="_i9" localSheetId="10" hidden="1">{"TAB1",#N/A,TRUE,"GENERAL";"TAB2",#N/A,TRUE,"GENERAL";"TAB3",#N/A,TRUE,"GENERAL";"TAB4",#N/A,TRUE,"GENERAL";"TAB5",#N/A,TRUE,"GENERAL"}</definedName>
    <definedName name="_i9" localSheetId="8" hidden="1">{"TAB1",#N/A,TRUE,"GENERAL";"TAB2",#N/A,TRUE,"GENERAL";"TAB3",#N/A,TRUE,"GENERAL";"TAB4",#N/A,TRUE,"GENERAL";"TAB5",#N/A,TRUE,"GENERAL"}</definedName>
    <definedName name="_i9" localSheetId="5" hidden="1">{"TAB1",#N/A,TRUE,"GENERAL";"TAB2",#N/A,TRUE,"GENERAL";"TAB3",#N/A,TRUE,"GENERAL";"TAB4",#N/A,TRUE,"GENERAL";"TAB5",#N/A,TRUE,"GENERAL"}</definedName>
    <definedName name="_i9" hidden="1">{"TAB1",#N/A,TRUE,"GENERAL";"TAB2",#N/A,TRUE,"GENERAL";"TAB3",#N/A,TRUE,"GENERAL";"TAB4",#N/A,TRUE,"GENERAL";"TAB5",#N/A,TRUE,"GENERAL"}</definedName>
    <definedName name="_IPC2002" localSheetId="5">#REF!</definedName>
    <definedName name="_IPC2002">#REF!</definedName>
    <definedName name="_k3" localSheetId="10" hidden="1">{"TAB1",#N/A,TRUE,"GENERAL";"TAB2",#N/A,TRUE,"GENERAL";"TAB3",#N/A,TRUE,"GENERAL";"TAB4",#N/A,TRUE,"GENERAL";"TAB5",#N/A,TRUE,"GENERAL"}</definedName>
    <definedName name="_k3" localSheetId="8" hidden="1">{"TAB1",#N/A,TRUE,"GENERAL";"TAB2",#N/A,TRUE,"GENERAL";"TAB3",#N/A,TRUE,"GENERAL";"TAB4",#N/A,TRUE,"GENERAL";"TAB5",#N/A,TRUE,"GENERAL"}</definedName>
    <definedName name="_k3" localSheetId="5" hidden="1">{"TAB1",#N/A,TRUE,"GENERAL";"TAB2",#N/A,TRUE,"GENERAL";"TAB3",#N/A,TRUE,"GENERAL";"TAB4",#N/A,TRUE,"GENERAL";"TAB5",#N/A,TRUE,"GENERAL"}</definedName>
    <definedName name="_k3" hidden="1">{"TAB1",#N/A,TRUE,"GENERAL";"TAB2",#N/A,TRUE,"GENERAL";"TAB3",#N/A,TRUE,"GENERAL";"TAB4",#N/A,TRUE,"GENERAL";"TAB5",#N/A,TRUE,"GENERAL"}</definedName>
    <definedName name="_k4" localSheetId="10" hidden="1">{"via1",#N/A,TRUE,"general";"via2",#N/A,TRUE,"general";"via3",#N/A,TRUE,"general"}</definedName>
    <definedName name="_k4" localSheetId="8" hidden="1">{"via1",#N/A,TRUE,"general";"via2",#N/A,TRUE,"general";"via3",#N/A,TRUE,"general"}</definedName>
    <definedName name="_k4" localSheetId="5" hidden="1">{"via1",#N/A,TRUE,"general";"via2",#N/A,TRUE,"general";"via3",#N/A,TRUE,"general"}</definedName>
    <definedName name="_k4" hidden="1">{"via1",#N/A,TRUE,"general";"via2",#N/A,TRUE,"general";"via3",#N/A,TRUE,"general"}</definedName>
    <definedName name="_k5" localSheetId="10" hidden="1">{"via1",#N/A,TRUE,"general";"via2",#N/A,TRUE,"general";"via3",#N/A,TRUE,"general"}</definedName>
    <definedName name="_k5" localSheetId="8" hidden="1">{"via1",#N/A,TRUE,"general";"via2",#N/A,TRUE,"general";"via3",#N/A,TRUE,"general"}</definedName>
    <definedName name="_k5" localSheetId="5" hidden="1">{"via1",#N/A,TRUE,"general";"via2",#N/A,TRUE,"general";"via3",#N/A,TRUE,"general"}</definedName>
    <definedName name="_k5" hidden="1">{"via1",#N/A,TRUE,"general";"via2",#N/A,TRUE,"general";"via3",#N/A,TRUE,"general"}</definedName>
    <definedName name="_k6" localSheetId="10" hidden="1">{"TAB1",#N/A,TRUE,"GENERAL";"TAB2",#N/A,TRUE,"GENERAL";"TAB3",#N/A,TRUE,"GENERAL";"TAB4",#N/A,TRUE,"GENERAL";"TAB5",#N/A,TRUE,"GENERAL"}</definedName>
    <definedName name="_k6" localSheetId="8" hidden="1">{"TAB1",#N/A,TRUE,"GENERAL";"TAB2",#N/A,TRUE,"GENERAL";"TAB3",#N/A,TRUE,"GENERAL";"TAB4",#N/A,TRUE,"GENERAL";"TAB5",#N/A,TRUE,"GENERAL"}</definedName>
    <definedName name="_k6" localSheetId="5" hidden="1">{"TAB1",#N/A,TRUE,"GENERAL";"TAB2",#N/A,TRUE,"GENERAL";"TAB3",#N/A,TRUE,"GENERAL";"TAB4",#N/A,TRUE,"GENERAL";"TAB5",#N/A,TRUE,"GENERAL"}</definedName>
    <definedName name="_k6" hidden="1">{"TAB1",#N/A,TRUE,"GENERAL";"TAB2",#N/A,TRUE,"GENERAL";"TAB3",#N/A,TRUE,"GENERAL";"TAB4",#N/A,TRUE,"GENERAL";"TAB5",#N/A,TRUE,"GENERAL"}</definedName>
    <definedName name="_k7" localSheetId="10" hidden="1">{"via1",#N/A,TRUE,"general";"via2",#N/A,TRUE,"general";"via3",#N/A,TRUE,"general"}</definedName>
    <definedName name="_k7" localSheetId="8" hidden="1">{"via1",#N/A,TRUE,"general";"via2",#N/A,TRUE,"general";"via3",#N/A,TRUE,"general"}</definedName>
    <definedName name="_k7" localSheetId="5" hidden="1">{"via1",#N/A,TRUE,"general";"via2",#N/A,TRUE,"general";"via3",#N/A,TRUE,"general"}</definedName>
    <definedName name="_k7" hidden="1">{"via1",#N/A,TRUE,"general";"via2",#N/A,TRUE,"general";"via3",#N/A,TRUE,"general"}</definedName>
    <definedName name="_k8" localSheetId="10" hidden="1">{"via1",#N/A,TRUE,"general";"via2",#N/A,TRUE,"general";"via3",#N/A,TRUE,"general"}</definedName>
    <definedName name="_k8" localSheetId="8" hidden="1">{"via1",#N/A,TRUE,"general";"via2",#N/A,TRUE,"general";"via3",#N/A,TRUE,"general"}</definedName>
    <definedName name="_k8" localSheetId="5" hidden="1">{"via1",#N/A,TRUE,"general";"via2",#N/A,TRUE,"general";"via3",#N/A,TRUE,"general"}</definedName>
    <definedName name="_k8" hidden="1">{"via1",#N/A,TRUE,"general";"via2",#N/A,TRUE,"general";"via3",#N/A,TRUE,"general"}</definedName>
    <definedName name="_k9" localSheetId="10" hidden="1">{"TAB1",#N/A,TRUE,"GENERAL";"TAB2",#N/A,TRUE,"GENERAL";"TAB3",#N/A,TRUE,"GENERAL";"TAB4",#N/A,TRUE,"GENERAL";"TAB5",#N/A,TRUE,"GENERAL"}</definedName>
    <definedName name="_k9" localSheetId="8" hidden="1">{"TAB1",#N/A,TRUE,"GENERAL";"TAB2",#N/A,TRUE,"GENERAL";"TAB3",#N/A,TRUE,"GENERAL";"TAB4",#N/A,TRUE,"GENERAL";"TAB5",#N/A,TRUE,"GENERAL"}</definedName>
    <definedName name="_k9" localSheetId="5" hidden="1">{"TAB1",#N/A,TRUE,"GENERAL";"TAB2",#N/A,TRUE,"GENERAL";"TAB3",#N/A,TRUE,"GENERAL";"TAB4",#N/A,TRUE,"GENERAL";"TAB5",#N/A,TRUE,"GENERAL"}</definedName>
    <definedName name="_k9" hidden="1">{"TAB1",#N/A,TRUE,"GENERAL";"TAB2",#N/A,TRUE,"GENERAL";"TAB3",#N/A,TRUE,"GENERAL";"TAB4",#N/A,TRUE,"GENERAL";"TAB5",#N/A,TRUE,"GENERAL"}</definedName>
    <definedName name="_Key1" localSheetId="5" hidden="1">#REF!</definedName>
    <definedName name="_Key1" hidden="1">#REF!</definedName>
    <definedName name="_kjk6" localSheetId="10" hidden="1">{"TAB1",#N/A,TRUE,"GENERAL";"TAB2",#N/A,TRUE,"GENERAL";"TAB3",#N/A,TRUE,"GENERAL";"TAB4",#N/A,TRUE,"GENERAL";"TAB5",#N/A,TRUE,"GENERAL"}</definedName>
    <definedName name="_kjk6" localSheetId="8" hidden="1">{"TAB1",#N/A,TRUE,"GENERAL";"TAB2",#N/A,TRUE,"GENERAL";"TAB3",#N/A,TRUE,"GENERAL";"TAB4",#N/A,TRUE,"GENERAL";"TAB5",#N/A,TRUE,"GENERAL"}</definedName>
    <definedName name="_kjk6" localSheetId="5" hidden="1">{"TAB1",#N/A,TRUE,"GENERAL";"TAB2",#N/A,TRUE,"GENERAL";"TAB3",#N/A,TRUE,"GENERAL";"TAB4",#N/A,TRUE,"GENERAL";"TAB5",#N/A,TRUE,"GENERAL"}</definedName>
    <definedName name="_kjk6" hidden="1">{"TAB1",#N/A,TRUE,"GENERAL";"TAB2",#N/A,TRUE,"GENERAL";"TAB3",#N/A,TRUE,"GENERAL";"TAB4",#N/A,TRUE,"GENERAL";"TAB5",#N/A,TRUE,"GENERAL"}</definedName>
    <definedName name="_lar03" localSheetId="5">#REF!</definedName>
    <definedName name="_lar03">#REF!</definedName>
    <definedName name="_m3" localSheetId="10" hidden="1">{"via1",#N/A,TRUE,"general";"via2",#N/A,TRUE,"general";"via3",#N/A,TRUE,"general"}</definedName>
    <definedName name="_m3" localSheetId="8" hidden="1">{"via1",#N/A,TRUE,"general";"via2",#N/A,TRUE,"general";"via3",#N/A,TRUE,"general"}</definedName>
    <definedName name="_m3" localSheetId="5" hidden="1">{"via1",#N/A,TRUE,"general";"via2",#N/A,TRUE,"general";"via3",#N/A,TRUE,"general"}</definedName>
    <definedName name="_m3" hidden="1">{"via1",#N/A,TRUE,"general";"via2",#N/A,TRUE,"general";"via3",#N/A,TRUE,"general"}</definedName>
    <definedName name="_m4" localSheetId="10" hidden="1">{"TAB1",#N/A,TRUE,"GENERAL";"TAB2",#N/A,TRUE,"GENERAL";"TAB3",#N/A,TRUE,"GENERAL";"TAB4",#N/A,TRUE,"GENERAL";"TAB5",#N/A,TRUE,"GENERAL"}</definedName>
    <definedName name="_m4" localSheetId="8" hidden="1">{"TAB1",#N/A,TRUE,"GENERAL";"TAB2",#N/A,TRUE,"GENERAL";"TAB3",#N/A,TRUE,"GENERAL";"TAB4",#N/A,TRUE,"GENERAL";"TAB5",#N/A,TRUE,"GENERAL"}</definedName>
    <definedName name="_m4" localSheetId="5" hidden="1">{"TAB1",#N/A,TRUE,"GENERAL";"TAB2",#N/A,TRUE,"GENERAL";"TAB3",#N/A,TRUE,"GENERAL";"TAB4",#N/A,TRUE,"GENERAL";"TAB5",#N/A,TRUE,"GENERAL"}</definedName>
    <definedName name="_m4" hidden="1">{"TAB1",#N/A,TRUE,"GENERAL";"TAB2",#N/A,TRUE,"GENERAL";"TAB3",#N/A,TRUE,"GENERAL";"TAB4",#N/A,TRUE,"GENERAL";"TAB5",#N/A,TRUE,"GENERAL"}</definedName>
    <definedName name="_m5" localSheetId="10" hidden="1">{"via1",#N/A,TRUE,"general";"via2",#N/A,TRUE,"general";"via3",#N/A,TRUE,"general"}</definedName>
    <definedName name="_m5" localSheetId="8" hidden="1">{"via1",#N/A,TRUE,"general";"via2",#N/A,TRUE,"general";"via3",#N/A,TRUE,"general"}</definedName>
    <definedName name="_m5" localSheetId="5" hidden="1">{"via1",#N/A,TRUE,"general";"via2",#N/A,TRUE,"general";"via3",#N/A,TRUE,"general"}</definedName>
    <definedName name="_m5" hidden="1">{"via1",#N/A,TRUE,"general";"via2",#N/A,TRUE,"general";"via3",#N/A,TRUE,"general"}</definedName>
    <definedName name="_m6" localSheetId="10" hidden="1">{"TAB1",#N/A,TRUE,"GENERAL";"TAB2",#N/A,TRUE,"GENERAL";"TAB3",#N/A,TRUE,"GENERAL";"TAB4",#N/A,TRUE,"GENERAL";"TAB5",#N/A,TRUE,"GENERAL"}</definedName>
    <definedName name="_m6" localSheetId="8" hidden="1">{"TAB1",#N/A,TRUE,"GENERAL";"TAB2",#N/A,TRUE,"GENERAL";"TAB3",#N/A,TRUE,"GENERAL";"TAB4",#N/A,TRUE,"GENERAL";"TAB5",#N/A,TRUE,"GENERAL"}</definedName>
    <definedName name="_m6" localSheetId="5" hidden="1">{"TAB1",#N/A,TRUE,"GENERAL";"TAB2",#N/A,TRUE,"GENERAL";"TAB3",#N/A,TRUE,"GENERAL";"TAB4",#N/A,TRUE,"GENERAL";"TAB5",#N/A,TRUE,"GENERAL"}</definedName>
    <definedName name="_m6" hidden="1">{"TAB1",#N/A,TRUE,"GENERAL";"TAB2",#N/A,TRUE,"GENERAL";"TAB3",#N/A,TRUE,"GENERAL";"TAB4",#N/A,TRUE,"GENERAL";"TAB5",#N/A,TRUE,"GENERAL"}</definedName>
    <definedName name="_m7" localSheetId="10" hidden="1">{"TAB1",#N/A,TRUE,"GENERAL";"TAB2",#N/A,TRUE,"GENERAL";"TAB3",#N/A,TRUE,"GENERAL";"TAB4",#N/A,TRUE,"GENERAL";"TAB5",#N/A,TRUE,"GENERAL"}</definedName>
    <definedName name="_m7" localSheetId="8" hidden="1">{"TAB1",#N/A,TRUE,"GENERAL";"TAB2",#N/A,TRUE,"GENERAL";"TAB3",#N/A,TRUE,"GENERAL";"TAB4",#N/A,TRUE,"GENERAL";"TAB5",#N/A,TRUE,"GENERAL"}</definedName>
    <definedName name="_m7" localSheetId="5" hidden="1">{"TAB1",#N/A,TRUE,"GENERAL";"TAB2",#N/A,TRUE,"GENERAL";"TAB3",#N/A,TRUE,"GENERAL";"TAB4",#N/A,TRUE,"GENERAL";"TAB5",#N/A,TRUE,"GENERAL"}</definedName>
    <definedName name="_m7" hidden="1">{"TAB1",#N/A,TRUE,"GENERAL";"TAB2",#N/A,TRUE,"GENERAL";"TAB3",#N/A,TRUE,"GENERAL";"TAB4",#N/A,TRUE,"GENERAL";"TAB5",#N/A,TRUE,"GENERAL"}</definedName>
    <definedName name="_m8" localSheetId="10" hidden="1">{"via1",#N/A,TRUE,"general";"via2",#N/A,TRUE,"general";"via3",#N/A,TRUE,"general"}</definedName>
    <definedName name="_m8" localSheetId="8" hidden="1">{"via1",#N/A,TRUE,"general";"via2",#N/A,TRUE,"general";"via3",#N/A,TRUE,"general"}</definedName>
    <definedName name="_m8" localSheetId="5" hidden="1">{"via1",#N/A,TRUE,"general";"via2",#N/A,TRUE,"general";"via3",#N/A,TRUE,"general"}</definedName>
    <definedName name="_m8" hidden="1">{"via1",#N/A,TRUE,"general";"via2",#N/A,TRUE,"general";"via3",#N/A,TRUE,"general"}</definedName>
    <definedName name="_m9" localSheetId="10" hidden="1">{"via1",#N/A,TRUE,"general";"via2",#N/A,TRUE,"general";"via3",#N/A,TRUE,"general"}</definedName>
    <definedName name="_m9" localSheetId="8" hidden="1">{"via1",#N/A,TRUE,"general";"via2",#N/A,TRUE,"general";"via3",#N/A,TRUE,"general"}</definedName>
    <definedName name="_m9" localSheetId="5" hidden="1">{"via1",#N/A,TRUE,"general";"via2",#N/A,TRUE,"general";"via3",#N/A,TRUE,"general"}</definedName>
    <definedName name="_m9" hidden="1">{"via1",#N/A,TRUE,"general";"via2",#N/A,TRUE,"general";"via3",#N/A,TRUE,"general"}</definedName>
    <definedName name="_MA2" localSheetId="5">#REF!</definedName>
    <definedName name="_MA2">#REF!</definedName>
    <definedName name="_mun2" localSheetId="5">[2]PESOS!#REF!</definedName>
    <definedName name="_mun2">[2]PESOS!#REF!</definedName>
    <definedName name="_n3" localSheetId="10" hidden="1">{"TAB1",#N/A,TRUE,"GENERAL";"TAB2",#N/A,TRUE,"GENERAL";"TAB3",#N/A,TRUE,"GENERAL";"TAB4",#N/A,TRUE,"GENERAL";"TAB5",#N/A,TRUE,"GENERAL"}</definedName>
    <definedName name="_n3" localSheetId="8" hidden="1">{"TAB1",#N/A,TRUE,"GENERAL";"TAB2",#N/A,TRUE,"GENERAL";"TAB3",#N/A,TRUE,"GENERAL";"TAB4",#N/A,TRUE,"GENERAL";"TAB5",#N/A,TRUE,"GENERAL"}</definedName>
    <definedName name="_n3" localSheetId="5" hidden="1">{"TAB1",#N/A,TRUE,"GENERAL";"TAB2",#N/A,TRUE,"GENERAL";"TAB3",#N/A,TRUE,"GENERAL";"TAB4",#N/A,TRUE,"GENERAL";"TAB5",#N/A,TRUE,"GENERAL"}</definedName>
    <definedName name="_n3" hidden="1">{"TAB1",#N/A,TRUE,"GENERAL";"TAB2",#N/A,TRUE,"GENERAL";"TAB3",#N/A,TRUE,"GENERAL";"TAB4",#N/A,TRUE,"GENERAL";"TAB5",#N/A,TRUE,"GENERAL"}</definedName>
    <definedName name="_n4" localSheetId="10" hidden="1">{"via1",#N/A,TRUE,"general";"via2",#N/A,TRUE,"general";"via3",#N/A,TRUE,"general"}</definedName>
    <definedName name="_n4" localSheetId="8" hidden="1">{"via1",#N/A,TRUE,"general";"via2",#N/A,TRUE,"general";"via3",#N/A,TRUE,"general"}</definedName>
    <definedName name="_n4" localSheetId="5" hidden="1">{"via1",#N/A,TRUE,"general";"via2",#N/A,TRUE,"general";"via3",#N/A,TRUE,"general"}</definedName>
    <definedName name="_n4" hidden="1">{"via1",#N/A,TRUE,"general";"via2",#N/A,TRUE,"general";"via3",#N/A,TRUE,"general"}</definedName>
    <definedName name="_n5" localSheetId="10" hidden="1">{"TAB1",#N/A,TRUE,"GENERAL";"TAB2",#N/A,TRUE,"GENERAL";"TAB3",#N/A,TRUE,"GENERAL";"TAB4",#N/A,TRUE,"GENERAL";"TAB5",#N/A,TRUE,"GENERAL"}</definedName>
    <definedName name="_n5" localSheetId="8" hidden="1">{"TAB1",#N/A,TRUE,"GENERAL";"TAB2",#N/A,TRUE,"GENERAL";"TAB3",#N/A,TRUE,"GENERAL";"TAB4",#N/A,TRUE,"GENERAL";"TAB5",#N/A,TRUE,"GENERAL"}</definedName>
    <definedName name="_n5" localSheetId="5" hidden="1">{"TAB1",#N/A,TRUE,"GENERAL";"TAB2",#N/A,TRUE,"GENERAL";"TAB3",#N/A,TRUE,"GENERAL";"TAB4",#N/A,TRUE,"GENERAL";"TAB5",#N/A,TRUE,"GENERAL"}</definedName>
    <definedName name="_n5" hidden="1">{"TAB1",#N/A,TRUE,"GENERAL";"TAB2",#N/A,TRUE,"GENERAL";"TAB3",#N/A,TRUE,"GENERAL";"TAB4",#N/A,TRUE,"GENERAL";"TAB5",#N/A,TRUE,"GENERAL"}</definedName>
    <definedName name="_num10" localSheetId="5">#REF!</definedName>
    <definedName name="_num10">#REF!</definedName>
    <definedName name="_num2" localSheetId="5">#REF!</definedName>
    <definedName name="_num2">#REF!</definedName>
    <definedName name="_num3" localSheetId="5">#REF!</definedName>
    <definedName name="_num3">#REF!</definedName>
    <definedName name="_num4" localSheetId="5">#REF!</definedName>
    <definedName name="_num4">#REF!</definedName>
    <definedName name="_num5" localSheetId="5">#REF!</definedName>
    <definedName name="_num5">#REF!</definedName>
    <definedName name="_num6" localSheetId="5">#REF!</definedName>
    <definedName name="_num6">#REF!</definedName>
    <definedName name="_num7" localSheetId="5">#REF!</definedName>
    <definedName name="_num7">#REF!</definedName>
    <definedName name="_num8" localSheetId="5">#REF!</definedName>
    <definedName name="_num8">#REF!</definedName>
    <definedName name="_num9" localSheetId="5">#REF!</definedName>
    <definedName name="_num9">#REF!</definedName>
    <definedName name="_nyn7" localSheetId="10" hidden="1">{"via1",#N/A,TRUE,"general";"via2",#N/A,TRUE,"general";"via3",#N/A,TRUE,"general"}</definedName>
    <definedName name="_nyn7" localSheetId="8" hidden="1">{"via1",#N/A,TRUE,"general";"via2",#N/A,TRUE,"general";"via3",#N/A,TRUE,"general"}</definedName>
    <definedName name="_nyn7" localSheetId="5" hidden="1">{"via1",#N/A,TRUE,"general";"via2",#N/A,TRUE,"general";"via3",#N/A,TRUE,"general"}</definedName>
    <definedName name="_nyn7" hidden="1">{"via1",#N/A,TRUE,"general";"via2",#N/A,TRUE,"general";"via3",#N/A,TRUE,"general"}</definedName>
    <definedName name="_o4" localSheetId="10" hidden="1">{"via1",#N/A,TRUE,"general";"via2",#N/A,TRUE,"general";"via3",#N/A,TRUE,"general"}</definedName>
    <definedName name="_o4" localSheetId="8" hidden="1">{"via1",#N/A,TRUE,"general";"via2",#N/A,TRUE,"general";"via3",#N/A,TRUE,"general"}</definedName>
    <definedName name="_o4" localSheetId="5" hidden="1">{"via1",#N/A,TRUE,"general";"via2",#N/A,TRUE,"general";"via3",#N/A,TRUE,"general"}</definedName>
    <definedName name="_o4" hidden="1">{"via1",#N/A,TRUE,"general";"via2",#N/A,TRUE,"general";"via3",#N/A,TRUE,"general"}</definedName>
    <definedName name="_o5" localSheetId="10" hidden="1">{"TAB1",#N/A,TRUE,"GENERAL";"TAB2",#N/A,TRUE,"GENERAL";"TAB3",#N/A,TRUE,"GENERAL";"TAB4",#N/A,TRUE,"GENERAL";"TAB5",#N/A,TRUE,"GENERAL"}</definedName>
    <definedName name="_o5" localSheetId="8" hidden="1">{"TAB1",#N/A,TRUE,"GENERAL";"TAB2",#N/A,TRUE,"GENERAL";"TAB3",#N/A,TRUE,"GENERAL";"TAB4",#N/A,TRUE,"GENERAL";"TAB5",#N/A,TRUE,"GENERAL"}</definedName>
    <definedName name="_o5" localSheetId="5" hidden="1">{"TAB1",#N/A,TRUE,"GENERAL";"TAB2",#N/A,TRUE,"GENERAL";"TAB3",#N/A,TRUE,"GENERAL";"TAB4",#N/A,TRUE,"GENERAL";"TAB5",#N/A,TRUE,"GENERAL"}</definedName>
    <definedName name="_o5" hidden="1">{"TAB1",#N/A,TRUE,"GENERAL";"TAB2",#N/A,TRUE,"GENERAL";"TAB3",#N/A,TRUE,"GENERAL";"TAB4",#N/A,TRUE,"GENERAL";"TAB5",#N/A,TRUE,"GENERAL"}</definedName>
    <definedName name="_o6" localSheetId="10" hidden="1">{"TAB1",#N/A,TRUE,"GENERAL";"TAB2",#N/A,TRUE,"GENERAL";"TAB3",#N/A,TRUE,"GENERAL";"TAB4",#N/A,TRUE,"GENERAL";"TAB5",#N/A,TRUE,"GENERAL"}</definedName>
    <definedName name="_o6" localSheetId="8" hidden="1">{"TAB1",#N/A,TRUE,"GENERAL";"TAB2",#N/A,TRUE,"GENERAL";"TAB3",#N/A,TRUE,"GENERAL";"TAB4",#N/A,TRUE,"GENERAL";"TAB5",#N/A,TRUE,"GENERAL"}</definedName>
    <definedName name="_o6" localSheetId="5" hidden="1">{"TAB1",#N/A,TRUE,"GENERAL";"TAB2",#N/A,TRUE,"GENERAL";"TAB3",#N/A,TRUE,"GENERAL";"TAB4",#N/A,TRUE,"GENERAL";"TAB5",#N/A,TRUE,"GENERAL"}</definedName>
    <definedName name="_o6" hidden="1">{"TAB1",#N/A,TRUE,"GENERAL";"TAB2",#N/A,TRUE,"GENERAL";"TAB3",#N/A,TRUE,"GENERAL";"TAB4",#N/A,TRUE,"GENERAL";"TAB5",#N/A,TRUE,"GENERAL"}</definedName>
    <definedName name="_o7" localSheetId="10" hidden="1">{"TAB1",#N/A,TRUE,"GENERAL";"TAB2",#N/A,TRUE,"GENERAL";"TAB3",#N/A,TRUE,"GENERAL";"TAB4",#N/A,TRUE,"GENERAL";"TAB5",#N/A,TRUE,"GENERAL"}</definedName>
    <definedName name="_o7" localSheetId="8" hidden="1">{"TAB1",#N/A,TRUE,"GENERAL";"TAB2",#N/A,TRUE,"GENERAL";"TAB3",#N/A,TRUE,"GENERAL";"TAB4",#N/A,TRUE,"GENERAL";"TAB5",#N/A,TRUE,"GENERAL"}</definedName>
    <definedName name="_o7" localSheetId="5" hidden="1">{"TAB1",#N/A,TRUE,"GENERAL";"TAB2",#N/A,TRUE,"GENERAL";"TAB3",#N/A,TRUE,"GENERAL";"TAB4",#N/A,TRUE,"GENERAL";"TAB5",#N/A,TRUE,"GENERAL"}</definedName>
    <definedName name="_o7" hidden="1">{"TAB1",#N/A,TRUE,"GENERAL";"TAB2",#N/A,TRUE,"GENERAL";"TAB3",#N/A,TRUE,"GENERAL";"TAB4",#N/A,TRUE,"GENERAL";"TAB5",#N/A,TRUE,"GENERAL"}</definedName>
    <definedName name="_o8" localSheetId="10" hidden="1">{"via1",#N/A,TRUE,"general";"via2",#N/A,TRUE,"general";"via3",#N/A,TRUE,"general"}</definedName>
    <definedName name="_o8" localSheetId="8" hidden="1">{"via1",#N/A,TRUE,"general";"via2",#N/A,TRUE,"general";"via3",#N/A,TRUE,"general"}</definedName>
    <definedName name="_o8" localSheetId="5" hidden="1">{"via1",#N/A,TRUE,"general";"via2",#N/A,TRUE,"general";"via3",#N/A,TRUE,"general"}</definedName>
    <definedName name="_o8" hidden="1">{"via1",#N/A,TRUE,"general";"via2",#N/A,TRUE,"general";"via3",#N/A,TRUE,"general"}</definedName>
    <definedName name="_o9" localSheetId="10" hidden="1">{"TAB1",#N/A,TRUE,"GENERAL";"TAB2",#N/A,TRUE,"GENERAL";"TAB3",#N/A,TRUE,"GENERAL";"TAB4",#N/A,TRUE,"GENERAL";"TAB5",#N/A,TRUE,"GENERAL"}</definedName>
    <definedName name="_o9" localSheetId="8" hidden="1">{"TAB1",#N/A,TRUE,"GENERAL";"TAB2",#N/A,TRUE,"GENERAL";"TAB3",#N/A,TRUE,"GENERAL";"TAB4",#N/A,TRUE,"GENERAL";"TAB5",#N/A,TRUE,"GENERAL"}</definedName>
    <definedName name="_o9" localSheetId="5"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p6" localSheetId="10" hidden="1">{"via1",#N/A,TRUE,"general";"via2",#N/A,TRUE,"general";"via3",#N/A,TRUE,"general"}</definedName>
    <definedName name="_p6" localSheetId="8" hidden="1">{"via1",#N/A,TRUE,"general";"via2",#N/A,TRUE,"general";"via3",#N/A,TRUE,"general"}</definedName>
    <definedName name="_p6" localSheetId="5" hidden="1">{"via1",#N/A,TRUE,"general";"via2",#N/A,TRUE,"general";"via3",#N/A,TRUE,"general"}</definedName>
    <definedName name="_p6" hidden="1">{"via1",#N/A,TRUE,"general";"via2",#N/A,TRUE,"general";"via3",#N/A,TRUE,"general"}</definedName>
    <definedName name="_p7" localSheetId="10" hidden="1">{"via1",#N/A,TRUE,"general";"via2",#N/A,TRUE,"general";"via3",#N/A,TRUE,"general"}</definedName>
    <definedName name="_p7" localSheetId="8" hidden="1">{"via1",#N/A,TRUE,"general";"via2",#N/A,TRUE,"general";"via3",#N/A,TRUE,"general"}</definedName>
    <definedName name="_p7" localSheetId="5" hidden="1">{"via1",#N/A,TRUE,"general";"via2",#N/A,TRUE,"general";"via3",#N/A,TRUE,"general"}</definedName>
    <definedName name="_p7" hidden="1">{"via1",#N/A,TRUE,"general";"via2",#N/A,TRUE,"general";"via3",#N/A,TRUE,"general"}</definedName>
    <definedName name="_p8" localSheetId="10" hidden="1">{"TAB1",#N/A,TRUE,"GENERAL";"TAB2",#N/A,TRUE,"GENERAL";"TAB3",#N/A,TRUE,"GENERAL";"TAB4",#N/A,TRUE,"GENERAL";"TAB5",#N/A,TRUE,"GENERAL"}</definedName>
    <definedName name="_p8" localSheetId="8" hidden="1">{"TAB1",#N/A,TRUE,"GENERAL";"TAB2",#N/A,TRUE,"GENERAL";"TAB3",#N/A,TRUE,"GENERAL";"TAB4",#N/A,TRUE,"GENERAL";"TAB5",#N/A,TRUE,"GENERAL"}</definedName>
    <definedName name="_p8" localSheetId="5" hidden="1">{"TAB1",#N/A,TRUE,"GENERAL";"TAB2",#N/A,TRUE,"GENERAL";"TAB3",#N/A,TRUE,"GENERAL";"TAB4",#N/A,TRUE,"GENERAL";"TAB5",#N/A,TRUE,"GENERAL"}</definedName>
    <definedName name="_p8" hidden="1">{"TAB1",#N/A,TRUE,"GENERAL";"TAB2",#N/A,TRUE,"GENERAL";"TAB3",#N/A,TRUE,"GENERAL";"TAB4",#N/A,TRUE,"GENERAL";"TAB5",#N/A,TRUE,"GENERAL"}</definedName>
    <definedName name="_PJ50" localSheetId="5">#REF!</definedName>
    <definedName name="_PJ50">#REF!</definedName>
    <definedName name="_pj51" localSheetId="5">#REF!</definedName>
    <definedName name="_pj51">#REF!</definedName>
    <definedName name="_PRE1" localSheetId="5">#REF!</definedName>
    <definedName name="_PRE1">#REF!</definedName>
    <definedName name="_r" localSheetId="10" hidden="1">{"TAB1",#N/A,TRUE,"GENERAL";"TAB2",#N/A,TRUE,"GENERAL";"TAB3",#N/A,TRUE,"GENERAL";"TAB4",#N/A,TRUE,"GENERAL";"TAB5",#N/A,TRUE,"GENERAL"}</definedName>
    <definedName name="_r" localSheetId="8" hidden="1">{"TAB1",#N/A,TRUE,"GENERAL";"TAB2",#N/A,TRUE,"GENERAL";"TAB3",#N/A,TRUE,"GENERAL";"TAB4",#N/A,TRUE,"GENERAL";"TAB5",#N/A,TRUE,"GENERAL"}</definedName>
    <definedName name="_r" localSheetId="5" hidden="1">{"TAB1",#N/A,TRUE,"GENERAL";"TAB2",#N/A,TRUE,"GENERAL";"TAB3",#N/A,TRUE,"GENERAL";"TAB4",#N/A,TRUE,"GENERAL";"TAB5",#N/A,TRUE,"GENERAL"}</definedName>
    <definedName name="_r" hidden="1">{"TAB1",#N/A,TRUE,"GENERAL";"TAB2",#N/A,TRUE,"GENERAL";"TAB3",#N/A,TRUE,"GENERAL";"TAB4",#N/A,TRUE,"GENERAL";"TAB5",#N/A,TRUE,"GENERAL"}</definedName>
    <definedName name="_r4r" localSheetId="10" hidden="1">{"via1",#N/A,TRUE,"general";"via2",#N/A,TRUE,"general";"via3",#N/A,TRUE,"general"}</definedName>
    <definedName name="_r4r" localSheetId="8" hidden="1">{"via1",#N/A,TRUE,"general";"via2",#N/A,TRUE,"general";"via3",#N/A,TRUE,"general"}</definedName>
    <definedName name="_r4r" localSheetId="5" hidden="1">{"via1",#N/A,TRUE,"general";"via2",#N/A,TRUE,"general";"via3",#N/A,TRUE,"general"}</definedName>
    <definedName name="_r4r" hidden="1">{"via1",#N/A,TRUE,"general";"via2",#N/A,TRUE,"general";"via3",#N/A,TRUE,"general"}</definedName>
    <definedName name="_ref4" localSheetId="5">#REF!</definedName>
    <definedName name="_ref4">#REF!</definedName>
    <definedName name="_rtu6" localSheetId="10" hidden="1">{"via1",#N/A,TRUE,"general";"via2",#N/A,TRUE,"general";"via3",#N/A,TRUE,"general"}</definedName>
    <definedName name="_rtu6" localSheetId="8" hidden="1">{"via1",#N/A,TRUE,"general";"via2",#N/A,TRUE,"general";"via3",#N/A,TRUE,"general"}</definedName>
    <definedName name="_rtu6" localSheetId="5" hidden="1">{"via1",#N/A,TRUE,"general";"via2",#N/A,TRUE,"general";"via3",#N/A,TRUE,"general"}</definedName>
    <definedName name="_rtu6" hidden="1">{"via1",#N/A,TRUE,"general";"via2",#N/A,TRUE,"general";"via3",#N/A,TRUE,"general"}</definedName>
    <definedName name="_s1" localSheetId="10" hidden="1">{"via1",#N/A,TRUE,"general";"via2",#N/A,TRUE,"general";"via3",#N/A,TRUE,"general"}</definedName>
    <definedName name="_s1" localSheetId="8" hidden="1">{"via1",#N/A,TRUE,"general";"via2",#N/A,TRUE,"general";"via3",#N/A,TRUE,"general"}</definedName>
    <definedName name="_s1" localSheetId="5" hidden="1">{"via1",#N/A,TRUE,"general";"via2",#N/A,TRUE,"general";"via3",#N/A,TRUE,"general"}</definedName>
    <definedName name="_s1" hidden="1">{"via1",#N/A,TRUE,"general";"via2",#N/A,TRUE,"general";"via3",#N/A,TRUE,"general"}</definedName>
    <definedName name="_s2" localSheetId="10" hidden="1">{"TAB1",#N/A,TRUE,"GENERAL";"TAB2",#N/A,TRUE,"GENERAL";"TAB3",#N/A,TRUE,"GENERAL";"TAB4",#N/A,TRUE,"GENERAL";"TAB5",#N/A,TRUE,"GENERAL"}</definedName>
    <definedName name="_s2" localSheetId="8" hidden="1">{"TAB1",#N/A,TRUE,"GENERAL";"TAB2",#N/A,TRUE,"GENERAL";"TAB3",#N/A,TRUE,"GENERAL";"TAB4",#N/A,TRUE,"GENERAL";"TAB5",#N/A,TRUE,"GENERAL"}</definedName>
    <definedName name="_s2" localSheetId="5" hidden="1">{"TAB1",#N/A,TRUE,"GENERAL";"TAB2",#N/A,TRUE,"GENERAL";"TAB3",#N/A,TRUE,"GENERAL";"TAB4",#N/A,TRUE,"GENERAL";"TAB5",#N/A,TRUE,"GENERAL"}</definedName>
    <definedName name="_s2" hidden="1">{"TAB1",#N/A,TRUE,"GENERAL";"TAB2",#N/A,TRUE,"GENERAL";"TAB3",#N/A,TRUE,"GENERAL";"TAB4",#N/A,TRUE,"GENERAL";"TAB5",#N/A,TRUE,"GENERAL"}</definedName>
    <definedName name="_s3" localSheetId="10" hidden="1">{"TAB1",#N/A,TRUE,"GENERAL";"TAB2",#N/A,TRUE,"GENERAL";"TAB3",#N/A,TRUE,"GENERAL";"TAB4",#N/A,TRUE,"GENERAL";"TAB5",#N/A,TRUE,"GENERAL"}</definedName>
    <definedName name="_s3" localSheetId="8" hidden="1">{"TAB1",#N/A,TRUE,"GENERAL";"TAB2",#N/A,TRUE,"GENERAL";"TAB3",#N/A,TRUE,"GENERAL";"TAB4",#N/A,TRUE,"GENERAL";"TAB5",#N/A,TRUE,"GENERAL"}</definedName>
    <definedName name="_s3" localSheetId="5" hidden="1">{"TAB1",#N/A,TRUE,"GENERAL";"TAB2",#N/A,TRUE,"GENERAL";"TAB3",#N/A,TRUE,"GENERAL";"TAB4",#N/A,TRUE,"GENERAL";"TAB5",#N/A,TRUE,"GENERAL"}</definedName>
    <definedName name="_s3" hidden="1">{"TAB1",#N/A,TRUE,"GENERAL";"TAB2",#N/A,TRUE,"GENERAL";"TAB3",#N/A,TRUE,"GENERAL";"TAB4",#N/A,TRUE,"GENERAL";"TAB5",#N/A,TRUE,"GENERAL"}</definedName>
    <definedName name="_s4" localSheetId="10" hidden="1">{"via1",#N/A,TRUE,"general";"via2",#N/A,TRUE,"general";"via3",#N/A,TRUE,"general"}</definedName>
    <definedName name="_s4" localSheetId="8" hidden="1">{"via1",#N/A,TRUE,"general";"via2",#N/A,TRUE,"general";"via3",#N/A,TRUE,"general"}</definedName>
    <definedName name="_s4" localSheetId="5" hidden="1">{"via1",#N/A,TRUE,"general";"via2",#N/A,TRUE,"general";"via3",#N/A,TRUE,"general"}</definedName>
    <definedName name="_s4" hidden="1">{"via1",#N/A,TRUE,"general";"via2",#N/A,TRUE,"general";"via3",#N/A,TRUE,"general"}</definedName>
    <definedName name="_s5" localSheetId="10" hidden="1">{"via1",#N/A,TRUE,"general";"via2",#N/A,TRUE,"general";"via3",#N/A,TRUE,"general"}</definedName>
    <definedName name="_s5" localSheetId="8" hidden="1">{"via1",#N/A,TRUE,"general";"via2",#N/A,TRUE,"general";"via3",#N/A,TRUE,"general"}</definedName>
    <definedName name="_s5" localSheetId="5" hidden="1">{"via1",#N/A,TRUE,"general";"via2",#N/A,TRUE,"general";"via3",#N/A,TRUE,"general"}</definedName>
    <definedName name="_s5" hidden="1">{"via1",#N/A,TRUE,"general";"via2",#N/A,TRUE,"general";"via3",#N/A,TRUE,"general"}</definedName>
    <definedName name="_s6" localSheetId="10" hidden="1">{"TAB1",#N/A,TRUE,"GENERAL";"TAB2",#N/A,TRUE,"GENERAL";"TAB3",#N/A,TRUE,"GENERAL";"TAB4",#N/A,TRUE,"GENERAL";"TAB5",#N/A,TRUE,"GENERAL"}</definedName>
    <definedName name="_s6" localSheetId="8" hidden="1">{"TAB1",#N/A,TRUE,"GENERAL";"TAB2",#N/A,TRUE,"GENERAL";"TAB3",#N/A,TRUE,"GENERAL";"TAB4",#N/A,TRUE,"GENERAL";"TAB5",#N/A,TRUE,"GENERAL"}</definedName>
    <definedName name="_s6" localSheetId="5" hidden="1">{"TAB1",#N/A,TRUE,"GENERAL";"TAB2",#N/A,TRUE,"GENERAL";"TAB3",#N/A,TRUE,"GENERAL";"TAB4",#N/A,TRUE,"GENERAL";"TAB5",#N/A,TRUE,"GENERAL"}</definedName>
    <definedName name="_s6" hidden="1">{"TAB1",#N/A,TRUE,"GENERAL";"TAB2",#N/A,TRUE,"GENERAL";"TAB3",#N/A,TRUE,"GENERAL";"TAB4",#N/A,TRUE,"GENERAL";"TAB5",#N/A,TRUE,"GENERAL"}</definedName>
    <definedName name="_s7" localSheetId="10" hidden="1">{"via1",#N/A,TRUE,"general";"via2",#N/A,TRUE,"general";"via3",#N/A,TRUE,"general"}</definedName>
    <definedName name="_s7" localSheetId="8" hidden="1">{"via1",#N/A,TRUE,"general";"via2",#N/A,TRUE,"general";"via3",#N/A,TRUE,"general"}</definedName>
    <definedName name="_s7" localSheetId="5" hidden="1">{"via1",#N/A,TRUE,"general";"via2",#N/A,TRUE,"general";"via3",#N/A,TRUE,"general"}</definedName>
    <definedName name="_s7" hidden="1">{"via1",#N/A,TRUE,"general";"via2",#N/A,TRUE,"general";"via3",#N/A,TRUE,"general"}</definedName>
    <definedName name="_SBC1">[1]INV!$A$12:$D$15</definedName>
    <definedName name="_SBC3">[1]INV!$F$12:$I$15</definedName>
    <definedName name="_SBC5">[1]INV!$K$12:$N$15</definedName>
    <definedName name="_Sort" localSheetId="5" hidden="1">#REF!</definedName>
    <definedName name="_Sort" hidden="1">#REF!</definedName>
    <definedName name="_srn001" localSheetId="5">#REF!</definedName>
    <definedName name="_srn001">#REF!</definedName>
    <definedName name="_t3" localSheetId="10" hidden="1">{"TAB1",#N/A,TRUE,"GENERAL";"TAB2",#N/A,TRUE,"GENERAL";"TAB3",#N/A,TRUE,"GENERAL";"TAB4",#N/A,TRUE,"GENERAL";"TAB5",#N/A,TRUE,"GENERAL"}</definedName>
    <definedName name="_t3" localSheetId="8" hidden="1">{"TAB1",#N/A,TRUE,"GENERAL";"TAB2",#N/A,TRUE,"GENERAL";"TAB3",#N/A,TRUE,"GENERAL";"TAB4",#N/A,TRUE,"GENERAL";"TAB5",#N/A,TRUE,"GENERAL"}</definedName>
    <definedName name="_t3" localSheetId="5" hidden="1">{"TAB1",#N/A,TRUE,"GENERAL";"TAB2",#N/A,TRUE,"GENERAL";"TAB3",#N/A,TRUE,"GENERAL";"TAB4",#N/A,TRUE,"GENERAL";"TAB5",#N/A,TRUE,"GENERAL"}</definedName>
    <definedName name="_t3" hidden="1">{"TAB1",#N/A,TRUE,"GENERAL";"TAB2",#N/A,TRUE,"GENERAL";"TAB3",#N/A,TRUE,"GENERAL";"TAB4",#N/A,TRUE,"GENERAL";"TAB5",#N/A,TRUE,"GENERAL"}</definedName>
    <definedName name="_t4" localSheetId="10" hidden="1">{"via1",#N/A,TRUE,"general";"via2",#N/A,TRUE,"general";"via3",#N/A,TRUE,"general"}</definedName>
    <definedName name="_t4" localSheetId="8" hidden="1">{"via1",#N/A,TRUE,"general";"via2",#N/A,TRUE,"general";"via3",#N/A,TRUE,"general"}</definedName>
    <definedName name="_t4" localSheetId="5" hidden="1">{"via1",#N/A,TRUE,"general";"via2",#N/A,TRUE,"general";"via3",#N/A,TRUE,"general"}</definedName>
    <definedName name="_t4" hidden="1">{"via1",#N/A,TRUE,"general";"via2",#N/A,TRUE,"general";"via3",#N/A,TRUE,"general"}</definedName>
    <definedName name="_t5" localSheetId="10" hidden="1">{"TAB1",#N/A,TRUE,"GENERAL";"TAB2",#N/A,TRUE,"GENERAL";"TAB3",#N/A,TRUE,"GENERAL";"TAB4",#N/A,TRUE,"GENERAL";"TAB5",#N/A,TRUE,"GENERAL"}</definedName>
    <definedName name="_t5" localSheetId="8" hidden="1">{"TAB1",#N/A,TRUE,"GENERAL";"TAB2",#N/A,TRUE,"GENERAL";"TAB3",#N/A,TRUE,"GENERAL";"TAB4",#N/A,TRUE,"GENERAL";"TAB5",#N/A,TRUE,"GENERAL"}</definedName>
    <definedName name="_t5" localSheetId="5" hidden="1">{"TAB1",#N/A,TRUE,"GENERAL";"TAB2",#N/A,TRUE,"GENERAL";"TAB3",#N/A,TRUE,"GENERAL";"TAB4",#N/A,TRUE,"GENERAL";"TAB5",#N/A,TRUE,"GENERAL"}</definedName>
    <definedName name="_t5" hidden="1">{"TAB1",#N/A,TRUE,"GENERAL";"TAB2",#N/A,TRUE,"GENERAL";"TAB3",#N/A,TRUE,"GENERAL";"TAB4",#N/A,TRUE,"GENERAL";"TAB5",#N/A,TRUE,"GENERAL"}</definedName>
    <definedName name="_t6" localSheetId="10" hidden="1">{"via1",#N/A,TRUE,"general";"via2",#N/A,TRUE,"general";"via3",#N/A,TRUE,"general"}</definedName>
    <definedName name="_t6" localSheetId="8" hidden="1">{"via1",#N/A,TRUE,"general";"via2",#N/A,TRUE,"general";"via3",#N/A,TRUE,"general"}</definedName>
    <definedName name="_t6" localSheetId="5" hidden="1">{"via1",#N/A,TRUE,"general";"via2",#N/A,TRUE,"general";"via3",#N/A,TRUE,"general"}</definedName>
    <definedName name="_t6" hidden="1">{"via1",#N/A,TRUE,"general";"via2",#N/A,TRUE,"general";"via3",#N/A,TRUE,"general"}</definedName>
    <definedName name="_t66" localSheetId="10" hidden="1">{"TAB1",#N/A,TRUE,"GENERAL";"TAB2",#N/A,TRUE,"GENERAL";"TAB3",#N/A,TRUE,"GENERAL";"TAB4",#N/A,TRUE,"GENERAL";"TAB5",#N/A,TRUE,"GENERAL"}</definedName>
    <definedName name="_t66" localSheetId="8" hidden="1">{"TAB1",#N/A,TRUE,"GENERAL";"TAB2",#N/A,TRUE,"GENERAL";"TAB3",#N/A,TRUE,"GENERAL";"TAB4",#N/A,TRUE,"GENERAL";"TAB5",#N/A,TRUE,"GENERAL"}</definedName>
    <definedName name="_t66" localSheetId="5" hidden="1">{"TAB1",#N/A,TRUE,"GENERAL";"TAB2",#N/A,TRUE,"GENERAL";"TAB3",#N/A,TRUE,"GENERAL";"TAB4",#N/A,TRUE,"GENERAL";"TAB5",#N/A,TRUE,"GENERAL"}</definedName>
    <definedName name="_t66" hidden="1">{"TAB1",#N/A,TRUE,"GENERAL";"TAB2",#N/A,TRUE,"GENERAL";"TAB3",#N/A,TRUE,"GENERAL";"TAB4",#N/A,TRUE,"GENERAL";"TAB5",#N/A,TRUE,"GENERAL"}</definedName>
    <definedName name="_t7" localSheetId="10" hidden="1">{"via1",#N/A,TRUE,"general";"via2",#N/A,TRUE,"general";"via3",#N/A,TRUE,"general"}</definedName>
    <definedName name="_t7" localSheetId="8" hidden="1">{"via1",#N/A,TRUE,"general";"via2",#N/A,TRUE,"general";"via3",#N/A,TRUE,"general"}</definedName>
    <definedName name="_t7" localSheetId="5" hidden="1">{"via1",#N/A,TRUE,"general";"via2",#N/A,TRUE,"general";"via3",#N/A,TRUE,"general"}</definedName>
    <definedName name="_t7" hidden="1">{"via1",#N/A,TRUE,"general";"via2",#N/A,TRUE,"general";"via3",#N/A,TRUE,"general"}</definedName>
    <definedName name="_t77" localSheetId="10" hidden="1">{"TAB1",#N/A,TRUE,"GENERAL";"TAB2",#N/A,TRUE,"GENERAL";"TAB3",#N/A,TRUE,"GENERAL";"TAB4",#N/A,TRUE,"GENERAL";"TAB5",#N/A,TRUE,"GENERAL"}</definedName>
    <definedName name="_t77" localSheetId="8" hidden="1">{"TAB1",#N/A,TRUE,"GENERAL";"TAB2",#N/A,TRUE,"GENERAL";"TAB3",#N/A,TRUE,"GENERAL";"TAB4",#N/A,TRUE,"GENERAL";"TAB5",#N/A,TRUE,"GENERAL"}</definedName>
    <definedName name="_t77" localSheetId="5" hidden="1">{"TAB1",#N/A,TRUE,"GENERAL";"TAB2",#N/A,TRUE,"GENERAL";"TAB3",#N/A,TRUE,"GENERAL";"TAB4",#N/A,TRUE,"GENERAL";"TAB5",#N/A,TRUE,"GENERAL"}</definedName>
    <definedName name="_t77" hidden="1">{"TAB1",#N/A,TRUE,"GENERAL";"TAB2",#N/A,TRUE,"GENERAL";"TAB3",#N/A,TRUE,"GENERAL";"TAB4",#N/A,TRUE,"GENERAL";"TAB5",#N/A,TRUE,"GENERAL"}</definedName>
    <definedName name="_t8" localSheetId="10" hidden="1">{"TAB1",#N/A,TRUE,"GENERAL";"TAB2",#N/A,TRUE,"GENERAL";"TAB3",#N/A,TRUE,"GENERAL";"TAB4",#N/A,TRUE,"GENERAL";"TAB5",#N/A,TRUE,"GENERAL"}</definedName>
    <definedName name="_t8" localSheetId="8" hidden="1">{"TAB1",#N/A,TRUE,"GENERAL";"TAB2",#N/A,TRUE,"GENERAL";"TAB3",#N/A,TRUE,"GENERAL";"TAB4",#N/A,TRUE,"GENERAL";"TAB5",#N/A,TRUE,"GENERAL"}</definedName>
    <definedName name="_t8" localSheetId="5" hidden="1">{"TAB1",#N/A,TRUE,"GENERAL";"TAB2",#N/A,TRUE,"GENERAL";"TAB3",#N/A,TRUE,"GENERAL";"TAB4",#N/A,TRUE,"GENERAL";"TAB5",#N/A,TRUE,"GENERAL"}</definedName>
    <definedName name="_t8" hidden="1">{"TAB1",#N/A,TRUE,"GENERAL";"TAB2",#N/A,TRUE,"GENERAL";"TAB3",#N/A,TRUE,"GENERAL";"TAB4",#N/A,TRUE,"GENERAL";"TAB5",#N/A,TRUE,"GENERAL"}</definedName>
    <definedName name="_t88" localSheetId="10" hidden="1">{"via1",#N/A,TRUE,"general";"via2",#N/A,TRUE,"general";"via3",#N/A,TRUE,"general"}</definedName>
    <definedName name="_t88" localSheetId="8" hidden="1">{"via1",#N/A,TRUE,"general";"via2",#N/A,TRUE,"general";"via3",#N/A,TRUE,"general"}</definedName>
    <definedName name="_t88" localSheetId="5" hidden="1">{"via1",#N/A,TRUE,"general";"via2",#N/A,TRUE,"general";"via3",#N/A,TRUE,"general"}</definedName>
    <definedName name="_t88" hidden="1">{"via1",#N/A,TRUE,"general";"via2",#N/A,TRUE,"general";"via3",#N/A,TRUE,"general"}</definedName>
    <definedName name="_t9" localSheetId="10" hidden="1">{"TAB1",#N/A,TRUE,"GENERAL";"TAB2",#N/A,TRUE,"GENERAL";"TAB3",#N/A,TRUE,"GENERAL";"TAB4",#N/A,TRUE,"GENERAL";"TAB5",#N/A,TRUE,"GENERAL"}</definedName>
    <definedName name="_t9" localSheetId="8" hidden="1">{"TAB1",#N/A,TRUE,"GENERAL";"TAB2",#N/A,TRUE,"GENERAL";"TAB3",#N/A,TRUE,"GENERAL";"TAB4",#N/A,TRUE,"GENERAL";"TAB5",#N/A,TRUE,"GENERAL"}</definedName>
    <definedName name="_t9" localSheetId="5" hidden="1">{"TAB1",#N/A,TRUE,"GENERAL";"TAB2",#N/A,TRUE,"GENERAL";"TAB3",#N/A,TRUE,"GENERAL";"TAB4",#N/A,TRUE,"GENERAL";"TAB5",#N/A,TRUE,"GENERAL"}</definedName>
    <definedName name="_t9" hidden="1">{"TAB1",#N/A,TRUE,"GENERAL";"TAB2",#N/A,TRUE,"GENERAL";"TAB3",#N/A,TRUE,"GENERAL";"TAB4",#N/A,TRUE,"GENERAL";"TAB5",#N/A,TRUE,"GENERAL"}</definedName>
    <definedName name="_t99" localSheetId="10" hidden="1">{"via1",#N/A,TRUE,"general";"via2",#N/A,TRUE,"general";"via3",#N/A,TRUE,"general"}</definedName>
    <definedName name="_t99" localSheetId="8" hidden="1">{"via1",#N/A,TRUE,"general";"via2",#N/A,TRUE,"general";"via3",#N/A,TRUE,"general"}</definedName>
    <definedName name="_t99" localSheetId="5" hidden="1">{"via1",#N/A,TRUE,"general";"via2",#N/A,TRUE,"general";"via3",#N/A,TRUE,"general"}</definedName>
    <definedName name="_t99" hidden="1">{"via1",#N/A,TRUE,"general";"via2",#N/A,TRUE,"general";"via3",#N/A,TRUE,"general"}</definedName>
    <definedName name="_u4" localSheetId="10" hidden="1">{"TAB1",#N/A,TRUE,"GENERAL";"TAB2",#N/A,TRUE,"GENERAL";"TAB3",#N/A,TRUE,"GENERAL";"TAB4",#N/A,TRUE,"GENERAL";"TAB5",#N/A,TRUE,"GENERAL"}</definedName>
    <definedName name="_u4" localSheetId="8" hidden="1">{"TAB1",#N/A,TRUE,"GENERAL";"TAB2",#N/A,TRUE,"GENERAL";"TAB3",#N/A,TRUE,"GENERAL";"TAB4",#N/A,TRUE,"GENERAL";"TAB5",#N/A,TRUE,"GENERAL"}</definedName>
    <definedName name="_u4" localSheetId="5" hidden="1">{"TAB1",#N/A,TRUE,"GENERAL";"TAB2",#N/A,TRUE,"GENERAL";"TAB3",#N/A,TRUE,"GENERAL";"TAB4",#N/A,TRUE,"GENERAL";"TAB5",#N/A,TRUE,"GENERAL"}</definedName>
    <definedName name="_u4" hidden="1">{"TAB1",#N/A,TRUE,"GENERAL";"TAB2",#N/A,TRUE,"GENERAL";"TAB3",#N/A,TRUE,"GENERAL";"TAB4",#N/A,TRUE,"GENERAL";"TAB5",#N/A,TRUE,"GENERAL"}</definedName>
    <definedName name="_u5" localSheetId="10" hidden="1">{"TAB1",#N/A,TRUE,"GENERAL";"TAB2",#N/A,TRUE,"GENERAL";"TAB3",#N/A,TRUE,"GENERAL";"TAB4",#N/A,TRUE,"GENERAL";"TAB5",#N/A,TRUE,"GENERAL"}</definedName>
    <definedName name="_u5" localSheetId="8" hidden="1">{"TAB1",#N/A,TRUE,"GENERAL";"TAB2",#N/A,TRUE,"GENERAL";"TAB3",#N/A,TRUE,"GENERAL";"TAB4",#N/A,TRUE,"GENERAL";"TAB5",#N/A,TRUE,"GENERAL"}</definedName>
    <definedName name="_u5" localSheetId="5" hidden="1">{"TAB1",#N/A,TRUE,"GENERAL";"TAB2",#N/A,TRUE,"GENERAL";"TAB3",#N/A,TRUE,"GENERAL";"TAB4",#N/A,TRUE,"GENERAL";"TAB5",#N/A,TRUE,"GENERAL"}</definedName>
    <definedName name="_u5" hidden="1">{"TAB1",#N/A,TRUE,"GENERAL";"TAB2",#N/A,TRUE,"GENERAL";"TAB3",#N/A,TRUE,"GENERAL";"TAB4",#N/A,TRUE,"GENERAL";"TAB5",#N/A,TRUE,"GENERAL"}</definedName>
    <definedName name="_u6" localSheetId="10" hidden="1">{"TAB1",#N/A,TRUE,"GENERAL";"TAB2",#N/A,TRUE,"GENERAL";"TAB3",#N/A,TRUE,"GENERAL";"TAB4",#N/A,TRUE,"GENERAL";"TAB5",#N/A,TRUE,"GENERAL"}</definedName>
    <definedName name="_u6" localSheetId="8" hidden="1">{"TAB1",#N/A,TRUE,"GENERAL";"TAB2",#N/A,TRUE,"GENERAL";"TAB3",#N/A,TRUE,"GENERAL";"TAB4",#N/A,TRUE,"GENERAL";"TAB5",#N/A,TRUE,"GENERAL"}</definedName>
    <definedName name="_u6" localSheetId="5" hidden="1">{"TAB1",#N/A,TRUE,"GENERAL";"TAB2",#N/A,TRUE,"GENERAL";"TAB3",#N/A,TRUE,"GENERAL";"TAB4",#N/A,TRUE,"GENERAL";"TAB5",#N/A,TRUE,"GENERAL"}</definedName>
    <definedName name="_u6" hidden="1">{"TAB1",#N/A,TRUE,"GENERAL";"TAB2",#N/A,TRUE,"GENERAL";"TAB3",#N/A,TRUE,"GENERAL";"TAB4",#N/A,TRUE,"GENERAL";"TAB5",#N/A,TRUE,"GENERAL"}</definedName>
    <definedName name="_u7" localSheetId="10" hidden="1">{"via1",#N/A,TRUE,"general";"via2",#N/A,TRUE,"general";"via3",#N/A,TRUE,"general"}</definedName>
    <definedName name="_u7" localSheetId="8" hidden="1">{"via1",#N/A,TRUE,"general";"via2",#N/A,TRUE,"general";"via3",#N/A,TRUE,"general"}</definedName>
    <definedName name="_u7" localSheetId="5" hidden="1">{"via1",#N/A,TRUE,"general";"via2",#N/A,TRUE,"general";"via3",#N/A,TRUE,"general"}</definedName>
    <definedName name="_u7" hidden="1">{"via1",#N/A,TRUE,"general";"via2",#N/A,TRUE,"general";"via3",#N/A,TRUE,"general"}</definedName>
    <definedName name="_u8" localSheetId="10" hidden="1">{"TAB1",#N/A,TRUE,"GENERAL";"TAB2",#N/A,TRUE,"GENERAL";"TAB3",#N/A,TRUE,"GENERAL";"TAB4",#N/A,TRUE,"GENERAL";"TAB5",#N/A,TRUE,"GENERAL"}</definedName>
    <definedName name="_u8" localSheetId="8" hidden="1">{"TAB1",#N/A,TRUE,"GENERAL";"TAB2",#N/A,TRUE,"GENERAL";"TAB3",#N/A,TRUE,"GENERAL";"TAB4",#N/A,TRUE,"GENERAL";"TAB5",#N/A,TRUE,"GENERAL"}</definedName>
    <definedName name="_u8" localSheetId="5" hidden="1">{"TAB1",#N/A,TRUE,"GENERAL";"TAB2",#N/A,TRUE,"GENERAL";"TAB3",#N/A,TRUE,"GENERAL";"TAB4",#N/A,TRUE,"GENERAL";"TAB5",#N/A,TRUE,"GENERAL"}</definedName>
    <definedName name="_u8" hidden="1">{"TAB1",#N/A,TRUE,"GENERAL";"TAB2",#N/A,TRUE,"GENERAL";"TAB3",#N/A,TRUE,"GENERAL";"TAB4",#N/A,TRUE,"GENERAL";"TAB5",#N/A,TRUE,"GENERAL"}</definedName>
    <definedName name="_u9" localSheetId="10" hidden="1">{"TAB1",#N/A,TRUE,"GENERAL";"TAB2",#N/A,TRUE,"GENERAL";"TAB3",#N/A,TRUE,"GENERAL";"TAB4",#N/A,TRUE,"GENERAL";"TAB5",#N/A,TRUE,"GENERAL"}</definedName>
    <definedName name="_u9" localSheetId="8" hidden="1">{"TAB1",#N/A,TRUE,"GENERAL";"TAB2",#N/A,TRUE,"GENERAL";"TAB3",#N/A,TRUE,"GENERAL";"TAB4",#N/A,TRUE,"GENERAL";"TAB5",#N/A,TRUE,"GENERAL"}</definedName>
    <definedName name="_u9" localSheetId="5" hidden="1">{"TAB1",#N/A,TRUE,"GENERAL";"TAB2",#N/A,TRUE,"GENERAL";"TAB3",#N/A,TRUE,"GENERAL";"TAB4",#N/A,TRUE,"GENERAL";"TAB5",#N/A,TRUE,"GENERAL"}</definedName>
    <definedName name="_u9" hidden="1">{"TAB1",#N/A,TRUE,"GENERAL";"TAB2",#N/A,TRUE,"GENERAL";"TAB3",#N/A,TRUE,"GENERAL";"TAB4",#N/A,TRUE,"GENERAL";"TAB5",#N/A,TRUE,"GENERAL"}</definedName>
    <definedName name="_ur7" localSheetId="10" hidden="1">{"TAB1",#N/A,TRUE,"GENERAL";"TAB2",#N/A,TRUE,"GENERAL";"TAB3",#N/A,TRUE,"GENERAL";"TAB4",#N/A,TRUE,"GENERAL";"TAB5",#N/A,TRUE,"GENERAL"}</definedName>
    <definedName name="_ur7" localSheetId="8" hidden="1">{"TAB1",#N/A,TRUE,"GENERAL";"TAB2",#N/A,TRUE,"GENERAL";"TAB3",#N/A,TRUE,"GENERAL";"TAB4",#N/A,TRUE,"GENERAL";"TAB5",#N/A,TRUE,"GENERAL"}</definedName>
    <definedName name="_ur7" localSheetId="5" hidden="1">{"TAB1",#N/A,TRUE,"GENERAL";"TAB2",#N/A,TRUE,"GENERAL";"TAB3",#N/A,TRUE,"GENERAL";"TAB4",#N/A,TRUE,"GENERAL";"TAB5",#N/A,TRUE,"GENERAL"}</definedName>
    <definedName name="_ur7" hidden="1">{"TAB1",#N/A,TRUE,"GENERAL";"TAB2",#N/A,TRUE,"GENERAL";"TAB3",#N/A,TRUE,"GENERAL";"TAB4",#N/A,TRUE,"GENERAL";"TAB5",#N/A,TRUE,"GENERAL"}</definedName>
    <definedName name="_v2" localSheetId="10" hidden="1">{"via1",#N/A,TRUE,"general";"via2",#N/A,TRUE,"general";"via3",#N/A,TRUE,"general"}</definedName>
    <definedName name="_v2" localSheetId="8" hidden="1">{"via1",#N/A,TRUE,"general";"via2",#N/A,TRUE,"general";"via3",#N/A,TRUE,"general"}</definedName>
    <definedName name="_v2" localSheetId="5" hidden="1">{"via1",#N/A,TRUE,"general";"via2",#N/A,TRUE,"general";"via3",#N/A,TRUE,"general"}</definedName>
    <definedName name="_v2" hidden="1">{"via1",#N/A,TRUE,"general";"via2",#N/A,TRUE,"general";"via3",#N/A,TRUE,"general"}</definedName>
    <definedName name="_v3" localSheetId="10" hidden="1">{"TAB1",#N/A,TRUE,"GENERAL";"TAB2",#N/A,TRUE,"GENERAL";"TAB3",#N/A,TRUE,"GENERAL";"TAB4",#N/A,TRUE,"GENERAL";"TAB5",#N/A,TRUE,"GENERAL"}</definedName>
    <definedName name="_v3" localSheetId="8" hidden="1">{"TAB1",#N/A,TRUE,"GENERAL";"TAB2",#N/A,TRUE,"GENERAL";"TAB3",#N/A,TRUE,"GENERAL";"TAB4",#N/A,TRUE,"GENERAL";"TAB5",#N/A,TRUE,"GENERAL"}</definedName>
    <definedName name="_v3" localSheetId="5" hidden="1">{"TAB1",#N/A,TRUE,"GENERAL";"TAB2",#N/A,TRUE,"GENERAL";"TAB3",#N/A,TRUE,"GENERAL";"TAB4",#N/A,TRUE,"GENERAL";"TAB5",#N/A,TRUE,"GENERAL"}</definedName>
    <definedName name="_v3" hidden="1">{"TAB1",#N/A,TRUE,"GENERAL";"TAB2",#N/A,TRUE,"GENERAL";"TAB3",#N/A,TRUE,"GENERAL";"TAB4",#N/A,TRUE,"GENERAL";"TAB5",#N/A,TRUE,"GENERAL"}</definedName>
    <definedName name="_v4" localSheetId="10" hidden="1">{"TAB1",#N/A,TRUE,"GENERAL";"TAB2",#N/A,TRUE,"GENERAL";"TAB3",#N/A,TRUE,"GENERAL";"TAB4",#N/A,TRUE,"GENERAL";"TAB5",#N/A,TRUE,"GENERAL"}</definedName>
    <definedName name="_v4" localSheetId="8" hidden="1">{"TAB1",#N/A,TRUE,"GENERAL";"TAB2",#N/A,TRUE,"GENERAL";"TAB3",#N/A,TRUE,"GENERAL";"TAB4",#N/A,TRUE,"GENERAL";"TAB5",#N/A,TRUE,"GENERAL"}</definedName>
    <definedName name="_v4" localSheetId="5" hidden="1">{"TAB1",#N/A,TRUE,"GENERAL";"TAB2",#N/A,TRUE,"GENERAL";"TAB3",#N/A,TRUE,"GENERAL";"TAB4",#N/A,TRUE,"GENERAL";"TAB5",#N/A,TRUE,"GENERAL"}</definedName>
    <definedName name="_v4" hidden="1">{"TAB1",#N/A,TRUE,"GENERAL";"TAB2",#N/A,TRUE,"GENERAL";"TAB3",#N/A,TRUE,"GENERAL";"TAB4",#N/A,TRUE,"GENERAL";"TAB5",#N/A,TRUE,"GENERAL"}</definedName>
    <definedName name="_v5" localSheetId="10" hidden="1">{"TAB1",#N/A,TRUE,"GENERAL";"TAB2",#N/A,TRUE,"GENERAL";"TAB3",#N/A,TRUE,"GENERAL";"TAB4",#N/A,TRUE,"GENERAL";"TAB5",#N/A,TRUE,"GENERAL"}</definedName>
    <definedName name="_v5" localSheetId="8" hidden="1">{"TAB1",#N/A,TRUE,"GENERAL";"TAB2",#N/A,TRUE,"GENERAL";"TAB3",#N/A,TRUE,"GENERAL";"TAB4",#N/A,TRUE,"GENERAL";"TAB5",#N/A,TRUE,"GENERAL"}</definedName>
    <definedName name="_v5" localSheetId="5" hidden="1">{"TAB1",#N/A,TRUE,"GENERAL";"TAB2",#N/A,TRUE,"GENERAL";"TAB3",#N/A,TRUE,"GENERAL";"TAB4",#N/A,TRUE,"GENERAL";"TAB5",#N/A,TRUE,"GENERAL"}</definedName>
    <definedName name="_v5" hidden="1">{"TAB1",#N/A,TRUE,"GENERAL";"TAB2",#N/A,TRUE,"GENERAL";"TAB3",#N/A,TRUE,"GENERAL";"TAB4",#N/A,TRUE,"GENERAL";"TAB5",#N/A,TRUE,"GENERAL"}</definedName>
    <definedName name="_v6" localSheetId="10" hidden="1">{"TAB1",#N/A,TRUE,"GENERAL";"TAB2",#N/A,TRUE,"GENERAL";"TAB3",#N/A,TRUE,"GENERAL";"TAB4",#N/A,TRUE,"GENERAL";"TAB5",#N/A,TRUE,"GENERAL"}</definedName>
    <definedName name="_v6" localSheetId="8" hidden="1">{"TAB1",#N/A,TRUE,"GENERAL";"TAB2",#N/A,TRUE,"GENERAL";"TAB3",#N/A,TRUE,"GENERAL";"TAB4",#N/A,TRUE,"GENERAL";"TAB5",#N/A,TRUE,"GENERAL"}</definedName>
    <definedName name="_v6" localSheetId="5" hidden="1">{"TAB1",#N/A,TRUE,"GENERAL";"TAB2",#N/A,TRUE,"GENERAL";"TAB3",#N/A,TRUE,"GENERAL";"TAB4",#N/A,TRUE,"GENERAL";"TAB5",#N/A,TRUE,"GENERAL"}</definedName>
    <definedName name="_v6" hidden="1">{"TAB1",#N/A,TRUE,"GENERAL";"TAB2",#N/A,TRUE,"GENERAL";"TAB3",#N/A,TRUE,"GENERAL";"TAB4",#N/A,TRUE,"GENERAL";"TAB5",#N/A,TRUE,"GENERAL"}</definedName>
    <definedName name="_v7" localSheetId="10" hidden="1">{"via1",#N/A,TRUE,"general";"via2",#N/A,TRUE,"general";"via3",#N/A,TRUE,"general"}</definedName>
    <definedName name="_v7" localSheetId="8" hidden="1">{"via1",#N/A,TRUE,"general";"via2",#N/A,TRUE,"general";"via3",#N/A,TRUE,"general"}</definedName>
    <definedName name="_v7" localSheetId="5" hidden="1">{"via1",#N/A,TRUE,"general";"via2",#N/A,TRUE,"general";"via3",#N/A,TRUE,"general"}</definedName>
    <definedName name="_v7" hidden="1">{"via1",#N/A,TRUE,"general";"via2",#N/A,TRUE,"general";"via3",#N/A,TRUE,"general"}</definedName>
    <definedName name="_v8" localSheetId="10" hidden="1">{"TAB1",#N/A,TRUE,"GENERAL";"TAB2",#N/A,TRUE,"GENERAL";"TAB3",#N/A,TRUE,"GENERAL";"TAB4",#N/A,TRUE,"GENERAL";"TAB5",#N/A,TRUE,"GENERAL"}</definedName>
    <definedName name="_v8" localSheetId="8" hidden="1">{"TAB1",#N/A,TRUE,"GENERAL";"TAB2",#N/A,TRUE,"GENERAL";"TAB3",#N/A,TRUE,"GENERAL";"TAB4",#N/A,TRUE,"GENERAL";"TAB5",#N/A,TRUE,"GENERAL"}</definedName>
    <definedName name="_v8" localSheetId="5" hidden="1">{"TAB1",#N/A,TRUE,"GENERAL";"TAB2",#N/A,TRUE,"GENERAL";"TAB3",#N/A,TRUE,"GENERAL";"TAB4",#N/A,TRUE,"GENERAL";"TAB5",#N/A,TRUE,"GENERAL"}</definedName>
    <definedName name="_v8" hidden="1">{"TAB1",#N/A,TRUE,"GENERAL";"TAB2",#N/A,TRUE,"GENERAL";"TAB3",#N/A,TRUE,"GENERAL";"TAB4",#N/A,TRUE,"GENERAL";"TAB5",#N/A,TRUE,"GENERAL"}</definedName>
    <definedName name="_v9" localSheetId="10" hidden="1">{"TAB1",#N/A,TRUE,"GENERAL";"TAB2",#N/A,TRUE,"GENERAL";"TAB3",#N/A,TRUE,"GENERAL";"TAB4",#N/A,TRUE,"GENERAL";"TAB5",#N/A,TRUE,"GENERAL"}</definedName>
    <definedName name="_v9" localSheetId="8" hidden="1">{"TAB1",#N/A,TRUE,"GENERAL";"TAB2",#N/A,TRUE,"GENERAL";"TAB3",#N/A,TRUE,"GENERAL";"TAB4",#N/A,TRUE,"GENERAL";"TAB5",#N/A,TRUE,"GENERAL"}</definedName>
    <definedName name="_v9" localSheetId="5" hidden="1">{"TAB1",#N/A,TRUE,"GENERAL";"TAB2",#N/A,TRUE,"GENERAL";"TAB3",#N/A,TRUE,"GENERAL";"TAB4",#N/A,TRUE,"GENERAL";"TAB5",#N/A,TRUE,"GENERAL"}</definedName>
    <definedName name="_v9" hidden="1">{"TAB1",#N/A,TRUE,"GENERAL";"TAB2",#N/A,TRUE,"GENERAL";"TAB3",#N/A,TRUE,"GENERAL";"TAB4",#N/A,TRUE,"GENERAL";"TAB5",#N/A,TRUE,"GENERAL"}</definedName>
    <definedName name="_vfv4" localSheetId="10" hidden="1">{"via1",#N/A,TRUE,"general";"via2",#N/A,TRUE,"general";"via3",#N/A,TRUE,"general"}</definedName>
    <definedName name="_vfv4" localSheetId="8" hidden="1">{"via1",#N/A,TRUE,"general";"via2",#N/A,TRUE,"general";"via3",#N/A,TRUE,"general"}</definedName>
    <definedName name="_vfv4" localSheetId="5" hidden="1">{"via1",#N/A,TRUE,"general";"via2",#N/A,TRUE,"general";"via3",#N/A,TRUE,"general"}</definedName>
    <definedName name="_vfv4" hidden="1">{"via1",#N/A,TRUE,"general";"via2",#N/A,TRUE,"general";"via3",#N/A,TRUE,"general"}</definedName>
    <definedName name="_x1" localSheetId="10" hidden="1">{"TAB1",#N/A,TRUE,"GENERAL";"TAB2",#N/A,TRUE,"GENERAL";"TAB3",#N/A,TRUE,"GENERAL";"TAB4",#N/A,TRUE,"GENERAL";"TAB5",#N/A,TRUE,"GENERAL"}</definedName>
    <definedName name="_x1" localSheetId="8" hidden="1">{"TAB1",#N/A,TRUE,"GENERAL";"TAB2",#N/A,TRUE,"GENERAL";"TAB3",#N/A,TRUE,"GENERAL";"TAB4",#N/A,TRUE,"GENERAL";"TAB5",#N/A,TRUE,"GENERAL"}</definedName>
    <definedName name="_x1" localSheetId="5" hidden="1">{"TAB1",#N/A,TRUE,"GENERAL";"TAB2",#N/A,TRUE,"GENERAL";"TAB3",#N/A,TRUE,"GENERAL";"TAB4",#N/A,TRUE,"GENERAL";"TAB5",#N/A,TRUE,"GENERAL"}</definedName>
    <definedName name="_x1" hidden="1">{"TAB1",#N/A,TRUE,"GENERAL";"TAB2",#N/A,TRUE,"GENERAL";"TAB3",#N/A,TRUE,"GENERAL";"TAB4",#N/A,TRUE,"GENERAL";"TAB5",#N/A,TRUE,"GENERAL"}</definedName>
    <definedName name="_x2" localSheetId="10" hidden="1">{"via1",#N/A,TRUE,"general";"via2",#N/A,TRUE,"general";"via3",#N/A,TRUE,"general"}</definedName>
    <definedName name="_x2" localSheetId="8" hidden="1">{"via1",#N/A,TRUE,"general";"via2",#N/A,TRUE,"general";"via3",#N/A,TRUE,"general"}</definedName>
    <definedName name="_x2" localSheetId="5" hidden="1">{"via1",#N/A,TRUE,"general";"via2",#N/A,TRUE,"general";"via3",#N/A,TRUE,"general"}</definedName>
    <definedName name="_x2" hidden="1">{"via1",#N/A,TRUE,"general";"via2",#N/A,TRUE,"general";"via3",#N/A,TRUE,"general"}</definedName>
    <definedName name="_x3" localSheetId="10" hidden="1">{"via1",#N/A,TRUE,"general";"via2",#N/A,TRUE,"general";"via3",#N/A,TRUE,"general"}</definedName>
    <definedName name="_x3" localSheetId="8" hidden="1">{"via1",#N/A,TRUE,"general";"via2",#N/A,TRUE,"general";"via3",#N/A,TRUE,"general"}</definedName>
    <definedName name="_x3" localSheetId="5" hidden="1">{"via1",#N/A,TRUE,"general";"via2",#N/A,TRUE,"general";"via3",#N/A,TRUE,"general"}</definedName>
    <definedName name="_x3" hidden="1">{"via1",#N/A,TRUE,"general";"via2",#N/A,TRUE,"general";"via3",#N/A,TRUE,"general"}</definedName>
    <definedName name="_x4" localSheetId="10" hidden="1">{"via1",#N/A,TRUE,"general";"via2",#N/A,TRUE,"general";"via3",#N/A,TRUE,"general"}</definedName>
    <definedName name="_x4" localSheetId="8" hidden="1">{"via1",#N/A,TRUE,"general";"via2",#N/A,TRUE,"general";"via3",#N/A,TRUE,"general"}</definedName>
    <definedName name="_x4" localSheetId="5" hidden="1">{"via1",#N/A,TRUE,"general";"via2",#N/A,TRUE,"general";"via3",#N/A,TRUE,"general"}</definedName>
    <definedName name="_x4" hidden="1">{"via1",#N/A,TRUE,"general";"via2",#N/A,TRUE,"general";"via3",#N/A,TRUE,"general"}</definedName>
    <definedName name="_x5" localSheetId="10" hidden="1">{"TAB1",#N/A,TRUE,"GENERAL";"TAB2",#N/A,TRUE,"GENERAL";"TAB3",#N/A,TRUE,"GENERAL";"TAB4",#N/A,TRUE,"GENERAL";"TAB5",#N/A,TRUE,"GENERAL"}</definedName>
    <definedName name="_x5" localSheetId="8" hidden="1">{"TAB1",#N/A,TRUE,"GENERAL";"TAB2",#N/A,TRUE,"GENERAL";"TAB3",#N/A,TRUE,"GENERAL";"TAB4",#N/A,TRUE,"GENERAL";"TAB5",#N/A,TRUE,"GENERAL"}</definedName>
    <definedName name="_x5" localSheetId="5" hidden="1">{"TAB1",#N/A,TRUE,"GENERAL";"TAB2",#N/A,TRUE,"GENERAL";"TAB3",#N/A,TRUE,"GENERAL";"TAB4",#N/A,TRUE,"GENERAL";"TAB5",#N/A,TRUE,"GENERAL"}</definedName>
    <definedName name="_x5" hidden="1">{"TAB1",#N/A,TRUE,"GENERAL";"TAB2",#N/A,TRUE,"GENERAL";"TAB3",#N/A,TRUE,"GENERAL";"TAB4",#N/A,TRUE,"GENERAL";"TAB5",#N/A,TRUE,"GENERAL"}</definedName>
    <definedName name="_x6" localSheetId="10" hidden="1">{"TAB1",#N/A,TRUE,"GENERAL";"TAB2",#N/A,TRUE,"GENERAL";"TAB3",#N/A,TRUE,"GENERAL";"TAB4",#N/A,TRUE,"GENERAL";"TAB5",#N/A,TRUE,"GENERAL"}</definedName>
    <definedName name="_x6" localSheetId="8" hidden="1">{"TAB1",#N/A,TRUE,"GENERAL";"TAB2",#N/A,TRUE,"GENERAL";"TAB3",#N/A,TRUE,"GENERAL";"TAB4",#N/A,TRUE,"GENERAL";"TAB5",#N/A,TRUE,"GENERAL"}</definedName>
    <definedName name="_x6" localSheetId="5" hidden="1">{"TAB1",#N/A,TRUE,"GENERAL";"TAB2",#N/A,TRUE,"GENERAL";"TAB3",#N/A,TRUE,"GENERAL";"TAB4",#N/A,TRUE,"GENERAL";"TAB5",#N/A,TRUE,"GENERAL"}</definedName>
    <definedName name="_x6" hidden="1">{"TAB1",#N/A,TRUE,"GENERAL";"TAB2",#N/A,TRUE,"GENERAL";"TAB3",#N/A,TRUE,"GENERAL";"TAB4",#N/A,TRUE,"GENERAL";"TAB5",#N/A,TRUE,"GENERAL"}</definedName>
    <definedName name="_x7" localSheetId="10" hidden="1">{"TAB1",#N/A,TRUE,"GENERAL";"TAB2",#N/A,TRUE,"GENERAL";"TAB3",#N/A,TRUE,"GENERAL";"TAB4",#N/A,TRUE,"GENERAL";"TAB5",#N/A,TRUE,"GENERAL"}</definedName>
    <definedName name="_x7" localSheetId="8" hidden="1">{"TAB1",#N/A,TRUE,"GENERAL";"TAB2",#N/A,TRUE,"GENERAL";"TAB3",#N/A,TRUE,"GENERAL";"TAB4",#N/A,TRUE,"GENERAL";"TAB5",#N/A,TRUE,"GENERAL"}</definedName>
    <definedName name="_x7" localSheetId="5" hidden="1">{"TAB1",#N/A,TRUE,"GENERAL";"TAB2",#N/A,TRUE,"GENERAL";"TAB3",#N/A,TRUE,"GENERAL";"TAB4",#N/A,TRUE,"GENERAL";"TAB5",#N/A,TRUE,"GENERAL"}</definedName>
    <definedName name="_x7" hidden="1">{"TAB1",#N/A,TRUE,"GENERAL";"TAB2",#N/A,TRUE,"GENERAL";"TAB3",#N/A,TRUE,"GENERAL";"TAB4",#N/A,TRUE,"GENERAL";"TAB5",#N/A,TRUE,"GENERAL"}</definedName>
    <definedName name="_x8" localSheetId="10" hidden="1">{"via1",#N/A,TRUE,"general";"via2",#N/A,TRUE,"general";"via3",#N/A,TRUE,"general"}</definedName>
    <definedName name="_x8" localSheetId="8" hidden="1">{"via1",#N/A,TRUE,"general";"via2",#N/A,TRUE,"general";"via3",#N/A,TRUE,"general"}</definedName>
    <definedName name="_x8" localSheetId="5" hidden="1">{"via1",#N/A,TRUE,"general";"via2",#N/A,TRUE,"general";"via3",#N/A,TRUE,"general"}</definedName>
    <definedName name="_x8" hidden="1">{"via1",#N/A,TRUE,"general";"via2",#N/A,TRUE,"general";"via3",#N/A,TRUE,"general"}</definedName>
    <definedName name="_x9" localSheetId="10" hidden="1">{"TAB1",#N/A,TRUE,"GENERAL";"TAB2",#N/A,TRUE,"GENERAL";"TAB3",#N/A,TRUE,"GENERAL";"TAB4",#N/A,TRUE,"GENERAL";"TAB5",#N/A,TRUE,"GENERAL"}</definedName>
    <definedName name="_x9" localSheetId="8" hidden="1">{"TAB1",#N/A,TRUE,"GENERAL";"TAB2",#N/A,TRUE,"GENERAL";"TAB3",#N/A,TRUE,"GENERAL";"TAB4",#N/A,TRUE,"GENERAL";"TAB5",#N/A,TRUE,"GENERAL"}</definedName>
    <definedName name="_x9" localSheetId="5" hidden="1">{"TAB1",#N/A,TRUE,"GENERAL";"TAB2",#N/A,TRUE,"GENERAL";"TAB3",#N/A,TRUE,"GENERAL";"TAB4",#N/A,TRUE,"GENERAL";"TAB5",#N/A,TRUE,"GENERAL"}</definedName>
    <definedName name="_x9" hidden="1">{"TAB1",#N/A,TRUE,"GENERAL";"TAB2",#N/A,TRUE,"GENERAL";"TAB3",#N/A,TRUE,"GENERAL";"TAB4",#N/A,TRUE,"GENERAL";"TAB5",#N/A,TRUE,"GENERAL"}</definedName>
    <definedName name="_y2" localSheetId="10" hidden="1">{"TAB1",#N/A,TRUE,"GENERAL";"TAB2",#N/A,TRUE,"GENERAL";"TAB3",#N/A,TRUE,"GENERAL";"TAB4",#N/A,TRUE,"GENERAL";"TAB5",#N/A,TRUE,"GENERAL"}</definedName>
    <definedName name="_y2" localSheetId="8" hidden="1">{"TAB1",#N/A,TRUE,"GENERAL";"TAB2",#N/A,TRUE,"GENERAL";"TAB3",#N/A,TRUE,"GENERAL";"TAB4",#N/A,TRUE,"GENERAL";"TAB5",#N/A,TRUE,"GENERAL"}</definedName>
    <definedName name="_y2" localSheetId="5" hidden="1">{"TAB1",#N/A,TRUE,"GENERAL";"TAB2",#N/A,TRUE,"GENERAL";"TAB3",#N/A,TRUE,"GENERAL";"TAB4",#N/A,TRUE,"GENERAL";"TAB5",#N/A,TRUE,"GENERAL"}</definedName>
    <definedName name="_y2" hidden="1">{"TAB1",#N/A,TRUE,"GENERAL";"TAB2",#N/A,TRUE,"GENERAL";"TAB3",#N/A,TRUE,"GENERAL";"TAB4",#N/A,TRUE,"GENERAL";"TAB5",#N/A,TRUE,"GENERAL"}</definedName>
    <definedName name="_y3" localSheetId="10" hidden="1">{"via1",#N/A,TRUE,"general";"via2",#N/A,TRUE,"general";"via3",#N/A,TRUE,"general"}</definedName>
    <definedName name="_y3" localSheetId="8" hidden="1">{"via1",#N/A,TRUE,"general";"via2",#N/A,TRUE,"general";"via3",#N/A,TRUE,"general"}</definedName>
    <definedName name="_y3" localSheetId="5" hidden="1">{"via1",#N/A,TRUE,"general";"via2",#N/A,TRUE,"general";"via3",#N/A,TRUE,"general"}</definedName>
    <definedName name="_y3" hidden="1">{"via1",#N/A,TRUE,"general";"via2",#N/A,TRUE,"general";"via3",#N/A,TRUE,"general"}</definedName>
    <definedName name="_y4" localSheetId="10" hidden="1">{"via1",#N/A,TRUE,"general";"via2",#N/A,TRUE,"general";"via3",#N/A,TRUE,"general"}</definedName>
    <definedName name="_y4" localSheetId="8" hidden="1">{"via1",#N/A,TRUE,"general";"via2",#N/A,TRUE,"general";"via3",#N/A,TRUE,"general"}</definedName>
    <definedName name="_y4" localSheetId="5" hidden="1">{"via1",#N/A,TRUE,"general";"via2",#N/A,TRUE,"general";"via3",#N/A,TRUE,"general"}</definedName>
    <definedName name="_y4" hidden="1">{"via1",#N/A,TRUE,"general";"via2",#N/A,TRUE,"general";"via3",#N/A,TRUE,"general"}</definedName>
    <definedName name="_y5" localSheetId="10" hidden="1">{"TAB1",#N/A,TRUE,"GENERAL";"TAB2",#N/A,TRUE,"GENERAL";"TAB3",#N/A,TRUE,"GENERAL";"TAB4",#N/A,TRUE,"GENERAL";"TAB5",#N/A,TRUE,"GENERAL"}</definedName>
    <definedName name="_y5" localSheetId="8" hidden="1">{"TAB1",#N/A,TRUE,"GENERAL";"TAB2",#N/A,TRUE,"GENERAL";"TAB3",#N/A,TRUE,"GENERAL";"TAB4",#N/A,TRUE,"GENERAL";"TAB5",#N/A,TRUE,"GENERAL"}</definedName>
    <definedName name="_y5" localSheetId="5" hidden="1">{"TAB1",#N/A,TRUE,"GENERAL";"TAB2",#N/A,TRUE,"GENERAL";"TAB3",#N/A,TRUE,"GENERAL";"TAB4",#N/A,TRUE,"GENERAL";"TAB5",#N/A,TRUE,"GENERAL"}</definedName>
    <definedName name="_y5" hidden="1">{"TAB1",#N/A,TRUE,"GENERAL";"TAB2",#N/A,TRUE,"GENERAL";"TAB3",#N/A,TRUE,"GENERAL";"TAB4",#N/A,TRUE,"GENERAL";"TAB5",#N/A,TRUE,"GENERAL"}</definedName>
    <definedName name="_y6" localSheetId="10" hidden="1">{"via1",#N/A,TRUE,"general";"via2",#N/A,TRUE,"general";"via3",#N/A,TRUE,"general"}</definedName>
    <definedName name="_y6" localSheetId="8" hidden="1">{"via1",#N/A,TRUE,"general";"via2",#N/A,TRUE,"general";"via3",#N/A,TRUE,"general"}</definedName>
    <definedName name="_y6" localSheetId="5" hidden="1">{"via1",#N/A,TRUE,"general";"via2",#N/A,TRUE,"general";"via3",#N/A,TRUE,"general"}</definedName>
    <definedName name="_y6" hidden="1">{"via1",#N/A,TRUE,"general";"via2",#N/A,TRUE,"general";"via3",#N/A,TRUE,"general"}</definedName>
    <definedName name="_y7" localSheetId="10" hidden="1">{"via1",#N/A,TRUE,"general";"via2",#N/A,TRUE,"general";"via3",#N/A,TRUE,"general"}</definedName>
    <definedName name="_y7" localSheetId="8" hidden="1">{"via1",#N/A,TRUE,"general";"via2",#N/A,TRUE,"general";"via3",#N/A,TRUE,"general"}</definedName>
    <definedName name="_y7" localSheetId="5" hidden="1">{"via1",#N/A,TRUE,"general";"via2",#N/A,TRUE,"general";"via3",#N/A,TRUE,"general"}</definedName>
    <definedName name="_y7" hidden="1">{"via1",#N/A,TRUE,"general";"via2",#N/A,TRUE,"general";"via3",#N/A,TRUE,"general"}</definedName>
    <definedName name="_y8" localSheetId="10" hidden="1">{"via1",#N/A,TRUE,"general";"via2",#N/A,TRUE,"general";"via3",#N/A,TRUE,"general"}</definedName>
    <definedName name="_y8" localSheetId="8" hidden="1">{"via1",#N/A,TRUE,"general";"via2",#N/A,TRUE,"general";"via3",#N/A,TRUE,"general"}</definedName>
    <definedName name="_y8" localSheetId="5" hidden="1">{"via1",#N/A,TRUE,"general";"via2",#N/A,TRUE,"general";"via3",#N/A,TRUE,"general"}</definedName>
    <definedName name="_y8" hidden="1">{"via1",#N/A,TRUE,"general";"via2",#N/A,TRUE,"general";"via3",#N/A,TRUE,"general"}</definedName>
    <definedName name="_y9" localSheetId="10" hidden="1">{"TAB1",#N/A,TRUE,"GENERAL";"TAB2",#N/A,TRUE,"GENERAL";"TAB3",#N/A,TRUE,"GENERAL";"TAB4",#N/A,TRUE,"GENERAL";"TAB5",#N/A,TRUE,"GENERAL"}</definedName>
    <definedName name="_y9" localSheetId="8" hidden="1">{"TAB1",#N/A,TRUE,"GENERAL";"TAB2",#N/A,TRUE,"GENERAL";"TAB3",#N/A,TRUE,"GENERAL";"TAB4",#N/A,TRUE,"GENERAL";"TAB5",#N/A,TRUE,"GENERAL"}</definedName>
    <definedName name="_y9" localSheetId="5" hidden="1">{"TAB1",#N/A,TRUE,"GENERAL";"TAB2",#N/A,TRUE,"GENERAL";"TAB3",#N/A,TRUE,"GENERAL";"TAB4",#N/A,TRUE,"GENERAL";"TAB5",#N/A,TRUE,"GENERAL"}</definedName>
    <definedName name="_y9" hidden="1">{"TAB1",#N/A,TRUE,"GENERAL";"TAB2",#N/A,TRUE,"GENERAL";"TAB3",#N/A,TRUE,"GENERAL";"TAB4",#N/A,TRUE,"GENERAL";"TAB5",#N/A,TRUE,"GENERAL"}</definedName>
    <definedName name="_z1" localSheetId="10" hidden="1">{"TAB1",#N/A,TRUE,"GENERAL";"TAB2",#N/A,TRUE,"GENERAL";"TAB3",#N/A,TRUE,"GENERAL";"TAB4",#N/A,TRUE,"GENERAL";"TAB5",#N/A,TRUE,"GENERAL"}</definedName>
    <definedName name="_z1" localSheetId="8" hidden="1">{"TAB1",#N/A,TRUE,"GENERAL";"TAB2",#N/A,TRUE,"GENERAL";"TAB3",#N/A,TRUE,"GENERAL";"TAB4",#N/A,TRUE,"GENERAL";"TAB5",#N/A,TRUE,"GENERAL"}</definedName>
    <definedName name="_z1" localSheetId="5" hidden="1">{"TAB1",#N/A,TRUE,"GENERAL";"TAB2",#N/A,TRUE,"GENERAL";"TAB3",#N/A,TRUE,"GENERAL";"TAB4",#N/A,TRUE,"GENERAL";"TAB5",#N/A,TRUE,"GENERAL"}</definedName>
    <definedName name="_z1" hidden="1">{"TAB1",#N/A,TRUE,"GENERAL";"TAB2",#N/A,TRUE,"GENERAL";"TAB3",#N/A,TRUE,"GENERAL";"TAB4",#N/A,TRUE,"GENERAL";"TAB5",#N/A,TRUE,"GENERAL"}</definedName>
    <definedName name="_z2" localSheetId="10" hidden="1">{"via1",#N/A,TRUE,"general";"via2",#N/A,TRUE,"general";"via3",#N/A,TRUE,"general"}</definedName>
    <definedName name="_z2" localSheetId="8" hidden="1">{"via1",#N/A,TRUE,"general";"via2",#N/A,TRUE,"general";"via3",#N/A,TRUE,"general"}</definedName>
    <definedName name="_z2" localSheetId="5" hidden="1">{"via1",#N/A,TRUE,"general";"via2",#N/A,TRUE,"general";"via3",#N/A,TRUE,"general"}</definedName>
    <definedName name="_z2" hidden="1">{"via1",#N/A,TRUE,"general";"via2",#N/A,TRUE,"general";"via3",#N/A,TRUE,"general"}</definedName>
    <definedName name="_z3" localSheetId="10" hidden="1">{"via1",#N/A,TRUE,"general";"via2",#N/A,TRUE,"general";"via3",#N/A,TRUE,"general"}</definedName>
    <definedName name="_z3" localSheetId="8" hidden="1">{"via1",#N/A,TRUE,"general";"via2",#N/A,TRUE,"general";"via3",#N/A,TRUE,"general"}</definedName>
    <definedName name="_z3" localSheetId="5" hidden="1">{"via1",#N/A,TRUE,"general";"via2",#N/A,TRUE,"general";"via3",#N/A,TRUE,"general"}</definedName>
    <definedName name="_z3" hidden="1">{"via1",#N/A,TRUE,"general";"via2",#N/A,TRUE,"general";"via3",#N/A,TRUE,"general"}</definedName>
    <definedName name="_z4" localSheetId="10" hidden="1">{"TAB1",#N/A,TRUE,"GENERAL";"TAB2",#N/A,TRUE,"GENERAL";"TAB3",#N/A,TRUE,"GENERAL";"TAB4",#N/A,TRUE,"GENERAL";"TAB5",#N/A,TRUE,"GENERAL"}</definedName>
    <definedName name="_z4" localSheetId="8" hidden="1">{"TAB1",#N/A,TRUE,"GENERAL";"TAB2",#N/A,TRUE,"GENERAL";"TAB3",#N/A,TRUE,"GENERAL";"TAB4",#N/A,TRUE,"GENERAL";"TAB5",#N/A,TRUE,"GENERAL"}</definedName>
    <definedName name="_z4" localSheetId="5" hidden="1">{"TAB1",#N/A,TRUE,"GENERAL";"TAB2",#N/A,TRUE,"GENERAL";"TAB3",#N/A,TRUE,"GENERAL";"TAB4",#N/A,TRUE,"GENERAL";"TAB5",#N/A,TRUE,"GENERAL"}</definedName>
    <definedName name="_z4" hidden="1">{"TAB1",#N/A,TRUE,"GENERAL";"TAB2",#N/A,TRUE,"GENERAL";"TAB3",#N/A,TRUE,"GENERAL";"TAB4",#N/A,TRUE,"GENERAL";"TAB5",#N/A,TRUE,"GENERAL"}</definedName>
    <definedName name="_z5" localSheetId="10" hidden="1">{"via1",#N/A,TRUE,"general";"via2",#N/A,TRUE,"general";"via3",#N/A,TRUE,"general"}</definedName>
    <definedName name="_z5" localSheetId="8" hidden="1">{"via1",#N/A,TRUE,"general";"via2",#N/A,TRUE,"general";"via3",#N/A,TRUE,"general"}</definedName>
    <definedName name="_z5" localSheetId="5" hidden="1">{"via1",#N/A,TRUE,"general";"via2",#N/A,TRUE,"general";"via3",#N/A,TRUE,"general"}</definedName>
    <definedName name="_z5" hidden="1">{"via1",#N/A,TRUE,"general";"via2",#N/A,TRUE,"general";"via3",#N/A,TRUE,"general"}</definedName>
    <definedName name="_z6" localSheetId="10" hidden="1">{"TAB1",#N/A,TRUE,"GENERAL";"TAB2",#N/A,TRUE,"GENERAL";"TAB3",#N/A,TRUE,"GENERAL";"TAB4",#N/A,TRUE,"GENERAL";"TAB5",#N/A,TRUE,"GENERAL"}</definedName>
    <definedName name="_z6" localSheetId="8" hidden="1">{"TAB1",#N/A,TRUE,"GENERAL";"TAB2",#N/A,TRUE,"GENERAL";"TAB3",#N/A,TRUE,"GENERAL";"TAB4",#N/A,TRUE,"GENERAL";"TAB5",#N/A,TRUE,"GENERAL"}</definedName>
    <definedName name="_z6" localSheetId="5" hidden="1">{"TAB1",#N/A,TRUE,"GENERAL";"TAB2",#N/A,TRUE,"GENERAL";"TAB3",#N/A,TRUE,"GENERAL";"TAB4",#N/A,TRUE,"GENERAL";"TAB5",#N/A,TRUE,"GENERAL"}</definedName>
    <definedName name="_z6" hidden="1">{"TAB1",#N/A,TRUE,"GENERAL";"TAB2",#N/A,TRUE,"GENERAL";"TAB3",#N/A,TRUE,"GENERAL";"TAB4",#N/A,TRUE,"GENERAL";"TAB5",#N/A,TRUE,"GENERAL"}</definedName>
    <definedName name="a" localSheetId="5">'[4]DUB-823'!#REF!</definedName>
    <definedName name="a">'[4]DUB-823'!#REF!</definedName>
    <definedName name="A_impresión_IM" localSheetId="5">#REF!</definedName>
    <definedName name="A_impresión_IM">#REF!</definedName>
    <definedName name="a2a" localSheetId="10" hidden="1">{"TAB1",#N/A,TRUE,"GENERAL";"TAB2",#N/A,TRUE,"GENERAL";"TAB3",#N/A,TRUE,"GENERAL";"TAB4",#N/A,TRUE,"GENERAL";"TAB5",#N/A,TRUE,"GENERAL"}</definedName>
    <definedName name="a2a" localSheetId="8" hidden="1">{"TAB1",#N/A,TRUE,"GENERAL";"TAB2",#N/A,TRUE,"GENERAL";"TAB3",#N/A,TRUE,"GENERAL";"TAB4",#N/A,TRUE,"GENERAL";"TAB5",#N/A,TRUE,"GENERAL"}</definedName>
    <definedName name="a2a" localSheetId="5" hidden="1">{"TAB1",#N/A,TRUE,"GENERAL";"TAB2",#N/A,TRUE,"GENERAL";"TAB3",#N/A,TRUE,"GENERAL";"TAB4",#N/A,TRUE,"GENERAL";"TAB5",#N/A,TRUE,"GENERAL"}</definedName>
    <definedName name="a2a" hidden="1">{"TAB1",#N/A,TRUE,"GENERAL";"TAB2",#N/A,TRUE,"GENERAL";"TAB3",#N/A,TRUE,"GENERAL";"TAB4",#N/A,TRUE,"GENERAL";"TAB5",#N/A,TRUE,"GENERAL"}</definedName>
    <definedName name="aa">#N/A</definedName>
    <definedName name="AAA">#N/A</definedName>
    <definedName name="aaaaaa">[5]otros!$C$5</definedName>
    <definedName name="aaaaas" localSheetId="10" hidden="1">{"TAB1",#N/A,TRUE,"GENERAL";"TAB2",#N/A,TRUE,"GENERAL";"TAB3",#N/A,TRUE,"GENERAL";"TAB4",#N/A,TRUE,"GENERAL";"TAB5",#N/A,TRUE,"GENERAL"}</definedName>
    <definedName name="aaaaas" localSheetId="8" hidden="1">{"TAB1",#N/A,TRUE,"GENERAL";"TAB2",#N/A,TRUE,"GENERAL";"TAB3",#N/A,TRUE,"GENERAL";"TAB4",#N/A,TRUE,"GENERAL";"TAB5",#N/A,TRUE,"GENERAL"}</definedName>
    <definedName name="aaaaas" localSheetId="5" hidden="1">{"TAB1",#N/A,TRUE,"GENERAL";"TAB2",#N/A,TRUE,"GENERAL";"TAB3",#N/A,TRUE,"GENERAL";"TAB4",#N/A,TRUE,"GENERAL";"TAB5",#N/A,TRUE,"GENERAL"}</definedName>
    <definedName name="aaaaas" hidden="1">{"TAB1",#N/A,TRUE,"GENERAL";"TAB2",#N/A,TRUE,"GENERAL";"TAB3",#N/A,TRUE,"GENERAL";"TAB4",#N/A,TRUE,"GENERAL";"TAB5",#N/A,TRUE,"GENERAL"}</definedName>
    <definedName name="AAC">[1]AASHTO!$A$14:$F$17</definedName>
    <definedName name="aas" localSheetId="10" hidden="1">{"TAB1",#N/A,TRUE,"GENERAL";"TAB2",#N/A,TRUE,"GENERAL";"TAB3",#N/A,TRUE,"GENERAL";"TAB4",#N/A,TRUE,"GENERAL";"TAB5",#N/A,TRUE,"GENERAL"}</definedName>
    <definedName name="aas" localSheetId="8" hidden="1">{"TAB1",#N/A,TRUE,"GENERAL";"TAB2",#N/A,TRUE,"GENERAL";"TAB3",#N/A,TRUE,"GENERAL";"TAB4",#N/A,TRUE,"GENERAL";"TAB5",#N/A,TRUE,"GENERAL"}</definedName>
    <definedName name="aas" localSheetId="5" hidden="1">{"TAB1",#N/A,TRUE,"GENERAL";"TAB2",#N/A,TRUE,"GENERAL";"TAB3",#N/A,TRUE,"GENERAL";"TAB4",#N/A,TRUE,"GENERAL";"TAB5",#N/A,TRUE,"GENERAL"}</definedName>
    <definedName name="aas" hidden="1">{"TAB1",#N/A,TRUE,"GENERAL";"TAB2",#N/A,TRUE,"GENERAL";"TAB3",#N/A,TRUE,"GENERAL";"TAB4",#N/A,TRUE,"GENERAL";"TAB5",#N/A,TRUE,"GENERAL"}</definedName>
    <definedName name="abc" localSheetId="5">#REF!</definedName>
    <definedName name="abc">#REF!</definedName>
    <definedName name="ABG">[1]AASHTO!$A$2:$F$5</definedName>
    <definedName name="absc" localSheetId="5">[6]!absc</definedName>
    <definedName name="absc">[6]!absc</definedName>
    <definedName name="absc_" localSheetId="5">[7]!absc</definedName>
    <definedName name="absc_">[7]!absc</definedName>
    <definedName name="absc_1" localSheetId="5">[7]!absc</definedName>
    <definedName name="absc_1">[7]!absc</definedName>
    <definedName name="absc1" localSheetId="5">[8]!absc</definedName>
    <definedName name="absc1">[8]!absc</definedName>
    <definedName name="AccessDatabase" hidden="1">"A:\SAIN.mdb"</definedName>
    <definedName name="ad" localSheetId="5">#REF!</definedName>
    <definedName name="ad">#REF!</definedName>
    <definedName name="ADFGSDB" localSheetId="10" hidden="1">{"via1",#N/A,TRUE,"general";"via2",#N/A,TRUE,"general";"via3",#N/A,TRUE,"general"}</definedName>
    <definedName name="ADFGSDB" localSheetId="8" hidden="1">{"via1",#N/A,TRUE,"general";"via2",#N/A,TRUE,"general";"via3",#N/A,TRUE,"general"}</definedName>
    <definedName name="ADFGSDB" localSheetId="5" hidden="1">{"via1",#N/A,TRUE,"general";"via2",#N/A,TRUE,"general";"via3",#N/A,TRUE,"general"}</definedName>
    <definedName name="ADFGSDB" hidden="1">{"via1",#N/A,TRUE,"general";"via2",#N/A,TRUE,"general";"via3",#N/A,TRUE,"general"}</definedName>
    <definedName name="ADM">[5]otros!$C$2</definedName>
    <definedName name="administrador">[9]Informacion!$B$15</definedName>
    <definedName name="adoc1" localSheetId="5">[8]!absc</definedName>
    <definedName name="adoc1">[8]!absc</definedName>
    <definedName name="ADOC125" localSheetId="5">[10]!absc</definedName>
    <definedName name="ADOC125">[10]!absc</definedName>
    <definedName name="adoq" localSheetId="5">[11]!absc</definedName>
    <definedName name="adoq">[11]!absc</definedName>
    <definedName name="ADSAD" localSheetId="10" hidden="1">{"TAB1",#N/A,TRUE,"GENERAL";"TAB2",#N/A,TRUE,"GENERAL";"TAB3",#N/A,TRUE,"GENERAL";"TAB4",#N/A,TRUE,"GENERAL";"TAB5",#N/A,TRUE,"GENERAL"}</definedName>
    <definedName name="ADSAD" localSheetId="8" hidden="1">{"TAB1",#N/A,TRUE,"GENERAL";"TAB2",#N/A,TRUE,"GENERAL";"TAB3",#N/A,TRUE,"GENERAL";"TAB4",#N/A,TRUE,"GENERAL";"TAB5",#N/A,TRUE,"GENERAL"}</definedName>
    <definedName name="ADSAD" localSheetId="5" hidden="1">{"TAB1",#N/A,TRUE,"GENERAL";"TAB2",#N/A,TRUE,"GENERAL";"TAB3",#N/A,TRUE,"GENERAL";"TAB4",#N/A,TRUE,"GENERAL";"TAB5",#N/A,TRUE,"GENERAL"}</definedName>
    <definedName name="ADSAD" hidden="1">{"TAB1",#N/A,TRUE,"GENERAL";"TAB2",#N/A,TRUE,"GENERAL";"TAB3",#N/A,TRUE,"GENERAL";"TAB4",#N/A,TRUE,"GENERAL";"TAB5",#N/A,TRUE,"GENERAL"}</definedName>
    <definedName name="aefa" localSheetId="10" hidden="1">{"via1",#N/A,TRUE,"general";"via2",#N/A,TRUE,"general";"via3",#N/A,TRUE,"general"}</definedName>
    <definedName name="aefa" localSheetId="8" hidden="1">{"via1",#N/A,TRUE,"general";"via2",#N/A,TRUE,"general";"via3",#N/A,TRUE,"general"}</definedName>
    <definedName name="aefa" localSheetId="5" hidden="1">{"via1",#N/A,TRUE,"general";"via2",#N/A,TRUE,"general";"via3",#N/A,TRUE,"general"}</definedName>
    <definedName name="aefa" hidden="1">{"via1",#N/A,TRUE,"general";"via2",#N/A,TRUE,"general";"via3",#N/A,TRUE,"general"}</definedName>
    <definedName name="afdsw" localSheetId="10" hidden="1">{"TAB1",#N/A,TRUE,"GENERAL";"TAB2",#N/A,TRUE,"GENERAL";"TAB3",#N/A,TRUE,"GENERAL";"TAB4",#N/A,TRUE,"GENERAL";"TAB5",#N/A,TRUE,"GENERAL"}</definedName>
    <definedName name="afdsw" localSheetId="8" hidden="1">{"TAB1",#N/A,TRUE,"GENERAL";"TAB2",#N/A,TRUE,"GENERAL";"TAB3",#N/A,TRUE,"GENERAL";"TAB4",#N/A,TRUE,"GENERAL";"TAB5",#N/A,TRUE,"GENERAL"}</definedName>
    <definedName name="afdsw" localSheetId="5" hidden="1">{"TAB1",#N/A,TRUE,"GENERAL";"TAB2",#N/A,TRUE,"GENERAL";"TAB3",#N/A,TRUE,"GENERAL";"TAB4",#N/A,TRUE,"GENERAL";"TAB5",#N/A,TRUE,"GENERAL"}</definedName>
    <definedName name="afdsw" hidden="1">{"TAB1",#N/A,TRUE,"GENERAL";"TAB2",#N/A,TRUE,"GENERAL";"TAB3",#N/A,TRUE,"GENERAL";"TAB4",#N/A,TRUE,"GENERAL";"TAB5",#N/A,TRUE,"GENERAL"}</definedName>
    <definedName name="agdsgg" localSheetId="10" hidden="1">{"via1",#N/A,TRUE,"general";"via2",#N/A,TRUE,"general";"via3",#N/A,TRUE,"general"}</definedName>
    <definedName name="agdsgg" localSheetId="8" hidden="1">{"via1",#N/A,TRUE,"general";"via2",#N/A,TRUE,"general";"via3",#N/A,TRUE,"general"}</definedName>
    <definedName name="agdsgg" localSheetId="5" hidden="1">{"via1",#N/A,TRUE,"general";"via2",#N/A,TRUE,"general";"via3",#N/A,TRUE,"general"}</definedName>
    <definedName name="agdsgg" hidden="1">{"via1",#N/A,TRUE,"general";"via2",#N/A,TRUE,"general";"via3",#N/A,TRUE,"general"}</definedName>
    <definedName name="AIU" localSheetId="5">#REF!</definedName>
    <definedName name="AIU">#REF!</definedName>
    <definedName name="AjustDelAIU" localSheetId="5">#REF!</definedName>
    <definedName name="AjustDelAIU">#REF!</definedName>
    <definedName name="alc" localSheetId="5">[12]!absc</definedName>
    <definedName name="alc">[12]!absc</definedName>
    <definedName name="ANCLAJE" localSheetId="5">'[13]MC SF GAVIONES'!#REF!</definedName>
    <definedName name="ANCLAJE">'[13]MC SF GAVIONES'!#REF!</definedName>
    <definedName name="Antic">[14]BASES!$B$33</definedName>
    <definedName name="ANTICIPO">[15]BASES!$B$33</definedName>
    <definedName name="AÑO">[5]PRESUPUESTO!$D$13</definedName>
    <definedName name="AÑOWUIE">'[16]Res-Accide-10'!$R$2:$R$7</definedName>
    <definedName name="APU" localSheetId="5">[17]!absc</definedName>
    <definedName name="APU">[17]!absc</definedName>
    <definedName name="APU_directos" localSheetId="5">#REF!</definedName>
    <definedName name="APU_directos">#REF!</definedName>
    <definedName name="APU221.1" localSheetId="5">#REF!</definedName>
    <definedName name="APU221.1">#REF!</definedName>
    <definedName name="APU221.2" localSheetId="5">#REF!</definedName>
    <definedName name="APU221.2">#REF!</definedName>
    <definedName name="aq">#N/A</definedName>
    <definedName name="aqaq" localSheetId="10" hidden="1">{"TAB1",#N/A,TRUE,"GENERAL";"TAB2",#N/A,TRUE,"GENERAL";"TAB3",#N/A,TRUE,"GENERAL";"TAB4",#N/A,TRUE,"GENERAL";"TAB5",#N/A,TRUE,"GENERAL"}</definedName>
    <definedName name="aqaq" localSheetId="8" hidden="1">{"TAB1",#N/A,TRUE,"GENERAL";"TAB2",#N/A,TRUE,"GENERAL";"TAB3",#N/A,TRUE,"GENERAL";"TAB4",#N/A,TRUE,"GENERAL";"TAB5",#N/A,TRUE,"GENERAL"}</definedName>
    <definedName name="aqaq" localSheetId="5" hidden="1">{"TAB1",#N/A,TRUE,"GENERAL";"TAB2",#N/A,TRUE,"GENERAL";"TAB3",#N/A,TRUE,"GENERAL";"TAB4",#N/A,TRUE,"GENERAL";"TAB5",#N/A,TRUE,"GENERAL"}</definedName>
    <definedName name="aqaq" hidden="1">{"TAB1",#N/A,TRUE,"GENERAL";"TAB2",#N/A,TRUE,"GENERAL";"TAB3",#N/A,TRUE,"GENERAL";"TAB4",#N/A,TRUE,"GENERAL";"TAB5",#N/A,TRUE,"GENERAL"}</definedName>
    <definedName name="_xlnm.Print_Area" localSheetId="23">ACCIDENTALIDAD!$A$1:$J$31</definedName>
    <definedName name="_xlnm.Print_Area" localSheetId="13">'CANT OBRA'!$A$1:$H$1204</definedName>
    <definedName name="_xlnm.Print_Area" localSheetId="34">'CAPACITACION T.M. RUTINARIO'!$A$1:$G$308</definedName>
    <definedName name="_xlnm.Print_Area" localSheetId="33">COMENTARIOS!$A$1:$G$46</definedName>
    <definedName name="_xlnm.Print_Area" localSheetId="26">'CUANTI AMV'!$A$1:$K$25</definedName>
    <definedName name="_xlnm.Print_Area" localSheetId="28">'CUANTI MR'!$A$1:$M$28</definedName>
    <definedName name="_xlnm.Print_Area" localSheetId="3">'CUMPLIMIENTO % '!$A$1:$I$33</definedName>
    <definedName name="_xlnm.Print_Area" localSheetId="24">'DEFENSA VIAS'!$A$1:$I$57</definedName>
    <definedName name="_xlnm.Print_Area" localSheetId="7">'ESTADO RED TEC'!$A$1:$I$37</definedName>
    <definedName name="_xlnm.Print_Area" localSheetId="4">'ESTADO RED VIS'!$A$1:$G$48</definedName>
    <definedName name="_xlnm.Print_Area" localSheetId="31">FOTOS!$A$1:$F$52</definedName>
    <definedName name="_xlnm.Print_Area" localSheetId="2">'GENERALIDADES '!$A$1:$K$31</definedName>
    <definedName name="_xlnm.Print_Area" localSheetId="14">'INF. EMERGENCIAS'!$A$1:$I$22</definedName>
    <definedName name="_xlnm.Print_Area" localSheetId="30">'INTERVENTORIA DE CONTRATOS'!$A$1:$L$21</definedName>
    <definedName name="_xlnm.Print_Area" localSheetId="16">'NEC PTES'!$A$1:$O$29</definedName>
    <definedName name="_xlnm.Print_Area" localSheetId="18">'NEC. PONTONES'!$A$1:$G$30</definedName>
    <definedName name="_xlnm.Print_Area" localSheetId="11">'NECESIDAD VIA'!$A$1:$G$42</definedName>
    <definedName name="_xlnm.Print_Area" localSheetId="12">'NECESIDADES CRITICAS'!$A$1:$G$75</definedName>
    <definedName name="_xlnm.Print_Area" localSheetId="20">'NECESIDADES EN TÚNELES'!$A$4:$K$31</definedName>
    <definedName name="_xlnm.Print_Area" localSheetId="17">PONTONES!$A$1:$L$28</definedName>
    <definedName name="_xlnm.Print_Area" localSheetId="32">PRENSA!$A$1:$D$94</definedName>
    <definedName name="_xlnm.Print_Area" localSheetId="15">PUENTES!$A$1:$N$26</definedName>
    <definedName name="_xlnm.Print_Area" localSheetId="25">SEGUIMIENTO!$A$1:$AY$35</definedName>
    <definedName name="_xlnm.Print_Area" localSheetId="5">#REF!</definedName>
    <definedName name="_xlnm.Print_Area" localSheetId="22">'Señalización Horizontal'!$A$1:$Q$38</definedName>
    <definedName name="_xlnm.Print_Area" localSheetId="21">'Señalización Vertical'!$A$1:$AE$43</definedName>
    <definedName name="_xlnm.Print_Area" localSheetId="1">'TABLA DE CONTENIDO'!$A$1:$B$41</definedName>
    <definedName name="_xlnm.Print_Area" localSheetId="9">'TORTA EST. VIAS TEC'!$A$1:$C$31</definedName>
    <definedName name="_xlnm.Print_Area" localSheetId="6">'TORTA EST. VIAS VIS'!$A$1:$C$50</definedName>
    <definedName name="_xlnm.Print_Area" localSheetId="19">TUNELES!$A$1:$T$32</definedName>
    <definedName name="_xlnm.Print_Area">#REF!</definedName>
    <definedName name="armuve">#N/A</definedName>
    <definedName name="as">#N/A</definedName>
    <definedName name="ASB">[1]AASHTO!$A$8:$F$11</definedName>
    <definedName name="ASD" localSheetId="10" hidden="1">{"via1",#N/A,TRUE,"general";"via2",#N/A,TRUE,"general";"via3",#N/A,TRUE,"general"}</definedName>
    <definedName name="ASD" localSheetId="8" hidden="1">{"via1",#N/A,TRUE,"general";"via2",#N/A,TRUE,"general";"via3",#N/A,TRUE,"general"}</definedName>
    <definedName name="ASD" localSheetId="5" hidden="1">{"via1",#N/A,TRUE,"general";"via2",#N/A,TRUE,"general";"via3",#N/A,TRUE,"general"}</definedName>
    <definedName name="ASD" hidden="1">{"via1",#N/A,TRUE,"general";"via2",#N/A,TRUE,"general";"via3",#N/A,TRUE,"general"}</definedName>
    <definedName name="ASDA" localSheetId="10" hidden="1">{"via1",#N/A,TRUE,"general";"via2",#N/A,TRUE,"general";"via3",#N/A,TRUE,"general"}</definedName>
    <definedName name="ASDA" localSheetId="8" hidden="1">{"via1",#N/A,TRUE,"general";"via2",#N/A,TRUE,"general";"via3",#N/A,TRUE,"general"}</definedName>
    <definedName name="ASDA" localSheetId="5" hidden="1">{"via1",#N/A,TRUE,"general";"via2",#N/A,TRUE,"general";"via3",#N/A,TRUE,"general"}</definedName>
    <definedName name="ASDA" hidden="1">{"via1",#N/A,TRUE,"general";"via2",#N/A,TRUE,"general";"via3",#N/A,TRUE,"general"}</definedName>
    <definedName name="asdasd" localSheetId="10" hidden="1">{"TAB1",#N/A,TRUE,"GENERAL";"TAB2",#N/A,TRUE,"GENERAL";"TAB3",#N/A,TRUE,"GENERAL";"TAB4",#N/A,TRUE,"GENERAL";"TAB5",#N/A,TRUE,"GENERAL"}</definedName>
    <definedName name="asdasd" localSheetId="8" hidden="1">{"TAB1",#N/A,TRUE,"GENERAL";"TAB2",#N/A,TRUE,"GENERAL";"TAB3",#N/A,TRUE,"GENERAL";"TAB4",#N/A,TRUE,"GENERAL";"TAB5",#N/A,TRUE,"GENERAL"}</definedName>
    <definedName name="asdasd" localSheetId="5" hidden="1">{"TAB1",#N/A,TRUE,"GENERAL";"TAB2",#N/A,TRUE,"GENERAL";"TAB3",#N/A,TRUE,"GENERAL";"TAB4",#N/A,TRUE,"GENERAL";"TAB5",#N/A,TRUE,"GENERAL"}</definedName>
    <definedName name="asdasd" hidden="1">{"TAB1",#N/A,TRUE,"GENERAL";"TAB2",#N/A,TRUE,"GENERAL";"TAB3",#N/A,TRUE,"GENERAL";"TAB4",#N/A,TRUE,"GENERAL";"TAB5",#N/A,TRUE,"GENERAL"}</definedName>
    <definedName name="asdf" localSheetId="10" hidden="1">{"via1",#N/A,TRUE,"general";"via2",#N/A,TRUE,"general";"via3",#N/A,TRUE,"general"}</definedName>
    <definedName name="asdf" localSheetId="8" hidden="1">{"via1",#N/A,TRUE,"general";"via2",#N/A,TRUE,"general";"via3",#N/A,TRUE,"general"}</definedName>
    <definedName name="asdf" localSheetId="5" hidden="1">{"via1",#N/A,TRUE,"general";"via2",#N/A,TRUE,"general";"via3",#N/A,TRUE,"general"}</definedName>
    <definedName name="asdf" hidden="1">{"via1",#N/A,TRUE,"general";"via2",#N/A,TRUE,"general";"via3",#N/A,TRUE,"general"}</definedName>
    <definedName name="asdfa" localSheetId="10" hidden="1">{"via1",#N/A,TRUE,"general";"via2",#N/A,TRUE,"general";"via3",#N/A,TRUE,"general"}</definedName>
    <definedName name="asdfa" localSheetId="8" hidden="1">{"via1",#N/A,TRUE,"general";"via2",#N/A,TRUE,"general";"via3",#N/A,TRUE,"general"}</definedName>
    <definedName name="asdfa" localSheetId="5" hidden="1">{"via1",#N/A,TRUE,"general";"via2",#N/A,TRUE,"general";"via3",#N/A,TRUE,"general"}</definedName>
    <definedName name="asdfa" hidden="1">{"via1",#N/A,TRUE,"general";"via2",#N/A,TRUE,"general";"via3",#N/A,TRUE,"general"}</definedName>
    <definedName name="ASDFGHJKLÑ">#N/A</definedName>
    <definedName name="asfasd" localSheetId="10" hidden="1">{"via1",#N/A,TRUE,"general";"via2",#N/A,TRUE,"general";"via3",#N/A,TRUE,"general"}</definedName>
    <definedName name="asfasd" localSheetId="8" hidden="1">{"via1",#N/A,TRUE,"general";"via2",#N/A,TRUE,"general";"via3",#N/A,TRUE,"general"}</definedName>
    <definedName name="asfasd" localSheetId="5" hidden="1">{"via1",#N/A,TRUE,"general";"via2",#N/A,TRUE,"general";"via3",#N/A,TRUE,"general"}</definedName>
    <definedName name="asfasd" hidden="1">{"via1",#N/A,TRUE,"general";"via2",#N/A,TRUE,"general";"via3",#N/A,TRUE,"general"}</definedName>
    <definedName name="asfasdl" localSheetId="10" hidden="1">{"via1",#N/A,TRUE,"general";"via2",#N/A,TRUE,"general";"via3",#N/A,TRUE,"general"}</definedName>
    <definedName name="asfasdl" localSheetId="8" hidden="1">{"via1",#N/A,TRUE,"general";"via2",#N/A,TRUE,"general";"via3",#N/A,TRUE,"general"}</definedName>
    <definedName name="asfasdl" localSheetId="5" hidden="1">{"via1",#N/A,TRUE,"general";"via2",#N/A,TRUE,"general";"via3",#N/A,TRUE,"general"}</definedName>
    <definedName name="asfasdl" hidden="1">{"via1",#N/A,TRUE,"general";"via2",#N/A,TRUE,"general";"via3",#N/A,TRUE,"general"}</definedName>
    <definedName name="asff" localSheetId="10" hidden="1">{"TAB1",#N/A,TRUE,"GENERAL";"TAB2",#N/A,TRUE,"GENERAL";"TAB3",#N/A,TRUE,"GENERAL";"TAB4",#N/A,TRUE,"GENERAL";"TAB5",#N/A,TRUE,"GENERAL"}</definedName>
    <definedName name="asff" localSheetId="8" hidden="1">{"TAB1",#N/A,TRUE,"GENERAL";"TAB2",#N/A,TRUE,"GENERAL";"TAB3",#N/A,TRUE,"GENERAL";"TAB4",#N/A,TRUE,"GENERAL";"TAB5",#N/A,TRUE,"GENERAL"}</definedName>
    <definedName name="asff" localSheetId="5" hidden="1">{"TAB1",#N/A,TRUE,"GENERAL";"TAB2",#N/A,TRUE,"GENERAL";"TAB3",#N/A,TRUE,"GENERAL";"TAB4",#N/A,TRUE,"GENERAL";"TAB5",#N/A,TRUE,"GENERAL"}</definedName>
    <definedName name="asff" hidden="1">{"TAB1",#N/A,TRUE,"GENERAL";"TAB2",#N/A,TRUE,"GENERAL";"TAB3",#N/A,TRUE,"GENERAL";"TAB4",#N/A,TRUE,"GENERAL";"TAB5",#N/A,TRUE,"GENERAL"}</definedName>
    <definedName name="asfghjoi" localSheetId="10" hidden="1">{"via1",#N/A,TRUE,"general";"via2",#N/A,TRUE,"general";"via3",#N/A,TRUE,"general"}</definedName>
    <definedName name="asfghjoi" localSheetId="8" hidden="1">{"via1",#N/A,TRUE,"general";"via2",#N/A,TRUE,"general";"via3",#N/A,TRUE,"general"}</definedName>
    <definedName name="asfghjoi" localSheetId="5" hidden="1">{"via1",#N/A,TRUE,"general";"via2",#N/A,TRUE,"general";"via3",#N/A,TRUE,"general"}</definedName>
    <definedName name="asfghjoi" hidden="1">{"via1",#N/A,TRUE,"general";"via2",#N/A,TRUE,"general";"via3",#N/A,TRUE,"general"}</definedName>
    <definedName name="asojkdr" localSheetId="10" hidden="1">{"TAB1",#N/A,TRUE,"GENERAL";"TAB2",#N/A,TRUE,"GENERAL";"TAB3",#N/A,TRUE,"GENERAL";"TAB4",#N/A,TRUE,"GENERAL";"TAB5",#N/A,TRUE,"GENERAL"}</definedName>
    <definedName name="asojkdr" localSheetId="8" hidden="1">{"TAB1",#N/A,TRUE,"GENERAL";"TAB2",#N/A,TRUE,"GENERAL";"TAB3",#N/A,TRUE,"GENERAL";"TAB4",#N/A,TRUE,"GENERAL";"TAB5",#N/A,TRUE,"GENERAL"}</definedName>
    <definedName name="asojkdr" localSheetId="5" hidden="1">{"TAB1",#N/A,TRUE,"GENERAL";"TAB2",#N/A,TRUE,"GENERAL";"TAB3",#N/A,TRUE,"GENERAL";"TAB4",#N/A,TRUE,"GENERAL";"TAB5",#N/A,TRUE,"GENERAL"}</definedName>
    <definedName name="asojkdr" hidden="1">{"TAB1",#N/A,TRUE,"GENERAL";"TAB2",#N/A,TRUE,"GENERAL";"TAB3",#N/A,TRUE,"GENERAL";"TAB4",#N/A,TRUE,"GENERAL";"TAB5",#N/A,TRUE,"GENERAL"}</definedName>
    <definedName name="auto1" localSheetId="5">#REF!</definedName>
    <definedName name="auto1">#REF!</definedName>
    <definedName name="auto123" localSheetId="5">#REF!</definedName>
    <definedName name="auto123">#REF!</definedName>
    <definedName name="auto2" localSheetId="5">#REF!</definedName>
    <definedName name="auto2">#REF!</definedName>
    <definedName name="AW" localSheetId="5">#REF!</definedName>
    <definedName name="AW">#REF!</definedName>
    <definedName name="azaz" localSheetId="10" hidden="1">{"TAB1",#N/A,TRUE,"GENERAL";"TAB2",#N/A,TRUE,"GENERAL";"TAB3",#N/A,TRUE,"GENERAL";"TAB4",#N/A,TRUE,"GENERAL";"TAB5",#N/A,TRUE,"GENERAL"}</definedName>
    <definedName name="azaz" localSheetId="8" hidden="1">{"TAB1",#N/A,TRUE,"GENERAL";"TAB2",#N/A,TRUE,"GENERAL";"TAB3",#N/A,TRUE,"GENERAL";"TAB4",#N/A,TRUE,"GENERAL";"TAB5",#N/A,TRUE,"GENERAL"}</definedName>
    <definedName name="azaz" localSheetId="5" hidden="1">{"TAB1",#N/A,TRUE,"GENERAL";"TAB2",#N/A,TRUE,"GENERAL";"TAB3",#N/A,TRUE,"GENERAL";"TAB4",#N/A,TRUE,"GENERAL";"TAB5",#N/A,TRUE,"GENERAL"}</definedName>
    <definedName name="azaz" hidden="1">{"TAB1",#N/A,TRUE,"GENERAL";"TAB2",#N/A,TRUE,"GENERAL";"TAB3",#N/A,TRUE,"GENERAL";"TAB4",#N/A,TRUE,"GENERAL";"TAB5",#N/A,TRUE,"GENERAL"}</definedName>
    <definedName name="B" localSheetId="10" hidden="1">{"via1",#N/A,TRUE,"general";"via2",#N/A,TRUE,"general";"via3",#N/A,TRUE,"general"}</definedName>
    <definedName name="B" localSheetId="8" hidden="1">{"via1",#N/A,TRUE,"general";"via2",#N/A,TRUE,"general";"via3",#N/A,TRUE,"general"}</definedName>
    <definedName name="B" localSheetId="5" hidden="1">{"via1",#N/A,TRUE,"general";"via2",#N/A,TRUE,"general";"via3",#N/A,TRUE,"general"}</definedName>
    <definedName name="B" hidden="1">{"via1",#N/A,TRUE,"general";"via2",#N/A,TRUE,"general";"via3",#N/A,TRUE,"general"}</definedName>
    <definedName name="_xlnm.Database" localSheetId="5">#REF!</definedName>
    <definedName name="_xlnm.Database">#REF!</definedName>
    <definedName name="BB">#N/A</definedName>
    <definedName name="bbbbbb" localSheetId="10" hidden="1">{"via1",#N/A,TRUE,"general";"via2",#N/A,TRUE,"general";"via3",#N/A,TRUE,"general"}</definedName>
    <definedName name="bbbbbb" localSheetId="8" hidden="1">{"via1",#N/A,TRUE,"general";"via2",#N/A,TRUE,"general";"via3",#N/A,TRUE,"general"}</definedName>
    <definedName name="bbbbbb" localSheetId="5" hidden="1">{"via1",#N/A,TRUE,"general";"via2",#N/A,TRUE,"general";"via3",#N/A,TRUE,"general"}</definedName>
    <definedName name="bbbbbb" hidden="1">{"via1",#N/A,TRUE,"general";"via2",#N/A,TRUE,"general";"via3",#N/A,TRUE,"general"}</definedName>
    <definedName name="bbbbbh" localSheetId="10" hidden="1">{"TAB1",#N/A,TRUE,"GENERAL";"TAB2",#N/A,TRUE,"GENERAL";"TAB3",#N/A,TRUE,"GENERAL";"TAB4",#N/A,TRUE,"GENERAL";"TAB5",#N/A,TRUE,"GENERAL"}</definedName>
    <definedName name="bbbbbh" localSheetId="8" hidden="1">{"TAB1",#N/A,TRUE,"GENERAL";"TAB2",#N/A,TRUE,"GENERAL";"TAB3",#N/A,TRUE,"GENERAL";"TAB4",#N/A,TRUE,"GENERAL";"TAB5",#N/A,TRUE,"GENERAL"}</definedName>
    <definedName name="bbbbbh" localSheetId="5" hidden="1">{"TAB1",#N/A,TRUE,"GENERAL";"TAB2",#N/A,TRUE,"GENERAL";"TAB3",#N/A,TRUE,"GENERAL";"TAB4",#N/A,TRUE,"GENERAL";"TAB5",#N/A,TRUE,"GENERAL"}</definedName>
    <definedName name="bbbbbh" hidden="1">{"TAB1",#N/A,TRUE,"GENERAL";"TAB2",#N/A,TRUE,"GENERAL";"TAB3",#N/A,TRUE,"GENERAL";"TAB4",#N/A,TRUE,"GENERAL";"TAB5",#N/A,TRUE,"GENERAL"}</definedName>
    <definedName name="bbd" localSheetId="10" hidden="1">{"TAB1",#N/A,TRUE,"GENERAL";"TAB2",#N/A,TRUE,"GENERAL";"TAB3",#N/A,TRUE,"GENERAL";"TAB4",#N/A,TRUE,"GENERAL";"TAB5",#N/A,TRUE,"GENERAL"}</definedName>
    <definedName name="bbd" localSheetId="8" hidden="1">{"TAB1",#N/A,TRUE,"GENERAL";"TAB2",#N/A,TRUE,"GENERAL";"TAB3",#N/A,TRUE,"GENERAL";"TAB4",#N/A,TRUE,"GENERAL";"TAB5",#N/A,TRUE,"GENERAL"}</definedName>
    <definedName name="bbd" localSheetId="5" hidden="1">{"TAB1",#N/A,TRUE,"GENERAL";"TAB2",#N/A,TRUE,"GENERAL";"TAB3",#N/A,TRUE,"GENERAL";"TAB4",#N/A,TRUE,"GENERAL";"TAB5",#N/A,TRUE,"GENERAL"}</definedName>
    <definedName name="bbd" hidden="1">{"TAB1",#N/A,TRUE,"GENERAL";"TAB2",#N/A,TRUE,"GENERAL";"TAB3",#N/A,TRUE,"GENERAL";"TAB4",#N/A,TRUE,"GENERAL";"TAB5",#N/A,TRUE,"GENERAL"}</definedName>
    <definedName name="BCXBDFG" localSheetId="10" hidden="1">{"TAB1",#N/A,TRUE,"GENERAL";"TAB2",#N/A,TRUE,"GENERAL";"TAB3",#N/A,TRUE,"GENERAL";"TAB4",#N/A,TRUE,"GENERAL";"TAB5",#N/A,TRUE,"GENERAL"}</definedName>
    <definedName name="BCXBDFG" localSheetId="8" hidden="1">{"TAB1",#N/A,TRUE,"GENERAL";"TAB2",#N/A,TRUE,"GENERAL";"TAB3",#N/A,TRUE,"GENERAL";"TAB4",#N/A,TRUE,"GENERAL";"TAB5",#N/A,TRUE,"GENERAL"}</definedName>
    <definedName name="BCXBDFG" localSheetId="5" hidden="1">{"TAB1",#N/A,TRUE,"GENERAL";"TAB2",#N/A,TRUE,"GENERAL";"TAB3",#N/A,TRUE,"GENERAL";"TAB4",#N/A,TRUE,"GENERAL";"TAB5",#N/A,TRUE,"GENERAL"}</definedName>
    <definedName name="BCXBDFG" hidden="1">{"TAB1",#N/A,TRUE,"GENERAL";"TAB2",#N/A,TRUE,"GENERAL";"TAB3",#N/A,TRUE,"GENERAL";"TAB4",#N/A,TRUE,"GENERAL";"TAB5",#N/A,TRUE,"GENERAL"}</definedName>
    <definedName name="BDFB" localSheetId="10" hidden="1">{"via1",#N/A,TRUE,"general";"via2",#N/A,TRUE,"general";"via3",#N/A,TRUE,"general"}</definedName>
    <definedName name="BDFB" localSheetId="8" hidden="1">{"via1",#N/A,TRUE,"general";"via2",#N/A,TRUE,"general";"via3",#N/A,TRUE,"general"}</definedName>
    <definedName name="BDFB" localSheetId="5" hidden="1">{"via1",#N/A,TRUE,"general";"via2",#N/A,TRUE,"general";"via3",#N/A,TRUE,"general"}</definedName>
    <definedName name="BDFB" hidden="1">{"via1",#N/A,TRUE,"general";"via2",#N/A,TRUE,"general";"via3",#N/A,TRUE,"general"}</definedName>
    <definedName name="BDFGDG" localSheetId="10" hidden="1">{"TAB1",#N/A,TRUE,"GENERAL";"TAB2",#N/A,TRUE,"GENERAL";"TAB3",#N/A,TRUE,"GENERAL";"TAB4",#N/A,TRUE,"GENERAL";"TAB5",#N/A,TRUE,"GENERAL"}</definedName>
    <definedName name="BDFGDG" localSheetId="8" hidden="1">{"TAB1",#N/A,TRUE,"GENERAL";"TAB2",#N/A,TRUE,"GENERAL";"TAB3",#N/A,TRUE,"GENERAL";"TAB4",#N/A,TRUE,"GENERAL";"TAB5",#N/A,TRUE,"GENERAL"}</definedName>
    <definedName name="BDFGDG" localSheetId="5" hidden="1">{"TAB1",#N/A,TRUE,"GENERAL";"TAB2",#N/A,TRUE,"GENERAL";"TAB3",#N/A,TRUE,"GENERAL";"TAB4",#N/A,TRUE,"GENERAL";"TAB5",#N/A,TRUE,"GENERAL"}</definedName>
    <definedName name="BDFGDG" hidden="1">{"TAB1",#N/A,TRUE,"GENERAL";"TAB2",#N/A,TRUE,"GENERAL";"TAB3",#N/A,TRUE,"GENERAL";"TAB4",#N/A,TRUE,"GENERAL";"TAB5",#N/A,TRUE,"GENERAL"}</definedName>
    <definedName name="be" localSheetId="10" hidden="1">{"TAB1",#N/A,TRUE,"GENERAL";"TAB2",#N/A,TRUE,"GENERAL";"TAB3",#N/A,TRUE,"GENERAL";"TAB4",#N/A,TRUE,"GENERAL";"TAB5",#N/A,TRUE,"GENERAL"}</definedName>
    <definedName name="be" localSheetId="8" hidden="1">{"TAB1",#N/A,TRUE,"GENERAL";"TAB2",#N/A,TRUE,"GENERAL";"TAB3",#N/A,TRUE,"GENERAL";"TAB4",#N/A,TRUE,"GENERAL";"TAB5",#N/A,TRUE,"GENERAL"}</definedName>
    <definedName name="be" localSheetId="5" hidden="1">{"TAB1",#N/A,TRUE,"GENERAL";"TAB2",#N/A,TRUE,"GENERAL";"TAB3",#N/A,TRUE,"GENERAL";"TAB4",#N/A,TRUE,"GENERAL";"TAB5",#N/A,TRUE,"GENERAL"}</definedName>
    <definedName name="be" hidden="1">{"TAB1",#N/A,TRUE,"GENERAL";"TAB2",#N/A,TRUE,"GENERAL";"TAB3",#N/A,TRUE,"GENERAL";"TAB4",#N/A,TRUE,"GENERAL";"TAB5",#N/A,TRUE,"GENERAL"}</definedName>
    <definedName name="bfnfv" localSheetId="10" hidden="1">{"TAB1",#N/A,TRUE,"GENERAL";"TAB2",#N/A,TRUE,"GENERAL";"TAB3",#N/A,TRUE,"GENERAL";"TAB4",#N/A,TRUE,"GENERAL";"TAB5",#N/A,TRUE,"GENERAL"}</definedName>
    <definedName name="bfnfv" localSheetId="8" hidden="1">{"TAB1",#N/A,TRUE,"GENERAL";"TAB2",#N/A,TRUE,"GENERAL";"TAB3",#N/A,TRUE,"GENERAL";"TAB4",#N/A,TRUE,"GENERAL";"TAB5",#N/A,TRUE,"GENERAL"}</definedName>
    <definedName name="bfnfv" localSheetId="5" hidden="1">{"TAB1",#N/A,TRUE,"GENERAL";"TAB2",#N/A,TRUE,"GENERAL";"TAB3",#N/A,TRUE,"GENERAL";"TAB4",#N/A,TRUE,"GENERAL";"TAB5",#N/A,TRUE,"GENERAL"}</definedName>
    <definedName name="bfnfv" hidden="1">{"TAB1",#N/A,TRUE,"GENERAL";"TAB2",#N/A,TRUE,"GENERAL";"TAB3",#N/A,TRUE,"GENERAL";"TAB4",#N/A,TRUE,"GENERAL";"TAB5",#N/A,TRUE,"GENERAL"}</definedName>
    <definedName name="bgb" localSheetId="10" hidden="1">{"TAB1",#N/A,TRUE,"GENERAL";"TAB2",#N/A,TRUE,"GENERAL";"TAB3",#N/A,TRUE,"GENERAL";"TAB4",#N/A,TRUE,"GENERAL";"TAB5",#N/A,TRUE,"GENERAL"}</definedName>
    <definedName name="bgb" localSheetId="8" hidden="1">{"TAB1",#N/A,TRUE,"GENERAL";"TAB2",#N/A,TRUE,"GENERAL";"TAB3",#N/A,TRUE,"GENERAL";"TAB4",#N/A,TRUE,"GENERAL";"TAB5",#N/A,TRUE,"GENERAL"}</definedName>
    <definedName name="bgb" localSheetId="5" hidden="1">{"TAB1",#N/A,TRUE,"GENERAL";"TAB2",#N/A,TRUE,"GENERAL";"TAB3",#N/A,TRUE,"GENERAL";"TAB4",#N/A,TRUE,"GENERAL";"TAB5",#N/A,TRUE,"GENERAL"}</definedName>
    <definedName name="bgb" hidden="1">{"TAB1",#N/A,TRUE,"GENERAL";"TAB2",#N/A,TRUE,"GENERAL";"TAB3",#N/A,TRUE,"GENERAL";"TAB4",#N/A,TRUE,"GENERAL";"TAB5",#N/A,TRUE,"GENERAL"}</definedName>
    <definedName name="BGDGFRT" localSheetId="10" hidden="1">{"via1",#N/A,TRUE,"general";"via2",#N/A,TRUE,"general";"via3",#N/A,TRUE,"general"}</definedName>
    <definedName name="BGDGFRT" localSheetId="8" hidden="1">{"via1",#N/A,TRUE,"general";"via2",#N/A,TRUE,"general";"via3",#N/A,TRUE,"general"}</definedName>
    <definedName name="BGDGFRT" localSheetId="5" hidden="1">{"via1",#N/A,TRUE,"general";"via2",#N/A,TRUE,"general";"via3",#N/A,TRUE,"general"}</definedName>
    <definedName name="BGDGFRT" hidden="1">{"via1",#N/A,TRUE,"general";"via2",#N/A,TRUE,"general";"via3",#N/A,TRUE,"general"}</definedName>
    <definedName name="BGFBFH" localSheetId="10" hidden="1">{"via1",#N/A,TRUE,"general";"via2",#N/A,TRUE,"general";"via3",#N/A,TRUE,"general"}</definedName>
    <definedName name="BGFBFH" localSheetId="8" hidden="1">{"via1",#N/A,TRUE,"general";"via2",#N/A,TRUE,"general";"via3",#N/A,TRUE,"general"}</definedName>
    <definedName name="BGFBFH" localSheetId="5" hidden="1">{"via1",#N/A,TRUE,"general";"via2",#N/A,TRUE,"general";"via3",#N/A,TRUE,"general"}</definedName>
    <definedName name="BGFBFH" hidden="1">{"via1",#N/A,TRUE,"general";"via2",#N/A,TRUE,"general";"via3",#N/A,TRUE,"general"}</definedName>
    <definedName name="bgvfcdx" localSheetId="10" hidden="1">{"via1",#N/A,TRUE,"general";"via2",#N/A,TRUE,"general";"via3",#N/A,TRUE,"general"}</definedName>
    <definedName name="bgvfcdx" localSheetId="8" hidden="1">{"via1",#N/A,TRUE,"general";"via2",#N/A,TRUE,"general";"via3",#N/A,TRUE,"general"}</definedName>
    <definedName name="bgvfcdx" localSheetId="5" hidden="1">{"via1",#N/A,TRUE,"general";"via2",#N/A,TRUE,"general";"via3",#N/A,TRUE,"general"}</definedName>
    <definedName name="bgvfcdx" hidden="1">{"via1",#N/A,TRUE,"general";"via2",#N/A,TRUE,"general";"via3",#N/A,TRUE,"general"}</definedName>
    <definedName name="bn" localSheetId="5">#REF!</definedName>
    <definedName name="bn">#REF!</definedName>
    <definedName name="br" localSheetId="10" hidden="1">{"TAB1",#N/A,TRUE,"GENERAL";"TAB2",#N/A,TRUE,"GENERAL";"TAB3",#N/A,TRUE,"GENERAL";"TAB4",#N/A,TRUE,"GENERAL";"TAB5",#N/A,TRUE,"GENERAL"}</definedName>
    <definedName name="br" localSheetId="8" hidden="1">{"TAB1",#N/A,TRUE,"GENERAL";"TAB2",#N/A,TRUE,"GENERAL";"TAB3",#N/A,TRUE,"GENERAL";"TAB4",#N/A,TRUE,"GENERAL";"TAB5",#N/A,TRUE,"GENERAL"}</definedName>
    <definedName name="br" localSheetId="5" hidden="1">{"TAB1",#N/A,TRUE,"GENERAL";"TAB2",#N/A,TRUE,"GENERAL";"TAB3",#N/A,TRUE,"GENERAL";"TAB4",#N/A,TRUE,"GENERAL";"TAB5",#N/A,TRUE,"GENERAL"}</definedName>
    <definedName name="br" hidden="1">{"TAB1",#N/A,TRUE,"GENERAL";"TAB2",#N/A,TRUE,"GENERAL";"TAB3",#N/A,TRUE,"GENERAL";"TAB4",#N/A,TRUE,"GENERAL";"TAB5",#N/A,TRUE,"GENERAL"}</definedName>
    <definedName name="bsb" localSheetId="10" hidden="1">{"via1",#N/A,TRUE,"general";"via2",#N/A,TRUE,"general";"via3",#N/A,TRUE,"general"}</definedName>
    <definedName name="bsb" localSheetId="8" hidden="1">{"via1",#N/A,TRUE,"general";"via2",#N/A,TRUE,"general";"via3",#N/A,TRUE,"general"}</definedName>
    <definedName name="bsb" localSheetId="5" hidden="1">{"via1",#N/A,TRUE,"general";"via2",#N/A,TRUE,"general";"via3",#N/A,TRUE,"general"}</definedName>
    <definedName name="bsb" hidden="1">{"via1",#N/A,TRUE,"general";"via2",#N/A,TRUE,"general";"via3",#N/A,TRUE,"general"}</definedName>
    <definedName name="bspoi" localSheetId="10" hidden="1">{"TAB1",#N/A,TRUE,"GENERAL";"TAB2",#N/A,TRUE,"GENERAL";"TAB3",#N/A,TRUE,"GENERAL";"TAB4",#N/A,TRUE,"GENERAL";"TAB5",#N/A,TRUE,"GENERAL"}</definedName>
    <definedName name="bspoi" localSheetId="8" hidden="1">{"TAB1",#N/A,TRUE,"GENERAL";"TAB2",#N/A,TRUE,"GENERAL";"TAB3",#N/A,TRUE,"GENERAL";"TAB4",#N/A,TRUE,"GENERAL";"TAB5",#N/A,TRUE,"GENERAL"}</definedName>
    <definedName name="bspoi" localSheetId="5" hidden="1">{"TAB1",#N/A,TRUE,"GENERAL";"TAB2",#N/A,TRUE,"GENERAL";"TAB3",#N/A,TRUE,"GENERAL";"TAB4",#N/A,TRUE,"GENERAL";"TAB5",#N/A,TRUE,"GENERAL"}</definedName>
    <definedName name="bspoi" hidden="1">{"TAB1",#N/A,TRUE,"GENERAL";"TAB2",#N/A,TRUE,"GENERAL";"TAB3",#N/A,TRUE,"GENERAL";"TAB4",#N/A,TRUE,"GENERAL";"TAB5",#N/A,TRUE,"GENERAL"}</definedName>
    <definedName name="bt" localSheetId="10" hidden="1">{"via1",#N/A,TRUE,"general";"via2",#N/A,TRUE,"general";"via3",#N/A,TRUE,"general"}</definedName>
    <definedName name="bt" localSheetId="8" hidden="1">{"via1",#N/A,TRUE,"general";"via2",#N/A,TRUE,"general";"via3",#N/A,TRUE,"general"}</definedName>
    <definedName name="bt" localSheetId="5" hidden="1">{"via1",#N/A,TRUE,"general";"via2",#N/A,TRUE,"general";"via3",#N/A,TRUE,"general"}</definedName>
    <definedName name="bt" hidden="1">{"via1",#N/A,TRUE,"general";"via2",#N/A,TRUE,"general";"via3",#N/A,TRUE,"general"}</definedName>
    <definedName name="BTYJHTR" localSheetId="10" hidden="1">{"TAB1",#N/A,TRUE,"GENERAL";"TAB2",#N/A,TRUE,"GENERAL";"TAB3",#N/A,TRUE,"GENERAL";"TAB4",#N/A,TRUE,"GENERAL";"TAB5",#N/A,TRUE,"GENERAL"}</definedName>
    <definedName name="BTYJHTR" localSheetId="8" hidden="1">{"TAB1",#N/A,TRUE,"GENERAL";"TAB2",#N/A,TRUE,"GENERAL";"TAB3",#N/A,TRUE,"GENERAL";"TAB4",#N/A,TRUE,"GENERAL";"TAB5",#N/A,TRUE,"GENERAL"}</definedName>
    <definedName name="BTYJHTR" localSheetId="5" hidden="1">{"TAB1",#N/A,TRUE,"GENERAL";"TAB2",#N/A,TRUE,"GENERAL";"TAB3",#N/A,TRUE,"GENERAL";"TAB4",#N/A,TRUE,"GENERAL";"TAB5",#N/A,TRUE,"GENERAL"}</definedName>
    <definedName name="BTYJHTR" hidden="1">{"TAB1",#N/A,TRUE,"GENERAL";"TAB2",#N/A,TRUE,"GENERAL";"TAB3",#N/A,TRUE,"GENERAL";"TAB4",#N/A,TRUE,"GENERAL";"TAB5",#N/A,TRUE,"GENERAL"}</definedName>
    <definedName name="bvbc" localSheetId="10" hidden="1">{"TAB1",#N/A,TRUE,"GENERAL";"TAB2",#N/A,TRUE,"GENERAL";"TAB3",#N/A,TRUE,"GENERAL";"TAB4",#N/A,TRUE,"GENERAL";"TAB5",#N/A,TRUE,"GENERAL"}</definedName>
    <definedName name="bvbc" localSheetId="8" hidden="1">{"TAB1",#N/A,TRUE,"GENERAL";"TAB2",#N/A,TRUE,"GENERAL";"TAB3",#N/A,TRUE,"GENERAL";"TAB4",#N/A,TRUE,"GENERAL";"TAB5",#N/A,TRUE,"GENERAL"}</definedName>
    <definedName name="bvbc" localSheetId="5" hidden="1">{"TAB1",#N/A,TRUE,"GENERAL";"TAB2",#N/A,TRUE,"GENERAL";"TAB3",#N/A,TRUE,"GENERAL";"TAB4",#N/A,TRUE,"GENERAL";"TAB5",#N/A,TRUE,"GENERAL"}</definedName>
    <definedName name="bvbc" hidden="1">{"TAB1",#N/A,TRUE,"GENERAL";"TAB2",#N/A,TRUE,"GENERAL";"TAB3",#N/A,TRUE,"GENERAL";"TAB4",#N/A,TRUE,"GENERAL";"TAB5",#N/A,TRUE,"GENERAL"}</definedName>
    <definedName name="bvcb" localSheetId="10" hidden="1">{"via1",#N/A,TRUE,"general";"via2",#N/A,TRUE,"general";"via3",#N/A,TRUE,"general"}</definedName>
    <definedName name="bvcb" localSheetId="8" hidden="1">{"via1",#N/A,TRUE,"general";"via2",#N/A,TRUE,"general";"via3",#N/A,TRUE,"general"}</definedName>
    <definedName name="bvcb" localSheetId="5" hidden="1">{"via1",#N/A,TRUE,"general";"via2",#N/A,TRUE,"general";"via3",#N/A,TRUE,"general"}</definedName>
    <definedName name="bvcb" hidden="1">{"via1",#N/A,TRUE,"general";"via2",#N/A,TRUE,"general";"via3",#N/A,TRUE,"general"}</definedName>
    <definedName name="bvn" localSheetId="10" hidden="1">{"via1",#N/A,TRUE,"general";"via2",#N/A,TRUE,"general";"via3",#N/A,TRUE,"general"}</definedName>
    <definedName name="bvn" localSheetId="8" hidden="1">{"via1",#N/A,TRUE,"general";"via2",#N/A,TRUE,"general";"via3",#N/A,TRUE,"general"}</definedName>
    <definedName name="bvn" localSheetId="5" hidden="1">{"via1",#N/A,TRUE,"general";"via2",#N/A,TRUE,"general";"via3",#N/A,TRUE,"general"}</definedName>
    <definedName name="bvn" hidden="1">{"via1",#N/A,TRUE,"general";"via2",#N/A,TRUE,"general";"via3",#N/A,TRUE,"general"}</definedName>
    <definedName name="by" localSheetId="10" hidden="1">{"via1",#N/A,TRUE,"general";"via2",#N/A,TRUE,"general";"via3",#N/A,TRUE,"general"}</definedName>
    <definedName name="by" localSheetId="8" hidden="1">{"via1",#N/A,TRUE,"general";"via2",#N/A,TRUE,"general";"via3",#N/A,TRUE,"general"}</definedName>
    <definedName name="by" localSheetId="5" hidden="1">{"via1",#N/A,TRUE,"general";"via2",#N/A,TRUE,"general";"via3",#N/A,TRUE,"general"}</definedName>
    <definedName name="by" hidden="1">{"via1",#N/A,TRUE,"general";"via2",#N/A,TRUE,"general";"via3",#N/A,TRUE,"general"}</definedName>
    <definedName name="C_" localSheetId="5">#REF!</definedName>
    <definedName name="C_">#REF!</definedName>
    <definedName name="CANT" localSheetId="5">#REF!</definedName>
    <definedName name="CANT">#REF!</definedName>
    <definedName name="ccccc" localSheetId="10" hidden="1">{"TAB1",#N/A,TRUE,"GENERAL";"TAB2",#N/A,TRUE,"GENERAL";"TAB3",#N/A,TRUE,"GENERAL";"TAB4",#N/A,TRUE,"GENERAL";"TAB5",#N/A,TRUE,"GENERAL"}</definedName>
    <definedName name="ccccc" localSheetId="8" hidden="1">{"TAB1",#N/A,TRUE,"GENERAL";"TAB2",#N/A,TRUE,"GENERAL";"TAB3",#N/A,TRUE,"GENERAL";"TAB4",#N/A,TRUE,"GENERAL";"TAB5",#N/A,TRUE,"GENERAL"}</definedName>
    <definedName name="ccccc" localSheetId="5" hidden="1">{"TAB1",#N/A,TRUE,"GENERAL";"TAB2",#N/A,TRUE,"GENERAL";"TAB3",#N/A,TRUE,"GENERAL";"TAB4",#N/A,TRUE,"GENERAL";"TAB5",#N/A,TRUE,"GENERAL"}</definedName>
    <definedName name="ccccc" hidden="1">{"TAB1",#N/A,TRUE,"GENERAL";"TAB2",#N/A,TRUE,"GENERAL";"TAB3",#N/A,TRUE,"GENERAL";"TAB4",#N/A,TRUE,"GENERAL";"TAB5",#N/A,TRUE,"GENERAL"}</definedName>
    <definedName name="CCCCCC" localSheetId="5">'[18]A. P. U.'!#REF!</definedName>
    <definedName name="CCCCCC">'[18]A. P. U.'!#REF!</definedName>
    <definedName name="ccto210" localSheetId="5">#REF!</definedName>
    <definedName name="ccto210">#REF!</definedName>
    <definedName name="cd">[19]Hoja1!$C$81</definedName>
    <definedName name="cdcdc" localSheetId="10" hidden="1">{"via1",#N/A,TRUE,"general";"via2",#N/A,TRUE,"general";"via3",#N/A,TRUE,"general"}</definedName>
    <definedName name="cdcdc" localSheetId="8" hidden="1">{"via1",#N/A,TRUE,"general";"via2",#N/A,TRUE,"general";"via3",#N/A,TRUE,"general"}</definedName>
    <definedName name="cdcdc" localSheetId="5" hidden="1">{"via1",#N/A,TRUE,"general";"via2",#N/A,TRUE,"general";"via3",#N/A,TRUE,"general"}</definedName>
    <definedName name="cdcdc" hidden="1">{"via1",#N/A,TRUE,"general";"via2",#N/A,TRUE,"general";"via3",#N/A,TRUE,"general"}</definedName>
    <definedName name="CDctrl">[14]CDItem!$G$8</definedName>
    <definedName name="ceerf" localSheetId="10" hidden="1">{"TAB1",#N/A,TRUE,"GENERAL";"TAB2",#N/A,TRUE,"GENERAL";"TAB3",#N/A,TRUE,"GENERAL";"TAB4",#N/A,TRUE,"GENERAL";"TAB5",#N/A,TRUE,"GENERAL"}</definedName>
    <definedName name="ceerf" localSheetId="8" hidden="1">{"TAB1",#N/A,TRUE,"GENERAL";"TAB2",#N/A,TRUE,"GENERAL";"TAB3",#N/A,TRUE,"GENERAL";"TAB4",#N/A,TRUE,"GENERAL";"TAB5",#N/A,TRUE,"GENERAL"}</definedName>
    <definedName name="ceerf" localSheetId="5" hidden="1">{"TAB1",#N/A,TRUE,"GENERAL";"TAB2",#N/A,TRUE,"GENERAL";"TAB3",#N/A,TRUE,"GENERAL";"TAB4",#N/A,TRUE,"GENERAL";"TAB5",#N/A,TRUE,"GENERAL"}</definedName>
    <definedName name="ceerf" hidden="1">{"TAB1",#N/A,TRUE,"GENERAL";"TAB2",#N/A,TRUE,"GENERAL";"TAB3",#N/A,TRUE,"GENERAL";"TAB4",#N/A,TRUE,"GENERAL";"TAB5",#N/A,TRUE,"GENERAL"}</definedName>
    <definedName name="CEMENTO">[20]Insum!$A$3:$H$63</definedName>
    <definedName name="COPIA">#N/A</definedName>
    <definedName name="copiao4">#N/A</definedName>
    <definedName name="corri">#N/A</definedName>
    <definedName name="COSTODIRECTO" localSheetId="5">#REF!</definedName>
    <definedName name="COSTODIRECTO">#REF!</definedName>
    <definedName name="COSTOS">[21]TARIFAS!$A$1:$F$52</definedName>
    <definedName name="CTA" localSheetId="5">#REF!</definedName>
    <definedName name="CTA">#REF!</definedName>
    <definedName name="CUAL">#N/A</definedName>
    <definedName name="CUBS" localSheetId="5">#REF!</definedName>
    <definedName name="CUBS">#REF!</definedName>
    <definedName name="CUNET" localSheetId="10" hidden="1">{"via1",#N/A,TRUE,"general";"via2",#N/A,TRUE,"general";"via3",#N/A,TRUE,"general"}</definedName>
    <definedName name="CUNET" localSheetId="8" hidden="1">{"via1",#N/A,TRUE,"general";"via2",#N/A,TRUE,"general";"via3",#N/A,TRUE,"general"}</definedName>
    <definedName name="CUNET" localSheetId="5" hidden="1">{"via1",#N/A,TRUE,"general";"via2",#N/A,TRUE,"general";"via3",#N/A,TRUE,"general"}</definedName>
    <definedName name="CUNET" hidden="1">{"via1",#N/A,TRUE,"general";"via2",#N/A,TRUE,"general";"via3",#N/A,TRUE,"general"}</definedName>
    <definedName name="cv" localSheetId="10" hidden="1">{"TAB1",#N/A,TRUE,"GENERAL";"TAB2",#N/A,TRUE,"GENERAL";"TAB3",#N/A,TRUE,"GENERAL";"TAB4",#N/A,TRUE,"GENERAL";"TAB5",#N/A,TRUE,"GENERAL"}</definedName>
    <definedName name="cv" localSheetId="8" hidden="1">{"TAB1",#N/A,TRUE,"GENERAL";"TAB2",#N/A,TRUE,"GENERAL";"TAB3",#N/A,TRUE,"GENERAL";"TAB4",#N/A,TRUE,"GENERAL";"TAB5",#N/A,TRUE,"GENERAL"}</definedName>
    <definedName name="cv" localSheetId="5" hidden="1">{"TAB1",#N/A,TRUE,"GENERAL";"TAB2",#N/A,TRUE,"GENERAL";"TAB3",#N/A,TRUE,"GENERAL";"TAB4",#N/A,TRUE,"GENERAL";"TAB5",#N/A,TRUE,"GENERAL"}</definedName>
    <definedName name="cv" hidden="1">{"TAB1",#N/A,TRUE,"GENERAL";"TAB2",#N/A,TRUE,"GENERAL";"TAB3",#N/A,TRUE,"GENERAL";"TAB4",#N/A,TRUE,"GENERAL";"TAB5",#N/A,TRUE,"GENERAL"}</definedName>
    <definedName name="cvfvd" localSheetId="10" hidden="1">{"via1",#N/A,TRUE,"general";"via2",#N/A,TRUE,"general";"via3",#N/A,TRUE,"general"}</definedName>
    <definedName name="cvfvd" localSheetId="8" hidden="1">{"via1",#N/A,TRUE,"general";"via2",#N/A,TRUE,"general";"via3",#N/A,TRUE,"general"}</definedName>
    <definedName name="cvfvd" localSheetId="5" hidden="1">{"via1",#N/A,TRUE,"general";"via2",#N/A,TRUE,"general";"via3",#N/A,TRUE,"general"}</definedName>
    <definedName name="cvfvd" hidden="1">{"via1",#N/A,TRUE,"general";"via2",#N/A,TRUE,"general";"via3",#N/A,TRUE,"general"}</definedName>
    <definedName name="cvn" localSheetId="10" hidden="1">{"TAB1",#N/A,TRUE,"GENERAL";"TAB2",#N/A,TRUE,"GENERAL";"TAB3",#N/A,TRUE,"GENERAL";"TAB4",#N/A,TRUE,"GENERAL";"TAB5",#N/A,TRUE,"GENERAL"}</definedName>
    <definedName name="cvn" localSheetId="8" hidden="1">{"TAB1",#N/A,TRUE,"GENERAL";"TAB2",#N/A,TRUE,"GENERAL";"TAB3",#N/A,TRUE,"GENERAL";"TAB4",#N/A,TRUE,"GENERAL";"TAB5",#N/A,TRUE,"GENERAL"}</definedName>
    <definedName name="cvn" localSheetId="5" hidden="1">{"TAB1",#N/A,TRUE,"GENERAL";"TAB2",#N/A,TRUE,"GENERAL";"TAB3",#N/A,TRUE,"GENERAL";"TAB4",#N/A,TRUE,"GENERAL";"TAB5",#N/A,TRUE,"GENERAL"}</definedName>
    <definedName name="cvn" hidden="1">{"TAB1",#N/A,TRUE,"GENERAL";"TAB2",#N/A,TRUE,"GENERAL";"TAB3",#N/A,TRUE,"GENERAL";"TAB4",#N/A,TRUE,"GENERAL";"TAB5",#N/A,TRUE,"GENERAL"}</definedName>
    <definedName name="CVXC" localSheetId="10" hidden="1">{"via1",#N/A,TRUE,"general";"via2",#N/A,TRUE,"general";"via3",#N/A,TRUE,"general"}</definedName>
    <definedName name="CVXC" localSheetId="8" hidden="1">{"via1",#N/A,TRUE,"general";"via2",#N/A,TRUE,"general";"via3",#N/A,TRUE,"general"}</definedName>
    <definedName name="CVXC" localSheetId="5" hidden="1">{"via1",#N/A,TRUE,"general";"via2",#N/A,TRUE,"general";"via3",#N/A,TRUE,"general"}</definedName>
    <definedName name="CVXC" hidden="1">{"via1",#N/A,TRUE,"general";"via2",#N/A,TRUE,"general";"via3",#N/A,TRUE,"general"}</definedName>
    <definedName name="d" localSheetId="10" hidden="1">{"TAB1",#N/A,TRUE,"GENERAL";"TAB2",#N/A,TRUE,"GENERAL";"TAB3",#N/A,TRUE,"GENERAL";"TAB4",#N/A,TRUE,"GENERAL";"TAB5",#N/A,TRUE,"GENERAL"}</definedName>
    <definedName name="d" localSheetId="8" hidden="1">{"TAB1",#N/A,TRUE,"GENERAL";"TAB2",#N/A,TRUE,"GENERAL";"TAB3",#N/A,TRUE,"GENERAL";"TAB4",#N/A,TRUE,"GENERAL";"TAB5",#N/A,TRUE,"GENERAL"}</definedName>
    <definedName name="d" localSheetId="5" hidden="1">{"TAB1",#N/A,TRUE,"GENERAL";"TAB2",#N/A,TRUE,"GENERAL";"TAB3",#N/A,TRUE,"GENERAL";"TAB4",#N/A,TRUE,"GENERAL";"TAB5",#N/A,TRUE,"GENERAL"}</definedName>
    <definedName name="d" hidden="1">{"TAB1",#N/A,TRUE,"GENERAL";"TAB2",#N/A,TRUE,"GENERAL";"TAB3",#N/A,TRUE,"GENERAL";"TAB4",#N/A,TRUE,"GENERAL";"TAB5",#N/A,TRUE,"GENERAL"}</definedName>
    <definedName name="dario" localSheetId="5">'[4]GPI 526'!#REF!</definedName>
    <definedName name="dario">'[4]GPI 526'!#REF!</definedName>
    <definedName name="DASD" localSheetId="10" hidden="1">{"TAB1",#N/A,TRUE,"GENERAL";"TAB2",#N/A,TRUE,"GENERAL";"TAB3",#N/A,TRUE,"GENERAL";"TAB4",#N/A,TRUE,"GENERAL";"TAB5",#N/A,TRUE,"GENERAL"}</definedName>
    <definedName name="DASD" localSheetId="8" hidden="1">{"TAB1",#N/A,TRUE,"GENERAL";"TAB2",#N/A,TRUE,"GENERAL";"TAB3",#N/A,TRUE,"GENERAL";"TAB4",#N/A,TRUE,"GENERAL";"TAB5",#N/A,TRUE,"GENERAL"}</definedName>
    <definedName name="DASD" localSheetId="5" hidden="1">{"TAB1",#N/A,TRUE,"GENERAL";"TAB2",#N/A,TRUE,"GENERAL";"TAB3",#N/A,TRUE,"GENERAL";"TAB4",#N/A,TRUE,"GENERAL";"TAB5",#N/A,TRUE,"GENERAL"}</definedName>
    <definedName name="DASD" hidden="1">{"TAB1",#N/A,TRUE,"GENERAL";"TAB2",#N/A,TRUE,"GENERAL";"TAB3",#N/A,TRUE,"GENERAL";"TAB4",#N/A,TRUE,"GENERAL";"TAB5",#N/A,TRUE,"GENERAL"}</definedName>
    <definedName name="dbfdfbi" localSheetId="10" hidden="1">{"TAB1",#N/A,TRUE,"GENERAL";"TAB2",#N/A,TRUE,"GENERAL";"TAB3",#N/A,TRUE,"GENERAL";"TAB4",#N/A,TRUE,"GENERAL";"TAB5",#N/A,TRUE,"GENERAL"}</definedName>
    <definedName name="dbfdfbi" localSheetId="8" hidden="1">{"TAB1",#N/A,TRUE,"GENERAL";"TAB2",#N/A,TRUE,"GENERAL";"TAB3",#N/A,TRUE,"GENERAL";"TAB4",#N/A,TRUE,"GENERAL";"TAB5",#N/A,TRUE,"GENERAL"}</definedName>
    <definedName name="dbfdfbi" localSheetId="5" hidden="1">{"TAB1",#N/A,TRUE,"GENERAL";"TAB2",#N/A,TRUE,"GENERAL";"TAB3",#N/A,TRUE,"GENERAL";"TAB4",#N/A,TRUE,"GENERAL";"TAB5",#N/A,TRUE,"GENERAL"}</definedName>
    <definedName name="dbfdfbi" hidden="1">{"TAB1",#N/A,TRUE,"GENERAL";"TAB2",#N/A,TRUE,"GENERAL";"TAB3",#N/A,TRUE,"GENERAL";"TAB4",#N/A,TRUE,"GENERAL";"TAB5",#N/A,TRUE,"GENERAL"}</definedName>
    <definedName name="Dbgcm" localSheetId="5">#REF!</definedName>
    <definedName name="Dbgcm">#REF!</definedName>
    <definedName name="Dcacm" localSheetId="5">#REF!</definedName>
    <definedName name="Dcacm">#REF!</definedName>
    <definedName name="DCSDCTV" localSheetId="10" hidden="1">{"via1",#N/A,TRUE,"general";"via2",#N/A,TRUE,"general";"via3",#N/A,TRUE,"general"}</definedName>
    <definedName name="DCSDCTV" localSheetId="8" hidden="1">{"via1",#N/A,TRUE,"general";"via2",#N/A,TRUE,"general";"via3",#N/A,TRUE,"general"}</definedName>
    <definedName name="DCSDCTV" localSheetId="5" hidden="1">{"via1",#N/A,TRUE,"general";"via2",#N/A,TRUE,"general";"via3",#N/A,TRUE,"general"}</definedName>
    <definedName name="DCSDCTV" hidden="1">{"via1",#N/A,TRUE,"general";"via2",#N/A,TRUE,"general";"via3",#N/A,TRUE,"general"}</definedName>
    <definedName name="dd" localSheetId="5">#REF!</definedName>
    <definedName name="dd">#REF!</definedName>
    <definedName name="ddd" localSheetId="10" hidden="1">{"via1",#N/A,TRUE,"general";"via2",#N/A,TRUE,"general";"via3",#N/A,TRUE,"general"}</definedName>
    <definedName name="ddd" localSheetId="8" hidden="1">{"via1",#N/A,TRUE,"general";"via2",#N/A,TRUE,"general";"via3",#N/A,TRUE,"general"}</definedName>
    <definedName name="ddd" localSheetId="5" hidden="1">{"via1",#N/A,TRUE,"general";"via2",#N/A,TRUE,"general";"via3",#N/A,TRUE,"general"}</definedName>
    <definedName name="ddd" hidden="1">{"via1",#N/A,TRUE,"general";"via2",#N/A,TRUE,"general";"via3",#N/A,TRUE,"general"}</definedName>
    <definedName name="ddddt" localSheetId="10" hidden="1">{"via1",#N/A,TRUE,"general";"via2",#N/A,TRUE,"general";"via3",#N/A,TRUE,"general"}</definedName>
    <definedName name="ddddt" localSheetId="8" hidden="1">{"via1",#N/A,TRUE,"general";"via2",#N/A,TRUE,"general";"via3",#N/A,TRUE,"general"}</definedName>
    <definedName name="ddddt" localSheetId="5" hidden="1">{"via1",#N/A,TRUE,"general";"via2",#N/A,TRUE,"general";"via3",#N/A,TRUE,"general"}</definedName>
    <definedName name="ddddt" hidden="1">{"via1",#N/A,TRUE,"general";"via2",#N/A,TRUE,"general";"via3",#N/A,TRUE,"general"}</definedName>
    <definedName name="ddewdw" localSheetId="10" hidden="1">{"TAB1",#N/A,TRUE,"GENERAL";"TAB2",#N/A,TRUE,"GENERAL";"TAB3",#N/A,TRUE,"GENERAL";"TAB4",#N/A,TRUE,"GENERAL";"TAB5",#N/A,TRUE,"GENERAL"}</definedName>
    <definedName name="ddewdw" localSheetId="8" hidden="1">{"TAB1",#N/A,TRUE,"GENERAL";"TAB2",#N/A,TRUE,"GENERAL";"TAB3",#N/A,TRUE,"GENERAL";"TAB4",#N/A,TRUE,"GENERAL";"TAB5",#N/A,TRUE,"GENERAL"}</definedName>
    <definedName name="ddewdw" localSheetId="5" hidden="1">{"TAB1",#N/A,TRUE,"GENERAL";"TAB2",#N/A,TRUE,"GENERAL";"TAB3",#N/A,TRUE,"GENERAL";"TAB4",#N/A,TRUE,"GENERAL";"TAB5",#N/A,TRUE,"GENERAL"}</definedName>
    <definedName name="ddewdw" hidden="1">{"TAB1",#N/A,TRUE,"GENERAL";"TAB2",#N/A,TRUE,"GENERAL";"TAB3",#N/A,TRUE,"GENERAL";"TAB4",#N/A,TRUE,"GENERAL";"TAB5",#N/A,TRUE,"GENERAL"}</definedName>
    <definedName name="ddfdh" localSheetId="10" hidden="1">{"TAB1",#N/A,TRUE,"GENERAL";"TAB2",#N/A,TRUE,"GENERAL";"TAB3",#N/A,TRUE,"GENERAL";"TAB4",#N/A,TRUE,"GENERAL";"TAB5",#N/A,TRUE,"GENERAL"}</definedName>
    <definedName name="ddfdh" localSheetId="8" hidden="1">{"TAB1",#N/A,TRUE,"GENERAL";"TAB2",#N/A,TRUE,"GENERAL";"TAB3",#N/A,TRUE,"GENERAL";"TAB4",#N/A,TRUE,"GENERAL";"TAB5",#N/A,TRUE,"GENERAL"}</definedName>
    <definedName name="ddfdh" localSheetId="5" hidden="1">{"TAB1",#N/A,TRUE,"GENERAL";"TAB2",#N/A,TRUE,"GENERAL";"TAB3",#N/A,TRUE,"GENERAL";"TAB4",#N/A,TRUE,"GENERAL";"TAB5",#N/A,TRUE,"GENERAL"}</definedName>
    <definedName name="ddfdh" hidden="1">{"TAB1",#N/A,TRUE,"GENERAL";"TAB2",#N/A,TRUE,"GENERAL";"TAB3",#N/A,TRUE,"GENERAL";"TAB4",#N/A,TRUE,"GENERAL";"TAB5",#N/A,TRUE,"GENERAL"}</definedName>
    <definedName name="DDGSDP" localSheetId="10" hidden="1">{"TAB1",#N/A,TRUE,"GENERAL";"TAB2",#N/A,TRUE,"GENERAL";"TAB3",#N/A,TRUE,"GENERAL";"TAB4",#N/A,TRUE,"GENERAL";"TAB5",#N/A,TRUE,"GENERAL"}</definedName>
    <definedName name="DDGSDP" localSheetId="8" hidden="1">{"TAB1",#N/A,TRUE,"GENERAL";"TAB2",#N/A,TRUE,"GENERAL";"TAB3",#N/A,TRUE,"GENERAL";"TAB4",#N/A,TRUE,"GENERAL";"TAB5",#N/A,TRUE,"GENERAL"}</definedName>
    <definedName name="DDGSDP" localSheetId="5" hidden="1">{"TAB1",#N/A,TRUE,"GENERAL";"TAB2",#N/A,TRUE,"GENERAL";"TAB3",#N/A,TRUE,"GENERAL";"TAB4",#N/A,TRUE,"GENERAL";"TAB5",#N/A,TRUE,"GENERAL"}</definedName>
    <definedName name="DDGSDP" hidden="1">{"TAB1",#N/A,TRUE,"GENERAL";"TAB2",#N/A,TRUE,"GENERAL";"TAB3",#N/A,TRUE,"GENERAL";"TAB4",#N/A,TRUE,"GENERAL";"TAB5",#N/A,TRUE,"GENERAL"}</definedName>
    <definedName name="deded" localSheetId="10" hidden="1">{"TAB1",#N/A,TRUE,"GENERAL";"TAB2",#N/A,TRUE,"GENERAL";"TAB3",#N/A,TRUE,"GENERAL";"TAB4",#N/A,TRUE,"GENERAL";"TAB5",#N/A,TRUE,"GENERAL"}</definedName>
    <definedName name="deded" localSheetId="8" hidden="1">{"TAB1",#N/A,TRUE,"GENERAL";"TAB2",#N/A,TRUE,"GENERAL";"TAB3",#N/A,TRUE,"GENERAL";"TAB4",#N/A,TRUE,"GENERAL";"TAB5",#N/A,TRUE,"GENERAL"}</definedName>
    <definedName name="deded" localSheetId="5" hidden="1">{"TAB1",#N/A,TRUE,"GENERAL";"TAB2",#N/A,TRUE,"GENERAL";"TAB3",#N/A,TRUE,"GENERAL";"TAB4",#N/A,TRUE,"GENERAL";"TAB5",#N/A,TRUE,"GENERAL"}</definedName>
    <definedName name="deded" hidden="1">{"TAB1",#N/A,TRUE,"GENERAL";"TAB2",#N/A,TRUE,"GENERAL";"TAB3",#N/A,TRUE,"GENERAL";"TAB4",#N/A,TRUE,"GENERAL";"TAB5",#N/A,TRUE,"GENERAL"}</definedName>
    <definedName name="defd" localSheetId="10" hidden="1">{"via1",#N/A,TRUE,"general";"via2",#N/A,TRUE,"general";"via3",#N/A,TRUE,"general"}</definedName>
    <definedName name="defd" localSheetId="8" hidden="1">{"via1",#N/A,TRUE,"general";"via2",#N/A,TRUE,"general";"via3",#N/A,TRUE,"general"}</definedName>
    <definedName name="defd" localSheetId="5" hidden="1">{"via1",#N/A,TRUE,"general";"via2",#N/A,TRUE,"general";"via3",#N/A,TRUE,"general"}</definedName>
    <definedName name="defd" hidden="1">{"via1",#N/A,TRUE,"general";"via2",#N/A,TRUE,"general";"via3",#N/A,TRUE,"general"}</definedName>
    <definedName name="demanto" localSheetId="5">#REF!</definedName>
    <definedName name="demanto">#REF!</definedName>
    <definedName name="DEX" localSheetId="5">#REF!</definedName>
    <definedName name="DEX">#REF!</definedName>
    <definedName name="dfa" localSheetId="10" hidden="1">{"TAB1",#N/A,TRUE,"GENERAL";"TAB2",#N/A,TRUE,"GENERAL";"TAB3",#N/A,TRUE,"GENERAL";"TAB4",#N/A,TRUE,"GENERAL";"TAB5",#N/A,TRUE,"GENERAL"}</definedName>
    <definedName name="dfa" localSheetId="8" hidden="1">{"TAB1",#N/A,TRUE,"GENERAL";"TAB2",#N/A,TRUE,"GENERAL";"TAB3",#N/A,TRUE,"GENERAL";"TAB4",#N/A,TRUE,"GENERAL";"TAB5",#N/A,TRUE,"GENERAL"}</definedName>
    <definedName name="dfa" localSheetId="5" hidden="1">{"TAB1",#N/A,TRUE,"GENERAL";"TAB2",#N/A,TRUE,"GENERAL";"TAB3",#N/A,TRUE,"GENERAL";"TAB4",#N/A,TRUE,"GENERAL";"TAB5",#N/A,TRUE,"GENERAL"}</definedName>
    <definedName name="dfa" hidden="1">{"TAB1",#N/A,TRUE,"GENERAL";"TAB2",#N/A,TRUE,"GENERAL";"TAB3",#N/A,TRUE,"GENERAL";"TAB4",#N/A,TRUE,"GENERAL";"TAB5",#N/A,TRUE,"GENERAL"}</definedName>
    <definedName name="dfasd" localSheetId="10" hidden="1">{"TAB1",#N/A,TRUE,"GENERAL";"TAB2",#N/A,TRUE,"GENERAL";"TAB3",#N/A,TRUE,"GENERAL";"TAB4",#N/A,TRUE,"GENERAL";"TAB5",#N/A,TRUE,"GENERAL"}</definedName>
    <definedName name="dfasd" localSheetId="8" hidden="1">{"TAB1",#N/A,TRUE,"GENERAL";"TAB2",#N/A,TRUE,"GENERAL";"TAB3",#N/A,TRUE,"GENERAL";"TAB4",#N/A,TRUE,"GENERAL";"TAB5",#N/A,TRUE,"GENERAL"}</definedName>
    <definedName name="dfasd" localSheetId="5" hidden="1">{"TAB1",#N/A,TRUE,"GENERAL";"TAB2",#N/A,TRUE,"GENERAL";"TAB3",#N/A,TRUE,"GENERAL";"TAB4",#N/A,TRUE,"GENERAL";"TAB5",#N/A,TRUE,"GENERAL"}</definedName>
    <definedName name="dfasd" hidden="1">{"TAB1",#N/A,TRUE,"GENERAL";"TAB2",#N/A,TRUE,"GENERAL";"TAB3",#N/A,TRUE,"GENERAL";"TAB4",#N/A,TRUE,"GENERAL";"TAB5",#N/A,TRUE,"GENERAL"}</definedName>
    <definedName name="DFBNJ" localSheetId="10" hidden="1">{"via1",#N/A,TRUE,"general";"via2",#N/A,TRUE,"general";"via3",#N/A,TRUE,"general"}</definedName>
    <definedName name="DFBNJ" localSheetId="8" hidden="1">{"via1",#N/A,TRUE,"general";"via2",#N/A,TRUE,"general";"via3",#N/A,TRUE,"general"}</definedName>
    <definedName name="DFBNJ" localSheetId="5" hidden="1">{"via1",#N/A,TRUE,"general";"via2",#N/A,TRUE,"general";"via3",#N/A,TRUE,"general"}</definedName>
    <definedName name="DFBNJ" hidden="1">{"via1",#N/A,TRUE,"general";"via2",#N/A,TRUE,"general";"via3",#N/A,TRUE,"general"}</definedName>
    <definedName name="dfds" localSheetId="10" hidden="1">{"TAB1",#N/A,TRUE,"GENERAL";"TAB2",#N/A,TRUE,"GENERAL";"TAB3",#N/A,TRUE,"GENERAL";"TAB4",#N/A,TRUE,"GENERAL";"TAB5",#N/A,TRUE,"GENERAL"}</definedName>
    <definedName name="dfds" localSheetId="8" hidden="1">{"TAB1",#N/A,TRUE,"GENERAL";"TAB2",#N/A,TRUE,"GENERAL";"TAB3",#N/A,TRUE,"GENERAL";"TAB4",#N/A,TRUE,"GENERAL";"TAB5",#N/A,TRUE,"GENERAL"}</definedName>
    <definedName name="dfds" localSheetId="5" hidden="1">{"TAB1",#N/A,TRUE,"GENERAL";"TAB2",#N/A,TRUE,"GENERAL";"TAB3",#N/A,TRUE,"GENERAL";"TAB4",#N/A,TRUE,"GENERAL";"TAB5",#N/A,TRUE,"GENERAL"}</definedName>
    <definedName name="dfds" hidden="1">{"TAB1",#N/A,TRUE,"GENERAL";"TAB2",#N/A,TRUE,"GENERAL";"TAB3",#N/A,TRUE,"GENERAL";"TAB4",#N/A,TRUE,"GENERAL";"TAB5",#N/A,TRUE,"GENERAL"}</definedName>
    <definedName name="dfdsfi" localSheetId="10" hidden="1">{"via1",#N/A,TRUE,"general";"via2",#N/A,TRUE,"general";"via3",#N/A,TRUE,"general"}</definedName>
    <definedName name="dfdsfi" localSheetId="8" hidden="1">{"via1",#N/A,TRUE,"general";"via2",#N/A,TRUE,"general";"via3",#N/A,TRUE,"general"}</definedName>
    <definedName name="dfdsfi" localSheetId="5" hidden="1">{"via1",#N/A,TRUE,"general";"via2",#N/A,TRUE,"general";"via3",#N/A,TRUE,"general"}</definedName>
    <definedName name="dfdsfi" hidden="1">{"via1",#N/A,TRUE,"general";"via2",#N/A,TRUE,"general";"via3",#N/A,TRUE,"general"}</definedName>
    <definedName name="dffffe" localSheetId="10" hidden="1">{"TAB1",#N/A,TRUE,"GENERAL";"TAB2",#N/A,TRUE,"GENERAL";"TAB3",#N/A,TRUE,"GENERAL";"TAB4",#N/A,TRUE,"GENERAL";"TAB5",#N/A,TRUE,"GENERAL"}</definedName>
    <definedName name="dffffe" localSheetId="8" hidden="1">{"TAB1",#N/A,TRUE,"GENERAL";"TAB2",#N/A,TRUE,"GENERAL";"TAB3",#N/A,TRUE,"GENERAL";"TAB4",#N/A,TRUE,"GENERAL";"TAB5",#N/A,TRUE,"GENERAL"}</definedName>
    <definedName name="dffffe" localSheetId="5" hidden="1">{"TAB1",#N/A,TRUE,"GENERAL";"TAB2",#N/A,TRUE,"GENERAL";"TAB3",#N/A,TRUE,"GENERAL";"TAB4",#N/A,TRUE,"GENERAL";"TAB5",#N/A,TRUE,"GENERAL"}</definedName>
    <definedName name="dffffe" hidden="1">{"TAB1",#N/A,TRUE,"GENERAL";"TAB2",#N/A,TRUE,"GENERAL";"TAB3",#N/A,TRUE,"GENERAL";"TAB4",#N/A,TRUE,"GENERAL";"TAB5",#N/A,TRUE,"GENERAL"}</definedName>
    <definedName name="DFG" localSheetId="10" hidden="1">{"via1",#N/A,TRUE,"general";"via2",#N/A,TRUE,"general";"via3",#N/A,TRUE,"general"}</definedName>
    <definedName name="DFG" localSheetId="8" hidden="1">{"via1",#N/A,TRUE,"general";"via2",#N/A,TRUE,"general";"via3",#N/A,TRUE,"general"}</definedName>
    <definedName name="DFG" localSheetId="5" hidden="1">{"via1",#N/A,TRUE,"general";"via2",#N/A,TRUE,"general";"via3",#N/A,TRUE,"general"}</definedName>
    <definedName name="DFG" hidden="1">{"via1",#N/A,TRUE,"general";"via2",#N/A,TRUE,"general";"via3",#N/A,TRUE,"general"}</definedName>
    <definedName name="DFGBHJ" localSheetId="10" hidden="1">{"via1",#N/A,TRUE,"general";"via2",#N/A,TRUE,"general";"via3",#N/A,TRUE,"general"}</definedName>
    <definedName name="DFGBHJ" localSheetId="8" hidden="1">{"via1",#N/A,TRUE,"general";"via2",#N/A,TRUE,"general";"via3",#N/A,TRUE,"general"}</definedName>
    <definedName name="DFGBHJ" localSheetId="5" hidden="1">{"via1",#N/A,TRUE,"general";"via2",#N/A,TRUE,"general";"via3",#N/A,TRUE,"general"}</definedName>
    <definedName name="DFGBHJ" hidden="1">{"via1",#N/A,TRUE,"general";"via2",#N/A,TRUE,"general";"via3",#N/A,TRUE,"general"}</definedName>
    <definedName name="DFGDFG" localSheetId="10" hidden="1">{"via1",#N/A,TRUE,"general";"via2",#N/A,TRUE,"general";"via3",#N/A,TRUE,"general"}</definedName>
    <definedName name="DFGDFG" localSheetId="8" hidden="1">{"via1",#N/A,TRUE,"general";"via2",#N/A,TRUE,"general";"via3",#N/A,TRUE,"general"}</definedName>
    <definedName name="DFGDFG" localSheetId="5" hidden="1">{"via1",#N/A,TRUE,"general";"via2",#N/A,TRUE,"general";"via3",#N/A,TRUE,"general"}</definedName>
    <definedName name="DFGDFG" hidden="1">{"via1",#N/A,TRUE,"general";"via2",#N/A,TRUE,"general";"via3",#N/A,TRUE,"general"}</definedName>
    <definedName name="DFGDYYB" localSheetId="10" hidden="1">{"TAB1",#N/A,TRUE,"GENERAL";"TAB2",#N/A,TRUE,"GENERAL";"TAB3",#N/A,TRUE,"GENERAL";"TAB4",#N/A,TRUE,"GENERAL";"TAB5",#N/A,TRUE,"GENERAL"}</definedName>
    <definedName name="DFGDYYB" localSheetId="8" hidden="1">{"TAB1",#N/A,TRUE,"GENERAL";"TAB2",#N/A,TRUE,"GENERAL";"TAB3",#N/A,TRUE,"GENERAL";"TAB4",#N/A,TRUE,"GENERAL";"TAB5",#N/A,TRUE,"GENERAL"}</definedName>
    <definedName name="DFGDYYB" localSheetId="5" hidden="1">{"TAB1",#N/A,TRUE,"GENERAL";"TAB2",#N/A,TRUE,"GENERAL";"TAB3",#N/A,TRUE,"GENERAL";"TAB4",#N/A,TRUE,"GENERAL";"TAB5",#N/A,TRUE,"GENERAL"}</definedName>
    <definedName name="DFGDYYB" hidden="1">{"TAB1",#N/A,TRUE,"GENERAL";"TAB2",#N/A,TRUE,"GENERAL";"TAB3",#N/A,TRUE,"GENERAL";"TAB4",#N/A,TRUE,"GENERAL";"TAB5",#N/A,TRUE,"GENERAL"}</definedName>
    <definedName name="dfgf" localSheetId="10" hidden="1">{"via1",#N/A,TRUE,"general";"via2",#N/A,TRUE,"general";"via3",#N/A,TRUE,"general"}</definedName>
    <definedName name="dfgf" localSheetId="8" hidden="1">{"via1",#N/A,TRUE,"general";"via2",#N/A,TRUE,"general";"via3",#N/A,TRUE,"general"}</definedName>
    <definedName name="dfgf" localSheetId="5" hidden="1">{"via1",#N/A,TRUE,"general";"via2",#N/A,TRUE,"general";"via3",#N/A,TRUE,"general"}</definedName>
    <definedName name="dfgf" hidden="1">{"via1",#N/A,TRUE,"general";"via2",#N/A,TRUE,"general";"via3",#N/A,TRUE,"general"}</definedName>
    <definedName name="DFGFBOP" localSheetId="10" hidden="1">{"TAB1",#N/A,TRUE,"GENERAL";"TAB2",#N/A,TRUE,"GENERAL";"TAB3",#N/A,TRUE,"GENERAL";"TAB4",#N/A,TRUE,"GENERAL";"TAB5",#N/A,TRUE,"GENERAL"}</definedName>
    <definedName name="DFGFBOP" localSheetId="8" hidden="1">{"TAB1",#N/A,TRUE,"GENERAL";"TAB2",#N/A,TRUE,"GENERAL";"TAB3",#N/A,TRUE,"GENERAL";"TAB4",#N/A,TRUE,"GENERAL";"TAB5",#N/A,TRUE,"GENERAL"}</definedName>
    <definedName name="DFGFBOP" localSheetId="5" hidden="1">{"TAB1",#N/A,TRUE,"GENERAL";"TAB2",#N/A,TRUE,"GENERAL";"TAB3",#N/A,TRUE,"GENERAL";"TAB4",#N/A,TRUE,"GENERAL";"TAB5",#N/A,TRUE,"GENERAL"}</definedName>
    <definedName name="DFGFBOP" hidden="1">{"TAB1",#N/A,TRUE,"GENERAL";"TAB2",#N/A,TRUE,"GENERAL";"TAB3",#N/A,TRUE,"GENERAL";"TAB4",#N/A,TRUE,"GENERAL";"TAB5",#N/A,TRUE,"GENERAL"}</definedName>
    <definedName name="DFGFDG" localSheetId="10" hidden="1">{"TAB1",#N/A,TRUE,"GENERAL";"TAB2",#N/A,TRUE,"GENERAL";"TAB3",#N/A,TRUE,"GENERAL";"TAB4",#N/A,TRUE,"GENERAL";"TAB5",#N/A,TRUE,"GENERAL"}</definedName>
    <definedName name="DFGFDG" localSheetId="8" hidden="1">{"TAB1",#N/A,TRUE,"GENERAL";"TAB2",#N/A,TRUE,"GENERAL";"TAB3",#N/A,TRUE,"GENERAL";"TAB4",#N/A,TRUE,"GENERAL";"TAB5",#N/A,TRUE,"GENERAL"}</definedName>
    <definedName name="DFGFDG" localSheetId="5" hidden="1">{"TAB1",#N/A,TRUE,"GENERAL";"TAB2",#N/A,TRUE,"GENERAL";"TAB3",#N/A,TRUE,"GENERAL";"TAB4",#N/A,TRUE,"GENERAL";"TAB5",#N/A,TRUE,"GENERAL"}</definedName>
    <definedName name="DFGFDG" hidden="1">{"TAB1",#N/A,TRUE,"GENERAL";"TAB2",#N/A,TRUE,"GENERAL";"TAB3",#N/A,TRUE,"GENERAL";"TAB4",#N/A,TRUE,"GENERAL";"TAB5",#N/A,TRUE,"GENERAL"}</definedName>
    <definedName name="DFGV" localSheetId="10" hidden="1">{"TAB1",#N/A,TRUE,"GENERAL";"TAB2",#N/A,TRUE,"GENERAL";"TAB3",#N/A,TRUE,"GENERAL";"TAB4",#N/A,TRUE,"GENERAL";"TAB5",#N/A,TRUE,"GENERAL"}</definedName>
    <definedName name="DFGV" localSheetId="8" hidden="1">{"TAB1",#N/A,TRUE,"GENERAL";"TAB2",#N/A,TRUE,"GENERAL";"TAB3",#N/A,TRUE,"GENERAL";"TAB4",#N/A,TRUE,"GENERAL";"TAB5",#N/A,TRUE,"GENERAL"}</definedName>
    <definedName name="DFGV" localSheetId="5" hidden="1">{"TAB1",#N/A,TRUE,"GENERAL";"TAB2",#N/A,TRUE,"GENERAL";"TAB3",#N/A,TRUE,"GENERAL";"TAB4",#N/A,TRUE,"GENERAL";"TAB5",#N/A,TRUE,"GENERAL"}</definedName>
    <definedName name="DFGV" hidden="1">{"TAB1",#N/A,TRUE,"GENERAL";"TAB2",#N/A,TRUE,"GENERAL";"TAB3",#N/A,TRUE,"GENERAL";"TAB4",#N/A,TRUE,"GENERAL";"TAB5",#N/A,TRUE,"GENERAL"}</definedName>
    <definedName name="dfgypuj" localSheetId="10" hidden="1">{"TAB1",#N/A,TRUE,"GENERAL";"TAB2",#N/A,TRUE,"GENERAL";"TAB3",#N/A,TRUE,"GENERAL";"TAB4",#N/A,TRUE,"GENERAL";"TAB5",#N/A,TRUE,"GENERAL"}</definedName>
    <definedName name="dfgypuj" localSheetId="8" hidden="1">{"TAB1",#N/A,TRUE,"GENERAL";"TAB2",#N/A,TRUE,"GENERAL";"TAB3",#N/A,TRUE,"GENERAL";"TAB4",#N/A,TRUE,"GENERAL";"TAB5",#N/A,TRUE,"GENERAL"}</definedName>
    <definedName name="dfgypuj" localSheetId="5" hidden="1">{"TAB1",#N/A,TRUE,"GENERAL";"TAB2",#N/A,TRUE,"GENERAL";"TAB3",#N/A,TRUE,"GENERAL";"TAB4",#N/A,TRUE,"GENERAL";"TAB5",#N/A,TRUE,"GENERAL"}</definedName>
    <definedName name="dfgypuj" hidden="1">{"TAB1",#N/A,TRUE,"GENERAL";"TAB2",#N/A,TRUE,"GENERAL";"TAB3",#N/A,TRUE,"GENERAL";"TAB4",#N/A,TRUE,"GENERAL";"TAB5",#N/A,TRUE,"GENERAL"}</definedName>
    <definedName name="dfh" localSheetId="10" hidden="1">{"TAB1",#N/A,TRUE,"GENERAL";"TAB2",#N/A,TRUE,"GENERAL";"TAB3",#N/A,TRUE,"GENERAL";"TAB4",#N/A,TRUE,"GENERAL";"TAB5",#N/A,TRUE,"GENERAL"}</definedName>
    <definedName name="dfh" localSheetId="8" hidden="1">{"TAB1",#N/A,TRUE,"GENERAL";"TAB2",#N/A,TRUE,"GENERAL";"TAB3",#N/A,TRUE,"GENERAL";"TAB4",#N/A,TRUE,"GENERAL";"TAB5",#N/A,TRUE,"GENERAL"}</definedName>
    <definedName name="dfh" localSheetId="5" hidden="1">{"TAB1",#N/A,TRUE,"GENERAL";"TAB2",#N/A,TRUE,"GENERAL";"TAB3",#N/A,TRUE,"GENERAL";"TAB4",#N/A,TRUE,"GENERAL";"TAB5",#N/A,TRUE,"GENERAL"}</definedName>
    <definedName name="dfh" hidden="1">{"TAB1",#N/A,TRUE,"GENERAL";"TAB2",#N/A,TRUE,"GENERAL";"TAB3",#N/A,TRUE,"GENERAL";"TAB4",#N/A,TRUE,"GENERAL";"TAB5",#N/A,TRUE,"GENERAL"}</definedName>
    <definedName name="dfhdr" localSheetId="10" hidden="1">{"via1",#N/A,TRUE,"general";"via2",#N/A,TRUE,"general";"via3",#N/A,TRUE,"general"}</definedName>
    <definedName name="dfhdr" localSheetId="8" hidden="1">{"via1",#N/A,TRUE,"general";"via2",#N/A,TRUE,"general";"via3",#N/A,TRUE,"general"}</definedName>
    <definedName name="dfhdr" localSheetId="5" hidden="1">{"via1",#N/A,TRUE,"general";"via2",#N/A,TRUE,"general";"via3",#N/A,TRUE,"general"}</definedName>
    <definedName name="dfhdr" hidden="1">{"via1",#N/A,TRUE,"general";"via2",#N/A,TRUE,"general";"via3",#N/A,TRUE,"general"}</definedName>
    <definedName name="dfhgh" localSheetId="10" hidden="1">{"via1",#N/A,TRUE,"general";"via2",#N/A,TRUE,"general";"via3",#N/A,TRUE,"general"}</definedName>
    <definedName name="dfhgh" localSheetId="8" hidden="1">{"via1",#N/A,TRUE,"general";"via2",#N/A,TRUE,"general";"via3",#N/A,TRUE,"general"}</definedName>
    <definedName name="dfhgh" localSheetId="5" hidden="1">{"via1",#N/A,TRUE,"general";"via2",#N/A,TRUE,"general";"via3",#N/A,TRUE,"general"}</definedName>
    <definedName name="dfhgh" hidden="1">{"via1",#N/A,TRUE,"general";"via2",#N/A,TRUE,"general";"via3",#N/A,TRUE,"general"}</definedName>
    <definedName name="dfj" localSheetId="10" hidden="1">{"via1",#N/A,TRUE,"general";"via2",#N/A,TRUE,"general";"via3",#N/A,TRUE,"general"}</definedName>
    <definedName name="dfj" localSheetId="8" hidden="1">{"via1",#N/A,TRUE,"general";"via2",#N/A,TRUE,"general";"via3",#N/A,TRUE,"general"}</definedName>
    <definedName name="dfj" localSheetId="5" hidden="1">{"via1",#N/A,TRUE,"general";"via2",#N/A,TRUE,"general";"via3",#N/A,TRUE,"general"}</definedName>
    <definedName name="dfj" hidden="1">{"via1",#N/A,TRUE,"general";"via2",#N/A,TRUE,"general";"via3",#N/A,TRUE,"general"}</definedName>
    <definedName name="DFRFRF" localSheetId="10" hidden="1">{"via1",#N/A,TRUE,"general";"via2",#N/A,TRUE,"general";"via3",#N/A,TRUE,"general"}</definedName>
    <definedName name="DFRFRF" localSheetId="8" hidden="1">{"via1",#N/A,TRUE,"general";"via2",#N/A,TRUE,"general";"via3",#N/A,TRUE,"general"}</definedName>
    <definedName name="DFRFRF" localSheetId="5" hidden="1">{"via1",#N/A,TRUE,"general";"via2",#N/A,TRUE,"general";"via3",#N/A,TRUE,"general"}</definedName>
    <definedName name="DFRFRF" hidden="1">{"via1",#N/A,TRUE,"general";"via2",#N/A,TRUE,"general";"via3",#N/A,TRUE,"general"}</definedName>
    <definedName name="DFVUI" localSheetId="10" hidden="1">{"via1",#N/A,TRUE,"general";"via2",#N/A,TRUE,"general";"via3",#N/A,TRUE,"general"}</definedName>
    <definedName name="DFVUI" localSheetId="8" hidden="1">{"via1",#N/A,TRUE,"general";"via2",#N/A,TRUE,"general";"via3",#N/A,TRUE,"general"}</definedName>
    <definedName name="DFVUI" localSheetId="5" hidden="1">{"via1",#N/A,TRUE,"general";"via2",#N/A,TRUE,"general";"via3",#N/A,TRUE,"general"}</definedName>
    <definedName name="DFVUI" hidden="1">{"via1",#N/A,TRUE,"general";"via2",#N/A,TRUE,"general";"via3",#N/A,TRUE,"general"}</definedName>
    <definedName name="dg" localSheetId="10" hidden="1">{"via1",#N/A,TRUE,"general";"via2",#N/A,TRUE,"general";"via3",#N/A,TRUE,"general"}</definedName>
    <definedName name="dg" localSheetId="8" hidden="1">{"via1",#N/A,TRUE,"general";"via2",#N/A,TRUE,"general";"via3",#N/A,TRUE,"general"}</definedName>
    <definedName name="dg" localSheetId="5" hidden="1">{"via1",#N/A,TRUE,"general";"via2",#N/A,TRUE,"general";"via3",#N/A,TRUE,"general"}</definedName>
    <definedName name="dg" hidden="1">{"via1",#N/A,TRUE,"general";"via2",#N/A,TRUE,"general";"via3",#N/A,TRUE,"general"}</definedName>
    <definedName name="dgdgr" localSheetId="10" hidden="1">{"via1",#N/A,TRUE,"general";"via2",#N/A,TRUE,"general";"via3",#N/A,TRUE,"general"}</definedName>
    <definedName name="dgdgr" localSheetId="8" hidden="1">{"via1",#N/A,TRUE,"general";"via2",#N/A,TRUE,"general";"via3",#N/A,TRUE,"general"}</definedName>
    <definedName name="dgdgr" localSheetId="5" hidden="1">{"via1",#N/A,TRUE,"general";"via2",#N/A,TRUE,"general";"via3",#N/A,TRUE,"general"}</definedName>
    <definedName name="dgdgr" hidden="1">{"via1",#N/A,TRUE,"general";"via2",#N/A,TRUE,"general";"via3",#N/A,TRUE,"general"}</definedName>
    <definedName name="dgfd" localSheetId="10" hidden="1">{"TAB1",#N/A,TRUE,"GENERAL";"TAB2",#N/A,TRUE,"GENERAL";"TAB3",#N/A,TRUE,"GENERAL";"TAB4",#N/A,TRUE,"GENERAL";"TAB5",#N/A,TRUE,"GENERAL"}</definedName>
    <definedName name="dgfd" localSheetId="8" hidden="1">{"TAB1",#N/A,TRUE,"GENERAL";"TAB2",#N/A,TRUE,"GENERAL";"TAB3",#N/A,TRUE,"GENERAL";"TAB4",#N/A,TRUE,"GENERAL";"TAB5",#N/A,TRUE,"GENERAL"}</definedName>
    <definedName name="dgfd" localSheetId="5" hidden="1">{"TAB1",#N/A,TRUE,"GENERAL";"TAB2",#N/A,TRUE,"GENERAL";"TAB3",#N/A,TRUE,"GENERAL";"TAB4",#N/A,TRUE,"GENERAL";"TAB5",#N/A,TRUE,"GENERAL"}</definedName>
    <definedName name="dgfd" hidden="1">{"TAB1",#N/A,TRUE,"GENERAL";"TAB2",#N/A,TRUE,"GENERAL";"TAB3",#N/A,TRUE,"GENERAL";"TAB4",#N/A,TRUE,"GENERAL";"TAB5",#N/A,TRUE,"GENERAL"}</definedName>
    <definedName name="DGFDFVSDF" localSheetId="10" hidden="1">{"via1",#N/A,TRUE,"general";"via2",#N/A,TRUE,"general";"via3",#N/A,TRUE,"general"}</definedName>
    <definedName name="DGFDFVSDF" localSheetId="8" hidden="1">{"via1",#N/A,TRUE,"general";"via2",#N/A,TRUE,"general";"via3",#N/A,TRUE,"general"}</definedName>
    <definedName name="DGFDFVSDF" localSheetId="5" hidden="1">{"via1",#N/A,TRUE,"general";"via2",#N/A,TRUE,"general";"via3",#N/A,TRUE,"general"}</definedName>
    <definedName name="DGFDFVSDF" hidden="1">{"via1",#N/A,TRUE,"general";"via2",#N/A,TRUE,"general";"via3",#N/A,TRUE,"general"}</definedName>
    <definedName name="dgfdg" localSheetId="10" hidden="1">{"via1",#N/A,TRUE,"general";"via2",#N/A,TRUE,"general";"via3",#N/A,TRUE,"general"}</definedName>
    <definedName name="dgfdg" localSheetId="8" hidden="1">{"via1",#N/A,TRUE,"general";"via2",#N/A,TRUE,"general";"via3",#N/A,TRUE,"general"}</definedName>
    <definedName name="dgfdg" localSheetId="5" hidden="1">{"via1",#N/A,TRUE,"general";"via2",#N/A,TRUE,"general";"via3",#N/A,TRUE,"general"}</definedName>
    <definedName name="dgfdg" hidden="1">{"via1",#N/A,TRUE,"general";"via2",#N/A,TRUE,"general";"via3",#N/A,TRUE,"general"}</definedName>
    <definedName name="DGFG" localSheetId="10" hidden="1">{"via1",#N/A,TRUE,"general";"via2",#N/A,TRUE,"general";"via3",#N/A,TRUE,"general"}</definedName>
    <definedName name="DGFG" localSheetId="8" hidden="1">{"via1",#N/A,TRUE,"general";"via2",#N/A,TRUE,"general";"via3",#N/A,TRUE,"general"}</definedName>
    <definedName name="DGFG" localSheetId="5" hidden="1">{"via1",#N/A,TRUE,"general";"via2",#N/A,TRUE,"general";"via3",#N/A,TRUE,"general"}</definedName>
    <definedName name="DGFG" hidden="1">{"via1",#N/A,TRUE,"general";"via2",#N/A,TRUE,"general";"via3",#N/A,TRUE,"general"}</definedName>
    <definedName name="dgfsado" localSheetId="10" hidden="1">{"TAB1",#N/A,TRUE,"GENERAL";"TAB2",#N/A,TRUE,"GENERAL";"TAB3",#N/A,TRUE,"GENERAL";"TAB4",#N/A,TRUE,"GENERAL";"TAB5",#N/A,TRUE,"GENERAL"}</definedName>
    <definedName name="dgfsado" localSheetId="8" hidden="1">{"TAB1",#N/A,TRUE,"GENERAL";"TAB2",#N/A,TRUE,"GENERAL";"TAB3",#N/A,TRUE,"GENERAL";"TAB4",#N/A,TRUE,"GENERAL";"TAB5",#N/A,TRUE,"GENERAL"}</definedName>
    <definedName name="dgfsado" localSheetId="5" hidden="1">{"TAB1",#N/A,TRUE,"GENERAL";"TAB2",#N/A,TRUE,"GENERAL";"TAB3",#N/A,TRUE,"GENERAL";"TAB4",#N/A,TRUE,"GENERAL";"TAB5",#N/A,TRUE,"GENERAL"}</definedName>
    <definedName name="dgfsado" hidden="1">{"TAB1",#N/A,TRUE,"GENERAL";"TAB2",#N/A,TRUE,"GENERAL";"TAB3",#N/A,TRUE,"GENERAL";"TAB4",#N/A,TRUE,"GENERAL";"TAB5",#N/A,TRUE,"GENERAL"}</definedName>
    <definedName name="dgrdeb" localSheetId="10" hidden="1">{"TAB1",#N/A,TRUE,"GENERAL";"TAB2",#N/A,TRUE,"GENERAL";"TAB3",#N/A,TRUE,"GENERAL";"TAB4",#N/A,TRUE,"GENERAL";"TAB5",#N/A,TRUE,"GENERAL"}</definedName>
    <definedName name="dgrdeb" localSheetId="8" hidden="1">{"TAB1",#N/A,TRUE,"GENERAL";"TAB2",#N/A,TRUE,"GENERAL";"TAB3",#N/A,TRUE,"GENERAL";"TAB4",#N/A,TRUE,"GENERAL";"TAB5",#N/A,TRUE,"GENERAL"}</definedName>
    <definedName name="dgrdeb" localSheetId="5" hidden="1">{"TAB1",#N/A,TRUE,"GENERAL";"TAB2",#N/A,TRUE,"GENERAL";"TAB3",#N/A,TRUE,"GENERAL";"TAB4",#N/A,TRUE,"GENERAL";"TAB5",#N/A,TRUE,"GENERAL"}</definedName>
    <definedName name="dgrdeb" hidden="1">{"TAB1",#N/A,TRUE,"GENERAL";"TAB2",#N/A,TRUE,"GENERAL";"TAB3",#N/A,TRUE,"GENERAL";"TAB4",#N/A,TRUE,"GENERAL";"TAB5",#N/A,TRUE,"GENERAL"}</definedName>
    <definedName name="dgreg" localSheetId="10" hidden="1">{"via1",#N/A,TRUE,"general";"via2",#N/A,TRUE,"general";"via3",#N/A,TRUE,"general"}</definedName>
    <definedName name="dgreg" localSheetId="8" hidden="1">{"via1",#N/A,TRUE,"general";"via2",#N/A,TRUE,"general";"via3",#N/A,TRUE,"general"}</definedName>
    <definedName name="dgreg" localSheetId="5" hidden="1">{"via1",#N/A,TRUE,"general";"via2",#N/A,TRUE,"general";"via3",#N/A,TRUE,"general"}</definedName>
    <definedName name="dgreg" hidden="1">{"via1",#N/A,TRUE,"general";"via2",#N/A,TRUE,"general";"via3",#N/A,TRUE,"general"}</definedName>
    <definedName name="DH" localSheetId="10" hidden="1">{"via1",#N/A,TRUE,"general";"via2",#N/A,TRUE,"general";"via3",#N/A,TRUE,"general"}</definedName>
    <definedName name="DH" localSheetId="8" hidden="1">{"via1",#N/A,TRUE,"general";"via2",#N/A,TRUE,"general";"via3",#N/A,TRUE,"general"}</definedName>
    <definedName name="DH" localSheetId="5" hidden="1">{"via1",#N/A,TRUE,"general";"via2",#N/A,TRUE,"general";"via3",#N/A,TRUE,"general"}</definedName>
    <definedName name="DH" hidden="1">{"via1",#N/A,TRUE,"general";"via2",#N/A,TRUE,"general";"via3",#N/A,TRUE,"general"}</definedName>
    <definedName name="dhdth" localSheetId="10" hidden="1">{"TAB1",#N/A,TRUE,"GENERAL";"TAB2",#N/A,TRUE,"GENERAL";"TAB3",#N/A,TRUE,"GENERAL";"TAB4",#N/A,TRUE,"GENERAL";"TAB5",#N/A,TRUE,"GENERAL"}</definedName>
    <definedName name="dhdth" localSheetId="8" hidden="1">{"TAB1",#N/A,TRUE,"GENERAL";"TAB2",#N/A,TRUE,"GENERAL";"TAB3",#N/A,TRUE,"GENERAL";"TAB4",#N/A,TRUE,"GENERAL";"TAB5",#N/A,TRUE,"GENERAL"}</definedName>
    <definedName name="dhdth" localSheetId="5" hidden="1">{"TAB1",#N/A,TRUE,"GENERAL";"TAB2",#N/A,TRUE,"GENERAL";"TAB3",#N/A,TRUE,"GENERAL";"TAB4",#N/A,TRUE,"GENERAL";"TAB5",#N/A,TRUE,"GENERAL"}</definedName>
    <definedName name="dhdth" hidden="1">{"TAB1",#N/A,TRUE,"GENERAL";"TAB2",#N/A,TRUE,"GENERAL";"TAB3",#N/A,TRUE,"GENERAL";"TAB4",#N/A,TRUE,"GENERAL";"TAB5",#N/A,TRUE,"GENERAL"}</definedName>
    <definedName name="dhgh" localSheetId="10" hidden="1">{"via1",#N/A,TRUE,"general";"via2",#N/A,TRUE,"general";"via3",#N/A,TRUE,"general"}</definedName>
    <definedName name="dhgh" localSheetId="8" hidden="1">{"via1",#N/A,TRUE,"general";"via2",#N/A,TRUE,"general";"via3",#N/A,TRUE,"general"}</definedName>
    <definedName name="dhgh" localSheetId="5" hidden="1">{"via1",#N/A,TRUE,"general";"via2",#N/A,TRUE,"general";"via3",#N/A,TRUE,"general"}</definedName>
    <definedName name="dhgh" hidden="1">{"via1",#N/A,TRUE,"general";"via2",#N/A,TRUE,"general";"via3",#N/A,TRUE,"general"}</definedName>
    <definedName name="DIA">[5]PRESUPUESTO!$B$13</definedName>
    <definedName name="djdytj" localSheetId="10" hidden="1">{"TAB1",#N/A,TRUE,"GENERAL";"TAB2",#N/A,TRUE,"GENERAL";"TAB3",#N/A,TRUE,"GENERAL";"TAB4",#N/A,TRUE,"GENERAL";"TAB5",#N/A,TRUE,"GENERAL"}</definedName>
    <definedName name="djdytj" localSheetId="8" hidden="1">{"TAB1",#N/A,TRUE,"GENERAL";"TAB2",#N/A,TRUE,"GENERAL";"TAB3",#N/A,TRUE,"GENERAL";"TAB4",#N/A,TRUE,"GENERAL";"TAB5",#N/A,TRUE,"GENERAL"}</definedName>
    <definedName name="djdytj" localSheetId="5" hidden="1">{"TAB1",#N/A,TRUE,"GENERAL";"TAB2",#N/A,TRUE,"GENERAL";"TAB3",#N/A,TRUE,"GENERAL";"TAB4",#N/A,TRUE,"GENERAL";"TAB5",#N/A,TRUE,"GENERAL"}</definedName>
    <definedName name="djdytj" hidden="1">{"TAB1",#N/A,TRUE,"GENERAL";"TAB2",#N/A,TRUE,"GENERAL";"TAB3",#N/A,TRUE,"GENERAL";"TAB4",#N/A,TRUE,"GENERAL";"TAB5",#N/A,TRUE,"GENERAL"}</definedName>
    <definedName name="dry" localSheetId="10" hidden="1">{"via1",#N/A,TRUE,"general";"via2",#N/A,TRUE,"general";"via3",#N/A,TRUE,"general"}</definedName>
    <definedName name="dry" localSheetId="8" hidden="1">{"via1",#N/A,TRUE,"general";"via2",#N/A,TRUE,"general";"via3",#N/A,TRUE,"general"}</definedName>
    <definedName name="dry" localSheetId="5" hidden="1">{"via1",#N/A,TRUE,"general";"via2",#N/A,TRUE,"general";"via3",#N/A,TRUE,"general"}</definedName>
    <definedName name="dry" hidden="1">{"via1",#N/A,TRUE,"general";"via2",#N/A,TRUE,"general";"via3",#N/A,TRUE,"general"}</definedName>
    <definedName name="DSAD" localSheetId="10" hidden="1">{"via1",#N/A,TRUE,"general";"via2",#N/A,TRUE,"general";"via3",#N/A,TRUE,"general"}</definedName>
    <definedName name="DSAD" localSheetId="8" hidden="1">{"via1",#N/A,TRUE,"general";"via2",#N/A,TRUE,"general";"via3",#N/A,TRUE,"general"}</definedName>
    <definedName name="DSAD" localSheetId="5" hidden="1">{"via1",#N/A,TRUE,"general";"via2",#N/A,TRUE,"general";"via3",#N/A,TRUE,"general"}</definedName>
    <definedName name="DSAD" hidden="1">{"via1",#N/A,TRUE,"general";"via2",#N/A,TRUE,"general";"via3",#N/A,TRUE,"general"}</definedName>
    <definedName name="dsadfp" localSheetId="10" hidden="1">{"TAB1",#N/A,TRUE,"GENERAL";"TAB2",#N/A,TRUE,"GENERAL";"TAB3",#N/A,TRUE,"GENERAL";"TAB4",#N/A,TRUE,"GENERAL";"TAB5",#N/A,TRUE,"GENERAL"}</definedName>
    <definedName name="dsadfp" localSheetId="8" hidden="1">{"TAB1",#N/A,TRUE,"GENERAL";"TAB2",#N/A,TRUE,"GENERAL";"TAB3",#N/A,TRUE,"GENERAL";"TAB4",#N/A,TRUE,"GENERAL";"TAB5",#N/A,TRUE,"GENERAL"}</definedName>
    <definedName name="dsadfp" localSheetId="5" hidden="1">{"TAB1",#N/A,TRUE,"GENERAL";"TAB2",#N/A,TRUE,"GENERAL";"TAB3",#N/A,TRUE,"GENERAL";"TAB4",#N/A,TRUE,"GENERAL";"TAB5",#N/A,TRUE,"GENERAL"}</definedName>
    <definedName name="dsadfp" hidden="1">{"TAB1",#N/A,TRUE,"GENERAL";"TAB2",#N/A,TRUE,"GENERAL";"TAB3",#N/A,TRUE,"GENERAL";"TAB4",#N/A,TRUE,"GENERAL";"TAB5",#N/A,TRUE,"GENERAL"}</definedName>
    <definedName name="Dsbcm" localSheetId="5">#REF!</definedName>
    <definedName name="Dsbcm">#REF!</definedName>
    <definedName name="DSD" localSheetId="10" hidden="1">{"via1",#N/A,TRUE,"general";"via2",#N/A,TRUE,"general";"via3",#N/A,TRUE,"general"}</definedName>
    <definedName name="DSD" localSheetId="8" hidden="1">{"via1",#N/A,TRUE,"general";"via2",#N/A,TRUE,"general";"via3",#N/A,TRUE,"general"}</definedName>
    <definedName name="DSD" localSheetId="5" hidden="1">{"via1",#N/A,TRUE,"general";"via2",#N/A,TRUE,"general";"via3",#N/A,TRUE,"general"}</definedName>
    <definedName name="DSD" hidden="1">{"via1",#N/A,TRUE,"general";"via2",#N/A,TRUE,"general";"via3",#N/A,TRUE,"general"}</definedName>
    <definedName name="dsdads4" localSheetId="10" hidden="1">{"TAB1",#N/A,TRUE,"GENERAL";"TAB2",#N/A,TRUE,"GENERAL";"TAB3",#N/A,TRUE,"GENERAL";"TAB4",#N/A,TRUE,"GENERAL";"TAB5",#N/A,TRUE,"GENERAL"}</definedName>
    <definedName name="dsdads4" localSheetId="8" hidden="1">{"TAB1",#N/A,TRUE,"GENERAL";"TAB2",#N/A,TRUE,"GENERAL";"TAB3",#N/A,TRUE,"GENERAL";"TAB4",#N/A,TRUE,"GENERAL";"TAB5",#N/A,TRUE,"GENERAL"}</definedName>
    <definedName name="dsdads4" localSheetId="5" hidden="1">{"TAB1",#N/A,TRUE,"GENERAL";"TAB2",#N/A,TRUE,"GENERAL";"TAB3",#N/A,TRUE,"GENERAL";"TAB4",#N/A,TRUE,"GENERAL";"TAB5",#N/A,TRUE,"GENERAL"}</definedName>
    <definedName name="dsdads4" hidden="1">{"TAB1",#N/A,TRUE,"GENERAL";"TAB2",#N/A,TRUE,"GENERAL";"TAB3",#N/A,TRUE,"GENERAL";"TAB4",#N/A,TRUE,"GENERAL";"TAB5",#N/A,TRUE,"GENERAL"}</definedName>
    <definedName name="DSF" localSheetId="10" hidden="1">{"via1",#N/A,TRUE,"general";"via2",#N/A,TRUE,"general";"via3",#N/A,TRUE,"general"}</definedName>
    <definedName name="DSF" localSheetId="8" hidden="1">{"via1",#N/A,TRUE,"general";"via2",#N/A,TRUE,"general";"via3",#N/A,TRUE,"general"}</definedName>
    <definedName name="DSF" localSheetId="5" hidden="1">{"via1",#N/A,TRUE,"general";"via2",#N/A,TRUE,"general";"via3",#N/A,TRUE,"general"}</definedName>
    <definedName name="DSF" hidden="1">{"via1",#N/A,TRUE,"general";"via2",#N/A,TRUE,"general";"via3",#N/A,TRUE,"general"}</definedName>
    <definedName name="DSFCVTY" localSheetId="10" hidden="1">{"TAB1",#N/A,TRUE,"GENERAL";"TAB2",#N/A,TRUE,"GENERAL";"TAB3",#N/A,TRUE,"GENERAL";"TAB4",#N/A,TRUE,"GENERAL";"TAB5",#N/A,TRUE,"GENERAL"}</definedName>
    <definedName name="DSFCVTY" localSheetId="8" hidden="1">{"TAB1",#N/A,TRUE,"GENERAL";"TAB2",#N/A,TRUE,"GENERAL";"TAB3",#N/A,TRUE,"GENERAL";"TAB4",#N/A,TRUE,"GENERAL";"TAB5",#N/A,TRUE,"GENERAL"}</definedName>
    <definedName name="DSFCVTY" localSheetId="5" hidden="1">{"TAB1",#N/A,TRUE,"GENERAL";"TAB2",#N/A,TRUE,"GENERAL";"TAB3",#N/A,TRUE,"GENERAL";"TAB4",#N/A,TRUE,"GENERAL";"TAB5",#N/A,TRUE,"GENERAL"}</definedName>
    <definedName name="DSFCVTY" hidden="1">{"TAB1",#N/A,TRUE,"GENERAL";"TAB2",#N/A,TRUE,"GENERAL";"TAB3",#N/A,TRUE,"GENERAL";"TAB4",#N/A,TRUE,"GENERAL";"TAB5",#N/A,TRUE,"GENERAL"}</definedName>
    <definedName name="dsfg" localSheetId="10" hidden="1">{"via1",#N/A,TRUE,"general";"via2",#N/A,TRUE,"general";"via3",#N/A,TRUE,"general"}</definedName>
    <definedName name="dsfg" localSheetId="8" hidden="1">{"via1",#N/A,TRUE,"general";"via2",#N/A,TRUE,"general";"via3",#N/A,TRUE,"general"}</definedName>
    <definedName name="dsfg" localSheetId="5" hidden="1">{"via1",#N/A,TRUE,"general";"via2",#N/A,TRUE,"general";"via3",#N/A,TRUE,"general"}</definedName>
    <definedName name="dsfg" hidden="1">{"via1",#N/A,TRUE,"general";"via2",#N/A,TRUE,"general";"via3",#N/A,TRUE,"general"}</definedName>
    <definedName name="dsfhgfdh" localSheetId="10" hidden="1">{"TAB1",#N/A,TRUE,"GENERAL";"TAB2",#N/A,TRUE,"GENERAL";"TAB3",#N/A,TRUE,"GENERAL";"TAB4",#N/A,TRUE,"GENERAL";"TAB5",#N/A,TRUE,"GENERAL"}</definedName>
    <definedName name="dsfhgfdh" localSheetId="8" hidden="1">{"TAB1",#N/A,TRUE,"GENERAL";"TAB2",#N/A,TRUE,"GENERAL";"TAB3",#N/A,TRUE,"GENERAL";"TAB4",#N/A,TRUE,"GENERAL";"TAB5",#N/A,TRUE,"GENERAL"}</definedName>
    <definedName name="dsfhgfdh" localSheetId="5" hidden="1">{"TAB1",#N/A,TRUE,"GENERAL";"TAB2",#N/A,TRUE,"GENERAL";"TAB3",#N/A,TRUE,"GENERAL";"TAB4",#N/A,TRUE,"GENERAL";"TAB5",#N/A,TRUE,"GENERAL"}</definedName>
    <definedName name="dsfhgfdh" hidden="1">{"TAB1",#N/A,TRUE,"GENERAL";"TAB2",#N/A,TRUE,"GENERAL";"TAB3",#N/A,TRUE,"GENERAL";"TAB4",#N/A,TRUE,"GENERAL";"TAB5",#N/A,TRUE,"GENERAL"}</definedName>
    <definedName name="dsfsdf" localSheetId="10" hidden="1">{"via1",#N/A,TRUE,"general";"via2",#N/A,TRUE,"general";"via3",#N/A,TRUE,"general"}</definedName>
    <definedName name="dsfsdf" localSheetId="8" hidden="1">{"via1",#N/A,TRUE,"general";"via2",#N/A,TRUE,"general";"via3",#N/A,TRUE,"general"}</definedName>
    <definedName name="dsfsdf" localSheetId="5" hidden="1">{"via1",#N/A,TRUE,"general";"via2",#N/A,TRUE,"general";"via3",#N/A,TRUE,"general"}</definedName>
    <definedName name="dsfsdf" hidden="1">{"via1",#N/A,TRUE,"general";"via2",#N/A,TRUE,"general";"via3",#N/A,TRUE,"general"}</definedName>
    <definedName name="DSFSDFCXV" localSheetId="10" hidden="1">{"TAB1",#N/A,TRUE,"GENERAL";"TAB2",#N/A,TRUE,"GENERAL";"TAB3",#N/A,TRUE,"GENERAL";"TAB4",#N/A,TRUE,"GENERAL";"TAB5",#N/A,TRUE,"GENERAL"}</definedName>
    <definedName name="DSFSDFCXV" localSheetId="8" hidden="1">{"TAB1",#N/A,TRUE,"GENERAL";"TAB2",#N/A,TRUE,"GENERAL";"TAB3",#N/A,TRUE,"GENERAL";"TAB4",#N/A,TRUE,"GENERAL";"TAB5",#N/A,TRUE,"GENERAL"}</definedName>
    <definedName name="DSFSDFCXV" localSheetId="5" hidden="1">{"TAB1",#N/A,TRUE,"GENERAL";"TAB2",#N/A,TRUE,"GENERAL";"TAB3",#N/A,TRUE,"GENERAL";"TAB4",#N/A,TRUE,"GENERAL";"TAB5",#N/A,TRUE,"GENERAL"}</definedName>
    <definedName name="DSFSDFCXV" hidden="1">{"TAB1",#N/A,TRUE,"GENERAL";"TAB2",#N/A,TRUE,"GENERAL";"TAB3",#N/A,TRUE,"GENERAL";"TAB4",#N/A,TRUE,"GENERAL";"TAB5",#N/A,TRUE,"GENERAL"}</definedName>
    <definedName name="dsfsvm" localSheetId="10" hidden="1">{"TAB1",#N/A,TRUE,"GENERAL";"TAB2",#N/A,TRUE,"GENERAL";"TAB3",#N/A,TRUE,"GENERAL";"TAB4",#N/A,TRUE,"GENERAL";"TAB5",#N/A,TRUE,"GENERAL"}</definedName>
    <definedName name="dsfsvm" localSheetId="8" hidden="1">{"TAB1",#N/A,TRUE,"GENERAL";"TAB2",#N/A,TRUE,"GENERAL";"TAB3",#N/A,TRUE,"GENERAL";"TAB4",#N/A,TRUE,"GENERAL";"TAB5",#N/A,TRUE,"GENERAL"}</definedName>
    <definedName name="dsfsvm" localSheetId="5" hidden="1">{"TAB1",#N/A,TRUE,"GENERAL";"TAB2",#N/A,TRUE,"GENERAL";"TAB3",#N/A,TRUE,"GENERAL";"TAB4",#N/A,TRUE,"GENERAL";"TAB5",#N/A,TRUE,"GENERAL"}</definedName>
    <definedName name="dsfsvm" hidden="1">{"TAB1",#N/A,TRUE,"GENERAL";"TAB2",#N/A,TRUE,"GENERAL";"TAB3",#N/A,TRUE,"GENERAL";"TAB4",#N/A,TRUE,"GENERAL";"TAB5",#N/A,TRUE,"GENERAL"}</definedName>
    <definedName name="dsftbv" localSheetId="10" hidden="1">{"via1",#N/A,TRUE,"general";"via2",#N/A,TRUE,"general";"via3",#N/A,TRUE,"general"}</definedName>
    <definedName name="dsftbv" localSheetId="8" hidden="1">{"via1",#N/A,TRUE,"general";"via2",#N/A,TRUE,"general";"via3",#N/A,TRUE,"general"}</definedName>
    <definedName name="dsftbv" localSheetId="5" hidden="1">{"via1",#N/A,TRUE,"general";"via2",#N/A,TRUE,"general";"via3",#N/A,TRUE,"general"}</definedName>
    <definedName name="dsftbv" hidden="1">{"via1",#N/A,TRUE,"general";"via2",#N/A,TRUE,"general";"via3",#N/A,TRUE,"general"}</definedName>
    <definedName name="dtrhj" localSheetId="10" hidden="1">{"via1",#N/A,TRUE,"general";"via2",#N/A,TRUE,"general";"via3",#N/A,TRUE,"general"}</definedName>
    <definedName name="dtrhj" localSheetId="8" hidden="1">{"via1",#N/A,TRUE,"general";"via2",#N/A,TRUE,"general";"via3",#N/A,TRUE,"general"}</definedName>
    <definedName name="dtrhj" localSheetId="5" hidden="1">{"via1",#N/A,TRUE,"general";"via2",#N/A,TRUE,"general";"via3",#N/A,TRUE,"general"}</definedName>
    <definedName name="dtrhj" hidden="1">{"via1",#N/A,TRUE,"general";"via2",#N/A,TRUE,"general";"via3",#N/A,TRUE,"general"}</definedName>
    <definedName name="dxfgg" localSheetId="10" hidden="1">{"via1",#N/A,TRUE,"general";"via2",#N/A,TRUE,"general";"via3",#N/A,TRUE,"general"}</definedName>
    <definedName name="dxfgg" localSheetId="8" hidden="1">{"via1",#N/A,TRUE,"general";"via2",#N/A,TRUE,"general";"via3",#N/A,TRUE,"general"}</definedName>
    <definedName name="dxfgg" localSheetId="5" hidden="1">{"via1",#N/A,TRUE,"general";"via2",#N/A,TRUE,"general";"via3",#N/A,TRUE,"general"}</definedName>
    <definedName name="dxfgg" hidden="1">{"via1",#N/A,TRUE,"general";"via2",#N/A,TRUE,"general";"via3",#N/A,TRUE,"general"}</definedName>
    <definedName name="e3e33" localSheetId="10" hidden="1">{"via1",#N/A,TRUE,"general";"via2",#N/A,TRUE,"general";"via3",#N/A,TRUE,"general"}</definedName>
    <definedName name="e3e33" localSheetId="8" hidden="1">{"via1",#N/A,TRUE,"general";"via2",#N/A,TRUE,"general";"via3",#N/A,TRUE,"general"}</definedName>
    <definedName name="e3e33" localSheetId="5" hidden="1">{"via1",#N/A,TRUE,"general";"via2",#N/A,TRUE,"general";"via3",#N/A,TRUE,"general"}</definedName>
    <definedName name="e3e33" hidden="1">{"via1",#N/A,TRUE,"general";"via2",#N/A,TRUE,"general";"via3",#N/A,TRUE,"general"}</definedName>
    <definedName name="EDEDWSWQA" localSheetId="10" hidden="1">{"TAB1",#N/A,TRUE,"GENERAL";"TAB2",#N/A,TRUE,"GENERAL";"TAB3",#N/A,TRUE,"GENERAL";"TAB4",#N/A,TRUE,"GENERAL";"TAB5",#N/A,TRUE,"GENERAL"}</definedName>
    <definedName name="EDEDWSWQA" localSheetId="8" hidden="1">{"TAB1",#N/A,TRUE,"GENERAL";"TAB2",#N/A,TRUE,"GENERAL";"TAB3",#N/A,TRUE,"GENERAL";"TAB4",#N/A,TRUE,"GENERAL";"TAB5",#N/A,TRUE,"GENERAL"}</definedName>
    <definedName name="EDEDWSWQA" localSheetId="5" hidden="1">{"TAB1",#N/A,TRUE,"GENERAL";"TAB2",#N/A,TRUE,"GENERAL";"TAB3",#N/A,TRUE,"GENERAL";"TAB4",#N/A,TRUE,"GENERAL";"TAB5",#N/A,TRUE,"GENERAL"}</definedName>
    <definedName name="EDEDWSWQA" hidden="1">{"TAB1",#N/A,TRUE,"GENERAL";"TAB2",#N/A,TRUE,"GENERAL";"TAB3",#N/A,TRUE,"GENERAL";"TAB4",#N/A,TRUE,"GENERAL";"TAB5",#N/A,TRUE,"GENERAL"}</definedName>
    <definedName name="edgfhmn" localSheetId="10" hidden="1">{"via1",#N/A,TRUE,"general";"via2",#N/A,TRUE,"general";"via3",#N/A,TRUE,"general"}</definedName>
    <definedName name="edgfhmn" localSheetId="8" hidden="1">{"via1",#N/A,TRUE,"general";"via2",#N/A,TRUE,"general";"via3",#N/A,TRUE,"general"}</definedName>
    <definedName name="edgfhmn" localSheetId="5" hidden="1">{"via1",#N/A,TRUE,"general";"via2",#N/A,TRUE,"general";"via3",#N/A,TRUE,"general"}</definedName>
    <definedName name="edgfhmn" hidden="1">{"via1",#N/A,TRUE,"general";"via2",#N/A,TRUE,"general";"via3",#N/A,TRUE,"general"}</definedName>
    <definedName name="EE">#N/A</definedName>
    <definedName name="eeedfr" localSheetId="10" hidden="1">{"TAB1",#N/A,TRUE,"GENERAL";"TAB2",#N/A,TRUE,"GENERAL";"TAB3",#N/A,TRUE,"GENERAL";"TAB4",#N/A,TRUE,"GENERAL";"TAB5",#N/A,TRUE,"GENERAL"}</definedName>
    <definedName name="eeedfr" localSheetId="8" hidden="1">{"TAB1",#N/A,TRUE,"GENERAL";"TAB2",#N/A,TRUE,"GENERAL";"TAB3",#N/A,TRUE,"GENERAL";"TAB4",#N/A,TRUE,"GENERAL";"TAB5",#N/A,TRUE,"GENERAL"}</definedName>
    <definedName name="eeedfr" localSheetId="5" hidden="1">{"TAB1",#N/A,TRUE,"GENERAL";"TAB2",#N/A,TRUE,"GENERAL";"TAB3",#N/A,TRUE,"GENERAL";"TAB4",#N/A,TRUE,"GENERAL";"TAB5",#N/A,TRUE,"GENERAL"}</definedName>
    <definedName name="eeedfr" hidden="1">{"TAB1",#N/A,TRUE,"GENERAL";"TAB2",#N/A,TRUE,"GENERAL";"TAB3",#N/A,TRUE,"GENERAL";"TAB4",#N/A,TRUE,"GENERAL";"TAB5",#N/A,TRUE,"GENERAL"}</definedName>
    <definedName name="eeeeer" localSheetId="10" hidden="1">{"TAB1",#N/A,TRUE,"GENERAL";"TAB2",#N/A,TRUE,"GENERAL";"TAB3",#N/A,TRUE,"GENERAL";"TAB4",#N/A,TRUE,"GENERAL";"TAB5",#N/A,TRUE,"GENERAL"}</definedName>
    <definedName name="eeeeer" localSheetId="8" hidden="1">{"TAB1",#N/A,TRUE,"GENERAL";"TAB2",#N/A,TRUE,"GENERAL";"TAB3",#N/A,TRUE,"GENERAL";"TAB4",#N/A,TRUE,"GENERAL";"TAB5",#N/A,TRUE,"GENERAL"}</definedName>
    <definedName name="eeeeer" localSheetId="5" hidden="1">{"TAB1",#N/A,TRUE,"GENERAL";"TAB2",#N/A,TRUE,"GENERAL";"TAB3",#N/A,TRUE,"GENERAL";"TAB4",#N/A,TRUE,"GENERAL";"TAB5",#N/A,TRUE,"GENERAL"}</definedName>
    <definedName name="eeeeer" hidden="1">{"TAB1",#N/A,TRUE,"GENERAL";"TAB2",#N/A,TRUE,"GENERAL";"TAB3",#N/A,TRUE,"GENERAL";"TAB4",#N/A,TRUE,"GENERAL";"TAB5",#N/A,TRUE,"GENERAL"}</definedName>
    <definedName name="eeerfd" localSheetId="10" hidden="1">{"via1",#N/A,TRUE,"general";"via2",#N/A,TRUE,"general";"via3",#N/A,TRUE,"general"}</definedName>
    <definedName name="eeerfd" localSheetId="8" hidden="1">{"via1",#N/A,TRUE,"general";"via2",#N/A,TRUE,"general";"via3",#N/A,TRUE,"general"}</definedName>
    <definedName name="eeerfd" localSheetId="5" hidden="1">{"via1",#N/A,TRUE,"general";"via2",#N/A,TRUE,"general";"via3",#N/A,TRUE,"general"}</definedName>
    <definedName name="eeerfd" hidden="1">{"via1",#N/A,TRUE,"general";"via2",#N/A,TRUE,"general";"via3",#N/A,TRUE,"general"}</definedName>
    <definedName name="efef" localSheetId="10" hidden="1">{"TAB1",#N/A,TRUE,"GENERAL";"TAB2",#N/A,TRUE,"GENERAL";"TAB3",#N/A,TRUE,"GENERAL";"TAB4",#N/A,TRUE,"GENERAL";"TAB5",#N/A,TRUE,"GENERAL"}</definedName>
    <definedName name="efef" localSheetId="8" hidden="1">{"TAB1",#N/A,TRUE,"GENERAL";"TAB2",#N/A,TRUE,"GENERAL";"TAB3",#N/A,TRUE,"GENERAL";"TAB4",#N/A,TRUE,"GENERAL";"TAB5",#N/A,TRUE,"GENERAL"}</definedName>
    <definedName name="efef" localSheetId="5" hidden="1">{"TAB1",#N/A,TRUE,"GENERAL";"TAB2",#N/A,TRUE,"GENERAL";"TAB3",#N/A,TRUE,"GENERAL";"TAB4",#N/A,TRUE,"GENERAL";"TAB5",#N/A,TRUE,"GENERAL"}</definedName>
    <definedName name="efef" hidden="1">{"TAB1",#N/A,TRUE,"GENERAL";"TAB2",#N/A,TRUE,"GENERAL";"TAB3",#N/A,TRUE,"GENERAL";"TAB4",#N/A,TRUE,"GENERAL";"TAB5",#N/A,TRUE,"GENERAL"}</definedName>
    <definedName name="efer" localSheetId="10" hidden="1">{"via1",#N/A,TRUE,"general";"via2",#N/A,TRUE,"general";"via3",#N/A,TRUE,"general"}</definedName>
    <definedName name="efer" localSheetId="8" hidden="1">{"via1",#N/A,TRUE,"general";"via2",#N/A,TRUE,"general";"via3",#N/A,TRUE,"general"}</definedName>
    <definedName name="efer" localSheetId="5" hidden="1">{"via1",#N/A,TRUE,"general";"via2",#N/A,TRUE,"general";"via3",#N/A,TRUE,"general"}</definedName>
    <definedName name="efer" hidden="1">{"via1",#N/A,TRUE,"general";"via2",#N/A,TRUE,"general";"via3",#N/A,TRUE,"general"}</definedName>
    <definedName name="egeg" localSheetId="10" hidden="1">{"TAB1",#N/A,TRUE,"GENERAL";"TAB2",#N/A,TRUE,"GENERAL";"TAB3",#N/A,TRUE,"GENERAL";"TAB4",#N/A,TRUE,"GENERAL";"TAB5",#N/A,TRUE,"GENERAL"}</definedName>
    <definedName name="egeg" localSheetId="8" hidden="1">{"TAB1",#N/A,TRUE,"GENERAL";"TAB2",#N/A,TRUE,"GENERAL";"TAB3",#N/A,TRUE,"GENERAL";"TAB4",#N/A,TRUE,"GENERAL";"TAB5",#N/A,TRUE,"GENERAL"}</definedName>
    <definedName name="egeg" localSheetId="5" hidden="1">{"TAB1",#N/A,TRUE,"GENERAL";"TAB2",#N/A,TRUE,"GENERAL";"TAB3",#N/A,TRUE,"GENERAL";"TAB4",#N/A,TRUE,"GENERAL";"TAB5",#N/A,TRUE,"GENERAL"}</definedName>
    <definedName name="egeg" hidden="1">{"TAB1",#N/A,TRUE,"GENERAL";"TAB2",#N/A,TRUE,"GENERAL";"TAB3",#N/A,TRUE,"GENERAL";"TAB4",#N/A,TRUE,"GENERAL";"TAB5",#N/A,TRUE,"GENERAL"}</definedName>
    <definedName name="egtrgthrt" localSheetId="10" hidden="1">{"TAB1",#N/A,TRUE,"GENERAL";"TAB2",#N/A,TRUE,"GENERAL";"TAB3",#N/A,TRUE,"GENERAL";"TAB4",#N/A,TRUE,"GENERAL";"TAB5",#N/A,TRUE,"GENERAL"}</definedName>
    <definedName name="egtrgthrt" localSheetId="8" hidden="1">{"TAB1",#N/A,TRUE,"GENERAL";"TAB2",#N/A,TRUE,"GENERAL";"TAB3",#N/A,TRUE,"GENERAL";"TAB4",#N/A,TRUE,"GENERAL";"TAB5",#N/A,TRUE,"GENERAL"}</definedName>
    <definedName name="egtrgthrt" localSheetId="5" hidden="1">{"TAB1",#N/A,TRUE,"GENERAL";"TAB2",#N/A,TRUE,"GENERAL";"TAB3",#N/A,TRUE,"GENERAL";"TAB4",#N/A,TRUE,"GENERAL";"TAB5",#N/A,TRUE,"GENERAL"}</definedName>
    <definedName name="egtrgthrt" hidden="1">{"TAB1",#N/A,TRUE,"GENERAL";"TAB2",#N/A,TRUE,"GENERAL";"TAB3",#N/A,TRUE,"GENERAL";"TAB4",#N/A,TRUE,"GENERAL";"TAB5",#N/A,TRUE,"GENERAL"}</definedName>
    <definedName name="EJEC">[5]PRESUPUESTO!$E$7</definedName>
    <definedName name="emanto" localSheetId="5">#REF!</definedName>
    <definedName name="emanto">#REF!</definedName>
    <definedName name="eme">#N/A</definedName>
    <definedName name="ENTRADASP" localSheetId="5">#REF!</definedName>
    <definedName name="ENTRADASP">#REF!</definedName>
    <definedName name="equipo">[22]Equipo!$A$7:$A$65536</definedName>
    <definedName name="eqw" localSheetId="10" hidden="1">{"via1",#N/A,TRUE,"general";"via2",#N/A,TRUE,"general";"via3",#N/A,TRUE,"general"}</definedName>
    <definedName name="eqw" localSheetId="8" hidden="1">{"via1",#N/A,TRUE,"general";"via2",#N/A,TRUE,"general";"via3",#N/A,TRUE,"general"}</definedName>
    <definedName name="eqw" localSheetId="5" hidden="1">{"via1",#N/A,TRUE,"general";"via2",#N/A,TRUE,"general";"via3",#N/A,TRUE,"general"}</definedName>
    <definedName name="eqw" hidden="1">{"via1",#N/A,TRUE,"general";"via2",#N/A,TRUE,"general";"via3",#N/A,TRUE,"general"}</definedName>
    <definedName name="erg" localSheetId="10" hidden="1">{"TAB1",#N/A,TRUE,"GENERAL";"TAB2",#N/A,TRUE,"GENERAL";"TAB3",#N/A,TRUE,"GENERAL";"TAB4",#N/A,TRUE,"GENERAL";"TAB5",#N/A,TRUE,"GENERAL"}</definedName>
    <definedName name="erg" localSheetId="8" hidden="1">{"TAB1",#N/A,TRUE,"GENERAL";"TAB2",#N/A,TRUE,"GENERAL";"TAB3",#N/A,TRUE,"GENERAL";"TAB4",#N/A,TRUE,"GENERAL";"TAB5",#N/A,TRUE,"GENERAL"}</definedName>
    <definedName name="erg" localSheetId="5" hidden="1">{"TAB1",#N/A,TRUE,"GENERAL";"TAB2",#N/A,TRUE,"GENERAL";"TAB3",#N/A,TRUE,"GENERAL";"TAB4",#N/A,TRUE,"GENERAL";"TAB5",#N/A,TRUE,"GENERAL"}</definedName>
    <definedName name="erg" hidden="1">{"TAB1",#N/A,TRUE,"GENERAL";"TAB2",#N/A,TRUE,"GENERAL";"TAB3",#N/A,TRUE,"GENERAL";"TAB4",#N/A,TRUE,"GENERAL";"TAB5",#N/A,TRUE,"GENERAL"}</definedName>
    <definedName name="erger" localSheetId="10" hidden="1">{"via1",#N/A,TRUE,"general";"via2",#N/A,TRUE,"general";"via3",#N/A,TRUE,"general"}</definedName>
    <definedName name="erger" localSheetId="8" hidden="1">{"via1",#N/A,TRUE,"general";"via2",#N/A,TRUE,"general";"via3",#N/A,TRUE,"general"}</definedName>
    <definedName name="erger" localSheetId="5" hidden="1">{"via1",#N/A,TRUE,"general";"via2",#N/A,TRUE,"general";"via3",#N/A,TRUE,"general"}</definedName>
    <definedName name="erger" hidden="1">{"via1",#N/A,TRUE,"general";"via2",#N/A,TRUE,"general";"via3",#N/A,TRUE,"general"}</definedName>
    <definedName name="ergerg" localSheetId="10" hidden="1">{"via1",#N/A,TRUE,"general";"via2",#N/A,TRUE,"general";"via3",#N/A,TRUE,"general"}</definedName>
    <definedName name="ergerg" localSheetId="8" hidden="1">{"via1",#N/A,TRUE,"general";"via2",#N/A,TRUE,"general";"via3",#N/A,TRUE,"general"}</definedName>
    <definedName name="ergerg" localSheetId="5" hidden="1">{"via1",#N/A,TRUE,"general";"via2",#N/A,TRUE,"general";"via3",#N/A,TRUE,"general"}</definedName>
    <definedName name="ergerg" hidden="1">{"via1",#N/A,TRUE,"general";"via2",#N/A,TRUE,"general";"via3",#N/A,TRUE,"general"}</definedName>
    <definedName name="ergfegr" localSheetId="10" hidden="1">{"via1",#N/A,TRUE,"general";"via2",#N/A,TRUE,"general";"via3",#N/A,TRUE,"general"}</definedName>
    <definedName name="ergfegr" localSheetId="8" hidden="1">{"via1",#N/A,TRUE,"general";"via2",#N/A,TRUE,"general";"via3",#N/A,TRUE,"general"}</definedName>
    <definedName name="ergfegr" localSheetId="5" hidden="1">{"via1",#N/A,TRUE,"general";"via2",#N/A,TRUE,"general";"via3",#N/A,TRUE,"general"}</definedName>
    <definedName name="ergfegr" hidden="1">{"via1",#N/A,TRUE,"general";"via2",#N/A,TRUE,"general";"via3",#N/A,TRUE,"general"}</definedName>
    <definedName name="ergge" localSheetId="10" hidden="1">{"TAB1",#N/A,TRUE,"GENERAL";"TAB2",#N/A,TRUE,"GENERAL";"TAB3",#N/A,TRUE,"GENERAL";"TAB4",#N/A,TRUE,"GENERAL";"TAB5",#N/A,TRUE,"GENERAL"}</definedName>
    <definedName name="ergge" localSheetId="8" hidden="1">{"TAB1",#N/A,TRUE,"GENERAL";"TAB2",#N/A,TRUE,"GENERAL";"TAB3",#N/A,TRUE,"GENERAL";"TAB4",#N/A,TRUE,"GENERAL";"TAB5",#N/A,TRUE,"GENERAL"}</definedName>
    <definedName name="ergge" localSheetId="5" hidden="1">{"TAB1",#N/A,TRUE,"GENERAL";"TAB2",#N/A,TRUE,"GENERAL";"TAB3",#N/A,TRUE,"GENERAL";"TAB4",#N/A,TRUE,"GENERAL";"TAB5",#N/A,TRUE,"GENERAL"}</definedName>
    <definedName name="ergge" hidden="1">{"TAB1",#N/A,TRUE,"GENERAL";"TAB2",#N/A,TRUE,"GENERAL";"TAB3",#N/A,TRUE,"GENERAL";"TAB4",#N/A,TRUE,"GENERAL";"TAB5",#N/A,TRUE,"GENERAL"}</definedName>
    <definedName name="erggewg" localSheetId="10" hidden="1">{"via1",#N/A,TRUE,"general";"via2",#N/A,TRUE,"general";"via3",#N/A,TRUE,"general"}</definedName>
    <definedName name="erggewg" localSheetId="8" hidden="1">{"via1",#N/A,TRUE,"general";"via2",#N/A,TRUE,"general";"via3",#N/A,TRUE,"general"}</definedName>
    <definedName name="erggewg" localSheetId="5" hidden="1">{"via1",#N/A,TRUE,"general";"via2",#N/A,TRUE,"general";"via3",#N/A,TRUE,"general"}</definedName>
    <definedName name="erggewg" hidden="1">{"via1",#N/A,TRUE,"general";"via2",#N/A,TRUE,"general";"via3",#N/A,TRUE,"general"}</definedName>
    <definedName name="ergreg" localSheetId="10" hidden="1">{"TAB1",#N/A,TRUE,"GENERAL";"TAB2",#N/A,TRUE,"GENERAL";"TAB3",#N/A,TRUE,"GENERAL";"TAB4",#N/A,TRUE,"GENERAL";"TAB5",#N/A,TRUE,"GENERAL"}</definedName>
    <definedName name="ergreg" localSheetId="8" hidden="1">{"TAB1",#N/A,TRUE,"GENERAL";"TAB2",#N/A,TRUE,"GENERAL";"TAB3",#N/A,TRUE,"GENERAL";"TAB4",#N/A,TRUE,"GENERAL";"TAB5",#N/A,TRUE,"GENERAL"}</definedName>
    <definedName name="ergreg" localSheetId="5" hidden="1">{"TAB1",#N/A,TRUE,"GENERAL";"TAB2",#N/A,TRUE,"GENERAL";"TAB3",#N/A,TRUE,"GENERAL";"TAB4",#N/A,TRUE,"GENERAL";"TAB5",#N/A,TRUE,"GENERAL"}</definedName>
    <definedName name="ergreg" hidden="1">{"TAB1",#N/A,TRUE,"GENERAL";"TAB2",#N/A,TRUE,"GENERAL";"TAB3",#N/A,TRUE,"GENERAL";"TAB4",#N/A,TRUE,"GENERAL";"TAB5",#N/A,TRUE,"GENERAL"}</definedName>
    <definedName name="ergregerg" localSheetId="10" hidden="1">{"via1",#N/A,TRUE,"general";"via2",#N/A,TRUE,"general";"via3",#N/A,TRUE,"general"}</definedName>
    <definedName name="ergregerg" localSheetId="8" hidden="1">{"via1",#N/A,TRUE,"general";"via2",#N/A,TRUE,"general";"via3",#N/A,TRUE,"general"}</definedName>
    <definedName name="ergregerg" localSheetId="5" hidden="1">{"via1",#N/A,TRUE,"general";"via2",#N/A,TRUE,"general";"via3",#N/A,TRUE,"general"}</definedName>
    <definedName name="ergregerg" hidden="1">{"via1",#N/A,TRUE,"general";"via2",#N/A,TRUE,"general";"via3",#N/A,TRUE,"general"}</definedName>
    <definedName name="ergrg" localSheetId="10" hidden="1">{"TAB1",#N/A,TRUE,"GENERAL";"TAB2",#N/A,TRUE,"GENERAL";"TAB3",#N/A,TRUE,"GENERAL";"TAB4",#N/A,TRUE,"GENERAL";"TAB5",#N/A,TRUE,"GENERAL"}</definedName>
    <definedName name="ergrg" localSheetId="8" hidden="1">{"TAB1",#N/A,TRUE,"GENERAL";"TAB2",#N/A,TRUE,"GENERAL";"TAB3",#N/A,TRUE,"GENERAL";"TAB4",#N/A,TRUE,"GENERAL";"TAB5",#N/A,TRUE,"GENERAL"}</definedName>
    <definedName name="ergrg" localSheetId="5" hidden="1">{"TAB1",#N/A,TRUE,"GENERAL";"TAB2",#N/A,TRUE,"GENERAL";"TAB3",#N/A,TRUE,"GENERAL";"TAB4",#N/A,TRUE,"GENERAL";"TAB5",#N/A,TRUE,"GENERAL"}</definedName>
    <definedName name="ergrg" hidden="1">{"TAB1",#N/A,TRUE,"GENERAL";"TAB2",#N/A,TRUE,"GENERAL";"TAB3",#N/A,TRUE,"GENERAL";"TAB4",#N/A,TRUE,"GENERAL";"TAB5",#N/A,TRUE,"GENERAL"}</definedName>
    <definedName name="ergweg" localSheetId="10" hidden="1">{"TAB1",#N/A,TRUE,"GENERAL";"TAB2",#N/A,TRUE,"GENERAL";"TAB3",#N/A,TRUE,"GENERAL";"TAB4",#N/A,TRUE,"GENERAL";"TAB5",#N/A,TRUE,"GENERAL"}</definedName>
    <definedName name="ergweg" localSheetId="8" hidden="1">{"TAB1",#N/A,TRUE,"GENERAL";"TAB2",#N/A,TRUE,"GENERAL";"TAB3",#N/A,TRUE,"GENERAL";"TAB4",#N/A,TRUE,"GENERAL";"TAB5",#N/A,TRUE,"GENERAL"}</definedName>
    <definedName name="ergweg" localSheetId="5" hidden="1">{"TAB1",#N/A,TRUE,"GENERAL";"TAB2",#N/A,TRUE,"GENERAL";"TAB3",#N/A,TRUE,"GENERAL";"TAB4",#N/A,TRUE,"GENERAL";"TAB5",#N/A,TRUE,"GENERAL"}</definedName>
    <definedName name="ergweg" hidden="1">{"TAB1",#N/A,TRUE,"GENERAL";"TAB2",#N/A,TRUE,"GENERAL";"TAB3",#N/A,TRUE,"GENERAL";"TAB4",#N/A,TRUE,"GENERAL";"TAB5",#N/A,TRUE,"GENERAL"}</definedName>
    <definedName name="ergwreg" localSheetId="10" hidden="1">{"via1",#N/A,TRUE,"general";"via2",#N/A,TRUE,"general";"via3",#N/A,TRUE,"general"}</definedName>
    <definedName name="ergwreg" localSheetId="8" hidden="1">{"via1",#N/A,TRUE,"general";"via2",#N/A,TRUE,"general";"via3",#N/A,TRUE,"general"}</definedName>
    <definedName name="ergwreg" localSheetId="5" hidden="1">{"via1",#N/A,TRUE,"general";"via2",#N/A,TRUE,"general";"via3",#N/A,TRUE,"general"}</definedName>
    <definedName name="ergwreg" hidden="1">{"via1",#N/A,TRUE,"general";"via2",#N/A,TRUE,"general";"via3",#N/A,TRUE,"general"}</definedName>
    <definedName name="erheyh" localSheetId="10" hidden="1">{"TAB1",#N/A,TRUE,"GENERAL";"TAB2",#N/A,TRUE,"GENERAL";"TAB3",#N/A,TRUE,"GENERAL";"TAB4",#N/A,TRUE,"GENERAL";"TAB5",#N/A,TRUE,"GENERAL"}</definedName>
    <definedName name="erheyh" localSheetId="8" hidden="1">{"TAB1",#N/A,TRUE,"GENERAL";"TAB2",#N/A,TRUE,"GENERAL";"TAB3",#N/A,TRUE,"GENERAL";"TAB4",#N/A,TRUE,"GENERAL";"TAB5",#N/A,TRUE,"GENERAL"}</definedName>
    <definedName name="erheyh" localSheetId="5" hidden="1">{"TAB1",#N/A,TRUE,"GENERAL";"TAB2",#N/A,TRUE,"GENERAL";"TAB3",#N/A,TRUE,"GENERAL";"TAB4",#N/A,TRUE,"GENERAL";"TAB5",#N/A,TRUE,"GENERAL"}</definedName>
    <definedName name="erheyh" hidden="1">{"TAB1",#N/A,TRUE,"GENERAL";"TAB2",#N/A,TRUE,"GENERAL";"TAB3",#N/A,TRUE,"GENERAL";"TAB4",#N/A,TRUE,"GENERAL";"TAB5",#N/A,TRUE,"GENERAL"}</definedName>
    <definedName name="err" localSheetId="10" hidden="1">{"TAB1",#N/A,TRUE,"GENERAL";"TAB2",#N/A,TRUE,"GENERAL";"TAB3",#N/A,TRUE,"GENERAL";"TAB4",#N/A,TRUE,"GENERAL";"TAB5",#N/A,TRUE,"GENERAL"}</definedName>
    <definedName name="err" localSheetId="8" hidden="1">{"TAB1",#N/A,TRUE,"GENERAL";"TAB2",#N/A,TRUE,"GENERAL";"TAB3",#N/A,TRUE,"GENERAL";"TAB4",#N/A,TRUE,"GENERAL";"TAB5",#N/A,TRUE,"GENERAL"}</definedName>
    <definedName name="err" localSheetId="5" hidden="1">{"TAB1",#N/A,TRUE,"GENERAL";"TAB2",#N/A,TRUE,"GENERAL";"TAB3",#N/A,TRUE,"GENERAL";"TAB4",#N/A,TRUE,"GENERAL";"TAB5",#N/A,TRUE,"GENERAL"}</definedName>
    <definedName name="err" hidden="1">{"TAB1",#N/A,TRUE,"GENERAL";"TAB2",#N/A,TRUE,"GENERAL";"TAB3",#N/A,TRUE,"GENERAL";"TAB4",#N/A,TRUE,"GENERAL";"TAB5",#N/A,TRUE,"GENERAL"}</definedName>
    <definedName name="ert" localSheetId="10" hidden="1">{"via1",#N/A,TRUE,"general";"via2",#N/A,TRUE,"general";"via3",#N/A,TRUE,"general"}</definedName>
    <definedName name="ert" localSheetId="8" hidden="1">{"via1",#N/A,TRUE,"general";"via2",#N/A,TRUE,"general";"via3",#N/A,TRUE,"general"}</definedName>
    <definedName name="ert" localSheetId="5" hidden="1">{"via1",#N/A,TRUE,"general";"via2",#N/A,TRUE,"general";"via3",#N/A,TRUE,"general"}</definedName>
    <definedName name="ert" hidden="1">{"via1",#N/A,TRUE,"general";"via2",#N/A,TRUE,"general";"via3",#N/A,TRUE,"general"}</definedName>
    <definedName name="erte" localSheetId="10" hidden="1">{"via1",#N/A,TRUE,"general";"via2",#N/A,TRUE,"general";"via3",#N/A,TRUE,"general"}</definedName>
    <definedName name="erte" localSheetId="8" hidden="1">{"via1",#N/A,TRUE,"general";"via2",#N/A,TRUE,"general";"via3",#N/A,TRUE,"general"}</definedName>
    <definedName name="erte" localSheetId="5" hidden="1">{"via1",#N/A,TRUE,"general";"via2",#N/A,TRUE,"general";"via3",#N/A,TRUE,"general"}</definedName>
    <definedName name="erte" hidden="1">{"via1",#N/A,TRUE,"general";"via2",#N/A,TRUE,"general";"via3",#N/A,TRUE,"general"}</definedName>
    <definedName name="erter" localSheetId="10" hidden="1">{"TAB1",#N/A,TRUE,"GENERAL";"TAB2",#N/A,TRUE,"GENERAL";"TAB3",#N/A,TRUE,"GENERAL";"TAB4",#N/A,TRUE,"GENERAL";"TAB5",#N/A,TRUE,"GENERAL"}</definedName>
    <definedName name="erter" localSheetId="8" hidden="1">{"TAB1",#N/A,TRUE,"GENERAL";"TAB2",#N/A,TRUE,"GENERAL";"TAB3",#N/A,TRUE,"GENERAL";"TAB4",#N/A,TRUE,"GENERAL";"TAB5",#N/A,TRUE,"GENERAL"}</definedName>
    <definedName name="erter" localSheetId="5" hidden="1">{"TAB1",#N/A,TRUE,"GENERAL";"TAB2",#N/A,TRUE,"GENERAL";"TAB3",#N/A,TRUE,"GENERAL";"TAB4",#N/A,TRUE,"GENERAL";"TAB5",#N/A,TRUE,"GENERAL"}</definedName>
    <definedName name="erter" hidden="1">{"TAB1",#N/A,TRUE,"GENERAL";"TAB2",#N/A,TRUE,"GENERAL";"TAB3",#N/A,TRUE,"GENERAL";"TAB4",#N/A,TRUE,"GENERAL";"TAB5",#N/A,TRUE,"GENERAL"}</definedName>
    <definedName name="ertert" localSheetId="10" hidden="1">{"via1",#N/A,TRUE,"general";"via2",#N/A,TRUE,"general";"via3",#N/A,TRUE,"general"}</definedName>
    <definedName name="ertert" localSheetId="8" hidden="1">{"via1",#N/A,TRUE,"general";"via2",#N/A,TRUE,"general";"via3",#N/A,TRUE,"general"}</definedName>
    <definedName name="ertert" localSheetId="5" hidden="1">{"via1",#N/A,TRUE,"general";"via2",#N/A,TRUE,"general";"via3",#N/A,TRUE,"general"}</definedName>
    <definedName name="ertert" hidden="1">{"via1",#N/A,TRUE,"general";"via2",#N/A,TRUE,"general";"via3",#N/A,TRUE,"general"}</definedName>
    <definedName name="ertgyhik" localSheetId="10" hidden="1">{"TAB1",#N/A,TRUE,"GENERAL";"TAB2",#N/A,TRUE,"GENERAL";"TAB3",#N/A,TRUE,"GENERAL";"TAB4",#N/A,TRUE,"GENERAL";"TAB5",#N/A,TRUE,"GENERAL"}</definedName>
    <definedName name="ertgyhik" localSheetId="8" hidden="1">{"TAB1",#N/A,TRUE,"GENERAL";"TAB2",#N/A,TRUE,"GENERAL";"TAB3",#N/A,TRUE,"GENERAL";"TAB4",#N/A,TRUE,"GENERAL";"TAB5",#N/A,TRUE,"GENERAL"}</definedName>
    <definedName name="ertgyhik" localSheetId="5" hidden="1">{"TAB1",#N/A,TRUE,"GENERAL";"TAB2",#N/A,TRUE,"GENERAL";"TAB3",#N/A,TRUE,"GENERAL";"TAB4",#N/A,TRUE,"GENERAL";"TAB5",#N/A,TRUE,"GENERAL"}</definedName>
    <definedName name="ertgyhik" hidden="1">{"TAB1",#N/A,TRUE,"GENERAL";"TAB2",#N/A,TRUE,"GENERAL";"TAB3",#N/A,TRUE,"GENERAL";"TAB4",#N/A,TRUE,"GENERAL";"TAB5",#N/A,TRUE,"GENERAL"}</definedName>
    <definedName name="ertreb" localSheetId="10" hidden="1">{"via1",#N/A,TRUE,"general";"via2",#N/A,TRUE,"general";"via3",#N/A,TRUE,"general"}</definedName>
    <definedName name="ertreb" localSheetId="8" hidden="1">{"via1",#N/A,TRUE,"general";"via2",#N/A,TRUE,"general";"via3",#N/A,TRUE,"general"}</definedName>
    <definedName name="ertreb" localSheetId="5" hidden="1">{"via1",#N/A,TRUE,"general";"via2",#N/A,TRUE,"general";"via3",#N/A,TRUE,"general"}</definedName>
    <definedName name="ertreb" hidden="1">{"via1",#N/A,TRUE,"general";"via2",#N/A,TRUE,"general";"via3",#N/A,TRUE,"general"}</definedName>
    <definedName name="ertret" localSheetId="10" hidden="1">{"TAB1",#N/A,TRUE,"GENERAL";"TAB2",#N/A,TRUE,"GENERAL";"TAB3",#N/A,TRUE,"GENERAL";"TAB4",#N/A,TRUE,"GENERAL";"TAB5",#N/A,TRUE,"GENERAL"}</definedName>
    <definedName name="ertret" localSheetId="8" hidden="1">{"TAB1",#N/A,TRUE,"GENERAL";"TAB2",#N/A,TRUE,"GENERAL";"TAB3",#N/A,TRUE,"GENERAL";"TAB4",#N/A,TRUE,"GENERAL";"TAB5",#N/A,TRUE,"GENERAL"}</definedName>
    <definedName name="ertret" localSheetId="5" hidden="1">{"TAB1",#N/A,TRUE,"GENERAL";"TAB2",#N/A,TRUE,"GENERAL";"TAB3",#N/A,TRUE,"GENERAL";"TAB4",#N/A,TRUE,"GENERAL";"TAB5",#N/A,TRUE,"GENERAL"}</definedName>
    <definedName name="ertret" hidden="1">{"TAB1",#N/A,TRUE,"GENERAL";"TAB2",#N/A,TRUE,"GENERAL";"TAB3",#N/A,TRUE,"GENERAL";"TAB4",#N/A,TRUE,"GENERAL";"TAB5",#N/A,TRUE,"GENERAL"}</definedName>
    <definedName name="erttret" localSheetId="10" hidden="1">{"via1",#N/A,TRUE,"general";"via2",#N/A,TRUE,"general";"via3",#N/A,TRUE,"general"}</definedName>
    <definedName name="erttret" localSheetId="8" hidden="1">{"via1",#N/A,TRUE,"general";"via2",#N/A,TRUE,"general";"via3",#N/A,TRUE,"general"}</definedName>
    <definedName name="erttret" localSheetId="5" hidden="1">{"via1",#N/A,TRUE,"general";"via2",#N/A,TRUE,"general";"via3",#N/A,TRUE,"general"}</definedName>
    <definedName name="erttret" hidden="1">{"via1",#N/A,TRUE,"general";"via2",#N/A,TRUE,"general";"via3",#N/A,TRUE,"general"}</definedName>
    <definedName name="ertuiy" localSheetId="10" hidden="1">{"via1",#N/A,TRUE,"general";"via2",#N/A,TRUE,"general";"via3",#N/A,TRUE,"general"}</definedName>
    <definedName name="ertuiy" localSheetId="8" hidden="1">{"via1",#N/A,TRUE,"general";"via2",#N/A,TRUE,"general";"via3",#N/A,TRUE,"general"}</definedName>
    <definedName name="ertuiy" localSheetId="5" hidden="1">{"via1",#N/A,TRUE,"general";"via2",#N/A,TRUE,"general";"via3",#N/A,TRUE,"general"}</definedName>
    <definedName name="ertuiy" hidden="1">{"via1",#N/A,TRUE,"general";"via2",#N/A,TRUE,"general";"via3",#N/A,TRUE,"general"}</definedName>
    <definedName name="ertwert" localSheetId="10" hidden="1">{"TAB1",#N/A,TRUE,"GENERAL";"TAB2",#N/A,TRUE,"GENERAL";"TAB3",#N/A,TRUE,"GENERAL";"TAB4",#N/A,TRUE,"GENERAL";"TAB5",#N/A,TRUE,"GENERAL"}</definedName>
    <definedName name="ertwert" localSheetId="8" hidden="1">{"TAB1",#N/A,TRUE,"GENERAL";"TAB2",#N/A,TRUE,"GENERAL";"TAB3",#N/A,TRUE,"GENERAL";"TAB4",#N/A,TRUE,"GENERAL";"TAB5",#N/A,TRUE,"GENERAL"}</definedName>
    <definedName name="ertwert" localSheetId="5" hidden="1">{"TAB1",#N/A,TRUE,"GENERAL";"TAB2",#N/A,TRUE,"GENERAL";"TAB3",#N/A,TRUE,"GENERAL";"TAB4",#N/A,TRUE,"GENERAL";"TAB5",#N/A,TRUE,"GENERAL"}</definedName>
    <definedName name="ertwert" hidden="1">{"TAB1",#N/A,TRUE,"GENERAL";"TAB2",#N/A,TRUE,"GENERAL";"TAB3",#N/A,TRUE,"GENERAL";"TAB4",#N/A,TRUE,"GENERAL";"TAB5",#N/A,TRUE,"GENERAL"}</definedName>
    <definedName name="eru" localSheetId="10" hidden="1">{"TAB1",#N/A,TRUE,"GENERAL";"TAB2",#N/A,TRUE,"GENERAL";"TAB3",#N/A,TRUE,"GENERAL";"TAB4",#N/A,TRUE,"GENERAL";"TAB5",#N/A,TRUE,"GENERAL"}</definedName>
    <definedName name="eru" localSheetId="8" hidden="1">{"TAB1",#N/A,TRUE,"GENERAL";"TAB2",#N/A,TRUE,"GENERAL";"TAB3",#N/A,TRUE,"GENERAL";"TAB4",#N/A,TRUE,"GENERAL";"TAB5",#N/A,TRUE,"GENERAL"}</definedName>
    <definedName name="eru" localSheetId="5" hidden="1">{"TAB1",#N/A,TRUE,"GENERAL";"TAB2",#N/A,TRUE,"GENERAL";"TAB3",#N/A,TRUE,"GENERAL";"TAB4",#N/A,TRUE,"GENERAL";"TAB5",#N/A,TRUE,"GENERAL"}</definedName>
    <definedName name="eru" hidden="1">{"TAB1",#N/A,TRUE,"GENERAL";"TAB2",#N/A,TRUE,"GENERAL";"TAB3",#N/A,TRUE,"GENERAL";"TAB4",#N/A,TRUE,"GENERAL";"TAB5",#N/A,TRUE,"GENERAL"}</definedName>
    <definedName name="ERV" localSheetId="10" hidden="1">{"via1",#N/A,TRUE,"general";"via2",#N/A,TRUE,"general";"via3",#N/A,TRUE,"general"}</definedName>
    <definedName name="ERV" localSheetId="8" hidden="1">{"via1",#N/A,TRUE,"general";"via2",#N/A,TRUE,"general";"via3",#N/A,TRUE,"general"}</definedName>
    <definedName name="ERV" localSheetId="5" hidden="1">{"via1",#N/A,TRUE,"general";"via2",#N/A,TRUE,"general";"via3",#N/A,TRUE,"general"}</definedName>
    <definedName name="ERV" hidden="1">{"via1",#N/A,TRUE,"general";"via2",#N/A,TRUE,"general";"via3",#N/A,TRUE,"general"}</definedName>
    <definedName name="erware" localSheetId="10" hidden="1">{"via1",#N/A,TRUE,"general";"via2",#N/A,TRUE,"general";"via3",#N/A,TRUE,"general"}</definedName>
    <definedName name="erware" localSheetId="8" hidden="1">{"via1",#N/A,TRUE,"general";"via2",#N/A,TRUE,"general";"via3",#N/A,TRUE,"general"}</definedName>
    <definedName name="erware" localSheetId="5" hidden="1">{"via1",#N/A,TRUE,"general";"via2",#N/A,TRUE,"general";"via3",#N/A,TRUE,"general"}</definedName>
    <definedName name="erware" hidden="1">{"via1",#N/A,TRUE,"general";"via2",#N/A,TRUE,"general";"via3",#N/A,TRUE,"general"}</definedName>
    <definedName name="ERWER" localSheetId="10" hidden="1">{"via1",#N/A,TRUE,"general";"via2",#N/A,TRUE,"general";"via3",#N/A,TRUE,"general"}</definedName>
    <definedName name="ERWER" localSheetId="8" hidden="1">{"via1",#N/A,TRUE,"general";"via2",#N/A,TRUE,"general";"via3",#N/A,TRUE,"general"}</definedName>
    <definedName name="ERWER" localSheetId="5" hidden="1">{"via1",#N/A,TRUE,"general";"via2",#N/A,TRUE,"general";"via3",#N/A,TRUE,"general"}</definedName>
    <definedName name="ERWER" hidden="1">{"via1",#N/A,TRUE,"general";"via2",#N/A,TRUE,"general";"via3",#N/A,TRUE,"general"}</definedName>
    <definedName name="erwertd" localSheetId="10" hidden="1">{"TAB1",#N/A,TRUE,"GENERAL";"TAB2",#N/A,TRUE,"GENERAL";"TAB3",#N/A,TRUE,"GENERAL";"TAB4",#N/A,TRUE,"GENERAL";"TAB5",#N/A,TRUE,"GENERAL"}</definedName>
    <definedName name="erwertd" localSheetId="8" hidden="1">{"TAB1",#N/A,TRUE,"GENERAL";"TAB2",#N/A,TRUE,"GENERAL";"TAB3",#N/A,TRUE,"GENERAL";"TAB4",#N/A,TRUE,"GENERAL";"TAB5",#N/A,TRUE,"GENERAL"}</definedName>
    <definedName name="erwertd" localSheetId="5" hidden="1">{"TAB1",#N/A,TRUE,"GENERAL";"TAB2",#N/A,TRUE,"GENERAL";"TAB3",#N/A,TRUE,"GENERAL";"TAB4",#N/A,TRUE,"GENERAL";"TAB5",#N/A,TRUE,"GENERAL"}</definedName>
    <definedName name="erwertd" hidden="1">{"TAB1",#N/A,TRUE,"GENERAL";"TAB2",#N/A,TRUE,"GENERAL";"TAB3",#N/A,TRUE,"GENERAL";"TAB4",#N/A,TRUE,"GENERAL";"TAB5",#N/A,TRUE,"GENERAL"}</definedName>
    <definedName name="erwr" localSheetId="10" hidden="1">{"TAB1",#N/A,TRUE,"GENERAL";"TAB2",#N/A,TRUE,"GENERAL";"TAB3",#N/A,TRUE,"GENERAL";"TAB4",#N/A,TRUE,"GENERAL";"TAB5",#N/A,TRUE,"GENERAL"}</definedName>
    <definedName name="erwr" localSheetId="8" hidden="1">{"TAB1",#N/A,TRUE,"GENERAL";"TAB2",#N/A,TRUE,"GENERAL";"TAB3",#N/A,TRUE,"GENERAL";"TAB4",#N/A,TRUE,"GENERAL";"TAB5",#N/A,TRUE,"GENERAL"}</definedName>
    <definedName name="erwr" localSheetId="5" hidden="1">{"TAB1",#N/A,TRUE,"GENERAL";"TAB2",#N/A,TRUE,"GENERAL";"TAB3",#N/A,TRUE,"GENERAL";"TAB4",#N/A,TRUE,"GENERAL";"TAB5",#N/A,TRUE,"GENERAL"}</definedName>
    <definedName name="erwr" hidden="1">{"TAB1",#N/A,TRUE,"GENERAL";"TAB2",#N/A,TRUE,"GENERAL";"TAB3",#N/A,TRUE,"GENERAL";"TAB4",#N/A,TRUE,"GENERAL";"TAB5",#N/A,TRUE,"GENERAL"}</definedName>
    <definedName name="ERWRL" localSheetId="10" hidden="1">{"via1",#N/A,TRUE,"general";"via2",#N/A,TRUE,"general";"via3",#N/A,TRUE,"general"}</definedName>
    <definedName name="ERWRL" localSheetId="8" hidden="1">{"via1",#N/A,TRUE,"general";"via2",#N/A,TRUE,"general";"via3",#N/A,TRUE,"general"}</definedName>
    <definedName name="ERWRL" localSheetId="5" hidden="1">{"via1",#N/A,TRUE,"general";"via2",#N/A,TRUE,"general";"via3",#N/A,TRUE,"general"}</definedName>
    <definedName name="ERWRL" hidden="1">{"via1",#N/A,TRUE,"general";"via2",#N/A,TRUE,"general";"via3",#N/A,TRUE,"general"}</definedName>
    <definedName name="ery" localSheetId="10" hidden="1">{"via1",#N/A,TRUE,"general";"via2",#N/A,TRUE,"general";"via3",#N/A,TRUE,"general"}</definedName>
    <definedName name="ery" localSheetId="8" hidden="1">{"via1",#N/A,TRUE,"general";"via2",#N/A,TRUE,"general";"via3",#N/A,TRUE,"general"}</definedName>
    <definedName name="ery" localSheetId="5" hidden="1">{"via1",#N/A,TRUE,"general";"via2",#N/A,TRUE,"general";"via3",#N/A,TRUE,"general"}</definedName>
    <definedName name="ery" hidden="1">{"via1",#N/A,TRUE,"general";"via2",#N/A,TRUE,"general";"via3",#N/A,TRUE,"general"}</definedName>
    <definedName name="eryhd" localSheetId="10" hidden="1">{"via1",#N/A,TRUE,"general";"via2",#N/A,TRUE,"general";"via3",#N/A,TRUE,"general"}</definedName>
    <definedName name="eryhd" localSheetId="8" hidden="1">{"via1",#N/A,TRUE,"general";"via2",#N/A,TRUE,"general";"via3",#N/A,TRUE,"general"}</definedName>
    <definedName name="eryhd" localSheetId="5" hidden="1">{"via1",#N/A,TRUE,"general";"via2",#N/A,TRUE,"general";"via3",#N/A,TRUE,"general"}</definedName>
    <definedName name="eryhd" hidden="1">{"via1",#N/A,TRUE,"general";"via2",#N/A,TRUE,"general";"via3",#N/A,TRUE,"general"}</definedName>
    <definedName name="eryhdf" localSheetId="10" hidden="1">{"TAB1",#N/A,TRUE,"GENERAL";"TAB2",#N/A,TRUE,"GENERAL";"TAB3",#N/A,TRUE,"GENERAL";"TAB4",#N/A,TRUE,"GENERAL";"TAB5",#N/A,TRUE,"GENERAL"}</definedName>
    <definedName name="eryhdf" localSheetId="8" hidden="1">{"TAB1",#N/A,TRUE,"GENERAL";"TAB2",#N/A,TRUE,"GENERAL";"TAB3",#N/A,TRUE,"GENERAL";"TAB4",#N/A,TRUE,"GENERAL";"TAB5",#N/A,TRUE,"GENERAL"}</definedName>
    <definedName name="eryhdf" localSheetId="5" hidden="1">{"TAB1",#N/A,TRUE,"GENERAL";"TAB2",#N/A,TRUE,"GENERAL";"TAB3",#N/A,TRUE,"GENERAL";"TAB4",#N/A,TRUE,"GENERAL";"TAB5",#N/A,TRUE,"GENERAL"}</definedName>
    <definedName name="eryhdf" hidden="1">{"TAB1",#N/A,TRUE,"GENERAL";"TAB2",#N/A,TRUE,"GENERAL";"TAB3",#N/A,TRUE,"GENERAL";"TAB4",#N/A,TRUE,"GENERAL";"TAB5",#N/A,TRUE,"GENERAL"}</definedName>
    <definedName name="eryhk" localSheetId="10" hidden="1">{"TAB1",#N/A,TRUE,"GENERAL";"TAB2",#N/A,TRUE,"GENERAL";"TAB3",#N/A,TRUE,"GENERAL";"TAB4",#N/A,TRUE,"GENERAL";"TAB5",#N/A,TRUE,"GENERAL"}</definedName>
    <definedName name="eryhk" localSheetId="8" hidden="1">{"TAB1",#N/A,TRUE,"GENERAL";"TAB2",#N/A,TRUE,"GENERAL";"TAB3",#N/A,TRUE,"GENERAL";"TAB4",#N/A,TRUE,"GENERAL";"TAB5",#N/A,TRUE,"GENERAL"}</definedName>
    <definedName name="eryhk" localSheetId="5" hidden="1">{"TAB1",#N/A,TRUE,"GENERAL";"TAB2",#N/A,TRUE,"GENERAL";"TAB3",#N/A,TRUE,"GENERAL";"TAB4",#N/A,TRUE,"GENERAL";"TAB5",#N/A,TRUE,"GENERAL"}</definedName>
    <definedName name="eryhk" hidden="1">{"TAB1",#N/A,TRUE,"GENERAL";"TAB2",#N/A,TRUE,"GENERAL";"TAB3",#N/A,TRUE,"GENERAL";"TAB4",#N/A,TRUE,"GENERAL";"TAB5",#N/A,TRUE,"GENERAL"}</definedName>
    <definedName name="eryhrf" localSheetId="10" hidden="1">{"TAB1",#N/A,TRUE,"GENERAL";"TAB2",#N/A,TRUE,"GENERAL";"TAB3",#N/A,TRUE,"GENERAL";"TAB4",#N/A,TRUE,"GENERAL";"TAB5",#N/A,TRUE,"GENERAL"}</definedName>
    <definedName name="eryhrf" localSheetId="8" hidden="1">{"TAB1",#N/A,TRUE,"GENERAL";"TAB2",#N/A,TRUE,"GENERAL";"TAB3",#N/A,TRUE,"GENERAL";"TAB4",#N/A,TRUE,"GENERAL";"TAB5",#N/A,TRUE,"GENERAL"}</definedName>
    <definedName name="eryhrf" localSheetId="5" hidden="1">{"TAB1",#N/A,TRUE,"GENERAL";"TAB2",#N/A,TRUE,"GENERAL";"TAB3",#N/A,TRUE,"GENERAL";"TAB4",#N/A,TRUE,"GENERAL";"TAB5",#N/A,TRUE,"GENERAL"}</definedName>
    <definedName name="eryhrf" hidden="1">{"TAB1",#N/A,TRUE,"GENERAL";"TAB2",#N/A,TRUE,"GENERAL";"TAB3",#N/A,TRUE,"GENERAL";"TAB4",#N/A,TRUE,"GENERAL";"TAB5",#N/A,TRUE,"GENERAL"}</definedName>
    <definedName name="eryre" localSheetId="10" hidden="1">{"TAB1",#N/A,TRUE,"GENERAL";"TAB2",#N/A,TRUE,"GENERAL";"TAB3",#N/A,TRUE,"GENERAL";"TAB4",#N/A,TRUE,"GENERAL";"TAB5",#N/A,TRUE,"GENERAL"}</definedName>
    <definedName name="eryre" localSheetId="8" hidden="1">{"TAB1",#N/A,TRUE,"GENERAL";"TAB2",#N/A,TRUE,"GENERAL";"TAB3",#N/A,TRUE,"GENERAL";"TAB4",#N/A,TRUE,"GENERAL";"TAB5",#N/A,TRUE,"GENERAL"}</definedName>
    <definedName name="eryre" localSheetId="5" hidden="1">{"TAB1",#N/A,TRUE,"GENERAL";"TAB2",#N/A,TRUE,"GENERAL";"TAB3",#N/A,TRUE,"GENERAL";"TAB4",#N/A,TRUE,"GENERAL";"TAB5",#N/A,TRUE,"GENERAL"}</definedName>
    <definedName name="eryre" hidden="1">{"TAB1",#N/A,TRUE,"GENERAL";"TAB2",#N/A,TRUE,"GENERAL";"TAB3",#N/A,TRUE,"GENERAL";"TAB4",#N/A,TRUE,"GENERAL";"TAB5",#N/A,TRUE,"GENERAL"}</definedName>
    <definedName name="erytd" localSheetId="10" hidden="1">{"via1",#N/A,TRUE,"general";"via2",#N/A,TRUE,"general";"via3",#N/A,TRUE,"general"}</definedName>
    <definedName name="erytd" localSheetId="8" hidden="1">{"via1",#N/A,TRUE,"general";"via2",#N/A,TRUE,"general";"via3",#N/A,TRUE,"general"}</definedName>
    <definedName name="erytd" localSheetId="5" hidden="1">{"via1",#N/A,TRUE,"general";"via2",#N/A,TRUE,"general";"via3",#N/A,TRUE,"general"}</definedName>
    <definedName name="erytd" hidden="1">{"via1",#N/A,TRUE,"general";"via2",#N/A,TRUE,"general";"via3",#N/A,TRUE,"general"}</definedName>
    <definedName name="eryty" localSheetId="10" hidden="1">{"via1",#N/A,TRUE,"general";"via2",#N/A,TRUE,"general";"via3",#N/A,TRUE,"general"}</definedName>
    <definedName name="eryty" localSheetId="8" hidden="1">{"via1",#N/A,TRUE,"general";"via2",#N/A,TRUE,"general";"via3",#N/A,TRUE,"general"}</definedName>
    <definedName name="eryty" localSheetId="5" hidden="1">{"via1",#N/A,TRUE,"general";"via2",#N/A,TRUE,"general";"via3",#N/A,TRUE,"general"}</definedName>
    <definedName name="eryty" hidden="1">{"via1",#N/A,TRUE,"general";"via2",#N/A,TRUE,"general";"via3",#N/A,TRUE,"general"}</definedName>
    <definedName name="eryy" localSheetId="10" hidden="1">{"via1",#N/A,TRUE,"general";"via2",#N/A,TRUE,"general";"via3",#N/A,TRUE,"general"}</definedName>
    <definedName name="eryy" localSheetId="8" hidden="1">{"via1",#N/A,TRUE,"general";"via2",#N/A,TRUE,"general";"via3",#N/A,TRUE,"general"}</definedName>
    <definedName name="eryy" localSheetId="5" hidden="1">{"via1",#N/A,TRUE,"general";"via2",#N/A,TRUE,"general";"via3",#N/A,TRUE,"general"}</definedName>
    <definedName name="eryy" hidden="1">{"via1",#N/A,TRUE,"general";"via2",#N/A,TRUE,"general";"via3",#N/A,TRUE,"general"}</definedName>
    <definedName name="ES">#N/A</definedName>
    <definedName name="ESPECIFICACION" localSheetId="5">#REF!</definedName>
    <definedName name="ESPECIFICACION">#REF!</definedName>
    <definedName name="Especificación" localSheetId="5">#REF!</definedName>
    <definedName name="Especificación">#REF!</definedName>
    <definedName name="etertgg" localSheetId="10" hidden="1">{"via1",#N/A,TRUE,"general";"via2",#N/A,TRUE,"general";"via3",#N/A,TRUE,"general"}</definedName>
    <definedName name="etertgg" localSheetId="8" hidden="1">{"via1",#N/A,TRUE,"general";"via2",#N/A,TRUE,"general";"via3",#N/A,TRUE,"general"}</definedName>
    <definedName name="etertgg" localSheetId="5" hidden="1">{"via1",#N/A,TRUE,"general";"via2",#N/A,TRUE,"general";"via3",#N/A,TRUE,"general"}</definedName>
    <definedName name="etertgg" hidden="1">{"via1",#N/A,TRUE,"general";"via2",#N/A,TRUE,"general";"via3",#N/A,TRUE,"general"}</definedName>
    <definedName name="etewt" localSheetId="10" hidden="1">{"TAB1",#N/A,TRUE,"GENERAL";"TAB2",#N/A,TRUE,"GENERAL";"TAB3",#N/A,TRUE,"GENERAL";"TAB4",#N/A,TRUE,"GENERAL";"TAB5",#N/A,TRUE,"GENERAL"}</definedName>
    <definedName name="etewt" localSheetId="8" hidden="1">{"TAB1",#N/A,TRUE,"GENERAL";"TAB2",#N/A,TRUE,"GENERAL";"TAB3",#N/A,TRUE,"GENERAL";"TAB4",#N/A,TRUE,"GENERAL";"TAB5",#N/A,TRUE,"GENERAL"}</definedName>
    <definedName name="etewt" localSheetId="5" hidden="1">{"TAB1",#N/A,TRUE,"GENERAL";"TAB2",#N/A,TRUE,"GENERAL";"TAB3",#N/A,TRUE,"GENERAL";"TAB4",#N/A,TRUE,"GENERAL";"TAB5",#N/A,TRUE,"GENERAL"}</definedName>
    <definedName name="etewt" hidden="1">{"TAB1",#N/A,TRUE,"GENERAL";"TAB2",#N/A,TRUE,"GENERAL";"TAB3",#N/A,TRUE,"GENERAL";"TAB4",#N/A,TRUE,"GENERAL";"TAB5",#N/A,TRUE,"GENERAL"}</definedName>
    <definedName name="etu" localSheetId="10" hidden="1">{"via1",#N/A,TRUE,"general";"via2",#N/A,TRUE,"general";"via3",#N/A,TRUE,"general"}</definedName>
    <definedName name="etu" localSheetId="8" hidden="1">{"via1",#N/A,TRUE,"general";"via2",#N/A,TRUE,"general";"via3",#N/A,TRUE,"general"}</definedName>
    <definedName name="etu" localSheetId="5" hidden="1">{"via1",#N/A,TRUE,"general";"via2",#N/A,TRUE,"general";"via3",#N/A,TRUE,"general"}</definedName>
    <definedName name="etu" hidden="1">{"via1",#N/A,TRUE,"general";"via2",#N/A,TRUE,"general";"via3",#N/A,TRUE,"general"}</definedName>
    <definedName name="etueh" localSheetId="10" hidden="1">{"via1",#N/A,TRUE,"general";"via2",#N/A,TRUE,"general";"via3",#N/A,TRUE,"general"}</definedName>
    <definedName name="etueh" localSheetId="8" hidden="1">{"via1",#N/A,TRUE,"general";"via2",#N/A,TRUE,"general";"via3",#N/A,TRUE,"general"}</definedName>
    <definedName name="etueh" localSheetId="5" hidden="1">{"via1",#N/A,TRUE,"general";"via2",#N/A,TRUE,"general";"via3",#N/A,TRUE,"general"}</definedName>
    <definedName name="etueh" hidden="1">{"via1",#N/A,TRUE,"general";"via2",#N/A,TRUE,"general";"via3",#N/A,TRUE,"general"}</definedName>
    <definedName name="etyty" localSheetId="10" hidden="1">{"via1",#N/A,TRUE,"general";"via2",#N/A,TRUE,"general";"via3",#N/A,TRUE,"general"}</definedName>
    <definedName name="etyty" localSheetId="8" hidden="1">{"via1",#N/A,TRUE,"general";"via2",#N/A,TRUE,"general";"via3",#N/A,TRUE,"general"}</definedName>
    <definedName name="etyty" localSheetId="5" hidden="1">{"via1",#N/A,TRUE,"general";"via2",#N/A,TRUE,"general";"via3",#N/A,TRUE,"general"}</definedName>
    <definedName name="etyty" hidden="1">{"via1",#N/A,TRUE,"general";"via2",#N/A,TRUE,"general";"via3",#N/A,TRUE,"general"}</definedName>
    <definedName name="etyu" localSheetId="10" hidden="1">{"TAB1",#N/A,TRUE,"GENERAL";"TAB2",#N/A,TRUE,"GENERAL";"TAB3",#N/A,TRUE,"GENERAL";"TAB4",#N/A,TRUE,"GENERAL";"TAB5",#N/A,TRUE,"GENERAL"}</definedName>
    <definedName name="etyu" localSheetId="8" hidden="1">{"TAB1",#N/A,TRUE,"GENERAL";"TAB2",#N/A,TRUE,"GENERAL";"TAB3",#N/A,TRUE,"GENERAL";"TAB4",#N/A,TRUE,"GENERAL";"TAB5",#N/A,TRUE,"GENERAL"}</definedName>
    <definedName name="etyu" localSheetId="5" hidden="1">{"TAB1",#N/A,TRUE,"GENERAL";"TAB2",#N/A,TRUE,"GENERAL";"TAB3",#N/A,TRUE,"GENERAL";"TAB4",#N/A,TRUE,"GENERAL";"TAB5",#N/A,TRUE,"GENERAL"}</definedName>
    <definedName name="etyu" hidden="1">{"TAB1",#N/A,TRUE,"GENERAL";"TAB2",#N/A,TRUE,"GENERAL";"TAB3",#N/A,TRUE,"GENERAL";"TAB4",#N/A,TRUE,"GENERAL";"TAB5",#N/A,TRUE,"GENERAL"}</definedName>
    <definedName name="eu" localSheetId="10" hidden="1">{"via1",#N/A,TRUE,"general";"via2",#N/A,TRUE,"general";"via3",#N/A,TRUE,"general"}</definedName>
    <definedName name="eu" localSheetId="8" hidden="1">{"via1",#N/A,TRUE,"general";"via2",#N/A,TRUE,"general";"via3",#N/A,TRUE,"general"}</definedName>
    <definedName name="eu" localSheetId="5" hidden="1">{"via1",#N/A,TRUE,"general";"via2",#N/A,TRUE,"general";"via3",#N/A,TRUE,"general"}</definedName>
    <definedName name="eu" hidden="1">{"via1",#N/A,TRUE,"general";"via2",#N/A,TRUE,"general";"via3",#N/A,TRUE,"general"}</definedName>
    <definedName name="eut" localSheetId="10" hidden="1">{"via1",#N/A,TRUE,"general";"via2",#N/A,TRUE,"general";"via3",#N/A,TRUE,"general"}</definedName>
    <definedName name="eut" localSheetId="8" hidden="1">{"via1",#N/A,TRUE,"general";"via2",#N/A,TRUE,"general";"via3",#N/A,TRUE,"general"}</definedName>
    <definedName name="eut" localSheetId="5" hidden="1">{"via1",#N/A,TRUE,"general";"via2",#N/A,TRUE,"general";"via3",#N/A,TRUE,"general"}</definedName>
    <definedName name="eut" hidden="1">{"via1",#N/A,TRUE,"general";"via2",#N/A,TRUE,"general";"via3",#N/A,TRUE,"general"}</definedName>
    <definedName name="euyt" localSheetId="10" hidden="1">{"TAB1",#N/A,TRUE,"GENERAL";"TAB2",#N/A,TRUE,"GENERAL";"TAB3",#N/A,TRUE,"GENERAL";"TAB4",#N/A,TRUE,"GENERAL";"TAB5",#N/A,TRUE,"GENERAL"}</definedName>
    <definedName name="euyt" localSheetId="8" hidden="1">{"TAB1",#N/A,TRUE,"GENERAL";"TAB2",#N/A,TRUE,"GENERAL";"TAB3",#N/A,TRUE,"GENERAL";"TAB4",#N/A,TRUE,"GENERAL";"TAB5",#N/A,TRUE,"GENERAL"}</definedName>
    <definedName name="euyt" localSheetId="5" hidden="1">{"TAB1",#N/A,TRUE,"GENERAL";"TAB2",#N/A,TRUE,"GENERAL";"TAB3",#N/A,TRUE,"GENERAL";"TAB4",#N/A,TRUE,"GENERAL";"TAB5",#N/A,TRUE,"GENERAL"}</definedName>
    <definedName name="euyt" hidden="1">{"TAB1",#N/A,TRUE,"GENERAL";"TAB2",#N/A,TRUE,"GENERAL";"TAB3",#N/A,TRUE,"GENERAL";"TAB4",#N/A,TRUE,"GENERAL";"TAB5",#N/A,TRUE,"GENERAL"}</definedName>
    <definedName name="ewegt" localSheetId="10" hidden="1">{"TAB1",#N/A,TRUE,"GENERAL";"TAB2",#N/A,TRUE,"GENERAL";"TAB3",#N/A,TRUE,"GENERAL";"TAB4",#N/A,TRUE,"GENERAL";"TAB5",#N/A,TRUE,"GENERAL"}</definedName>
    <definedName name="ewegt" localSheetId="8" hidden="1">{"TAB1",#N/A,TRUE,"GENERAL";"TAB2",#N/A,TRUE,"GENERAL";"TAB3",#N/A,TRUE,"GENERAL";"TAB4",#N/A,TRUE,"GENERAL";"TAB5",#N/A,TRUE,"GENERAL"}</definedName>
    <definedName name="ewegt" localSheetId="5" hidden="1">{"TAB1",#N/A,TRUE,"GENERAL";"TAB2",#N/A,TRUE,"GENERAL";"TAB3",#N/A,TRUE,"GENERAL";"TAB4",#N/A,TRUE,"GENERAL";"TAB5",#N/A,TRUE,"GENERAL"}</definedName>
    <definedName name="ewegt" hidden="1">{"TAB1",#N/A,TRUE,"GENERAL";"TAB2",#N/A,TRUE,"GENERAL";"TAB3",#N/A,TRUE,"GENERAL";"TAB4",#N/A,TRUE,"GENERAL";"TAB5",#N/A,TRUE,"GENERAL"}</definedName>
    <definedName name="ewfewfg" localSheetId="10" hidden="1">{"TAB1",#N/A,TRUE,"GENERAL";"TAB2",#N/A,TRUE,"GENERAL";"TAB3",#N/A,TRUE,"GENERAL";"TAB4",#N/A,TRUE,"GENERAL";"TAB5",#N/A,TRUE,"GENERAL"}</definedName>
    <definedName name="ewfewfg" localSheetId="8" hidden="1">{"TAB1",#N/A,TRUE,"GENERAL";"TAB2",#N/A,TRUE,"GENERAL";"TAB3",#N/A,TRUE,"GENERAL";"TAB4",#N/A,TRUE,"GENERAL";"TAB5",#N/A,TRUE,"GENERAL"}</definedName>
    <definedName name="ewfewfg" localSheetId="5" hidden="1">{"TAB1",#N/A,TRUE,"GENERAL";"TAB2",#N/A,TRUE,"GENERAL";"TAB3",#N/A,TRUE,"GENERAL";"TAB4",#N/A,TRUE,"GENERAL";"TAB5",#N/A,TRUE,"GENERAL"}</definedName>
    <definedName name="ewfewfg" hidden="1">{"TAB1",#N/A,TRUE,"GENERAL";"TAB2",#N/A,TRUE,"GENERAL";"TAB3",#N/A,TRUE,"GENERAL";"TAB4",#N/A,TRUE,"GENERAL";"TAB5",#N/A,TRUE,"GENERAL"}</definedName>
    <definedName name="ewre" localSheetId="10" hidden="1">{"TAB1",#N/A,TRUE,"GENERAL";"TAB2",#N/A,TRUE,"GENERAL";"TAB3",#N/A,TRUE,"GENERAL";"TAB4",#N/A,TRUE,"GENERAL";"TAB5",#N/A,TRUE,"GENERAL"}</definedName>
    <definedName name="ewre" localSheetId="8" hidden="1">{"TAB1",#N/A,TRUE,"GENERAL";"TAB2",#N/A,TRUE,"GENERAL";"TAB3",#N/A,TRUE,"GENERAL";"TAB4",#N/A,TRUE,"GENERAL";"TAB5",#N/A,TRUE,"GENERAL"}</definedName>
    <definedName name="ewre" localSheetId="5" hidden="1">{"TAB1",#N/A,TRUE,"GENERAL";"TAB2",#N/A,TRUE,"GENERAL";"TAB3",#N/A,TRUE,"GENERAL";"TAB4",#N/A,TRUE,"GENERAL";"TAB5",#N/A,TRUE,"GENERAL"}</definedName>
    <definedName name="ewre" hidden="1">{"TAB1",#N/A,TRUE,"GENERAL";"TAB2",#N/A,TRUE,"GENERAL";"TAB3",#N/A,TRUE,"GENERAL";"TAB4",#N/A,TRUE,"GENERAL";"TAB5",#N/A,TRUE,"GENERAL"}</definedName>
    <definedName name="ewrewf" localSheetId="10" hidden="1">{"TAB1",#N/A,TRUE,"GENERAL";"TAB2",#N/A,TRUE,"GENERAL";"TAB3",#N/A,TRUE,"GENERAL";"TAB4",#N/A,TRUE,"GENERAL";"TAB5",#N/A,TRUE,"GENERAL"}</definedName>
    <definedName name="ewrewf" localSheetId="8" hidden="1">{"TAB1",#N/A,TRUE,"GENERAL";"TAB2",#N/A,TRUE,"GENERAL";"TAB3",#N/A,TRUE,"GENERAL";"TAB4",#N/A,TRUE,"GENERAL";"TAB5",#N/A,TRUE,"GENERAL"}</definedName>
    <definedName name="ewrewf" localSheetId="5" hidden="1">{"TAB1",#N/A,TRUE,"GENERAL";"TAB2",#N/A,TRUE,"GENERAL";"TAB3",#N/A,TRUE,"GENERAL";"TAB4",#N/A,TRUE,"GENERAL";"TAB5",#N/A,TRUE,"GENERAL"}</definedName>
    <definedName name="ewrewf" hidden="1">{"TAB1",#N/A,TRUE,"GENERAL";"TAB2",#N/A,TRUE,"GENERAL";"TAB3",#N/A,TRUE,"GENERAL";"TAB4",#N/A,TRUE,"GENERAL";"TAB5",#N/A,TRUE,"GENERAL"}</definedName>
    <definedName name="ewrr" localSheetId="10" hidden="1">{"TAB1",#N/A,TRUE,"GENERAL";"TAB2",#N/A,TRUE,"GENERAL";"TAB3",#N/A,TRUE,"GENERAL";"TAB4",#N/A,TRUE,"GENERAL";"TAB5",#N/A,TRUE,"GENERAL"}</definedName>
    <definedName name="ewrr" localSheetId="8" hidden="1">{"TAB1",#N/A,TRUE,"GENERAL";"TAB2",#N/A,TRUE,"GENERAL";"TAB3",#N/A,TRUE,"GENERAL";"TAB4",#N/A,TRUE,"GENERAL";"TAB5",#N/A,TRUE,"GENERAL"}</definedName>
    <definedName name="ewrr" localSheetId="5" hidden="1">{"TAB1",#N/A,TRUE,"GENERAL";"TAB2",#N/A,TRUE,"GENERAL";"TAB3",#N/A,TRUE,"GENERAL";"TAB4",#N/A,TRUE,"GENERAL";"TAB5",#N/A,TRUE,"GENERAL"}</definedName>
    <definedName name="ewrr" hidden="1">{"TAB1",#N/A,TRUE,"GENERAL";"TAB2",#N/A,TRUE,"GENERAL";"TAB3",#N/A,TRUE,"GENERAL";"TAB4",#N/A,TRUE,"GENERAL";"TAB5",#N/A,TRUE,"GENERAL"}</definedName>
    <definedName name="ewrt" localSheetId="10" hidden="1">{"TAB1",#N/A,TRUE,"GENERAL";"TAB2",#N/A,TRUE,"GENERAL";"TAB3",#N/A,TRUE,"GENERAL";"TAB4",#N/A,TRUE,"GENERAL";"TAB5",#N/A,TRUE,"GENERAL"}</definedName>
    <definedName name="ewrt" localSheetId="8" hidden="1">{"TAB1",#N/A,TRUE,"GENERAL";"TAB2",#N/A,TRUE,"GENERAL";"TAB3",#N/A,TRUE,"GENERAL";"TAB4",#N/A,TRUE,"GENERAL";"TAB5",#N/A,TRUE,"GENERAL"}</definedName>
    <definedName name="ewrt" localSheetId="5" hidden="1">{"TAB1",#N/A,TRUE,"GENERAL";"TAB2",#N/A,TRUE,"GENERAL";"TAB3",#N/A,TRUE,"GENERAL";"TAB4",#N/A,TRUE,"GENERAL";"TAB5",#N/A,TRUE,"GENERAL"}</definedName>
    <definedName name="ewrt" hidden="1">{"TAB1",#N/A,TRUE,"GENERAL";"TAB2",#N/A,TRUE,"GENERAL";"TAB3",#N/A,TRUE,"GENERAL";"TAB4",#N/A,TRUE,"GENERAL";"TAB5",#N/A,TRUE,"GENERAL"}</definedName>
    <definedName name="ewrwer" localSheetId="10" hidden="1">{"TAB1",#N/A,TRUE,"GENERAL";"TAB2",#N/A,TRUE,"GENERAL";"TAB3",#N/A,TRUE,"GENERAL";"TAB4",#N/A,TRUE,"GENERAL";"TAB5",#N/A,TRUE,"GENERAL"}</definedName>
    <definedName name="ewrwer" localSheetId="8" hidden="1">{"TAB1",#N/A,TRUE,"GENERAL";"TAB2",#N/A,TRUE,"GENERAL";"TAB3",#N/A,TRUE,"GENERAL";"TAB4",#N/A,TRUE,"GENERAL";"TAB5",#N/A,TRUE,"GENERAL"}</definedName>
    <definedName name="ewrwer" localSheetId="5" hidden="1">{"TAB1",#N/A,TRUE,"GENERAL";"TAB2",#N/A,TRUE,"GENERAL";"TAB3",#N/A,TRUE,"GENERAL";"TAB4",#N/A,TRUE,"GENERAL";"TAB5",#N/A,TRUE,"GENERAL"}</definedName>
    <definedName name="ewrwer" hidden="1">{"TAB1",#N/A,TRUE,"GENERAL";"TAB2",#N/A,TRUE,"GENERAL";"TAB3",#N/A,TRUE,"GENERAL";"TAB4",#N/A,TRUE,"GENERAL";"TAB5",#N/A,TRUE,"GENERAL"}</definedName>
    <definedName name="EXC" localSheetId="5">#REF!</definedName>
    <definedName name="EXC">#REF!</definedName>
    <definedName name="exCEL" localSheetId="5">#REF!</definedName>
    <definedName name="exCEL">#REF!</definedName>
    <definedName name="Excel_BuiltIn_Print_Area_3" localSheetId="5">#REF!</definedName>
    <definedName name="Excel_BuiltIn_Print_Area_3">#REF!</definedName>
    <definedName name="Excel_BuiltIn_Print_Area_3_X" localSheetId="5">#REF!</definedName>
    <definedName name="Excel_BuiltIn_Print_Area_3_X">#REF!</definedName>
    <definedName name="Excel_BuiltIn_Print_Titles_10" localSheetId="5">[4]SKJ452!#REF!</definedName>
    <definedName name="Excel_BuiltIn_Print_Titles_10">[4]SKJ452!#REF!</definedName>
    <definedName name="Excel_BuiltIn_Print_Titles_11" localSheetId="5">[4]ITA878!#REF!</definedName>
    <definedName name="Excel_BuiltIn_Print_Titles_11">[4]ITA878!#REF!</definedName>
    <definedName name="Excel_BuiltIn_Print_Titles_12" localSheetId="5">'[4]AEA-944'!#REF!</definedName>
    <definedName name="Excel_BuiltIn_Print_Titles_12">'[4]AEA-944'!#REF!</definedName>
    <definedName name="Excel_BuiltIn_Print_Titles_13" localSheetId="5">'[4]DUB-823'!#REF!</definedName>
    <definedName name="Excel_BuiltIn_Print_Titles_13">'[4]DUB-823'!#REF!</definedName>
    <definedName name="Excel_BuiltIn_Print_Titles_14" localSheetId="5">'[4]GPI 526'!#REF!</definedName>
    <definedName name="Excel_BuiltIn_Print_Titles_14">'[4]GPI 526'!#REF!</definedName>
    <definedName name="Excel_BuiltIn_Print_Titles_15" localSheetId="5">#REF!</definedName>
    <definedName name="Excel_BuiltIn_Print_Titles_15">#REF!</definedName>
    <definedName name="Excel_BuiltIn_Print_Titles_16" localSheetId="5">#REF!</definedName>
    <definedName name="Excel_BuiltIn_Print_Titles_16">#REF!</definedName>
    <definedName name="Excel_BuiltIn_Print_Titles_17" localSheetId="5">#REF!</definedName>
    <definedName name="Excel_BuiltIn_Print_Titles_17">#REF!</definedName>
    <definedName name="Excel_BuiltIn_Print_Titles_18" localSheetId="5">#REF!</definedName>
    <definedName name="Excel_BuiltIn_Print_Titles_18">#REF!</definedName>
    <definedName name="Excel_BuiltIn_Print_Titles_19" localSheetId="5">[4]XXJ617!#REF!</definedName>
    <definedName name="Excel_BuiltIn_Print_Titles_19">[4]XXJ617!#REF!</definedName>
    <definedName name="Excel_BuiltIn_Print_Titles_20" localSheetId="5">#REF!</definedName>
    <definedName name="Excel_BuiltIn_Print_Titles_20">#REF!</definedName>
    <definedName name="Excel_BuiltIn_Print_Titles_21" localSheetId="5">[4]SNG_855!#REF!</definedName>
    <definedName name="Excel_BuiltIn_Print_Titles_21">[4]SNG_855!#REF!</definedName>
    <definedName name="Excel_BuiltIn_Print_Titles_23" localSheetId="5">#REF!</definedName>
    <definedName name="Excel_BuiltIn_Print_Titles_23">#REF!</definedName>
    <definedName name="Excel_BuiltIn_Print_Titles_3" localSheetId="5">#REF!</definedName>
    <definedName name="Excel_BuiltIn_Print_Titles_3">#REF!</definedName>
    <definedName name="Excel_BuiltIn_Print_Titles_5" localSheetId="5">'[4]VEA 374'!#REF!</definedName>
    <definedName name="Excel_BuiltIn_Print_Titles_5">'[4]VEA 374'!#REF!</definedName>
    <definedName name="Excel_BuiltIn_Print_Titles_5_XX" localSheetId="5">'[4]VEA 374'!#REF!</definedName>
    <definedName name="Excel_BuiltIn_Print_Titles_5_XX">'[4]VEA 374'!#REF!</definedName>
    <definedName name="Excel_BuiltIn_Print_Titles_6" localSheetId="5">#REF!</definedName>
    <definedName name="Excel_BuiltIn_Print_Titles_6">#REF!</definedName>
    <definedName name="Excel_BuiltIn_Print_Titles_7" localSheetId="5">[4]HFB024!#REF!</definedName>
    <definedName name="Excel_BuiltIn_Print_Titles_7">[4]HFB024!#REF!</definedName>
    <definedName name="Excel_BuiltIn_Print_Titles_8" localSheetId="5">#REF!</definedName>
    <definedName name="Excel_BuiltIn_Print_Titles_8">#REF!</definedName>
    <definedName name="Excel_BuiltIn_Print_Titles_9" localSheetId="5">[4]PAJ825!#REF!</definedName>
    <definedName name="Excel_BuiltIn_Print_Titles_9">[4]PAJ825!#REF!</definedName>
    <definedName name="EXCROC">'[23]Análisis de precios'!$H$52</definedName>
    <definedName name="FD">#N/A</definedName>
    <definedName name="fda" localSheetId="10" hidden="1">{"TAB1",#N/A,TRUE,"GENERAL";"TAB2",#N/A,TRUE,"GENERAL";"TAB3",#N/A,TRUE,"GENERAL";"TAB4",#N/A,TRUE,"GENERAL";"TAB5",#N/A,TRUE,"GENERAL"}</definedName>
    <definedName name="fda" localSheetId="8" hidden="1">{"TAB1",#N/A,TRUE,"GENERAL";"TAB2",#N/A,TRUE,"GENERAL";"TAB3",#N/A,TRUE,"GENERAL";"TAB4",#N/A,TRUE,"GENERAL";"TAB5",#N/A,TRUE,"GENERAL"}</definedName>
    <definedName name="fda" localSheetId="5" hidden="1">{"TAB1",#N/A,TRUE,"GENERAL";"TAB2",#N/A,TRUE,"GENERAL";"TAB3",#N/A,TRUE,"GENERAL";"TAB4",#N/A,TRUE,"GENERAL";"TAB5",#N/A,TRUE,"GENERAL"}</definedName>
    <definedName name="fda" hidden="1">{"TAB1",#N/A,TRUE,"GENERAL";"TAB2",#N/A,TRUE,"GENERAL";"TAB3",#N/A,TRUE,"GENERAL";"TAB4",#N/A,TRUE,"GENERAL";"TAB5",#N/A,TRUE,"GENERAL"}</definedName>
    <definedName name="fdbjp" localSheetId="10" hidden="1">{"TAB1",#N/A,TRUE,"GENERAL";"TAB2",#N/A,TRUE,"GENERAL";"TAB3",#N/A,TRUE,"GENERAL";"TAB4",#N/A,TRUE,"GENERAL";"TAB5",#N/A,TRUE,"GENERAL"}</definedName>
    <definedName name="fdbjp" localSheetId="8" hidden="1">{"TAB1",#N/A,TRUE,"GENERAL";"TAB2",#N/A,TRUE,"GENERAL";"TAB3",#N/A,TRUE,"GENERAL";"TAB4",#N/A,TRUE,"GENERAL";"TAB5",#N/A,TRUE,"GENERAL"}</definedName>
    <definedName name="fdbjp" localSheetId="5" hidden="1">{"TAB1",#N/A,TRUE,"GENERAL";"TAB2",#N/A,TRUE,"GENERAL";"TAB3",#N/A,TRUE,"GENERAL";"TAB4",#N/A,TRUE,"GENERAL";"TAB5",#N/A,TRUE,"GENERAL"}</definedName>
    <definedName name="fdbjp" hidden="1">{"TAB1",#N/A,TRUE,"GENERAL";"TAB2",#N/A,TRUE,"GENERAL";"TAB3",#N/A,TRUE,"GENERAL";"TAB4",#N/A,TRUE,"GENERAL";"TAB5",#N/A,TRUE,"GENERAL"}</definedName>
    <definedName name="fdf" localSheetId="10" hidden="1">{"TAB1",#N/A,TRUE,"GENERAL";"TAB2",#N/A,TRUE,"GENERAL";"TAB3",#N/A,TRUE,"GENERAL";"TAB4",#N/A,TRUE,"GENERAL";"TAB5",#N/A,TRUE,"GENERAL"}</definedName>
    <definedName name="fdf" localSheetId="8" hidden="1">{"TAB1",#N/A,TRUE,"GENERAL";"TAB2",#N/A,TRUE,"GENERAL";"TAB3",#N/A,TRUE,"GENERAL";"TAB4",#N/A,TRUE,"GENERAL";"TAB5",#N/A,TRUE,"GENERAL"}</definedName>
    <definedName name="fdf" localSheetId="5" hidden="1">{"TAB1",#N/A,TRUE,"GENERAL";"TAB2",#N/A,TRUE,"GENERAL";"TAB3",#N/A,TRUE,"GENERAL";"TAB4",#N/A,TRUE,"GENERAL";"TAB5",#N/A,TRUE,"GENERAL"}</definedName>
    <definedName name="fdf" hidden="1">{"TAB1",#N/A,TRUE,"GENERAL";"TAB2",#N/A,TRUE,"GENERAL";"TAB3",#N/A,TRUE,"GENERAL";"TAB4",#N/A,TRUE,"GENERAL";"TAB5",#N/A,TRUE,"GENERAL"}</definedName>
    <definedName name="fdg" localSheetId="10" hidden="1">{"via1",#N/A,TRUE,"general";"via2",#N/A,TRUE,"general";"via3",#N/A,TRUE,"general"}</definedName>
    <definedName name="fdg" localSheetId="8" hidden="1">{"via1",#N/A,TRUE,"general";"via2",#N/A,TRUE,"general";"via3",#N/A,TRUE,"general"}</definedName>
    <definedName name="fdg" localSheetId="5" hidden="1">{"via1",#N/A,TRUE,"general";"via2",#N/A,TRUE,"general";"via3",#N/A,TRUE,"general"}</definedName>
    <definedName name="fdg" hidden="1">{"via1",#N/A,TRUE,"general";"via2",#N/A,TRUE,"general";"via3",#N/A,TRUE,"general"}</definedName>
    <definedName name="FDGD" localSheetId="10" hidden="1">{"TAB1",#N/A,TRUE,"GENERAL";"TAB2",#N/A,TRUE,"GENERAL";"TAB3",#N/A,TRUE,"GENERAL";"TAB4",#N/A,TRUE,"GENERAL";"TAB5",#N/A,TRUE,"GENERAL"}</definedName>
    <definedName name="FDGD" localSheetId="8" hidden="1">{"TAB1",#N/A,TRUE,"GENERAL";"TAB2",#N/A,TRUE,"GENERAL";"TAB3",#N/A,TRUE,"GENERAL";"TAB4",#N/A,TRUE,"GENERAL";"TAB5",#N/A,TRUE,"GENERAL"}</definedName>
    <definedName name="FDGD" localSheetId="5" hidden="1">{"TAB1",#N/A,TRUE,"GENERAL";"TAB2",#N/A,TRUE,"GENERAL";"TAB3",#N/A,TRUE,"GENERAL";"TAB4",#N/A,TRUE,"GENERAL";"TAB5",#N/A,TRUE,"GENERAL"}</definedName>
    <definedName name="FDGD" hidden="1">{"TAB1",#N/A,TRUE,"GENERAL";"TAB2",#N/A,TRUE,"GENERAL";"TAB3",#N/A,TRUE,"GENERAL";"TAB4",#N/A,TRUE,"GENERAL";"TAB5",#N/A,TRUE,"GENERAL"}</definedName>
    <definedName name="FDGFDBBP" localSheetId="10" hidden="1">{"TAB1",#N/A,TRUE,"GENERAL";"TAB2",#N/A,TRUE,"GENERAL";"TAB3",#N/A,TRUE,"GENERAL";"TAB4",#N/A,TRUE,"GENERAL";"TAB5",#N/A,TRUE,"GENERAL"}</definedName>
    <definedName name="FDGFDBBP" localSheetId="8" hidden="1">{"TAB1",#N/A,TRUE,"GENERAL";"TAB2",#N/A,TRUE,"GENERAL";"TAB3",#N/A,TRUE,"GENERAL";"TAB4",#N/A,TRUE,"GENERAL";"TAB5",#N/A,TRUE,"GENERAL"}</definedName>
    <definedName name="FDGFDBBP" localSheetId="5" hidden="1">{"TAB1",#N/A,TRUE,"GENERAL";"TAB2",#N/A,TRUE,"GENERAL";"TAB3",#N/A,TRUE,"GENERAL";"TAB4",#N/A,TRUE,"GENERAL";"TAB5",#N/A,TRUE,"GENERAL"}</definedName>
    <definedName name="FDGFDBBP" hidden="1">{"TAB1",#N/A,TRUE,"GENERAL";"TAB2",#N/A,TRUE,"GENERAL";"TAB3",#N/A,TRUE,"GENERAL";"TAB4",#N/A,TRUE,"GENERAL";"TAB5",#N/A,TRUE,"GENERAL"}</definedName>
    <definedName name="fdh" localSheetId="10" hidden="1">{"TAB1",#N/A,TRUE,"GENERAL";"TAB2",#N/A,TRUE,"GENERAL";"TAB3",#N/A,TRUE,"GENERAL";"TAB4",#N/A,TRUE,"GENERAL";"TAB5",#N/A,TRUE,"GENERAL"}</definedName>
    <definedName name="fdh" localSheetId="8" hidden="1">{"TAB1",#N/A,TRUE,"GENERAL";"TAB2",#N/A,TRUE,"GENERAL";"TAB3",#N/A,TRUE,"GENERAL";"TAB4",#N/A,TRUE,"GENERAL";"TAB5",#N/A,TRUE,"GENERAL"}</definedName>
    <definedName name="fdh" localSheetId="5" hidden="1">{"TAB1",#N/A,TRUE,"GENERAL";"TAB2",#N/A,TRUE,"GENERAL";"TAB3",#N/A,TRUE,"GENERAL";"TAB4",#N/A,TRUE,"GENERAL";"TAB5",#N/A,TRUE,"GENERAL"}</definedName>
    <definedName name="fdh" hidden="1">{"TAB1",#N/A,TRUE,"GENERAL";"TAB2",#N/A,TRUE,"GENERAL";"TAB3",#N/A,TRUE,"GENERAL";"TAB4",#N/A,TRUE,"GENERAL";"TAB5",#N/A,TRUE,"GENERAL"}</definedName>
    <definedName name="fdsf" localSheetId="10" hidden="1">{"TAB1",#N/A,TRUE,"GENERAL";"TAB2",#N/A,TRUE,"GENERAL";"TAB3",#N/A,TRUE,"GENERAL";"TAB4",#N/A,TRUE,"GENERAL";"TAB5",#N/A,TRUE,"GENERAL"}</definedName>
    <definedName name="fdsf" localSheetId="8" hidden="1">{"TAB1",#N/A,TRUE,"GENERAL";"TAB2",#N/A,TRUE,"GENERAL";"TAB3",#N/A,TRUE,"GENERAL";"TAB4",#N/A,TRUE,"GENERAL";"TAB5",#N/A,TRUE,"GENERAL"}</definedName>
    <definedName name="fdsf" localSheetId="5" hidden="1">{"TAB1",#N/A,TRUE,"GENERAL";"TAB2",#N/A,TRUE,"GENERAL";"TAB3",#N/A,TRUE,"GENERAL";"TAB4",#N/A,TRUE,"GENERAL";"TAB5",#N/A,TRUE,"GENERAL"}</definedName>
    <definedName name="fdsf" hidden="1">{"TAB1",#N/A,TRUE,"GENERAL";"TAB2",#N/A,TRUE,"GENERAL";"TAB3",#N/A,TRUE,"GENERAL";"TAB4",#N/A,TRUE,"GENERAL";"TAB5",#N/A,TRUE,"GENERAL"}</definedName>
    <definedName name="fdsfds" localSheetId="10" hidden="1">{"TAB1",#N/A,TRUE,"GENERAL";"TAB2",#N/A,TRUE,"GENERAL";"TAB3",#N/A,TRUE,"GENERAL";"TAB4",#N/A,TRUE,"GENERAL";"TAB5",#N/A,TRUE,"GENERAL"}</definedName>
    <definedName name="fdsfds" localSheetId="8" hidden="1">{"TAB1",#N/A,TRUE,"GENERAL";"TAB2",#N/A,TRUE,"GENERAL";"TAB3",#N/A,TRUE,"GENERAL";"TAB4",#N/A,TRUE,"GENERAL";"TAB5",#N/A,TRUE,"GENERAL"}</definedName>
    <definedName name="fdsfds" localSheetId="5" hidden="1">{"TAB1",#N/A,TRUE,"GENERAL";"TAB2",#N/A,TRUE,"GENERAL";"TAB3",#N/A,TRUE,"GENERAL";"TAB4",#N/A,TRUE,"GENERAL";"TAB5",#N/A,TRUE,"GENERAL"}</definedName>
    <definedName name="fdsfds" hidden="1">{"TAB1",#N/A,TRUE,"GENERAL";"TAB2",#N/A,TRUE,"GENERAL";"TAB3",#N/A,TRUE,"GENERAL";"TAB4",#N/A,TRUE,"GENERAL";"TAB5",#N/A,TRUE,"GENERAL"}</definedName>
    <definedName name="fdsfdsf" localSheetId="10" hidden="1">{"via1",#N/A,TRUE,"general";"via2",#N/A,TRUE,"general";"via3",#N/A,TRUE,"general"}</definedName>
    <definedName name="fdsfdsf" localSheetId="8" hidden="1">{"via1",#N/A,TRUE,"general";"via2",#N/A,TRUE,"general";"via3",#N/A,TRUE,"general"}</definedName>
    <definedName name="fdsfdsf" localSheetId="5" hidden="1">{"via1",#N/A,TRUE,"general";"via2",#N/A,TRUE,"general";"via3",#N/A,TRUE,"general"}</definedName>
    <definedName name="fdsfdsf" hidden="1">{"via1",#N/A,TRUE,"general";"via2",#N/A,TRUE,"general";"via3",#N/A,TRUE,"general"}</definedName>
    <definedName name="fdsgfds" localSheetId="10" hidden="1">{"via1",#N/A,TRUE,"general";"via2",#N/A,TRUE,"general";"via3",#N/A,TRUE,"general"}</definedName>
    <definedName name="fdsgfds" localSheetId="8" hidden="1">{"via1",#N/A,TRUE,"general";"via2",#N/A,TRUE,"general";"via3",#N/A,TRUE,"general"}</definedName>
    <definedName name="fdsgfds" localSheetId="5" hidden="1">{"via1",#N/A,TRUE,"general";"via2",#N/A,TRUE,"general";"via3",#N/A,TRUE,"general"}</definedName>
    <definedName name="fdsgfds" hidden="1">{"via1",#N/A,TRUE,"general";"via2",#N/A,TRUE,"general";"via3",#N/A,TRUE,"general"}</definedName>
    <definedName name="fdsgsdfu" localSheetId="10" hidden="1">{"TAB1",#N/A,TRUE,"GENERAL";"TAB2",#N/A,TRUE,"GENERAL";"TAB3",#N/A,TRUE,"GENERAL";"TAB4",#N/A,TRUE,"GENERAL";"TAB5",#N/A,TRUE,"GENERAL"}</definedName>
    <definedName name="fdsgsdfu" localSheetId="8" hidden="1">{"TAB1",#N/A,TRUE,"GENERAL";"TAB2",#N/A,TRUE,"GENERAL";"TAB3",#N/A,TRUE,"GENERAL";"TAB4",#N/A,TRUE,"GENERAL";"TAB5",#N/A,TRUE,"GENERAL"}</definedName>
    <definedName name="fdsgsdfu" localSheetId="5" hidden="1">{"TAB1",#N/A,TRUE,"GENERAL";"TAB2",#N/A,TRUE,"GENERAL";"TAB3",#N/A,TRUE,"GENERAL";"TAB4",#N/A,TRUE,"GENERAL";"TAB5",#N/A,TRUE,"GENERAL"}</definedName>
    <definedName name="fdsgsdfu" hidden="1">{"TAB1",#N/A,TRUE,"GENERAL";"TAB2",#N/A,TRUE,"GENERAL";"TAB3",#N/A,TRUE,"GENERAL";"TAB4",#N/A,TRUE,"GENERAL";"TAB5",#N/A,TRUE,"GENERAL"}</definedName>
    <definedName name="FDSIO" localSheetId="10" hidden="1">{"TAB1",#N/A,TRUE,"GENERAL";"TAB2",#N/A,TRUE,"GENERAL";"TAB3",#N/A,TRUE,"GENERAL";"TAB4",#N/A,TRUE,"GENERAL";"TAB5",#N/A,TRUE,"GENERAL"}</definedName>
    <definedName name="FDSIO" localSheetId="8" hidden="1">{"TAB1",#N/A,TRUE,"GENERAL";"TAB2",#N/A,TRUE,"GENERAL";"TAB3",#N/A,TRUE,"GENERAL";"TAB4",#N/A,TRUE,"GENERAL";"TAB5",#N/A,TRUE,"GENERAL"}</definedName>
    <definedName name="FDSIO" localSheetId="5" hidden="1">{"TAB1",#N/A,TRUE,"GENERAL";"TAB2",#N/A,TRUE,"GENERAL";"TAB3",#N/A,TRUE,"GENERAL";"TAB4",#N/A,TRUE,"GENERAL";"TAB5",#N/A,TRUE,"GENERAL"}</definedName>
    <definedName name="FDSIO" hidden="1">{"TAB1",#N/A,TRUE,"GENERAL";"TAB2",#N/A,TRUE,"GENERAL";"TAB3",#N/A,TRUE,"GENERAL";"TAB4",#N/A,TRUE,"GENERAL";"TAB5",#N/A,TRUE,"GENERAL"}</definedName>
    <definedName name="fer" localSheetId="5">'[16]Res-Accide-10'!#REF!</definedName>
    <definedName name="fer">'[16]Res-Accide-10'!#REF!</definedName>
    <definedName name="ferfer" localSheetId="10" hidden="1">{"via1",#N/A,TRUE,"general";"via2",#N/A,TRUE,"general";"via3",#N/A,TRUE,"general"}</definedName>
    <definedName name="ferfer" localSheetId="8" hidden="1">{"via1",#N/A,TRUE,"general";"via2",#N/A,TRUE,"general";"via3",#N/A,TRUE,"general"}</definedName>
    <definedName name="ferfer" localSheetId="5" hidden="1">{"via1",#N/A,TRUE,"general";"via2",#N/A,TRUE,"general";"via3",#N/A,TRUE,"general"}</definedName>
    <definedName name="ferfer" hidden="1">{"via1",#N/A,TRUE,"general";"via2",#N/A,TRUE,"general";"via3",#N/A,TRUE,"general"}</definedName>
    <definedName name="ff">#N/A</definedName>
    <definedName name="fff" localSheetId="10" hidden="1">{"via1",#N/A,TRUE,"general";"via2",#N/A,TRUE,"general";"via3",#N/A,TRUE,"general"}</definedName>
    <definedName name="fff" localSheetId="8" hidden="1">{"via1",#N/A,TRUE,"general";"via2",#N/A,TRUE,"general";"via3",#N/A,TRUE,"general"}</definedName>
    <definedName name="fff" localSheetId="5" hidden="1">{"via1",#N/A,TRUE,"general";"via2",#N/A,TRUE,"general";"via3",#N/A,TRUE,"general"}</definedName>
    <definedName name="fff" hidden="1">{"via1",#N/A,TRUE,"general";"via2",#N/A,TRUE,"general";"via3",#N/A,TRUE,"general"}</definedName>
    <definedName name="ffffd" localSheetId="10" hidden="1">{"via1",#N/A,TRUE,"general";"via2",#N/A,TRUE,"general";"via3",#N/A,TRUE,"general"}</definedName>
    <definedName name="ffffd" localSheetId="8" hidden="1">{"via1",#N/A,TRUE,"general";"via2",#N/A,TRUE,"general";"via3",#N/A,TRUE,"general"}</definedName>
    <definedName name="ffffd" localSheetId="5" hidden="1">{"via1",#N/A,TRUE,"general";"via2",#N/A,TRUE,"general";"via3",#N/A,TRUE,"general"}</definedName>
    <definedName name="ffffd" hidden="1">{"via1",#N/A,TRUE,"general";"via2",#N/A,TRUE,"general";"via3",#N/A,TRUE,"general"}</definedName>
    <definedName name="fffffft" localSheetId="10" hidden="1">{"TAB1",#N/A,TRUE,"GENERAL";"TAB2",#N/A,TRUE,"GENERAL";"TAB3",#N/A,TRUE,"GENERAL";"TAB4",#N/A,TRUE,"GENERAL";"TAB5",#N/A,TRUE,"GENERAL"}</definedName>
    <definedName name="fffffft" localSheetId="8" hidden="1">{"TAB1",#N/A,TRUE,"GENERAL";"TAB2",#N/A,TRUE,"GENERAL";"TAB3",#N/A,TRUE,"GENERAL";"TAB4",#N/A,TRUE,"GENERAL";"TAB5",#N/A,TRUE,"GENERAL"}</definedName>
    <definedName name="fffffft" localSheetId="5" hidden="1">{"TAB1",#N/A,TRUE,"GENERAL";"TAB2",#N/A,TRUE,"GENERAL";"TAB3",#N/A,TRUE,"GENERAL";"TAB4",#N/A,TRUE,"GENERAL";"TAB5",#N/A,TRUE,"GENERAL"}</definedName>
    <definedName name="fffffft" hidden="1">{"TAB1",#N/A,TRUE,"GENERAL";"TAB2",#N/A,TRUE,"GENERAL";"TAB3",#N/A,TRUE,"GENERAL";"TAB4",#N/A,TRUE,"GENERAL";"TAB5",#N/A,TRUE,"GENERAL"}</definedName>
    <definedName name="fffffik" localSheetId="10" hidden="1">{"TAB1",#N/A,TRUE,"GENERAL";"TAB2",#N/A,TRUE,"GENERAL";"TAB3",#N/A,TRUE,"GENERAL";"TAB4",#N/A,TRUE,"GENERAL";"TAB5",#N/A,TRUE,"GENERAL"}</definedName>
    <definedName name="fffffik" localSheetId="8" hidden="1">{"TAB1",#N/A,TRUE,"GENERAL";"TAB2",#N/A,TRUE,"GENERAL";"TAB3",#N/A,TRUE,"GENERAL";"TAB4",#N/A,TRUE,"GENERAL";"TAB5",#N/A,TRUE,"GENERAL"}</definedName>
    <definedName name="fffffik" localSheetId="5" hidden="1">{"TAB1",#N/A,TRUE,"GENERAL";"TAB2",#N/A,TRUE,"GENERAL";"TAB3",#N/A,TRUE,"GENERAL";"TAB4",#N/A,TRUE,"GENERAL";"TAB5",#N/A,TRUE,"GENERAL"}</definedName>
    <definedName name="fffffik" hidden="1">{"TAB1",#N/A,TRUE,"GENERAL";"TAB2",#N/A,TRUE,"GENERAL";"TAB3",#N/A,TRUE,"GENERAL";"TAB4",#N/A,TRUE,"GENERAL";"TAB5",#N/A,TRUE,"GENERAL"}</definedName>
    <definedName name="fffffj" localSheetId="10" hidden="1">{"TAB1",#N/A,TRUE,"GENERAL";"TAB2",#N/A,TRUE,"GENERAL";"TAB3",#N/A,TRUE,"GENERAL";"TAB4",#N/A,TRUE,"GENERAL";"TAB5",#N/A,TRUE,"GENERAL"}</definedName>
    <definedName name="fffffj" localSheetId="8" hidden="1">{"TAB1",#N/A,TRUE,"GENERAL";"TAB2",#N/A,TRUE,"GENERAL";"TAB3",#N/A,TRUE,"GENERAL";"TAB4",#N/A,TRUE,"GENERAL";"TAB5",#N/A,TRUE,"GENERAL"}</definedName>
    <definedName name="fffffj" localSheetId="5" hidden="1">{"TAB1",#N/A,TRUE,"GENERAL";"TAB2",#N/A,TRUE,"GENERAL";"TAB3",#N/A,TRUE,"GENERAL";"TAB4",#N/A,TRUE,"GENERAL";"TAB5",#N/A,TRUE,"GENERAL"}</definedName>
    <definedName name="fffffj" hidden="1">{"TAB1",#N/A,TRUE,"GENERAL";"TAB2",#N/A,TRUE,"GENERAL";"TAB3",#N/A,TRUE,"GENERAL";"TAB4",#N/A,TRUE,"GENERAL";"TAB5",#N/A,TRUE,"GENERAL"}</definedName>
    <definedName name="ffffrd" localSheetId="10" hidden="1">{"via1",#N/A,TRUE,"general";"via2",#N/A,TRUE,"general";"via3",#N/A,TRUE,"general"}</definedName>
    <definedName name="ffffrd" localSheetId="8" hidden="1">{"via1",#N/A,TRUE,"general";"via2",#N/A,TRUE,"general";"via3",#N/A,TRUE,"general"}</definedName>
    <definedName name="ffffrd" localSheetId="5" hidden="1">{"via1",#N/A,TRUE,"general";"via2",#N/A,TRUE,"general";"via3",#N/A,TRUE,"general"}</definedName>
    <definedName name="ffffrd" hidden="1">{"via1",#N/A,TRUE,"general";"via2",#N/A,TRUE,"general";"via3",#N/A,TRUE,"general"}</definedName>
    <definedName name="ffffy" localSheetId="10" hidden="1">{"TAB1",#N/A,TRUE,"GENERAL";"TAB2",#N/A,TRUE,"GENERAL";"TAB3",#N/A,TRUE,"GENERAL";"TAB4",#N/A,TRUE,"GENERAL";"TAB5",#N/A,TRUE,"GENERAL"}</definedName>
    <definedName name="ffffy" localSheetId="8" hidden="1">{"TAB1",#N/A,TRUE,"GENERAL";"TAB2",#N/A,TRUE,"GENERAL";"TAB3",#N/A,TRUE,"GENERAL";"TAB4",#N/A,TRUE,"GENERAL";"TAB5",#N/A,TRUE,"GENERAL"}</definedName>
    <definedName name="ffffy" localSheetId="5" hidden="1">{"TAB1",#N/A,TRUE,"GENERAL";"TAB2",#N/A,TRUE,"GENERAL";"TAB3",#N/A,TRUE,"GENERAL";"TAB4",#N/A,TRUE,"GENERAL";"TAB5",#N/A,TRUE,"GENERAL"}</definedName>
    <definedName name="ffffy" hidden="1">{"TAB1",#N/A,TRUE,"GENERAL";"TAB2",#N/A,TRUE,"GENERAL";"TAB3",#N/A,TRUE,"GENERAL";"TAB4",#N/A,TRUE,"GENERAL";"TAB5",#N/A,TRUE,"GENERAL"}</definedName>
    <definedName name="fffrfr" localSheetId="10" hidden="1">{"TAB1",#N/A,TRUE,"GENERAL";"TAB2",#N/A,TRUE,"GENERAL";"TAB3",#N/A,TRUE,"GENERAL";"TAB4",#N/A,TRUE,"GENERAL";"TAB5",#N/A,TRUE,"GENERAL"}</definedName>
    <definedName name="fffrfr" localSheetId="8" hidden="1">{"TAB1",#N/A,TRUE,"GENERAL";"TAB2",#N/A,TRUE,"GENERAL";"TAB3",#N/A,TRUE,"GENERAL";"TAB4",#N/A,TRUE,"GENERAL";"TAB5",#N/A,TRUE,"GENERAL"}</definedName>
    <definedName name="fffrfr" localSheetId="5" hidden="1">{"TAB1",#N/A,TRUE,"GENERAL";"TAB2",#N/A,TRUE,"GENERAL";"TAB3",#N/A,TRUE,"GENERAL";"TAB4",#N/A,TRUE,"GENERAL";"TAB5",#N/A,TRUE,"GENERAL"}</definedName>
    <definedName name="fffrfr" hidden="1">{"TAB1",#N/A,TRUE,"GENERAL";"TAB2",#N/A,TRUE,"GENERAL";"TAB3",#N/A,TRUE,"GENERAL";"TAB4",#N/A,TRUE,"GENERAL";"TAB5",#N/A,TRUE,"GENERAL"}</definedName>
    <definedName name="fffs" localSheetId="10" hidden="1">{"TAB1",#N/A,TRUE,"GENERAL";"TAB2",#N/A,TRUE,"GENERAL";"TAB3",#N/A,TRUE,"GENERAL";"TAB4",#N/A,TRUE,"GENERAL";"TAB5",#N/A,TRUE,"GENERAL"}</definedName>
    <definedName name="fffs" localSheetId="8" hidden="1">{"TAB1",#N/A,TRUE,"GENERAL";"TAB2",#N/A,TRUE,"GENERAL";"TAB3",#N/A,TRUE,"GENERAL";"TAB4",#N/A,TRUE,"GENERAL";"TAB5",#N/A,TRUE,"GENERAL"}</definedName>
    <definedName name="fffs" localSheetId="5" hidden="1">{"TAB1",#N/A,TRUE,"GENERAL";"TAB2",#N/A,TRUE,"GENERAL";"TAB3",#N/A,TRUE,"GENERAL";"TAB4",#N/A,TRUE,"GENERAL";"TAB5",#N/A,TRUE,"GENERAL"}</definedName>
    <definedName name="fffs" hidden="1">{"TAB1",#N/A,TRUE,"GENERAL";"TAB2",#N/A,TRUE,"GENERAL";"TAB3",#N/A,TRUE,"GENERAL";"TAB4",#N/A,TRUE,"GENERAL";"TAB5",#N/A,TRUE,"GENERAL"}</definedName>
    <definedName name="fg">#N/A</definedName>
    <definedName name="fgdfg" localSheetId="10" hidden="1">{"TAB1",#N/A,TRUE,"GENERAL";"TAB2",#N/A,TRUE,"GENERAL";"TAB3",#N/A,TRUE,"GENERAL";"TAB4",#N/A,TRUE,"GENERAL";"TAB5",#N/A,TRUE,"GENERAL"}</definedName>
    <definedName name="fgdfg" localSheetId="8" hidden="1">{"TAB1",#N/A,TRUE,"GENERAL";"TAB2",#N/A,TRUE,"GENERAL";"TAB3",#N/A,TRUE,"GENERAL";"TAB4",#N/A,TRUE,"GENERAL";"TAB5",#N/A,TRUE,"GENERAL"}</definedName>
    <definedName name="fgdfg" localSheetId="5" hidden="1">{"TAB1",#N/A,TRUE,"GENERAL";"TAB2",#N/A,TRUE,"GENERAL";"TAB3",#N/A,TRUE,"GENERAL";"TAB4",#N/A,TRUE,"GENERAL";"TAB5",#N/A,TRUE,"GENERAL"}</definedName>
    <definedName name="fgdfg" hidden="1">{"TAB1",#N/A,TRUE,"GENERAL";"TAB2",#N/A,TRUE,"GENERAL";"TAB3",#N/A,TRUE,"GENERAL";"TAB4",#N/A,TRUE,"GENERAL";"TAB5",#N/A,TRUE,"GENERAL"}</definedName>
    <definedName name="fgdfsgr" localSheetId="10" hidden="1">{"via1",#N/A,TRUE,"general";"via2",#N/A,TRUE,"general";"via3",#N/A,TRUE,"general"}</definedName>
    <definedName name="fgdfsgr" localSheetId="8" hidden="1">{"via1",#N/A,TRUE,"general";"via2",#N/A,TRUE,"general";"via3",#N/A,TRUE,"general"}</definedName>
    <definedName name="fgdfsgr" localSheetId="5" hidden="1">{"via1",#N/A,TRUE,"general";"via2",#N/A,TRUE,"general";"via3",#N/A,TRUE,"general"}</definedName>
    <definedName name="fgdfsgr" hidden="1">{"via1",#N/A,TRUE,"general";"via2",#N/A,TRUE,"general";"via3",#N/A,TRUE,"general"}</definedName>
    <definedName name="fgdsfg" localSheetId="10" hidden="1">{"TAB1",#N/A,TRUE,"GENERAL";"TAB2",#N/A,TRUE,"GENERAL";"TAB3",#N/A,TRUE,"GENERAL";"TAB4",#N/A,TRUE,"GENERAL";"TAB5",#N/A,TRUE,"GENERAL"}</definedName>
    <definedName name="fgdsfg" localSheetId="8" hidden="1">{"TAB1",#N/A,TRUE,"GENERAL";"TAB2",#N/A,TRUE,"GENERAL";"TAB3",#N/A,TRUE,"GENERAL";"TAB4",#N/A,TRUE,"GENERAL";"TAB5",#N/A,TRUE,"GENERAL"}</definedName>
    <definedName name="fgdsfg" localSheetId="5" hidden="1">{"TAB1",#N/A,TRUE,"GENERAL";"TAB2",#N/A,TRUE,"GENERAL";"TAB3",#N/A,TRUE,"GENERAL";"TAB4",#N/A,TRUE,"GENERAL";"TAB5",#N/A,TRUE,"GENERAL"}</definedName>
    <definedName name="fgdsfg" hidden="1">{"TAB1",#N/A,TRUE,"GENERAL";"TAB2",#N/A,TRUE,"GENERAL";"TAB3",#N/A,TRUE,"GENERAL";"TAB4",#N/A,TRUE,"GENERAL";"TAB5",#N/A,TRUE,"GENERAL"}</definedName>
    <definedName name="FGFDH" localSheetId="10" hidden="1">{"via1",#N/A,TRUE,"general";"via2",#N/A,TRUE,"general";"via3",#N/A,TRUE,"general"}</definedName>
    <definedName name="FGFDH" localSheetId="8" hidden="1">{"via1",#N/A,TRUE,"general";"via2",#N/A,TRUE,"general";"via3",#N/A,TRUE,"general"}</definedName>
    <definedName name="FGFDH" localSheetId="5" hidden="1">{"via1",#N/A,TRUE,"general";"via2",#N/A,TRUE,"general";"via3",#N/A,TRUE,"general"}</definedName>
    <definedName name="FGFDH" hidden="1">{"via1",#N/A,TRUE,"general";"via2",#N/A,TRUE,"general";"via3",#N/A,TRUE,"general"}</definedName>
    <definedName name="fgghhj" localSheetId="10" hidden="1">{"via1",#N/A,TRUE,"general";"via2",#N/A,TRUE,"general";"via3",#N/A,TRUE,"general"}</definedName>
    <definedName name="fgghhj" localSheetId="8" hidden="1">{"via1",#N/A,TRUE,"general";"via2",#N/A,TRUE,"general";"via3",#N/A,TRUE,"general"}</definedName>
    <definedName name="fgghhj" localSheetId="5" hidden="1">{"via1",#N/A,TRUE,"general";"via2",#N/A,TRUE,"general";"via3",#N/A,TRUE,"general"}</definedName>
    <definedName name="fgghhj" hidden="1">{"via1",#N/A,TRUE,"general";"via2",#N/A,TRUE,"general";"via3",#N/A,TRUE,"general"}</definedName>
    <definedName name="FGHFBC" localSheetId="10" hidden="1">{"via1",#N/A,TRUE,"general";"via2",#N/A,TRUE,"general";"via3",#N/A,TRUE,"general"}</definedName>
    <definedName name="FGHFBC" localSheetId="8" hidden="1">{"via1",#N/A,TRUE,"general";"via2",#N/A,TRUE,"general";"via3",#N/A,TRUE,"general"}</definedName>
    <definedName name="FGHFBC" localSheetId="5" hidden="1">{"via1",#N/A,TRUE,"general";"via2",#N/A,TRUE,"general";"via3",#N/A,TRUE,"general"}</definedName>
    <definedName name="FGHFBC" hidden="1">{"via1",#N/A,TRUE,"general";"via2",#N/A,TRUE,"general";"via3",#N/A,TRUE,"general"}</definedName>
    <definedName name="fghfg" localSheetId="10" hidden="1">{"TAB1",#N/A,TRUE,"GENERAL";"TAB2",#N/A,TRUE,"GENERAL";"TAB3",#N/A,TRUE,"GENERAL";"TAB4",#N/A,TRUE,"GENERAL";"TAB5",#N/A,TRUE,"GENERAL"}</definedName>
    <definedName name="fghfg" localSheetId="8" hidden="1">{"TAB1",#N/A,TRUE,"GENERAL";"TAB2",#N/A,TRUE,"GENERAL";"TAB3",#N/A,TRUE,"GENERAL";"TAB4",#N/A,TRUE,"GENERAL";"TAB5",#N/A,TRUE,"GENERAL"}</definedName>
    <definedName name="fghfg" localSheetId="5" hidden="1">{"TAB1",#N/A,TRUE,"GENERAL";"TAB2",#N/A,TRUE,"GENERAL";"TAB3",#N/A,TRUE,"GENERAL";"TAB4",#N/A,TRUE,"GENERAL";"TAB5",#N/A,TRUE,"GENERAL"}</definedName>
    <definedName name="fghfg" hidden="1">{"TAB1",#N/A,TRUE,"GENERAL";"TAB2",#N/A,TRUE,"GENERAL";"TAB3",#N/A,TRUE,"GENERAL";"TAB4",#N/A,TRUE,"GENERAL";"TAB5",#N/A,TRUE,"GENERAL"}</definedName>
    <definedName name="fghfgh" localSheetId="10" hidden="1">{"via1",#N/A,TRUE,"general";"via2",#N/A,TRUE,"general";"via3",#N/A,TRUE,"general"}</definedName>
    <definedName name="fghfgh" localSheetId="8" hidden="1">{"via1",#N/A,TRUE,"general";"via2",#N/A,TRUE,"general";"via3",#N/A,TRUE,"general"}</definedName>
    <definedName name="fghfgh" localSheetId="5" hidden="1">{"via1",#N/A,TRUE,"general";"via2",#N/A,TRUE,"general";"via3",#N/A,TRUE,"general"}</definedName>
    <definedName name="fghfgh" hidden="1">{"via1",#N/A,TRUE,"general";"via2",#N/A,TRUE,"general";"via3",#N/A,TRUE,"general"}</definedName>
    <definedName name="FGHFW" localSheetId="10" hidden="1">{"via1",#N/A,TRUE,"general";"via2",#N/A,TRUE,"general";"via3",#N/A,TRUE,"general"}</definedName>
    <definedName name="FGHFW" localSheetId="8" hidden="1">{"via1",#N/A,TRUE,"general";"via2",#N/A,TRUE,"general";"via3",#N/A,TRUE,"general"}</definedName>
    <definedName name="FGHFW" localSheetId="5" hidden="1">{"via1",#N/A,TRUE,"general";"via2",#N/A,TRUE,"general";"via3",#N/A,TRUE,"general"}</definedName>
    <definedName name="FGHFW" hidden="1">{"via1",#N/A,TRUE,"general";"via2",#N/A,TRUE,"general";"via3",#N/A,TRUE,"general"}</definedName>
    <definedName name="fghhh" localSheetId="10" hidden="1">{"TAB1",#N/A,TRUE,"GENERAL";"TAB2",#N/A,TRUE,"GENERAL";"TAB3",#N/A,TRUE,"GENERAL";"TAB4",#N/A,TRUE,"GENERAL";"TAB5",#N/A,TRUE,"GENERAL"}</definedName>
    <definedName name="fghhh" localSheetId="8" hidden="1">{"TAB1",#N/A,TRUE,"GENERAL";"TAB2",#N/A,TRUE,"GENERAL";"TAB3",#N/A,TRUE,"GENERAL";"TAB4",#N/A,TRUE,"GENERAL";"TAB5",#N/A,TRUE,"GENERAL"}</definedName>
    <definedName name="fghhh" localSheetId="5" hidden="1">{"TAB1",#N/A,TRUE,"GENERAL";"TAB2",#N/A,TRUE,"GENERAL";"TAB3",#N/A,TRUE,"GENERAL";"TAB4",#N/A,TRUE,"GENERAL";"TAB5",#N/A,TRUE,"GENERAL"}</definedName>
    <definedName name="fghhh" hidden="1">{"TAB1",#N/A,TRUE,"GENERAL";"TAB2",#N/A,TRUE,"GENERAL";"TAB3",#N/A,TRUE,"GENERAL";"TAB4",#N/A,TRUE,"GENERAL";"TAB5",#N/A,TRUE,"GENERAL"}</definedName>
    <definedName name="fghsfgh" localSheetId="10" hidden="1">{"via1",#N/A,TRUE,"general";"via2",#N/A,TRUE,"general";"via3",#N/A,TRUE,"general"}</definedName>
    <definedName name="fghsfgh" localSheetId="8" hidden="1">{"via1",#N/A,TRUE,"general";"via2",#N/A,TRUE,"general";"via3",#N/A,TRUE,"general"}</definedName>
    <definedName name="fghsfgh" localSheetId="5" hidden="1">{"via1",#N/A,TRUE,"general";"via2",#N/A,TRUE,"general";"via3",#N/A,TRUE,"general"}</definedName>
    <definedName name="fghsfgh" hidden="1">{"via1",#N/A,TRUE,"general";"via2",#N/A,TRUE,"general";"via3",#N/A,TRUE,"general"}</definedName>
    <definedName name="fght" localSheetId="10" hidden="1">{"TAB1",#N/A,TRUE,"GENERAL";"TAB2",#N/A,TRUE,"GENERAL";"TAB3",#N/A,TRUE,"GENERAL";"TAB4",#N/A,TRUE,"GENERAL";"TAB5",#N/A,TRUE,"GENERAL"}</definedName>
    <definedName name="fght" localSheetId="8" hidden="1">{"TAB1",#N/A,TRUE,"GENERAL";"TAB2",#N/A,TRUE,"GENERAL";"TAB3",#N/A,TRUE,"GENERAL";"TAB4",#N/A,TRUE,"GENERAL";"TAB5",#N/A,TRUE,"GENERAL"}</definedName>
    <definedName name="fght" localSheetId="5" hidden="1">{"TAB1",#N/A,TRUE,"GENERAL";"TAB2",#N/A,TRUE,"GENERAL";"TAB3",#N/A,TRUE,"GENERAL";"TAB4",#N/A,TRUE,"GENERAL";"TAB5",#N/A,TRUE,"GENERAL"}</definedName>
    <definedName name="fght" hidden="1">{"TAB1",#N/A,TRUE,"GENERAL";"TAB2",#N/A,TRUE,"GENERAL";"TAB3",#N/A,TRUE,"GENERAL";"TAB4",#N/A,TRUE,"GENERAL";"TAB5",#N/A,TRUE,"GENERAL"}</definedName>
    <definedName name="fgjgryi" localSheetId="10" hidden="1">{"TAB1",#N/A,TRUE,"GENERAL";"TAB2",#N/A,TRUE,"GENERAL";"TAB3",#N/A,TRUE,"GENERAL";"TAB4",#N/A,TRUE,"GENERAL";"TAB5",#N/A,TRUE,"GENERAL"}</definedName>
    <definedName name="fgjgryi" localSheetId="8" hidden="1">{"TAB1",#N/A,TRUE,"GENERAL";"TAB2",#N/A,TRUE,"GENERAL";"TAB3",#N/A,TRUE,"GENERAL";"TAB4",#N/A,TRUE,"GENERAL";"TAB5",#N/A,TRUE,"GENERAL"}</definedName>
    <definedName name="fgjgryi" localSheetId="5" hidden="1">{"TAB1",#N/A,TRUE,"GENERAL";"TAB2",#N/A,TRUE,"GENERAL";"TAB3",#N/A,TRUE,"GENERAL";"TAB4",#N/A,TRUE,"GENERAL";"TAB5",#N/A,TRUE,"GENERAL"}</definedName>
    <definedName name="fgjgryi" hidden="1">{"TAB1",#N/A,TRUE,"GENERAL";"TAB2",#N/A,TRUE,"GENERAL";"TAB3",#N/A,TRUE,"GENERAL";"TAB4",#N/A,TRUE,"GENERAL";"TAB5",#N/A,TRUE,"GENERAL"}</definedName>
    <definedName name="fhfg" localSheetId="10" hidden="1">{"TAB1",#N/A,TRUE,"GENERAL";"TAB2",#N/A,TRUE,"GENERAL";"TAB3",#N/A,TRUE,"GENERAL";"TAB4",#N/A,TRUE,"GENERAL";"TAB5",#N/A,TRUE,"GENERAL"}</definedName>
    <definedName name="fhfg" localSheetId="8" hidden="1">{"TAB1",#N/A,TRUE,"GENERAL";"TAB2",#N/A,TRUE,"GENERAL";"TAB3",#N/A,TRUE,"GENERAL";"TAB4",#N/A,TRUE,"GENERAL";"TAB5",#N/A,TRUE,"GENERAL"}</definedName>
    <definedName name="fhfg" localSheetId="5" hidden="1">{"TAB1",#N/A,TRUE,"GENERAL";"TAB2",#N/A,TRUE,"GENERAL";"TAB3",#N/A,TRUE,"GENERAL";"TAB4",#N/A,TRUE,"GENERAL";"TAB5",#N/A,TRUE,"GENERAL"}</definedName>
    <definedName name="fhfg" hidden="1">{"TAB1",#N/A,TRUE,"GENERAL";"TAB2",#N/A,TRUE,"GENERAL";"TAB3",#N/A,TRUE,"GENERAL";"TAB4",#N/A,TRUE,"GENERAL";"TAB5",#N/A,TRUE,"GENERAL"}</definedName>
    <definedName name="fhfgh" localSheetId="10" hidden="1">{"via1",#N/A,TRUE,"general";"via2",#N/A,TRUE,"general";"via3",#N/A,TRUE,"general"}</definedName>
    <definedName name="fhfgh" localSheetId="8" hidden="1">{"via1",#N/A,TRUE,"general";"via2",#N/A,TRUE,"general";"via3",#N/A,TRUE,"general"}</definedName>
    <definedName name="fhfgh" localSheetId="5" hidden="1">{"via1",#N/A,TRUE,"general";"via2",#N/A,TRUE,"general";"via3",#N/A,TRUE,"general"}</definedName>
    <definedName name="fhfgh" hidden="1">{"via1",#N/A,TRUE,"general";"via2",#N/A,TRUE,"general";"via3",#N/A,TRUE,"general"}</definedName>
    <definedName name="fhgh" localSheetId="10" hidden="1">{"via1",#N/A,TRUE,"general";"via2",#N/A,TRUE,"general";"via3",#N/A,TRUE,"general"}</definedName>
    <definedName name="fhgh" localSheetId="8" hidden="1">{"via1",#N/A,TRUE,"general";"via2",#N/A,TRUE,"general";"via3",#N/A,TRUE,"general"}</definedName>
    <definedName name="fhgh" localSheetId="5" hidden="1">{"via1",#N/A,TRUE,"general";"via2",#N/A,TRUE,"general";"via3",#N/A,TRUE,"general"}</definedName>
    <definedName name="fhgh" hidden="1">{"via1",#N/A,TRUE,"general";"via2",#N/A,TRUE,"general";"via3",#N/A,TRUE,"general"}</definedName>
    <definedName name="fhpltyunh" localSheetId="10" hidden="1">{"via1",#N/A,TRUE,"general";"via2",#N/A,TRUE,"general";"via3",#N/A,TRUE,"general"}</definedName>
    <definedName name="fhpltyunh" localSheetId="8" hidden="1">{"via1",#N/A,TRUE,"general";"via2",#N/A,TRUE,"general";"via3",#N/A,TRUE,"general"}</definedName>
    <definedName name="fhpltyunh" localSheetId="5" hidden="1">{"via1",#N/A,TRUE,"general";"via2",#N/A,TRUE,"general";"via3",#N/A,TRUE,"general"}</definedName>
    <definedName name="fhpltyunh" hidden="1">{"via1",#N/A,TRUE,"general";"via2",#N/A,TRUE,"general";"via3",#N/A,TRUE,"general"}</definedName>
    <definedName name="FINANCIACION">#N/A</definedName>
    <definedName name="frbgsd" localSheetId="10" hidden="1">{"TAB1",#N/A,TRUE,"GENERAL";"TAB2",#N/A,TRUE,"GENERAL";"TAB3",#N/A,TRUE,"GENERAL";"TAB4",#N/A,TRUE,"GENERAL";"TAB5",#N/A,TRUE,"GENERAL"}</definedName>
    <definedName name="frbgsd" localSheetId="8" hidden="1">{"TAB1",#N/A,TRUE,"GENERAL";"TAB2",#N/A,TRUE,"GENERAL";"TAB3",#N/A,TRUE,"GENERAL";"TAB4",#N/A,TRUE,"GENERAL";"TAB5",#N/A,TRUE,"GENERAL"}</definedName>
    <definedName name="frbgsd" localSheetId="5" hidden="1">{"TAB1",#N/A,TRUE,"GENERAL";"TAB2",#N/A,TRUE,"GENERAL";"TAB3",#N/A,TRUE,"GENERAL";"TAB4",#N/A,TRUE,"GENERAL";"TAB5",#N/A,TRUE,"GENERAL"}</definedName>
    <definedName name="frbgsd" hidden="1">{"TAB1",#N/A,TRUE,"GENERAL";"TAB2",#N/A,TRUE,"GENERAL";"TAB3",#N/A,TRUE,"GENERAL";"TAB4",#N/A,TRUE,"GENERAL";"TAB5",#N/A,TRUE,"GENERAL"}</definedName>
    <definedName name="frefr" localSheetId="10" hidden="1">{"via1",#N/A,TRUE,"general";"via2",#N/A,TRUE,"general";"via3",#N/A,TRUE,"general"}</definedName>
    <definedName name="frefr" localSheetId="8" hidden="1">{"via1",#N/A,TRUE,"general";"via2",#N/A,TRUE,"general";"via3",#N/A,TRUE,"general"}</definedName>
    <definedName name="frefr" localSheetId="5" hidden="1">{"via1",#N/A,TRUE,"general";"via2",#N/A,TRUE,"general";"via3",#N/A,TRUE,"general"}</definedName>
    <definedName name="frefr" hidden="1">{"via1",#N/A,TRUE,"general";"via2",#N/A,TRUE,"general";"via3",#N/A,TRUE,"general"}</definedName>
    <definedName name="frfa" localSheetId="10" hidden="1">{"via1",#N/A,TRUE,"general";"via2",#N/A,TRUE,"general";"via3",#N/A,TRUE,"general"}</definedName>
    <definedName name="frfa" localSheetId="8" hidden="1">{"via1",#N/A,TRUE,"general";"via2",#N/A,TRUE,"general";"via3",#N/A,TRUE,"general"}</definedName>
    <definedName name="frfa" localSheetId="5" hidden="1">{"via1",#N/A,TRUE,"general";"via2",#N/A,TRUE,"general";"via3",#N/A,TRUE,"general"}</definedName>
    <definedName name="frfa" hidden="1">{"via1",#N/A,TRUE,"general";"via2",#N/A,TRUE,"general";"via3",#N/A,TRUE,"general"}</definedName>
    <definedName name="frfr" localSheetId="10" hidden="1">{"TAB1",#N/A,TRUE,"GENERAL";"TAB2",#N/A,TRUE,"GENERAL";"TAB3",#N/A,TRUE,"GENERAL";"TAB4",#N/A,TRUE,"GENERAL";"TAB5",#N/A,TRUE,"GENERAL"}</definedName>
    <definedName name="frfr" localSheetId="8" hidden="1">{"TAB1",#N/A,TRUE,"GENERAL";"TAB2",#N/A,TRUE,"GENERAL";"TAB3",#N/A,TRUE,"GENERAL";"TAB4",#N/A,TRUE,"GENERAL";"TAB5",#N/A,TRUE,"GENERAL"}</definedName>
    <definedName name="frfr" localSheetId="5" hidden="1">{"TAB1",#N/A,TRUE,"GENERAL";"TAB2",#N/A,TRUE,"GENERAL";"TAB3",#N/A,TRUE,"GENERAL";"TAB4",#N/A,TRUE,"GENERAL";"TAB5",#N/A,TRUE,"GENERAL"}</definedName>
    <definedName name="frfr" hidden="1">{"TAB1",#N/A,TRUE,"GENERAL";"TAB2",#N/A,TRUE,"GENERAL";"TAB3",#N/A,TRUE,"GENERAL";"TAB4",#N/A,TRUE,"GENERAL";"TAB5",#N/A,TRUE,"GENERAL"}</definedName>
    <definedName name="fu">#N/A</definedName>
    <definedName name="fwff" localSheetId="10" hidden="1">{"via1",#N/A,TRUE,"general";"via2",#N/A,TRUE,"general";"via3",#N/A,TRUE,"general"}</definedName>
    <definedName name="fwff" localSheetId="8" hidden="1">{"via1",#N/A,TRUE,"general";"via2",#N/A,TRUE,"general";"via3",#N/A,TRUE,"general"}</definedName>
    <definedName name="fwff" localSheetId="5" hidden="1">{"via1",#N/A,TRUE,"general";"via2",#N/A,TRUE,"general";"via3",#N/A,TRUE,"general"}</definedName>
    <definedName name="fwff" hidden="1">{"via1",#N/A,TRUE,"general";"via2",#N/A,TRUE,"general";"via3",#N/A,TRUE,"general"}</definedName>
    <definedName name="fwwe" localSheetId="10" hidden="1">{"via1",#N/A,TRUE,"general";"via2",#N/A,TRUE,"general";"via3",#N/A,TRUE,"general"}</definedName>
    <definedName name="fwwe" localSheetId="8" hidden="1">{"via1",#N/A,TRUE,"general";"via2",#N/A,TRUE,"general";"via3",#N/A,TRUE,"general"}</definedName>
    <definedName name="fwwe" localSheetId="5" hidden="1">{"via1",#N/A,TRUE,"general";"via2",#N/A,TRUE,"general";"via3",#N/A,TRUE,"general"}</definedName>
    <definedName name="fwwe" hidden="1">{"via1",#N/A,TRUE,"general";"via2",#N/A,TRUE,"general";"via3",#N/A,TRUE,"general"}</definedName>
    <definedName name="GAJ" localSheetId="5">#REF!</definedName>
    <definedName name="GAJ">#REF!</definedName>
    <definedName name="gbbfghghj" localSheetId="10" hidden="1">{"TAB1",#N/A,TRUE,"GENERAL";"TAB2",#N/A,TRUE,"GENERAL";"TAB3",#N/A,TRUE,"GENERAL";"TAB4",#N/A,TRUE,"GENERAL";"TAB5",#N/A,TRUE,"GENERAL"}</definedName>
    <definedName name="gbbfghghj" localSheetId="8" hidden="1">{"TAB1",#N/A,TRUE,"GENERAL";"TAB2",#N/A,TRUE,"GENERAL";"TAB3",#N/A,TRUE,"GENERAL";"TAB4",#N/A,TRUE,"GENERAL";"TAB5",#N/A,TRUE,"GENERAL"}</definedName>
    <definedName name="gbbfghghj" localSheetId="5" hidden="1">{"TAB1",#N/A,TRUE,"GENERAL";"TAB2",#N/A,TRUE,"GENERAL";"TAB3",#N/A,TRUE,"GENERAL";"TAB4",#N/A,TRUE,"GENERAL";"TAB5",#N/A,TRUE,"GENERAL"}</definedName>
    <definedName name="gbbfghghj" hidden="1">{"TAB1",#N/A,TRUE,"GENERAL";"TAB2",#N/A,TRUE,"GENERAL";"TAB3",#N/A,TRUE,"GENERAL";"TAB4",#N/A,TRUE,"GENERAL";"TAB5",#N/A,TRUE,"GENERAL"}</definedName>
    <definedName name="gdt" localSheetId="10" hidden="1">{"TAB1",#N/A,TRUE,"GENERAL";"TAB2",#N/A,TRUE,"GENERAL";"TAB3",#N/A,TRUE,"GENERAL";"TAB4",#N/A,TRUE,"GENERAL";"TAB5",#N/A,TRUE,"GENERAL"}</definedName>
    <definedName name="gdt" localSheetId="8" hidden="1">{"TAB1",#N/A,TRUE,"GENERAL";"TAB2",#N/A,TRUE,"GENERAL";"TAB3",#N/A,TRUE,"GENERAL";"TAB4",#N/A,TRUE,"GENERAL";"TAB5",#N/A,TRUE,"GENERAL"}</definedName>
    <definedName name="gdt" localSheetId="5" hidden="1">{"TAB1",#N/A,TRUE,"GENERAL";"TAB2",#N/A,TRUE,"GENERAL";"TAB3",#N/A,TRUE,"GENERAL";"TAB4",#N/A,TRUE,"GENERAL";"TAB5",#N/A,TRUE,"GENERAL"}</definedName>
    <definedName name="gdt" hidden="1">{"TAB1",#N/A,TRUE,"GENERAL";"TAB2",#N/A,TRUE,"GENERAL";"TAB3",#N/A,TRUE,"GENERAL";"TAB4",#N/A,TRUE,"GENERAL";"TAB5",#N/A,TRUE,"GENERAL"}</definedName>
    <definedName name="geg" localSheetId="10" hidden="1">{"via1",#N/A,TRUE,"general";"via2",#N/A,TRUE,"general";"via3",#N/A,TRUE,"general"}</definedName>
    <definedName name="geg" localSheetId="8" hidden="1">{"via1",#N/A,TRUE,"general";"via2",#N/A,TRUE,"general";"via3",#N/A,TRUE,"general"}</definedName>
    <definedName name="geg" localSheetId="5" hidden="1">{"via1",#N/A,TRUE,"general";"via2",#N/A,TRUE,"general";"via3",#N/A,TRUE,"general"}</definedName>
    <definedName name="geg" hidden="1">{"via1",#N/A,TRUE,"general";"via2",#N/A,TRUE,"general";"via3",#N/A,TRUE,"general"}</definedName>
    <definedName name="Geotex" localSheetId="5">#REF!</definedName>
    <definedName name="Geotex">#REF!</definedName>
    <definedName name="gerg" localSheetId="10" hidden="1">{"TAB1",#N/A,TRUE,"GENERAL";"TAB2",#N/A,TRUE,"GENERAL";"TAB3",#N/A,TRUE,"GENERAL";"TAB4",#N/A,TRUE,"GENERAL";"TAB5",#N/A,TRUE,"GENERAL"}</definedName>
    <definedName name="gerg" localSheetId="8" hidden="1">{"TAB1",#N/A,TRUE,"GENERAL";"TAB2",#N/A,TRUE,"GENERAL";"TAB3",#N/A,TRUE,"GENERAL";"TAB4",#N/A,TRUE,"GENERAL";"TAB5",#N/A,TRUE,"GENERAL"}</definedName>
    <definedName name="gerg" localSheetId="5" hidden="1">{"TAB1",#N/A,TRUE,"GENERAL";"TAB2",#N/A,TRUE,"GENERAL";"TAB3",#N/A,TRUE,"GENERAL";"TAB4",#N/A,TRUE,"GENERAL";"TAB5",#N/A,TRUE,"GENERAL"}</definedName>
    <definedName name="gerg" hidden="1">{"TAB1",#N/A,TRUE,"GENERAL";"TAB2",#N/A,TRUE,"GENERAL";"TAB3",#N/A,TRUE,"GENERAL";"TAB4",#N/A,TRUE,"GENERAL";"TAB5",#N/A,TRUE,"GENERAL"}</definedName>
    <definedName name="gerg54" localSheetId="10" hidden="1">{"via1",#N/A,TRUE,"general";"via2",#N/A,TRUE,"general";"via3",#N/A,TRUE,"general"}</definedName>
    <definedName name="gerg54" localSheetId="8" hidden="1">{"via1",#N/A,TRUE,"general";"via2",#N/A,TRUE,"general";"via3",#N/A,TRUE,"general"}</definedName>
    <definedName name="gerg54" localSheetId="5" hidden="1">{"via1",#N/A,TRUE,"general";"via2",#N/A,TRUE,"general";"via3",#N/A,TRUE,"general"}</definedName>
    <definedName name="gerg54" hidden="1">{"via1",#N/A,TRUE,"general";"via2",#N/A,TRUE,"general";"via3",#N/A,TRUE,"general"}</definedName>
    <definedName name="gergew" localSheetId="10" hidden="1">{"TAB1",#N/A,TRUE,"GENERAL";"TAB2",#N/A,TRUE,"GENERAL";"TAB3",#N/A,TRUE,"GENERAL";"TAB4",#N/A,TRUE,"GENERAL";"TAB5",#N/A,TRUE,"GENERAL"}</definedName>
    <definedName name="gergew" localSheetId="8" hidden="1">{"TAB1",#N/A,TRUE,"GENERAL";"TAB2",#N/A,TRUE,"GENERAL";"TAB3",#N/A,TRUE,"GENERAL";"TAB4",#N/A,TRUE,"GENERAL";"TAB5",#N/A,TRUE,"GENERAL"}</definedName>
    <definedName name="gergew" localSheetId="5" hidden="1">{"TAB1",#N/A,TRUE,"GENERAL";"TAB2",#N/A,TRUE,"GENERAL";"TAB3",#N/A,TRUE,"GENERAL";"TAB4",#N/A,TRUE,"GENERAL";"TAB5",#N/A,TRUE,"GENERAL"}</definedName>
    <definedName name="gergew" hidden="1">{"TAB1",#N/A,TRUE,"GENERAL";"TAB2",#N/A,TRUE,"GENERAL";"TAB3",#N/A,TRUE,"GENERAL";"TAB4",#N/A,TRUE,"GENERAL";"TAB5",#N/A,TRUE,"GENERAL"}</definedName>
    <definedName name="gergw" localSheetId="10" hidden="1">{"TAB1",#N/A,TRUE,"GENERAL";"TAB2",#N/A,TRUE,"GENERAL";"TAB3",#N/A,TRUE,"GENERAL";"TAB4",#N/A,TRUE,"GENERAL";"TAB5",#N/A,TRUE,"GENERAL"}</definedName>
    <definedName name="gergw" localSheetId="8" hidden="1">{"TAB1",#N/A,TRUE,"GENERAL";"TAB2",#N/A,TRUE,"GENERAL";"TAB3",#N/A,TRUE,"GENERAL";"TAB4",#N/A,TRUE,"GENERAL";"TAB5",#N/A,TRUE,"GENERAL"}</definedName>
    <definedName name="gergw" localSheetId="5" hidden="1">{"TAB1",#N/A,TRUE,"GENERAL";"TAB2",#N/A,TRUE,"GENERAL";"TAB3",#N/A,TRUE,"GENERAL";"TAB4",#N/A,TRUE,"GENERAL";"TAB5",#N/A,TRUE,"GENERAL"}</definedName>
    <definedName name="gergw" hidden="1">{"TAB1",#N/A,TRUE,"GENERAL";"TAB2",#N/A,TRUE,"GENERAL";"TAB3",#N/A,TRUE,"GENERAL";"TAB4",#N/A,TRUE,"GENERAL";"TAB5",#N/A,TRUE,"GENERAL"}</definedName>
    <definedName name="gfd" localSheetId="10" hidden="1">{"TAB1",#N/A,TRUE,"GENERAL";"TAB2",#N/A,TRUE,"GENERAL";"TAB3",#N/A,TRUE,"GENERAL";"TAB4",#N/A,TRUE,"GENERAL";"TAB5",#N/A,TRUE,"GENERAL"}</definedName>
    <definedName name="gfd" localSheetId="8" hidden="1">{"TAB1",#N/A,TRUE,"GENERAL";"TAB2",#N/A,TRUE,"GENERAL";"TAB3",#N/A,TRUE,"GENERAL";"TAB4",#N/A,TRUE,"GENERAL";"TAB5",#N/A,TRUE,"GENERAL"}</definedName>
    <definedName name="gfd" localSheetId="5" hidden="1">{"TAB1",#N/A,TRUE,"GENERAL";"TAB2",#N/A,TRUE,"GENERAL";"TAB3",#N/A,TRUE,"GENERAL";"TAB4",#N/A,TRUE,"GENERAL";"TAB5",#N/A,TRUE,"GENERAL"}</definedName>
    <definedName name="gfd" hidden="1">{"TAB1",#N/A,TRUE,"GENERAL";"TAB2",#N/A,TRUE,"GENERAL";"TAB3",#N/A,TRUE,"GENERAL";"TAB4",#N/A,TRUE,"GENERAL";"TAB5",#N/A,TRUE,"GENERAL"}</definedName>
    <definedName name="gfdg" localSheetId="10" hidden="1">{"via1",#N/A,TRUE,"general";"via2",#N/A,TRUE,"general";"via3",#N/A,TRUE,"general"}</definedName>
    <definedName name="gfdg" localSheetId="8" hidden="1">{"via1",#N/A,TRUE,"general";"via2",#N/A,TRUE,"general";"via3",#N/A,TRUE,"general"}</definedName>
    <definedName name="gfdg" localSheetId="5" hidden="1">{"via1",#N/A,TRUE,"general";"via2",#N/A,TRUE,"general";"via3",#N/A,TRUE,"general"}</definedName>
    <definedName name="gfdg" hidden="1">{"via1",#N/A,TRUE,"general";"via2",#N/A,TRUE,"general";"via3",#N/A,TRUE,"general"}</definedName>
    <definedName name="gfgfgr" localSheetId="10" hidden="1">{"via1",#N/A,TRUE,"general";"via2",#N/A,TRUE,"general";"via3",#N/A,TRUE,"general"}</definedName>
    <definedName name="gfgfgr" localSheetId="8" hidden="1">{"via1",#N/A,TRUE,"general";"via2",#N/A,TRUE,"general";"via3",#N/A,TRUE,"general"}</definedName>
    <definedName name="gfgfgr" localSheetId="5" hidden="1">{"via1",#N/A,TRUE,"general";"via2",#N/A,TRUE,"general";"via3",#N/A,TRUE,"general"}</definedName>
    <definedName name="gfgfgr" hidden="1">{"via1",#N/A,TRUE,"general";"via2",#N/A,TRUE,"general";"via3",#N/A,TRUE,"general"}</definedName>
    <definedName name="gfhf" localSheetId="10" hidden="1">{"via1",#N/A,TRUE,"general";"via2",#N/A,TRUE,"general";"via3",#N/A,TRUE,"general"}</definedName>
    <definedName name="gfhf" localSheetId="8" hidden="1">{"via1",#N/A,TRUE,"general";"via2",#N/A,TRUE,"general";"via3",#N/A,TRUE,"general"}</definedName>
    <definedName name="gfhf" localSheetId="5" hidden="1">{"via1",#N/A,TRUE,"general";"via2",#N/A,TRUE,"general";"via3",#N/A,TRUE,"general"}</definedName>
    <definedName name="gfhf" hidden="1">{"via1",#N/A,TRUE,"general";"via2",#N/A,TRUE,"general";"via3",#N/A,TRUE,"general"}</definedName>
    <definedName name="gfhfdh" localSheetId="10" hidden="1">{"TAB1",#N/A,TRUE,"GENERAL";"TAB2",#N/A,TRUE,"GENERAL";"TAB3",#N/A,TRUE,"GENERAL";"TAB4",#N/A,TRUE,"GENERAL";"TAB5",#N/A,TRUE,"GENERAL"}</definedName>
    <definedName name="gfhfdh" localSheetId="8" hidden="1">{"TAB1",#N/A,TRUE,"GENERAL";"TAB2",#N/A,TRUE,"GENERAL";"TAB3",#N/A,TRUE,"GENERAL";"TAB4",#N/A,TRUE,"GENERAL";"TAB5",#N/A,TRUE,"GENERAL"}</definedName>
    <definedName name="gfhfdh" localSheetId="5" hidden="1">{"TAB1",#N/A,TRUE,"GENERAL";"TAB2",#N/A,TRUE,"GENERAL";"TAB3",#N/A,TRUE,"GENERAL";"TAB4",#N/A,TRUE,"GENERAL";"TAB5",#N/A,TRUE,"GENERAL"}</definedName>
    <definedName name="gfhfdh" hidden="1">{"TAB1",#N/A,TRUE,"GENERAL";"TAB2",#N/A,TRUE,"GENERAL";"TAB3",#N/A,TRUE,"GENERAL";"TAB4",#N/A,TRUE,"GENERAL";"TAB5",#N/A,TRUE,"GENERAL"}</definedName>
    <definedName name="gfhgfh" localSheetId="10" hidden="1">{"TAB1",#N/A,TRUE,"GENERAL";"TAB2",#N/A,TRUE,"GENERAL";"TAB3",#N/A,TRUE,"GENERAL";"TAB4",#N/A,TRUE,"GENERAL";"TAB5",#N/A,TRUE,"GENERAL"}</definedName>
    <definedName name="gfhgfh" localSheetId="8" hidden="1">{"TAB1",#N/A,TRUE,"GENERAL";"TAB2",#N/A,TRUE,"GENERAL";"TAB3",#N/A,TRUE,"GENERAL";"TAB4",#N/A,TRUE,"GENERAL";"TAB5",#N/A,TRUE,"GENERAL"}</definedName>
    <definedName name="gfhgfh" localSheetId="5" hidden="1">{"TAB1",#N/A,TRUE,"GENERAL";"TAB2",#N/A,TRUE,"GENERAL";"TAB3",#N/A,TRUE,"GENERAL";"TAB4",#N/A,TRUE,"GENERAL";"TAB5",#N/A,TRUE,"GENERAL"}</definedName>
    <definedName name="gfhgfh" hidden="1">{"TAB1",#N/A,TRUE,"GENERAL";"TAB2",#N/A,TRUE,"GENERAL";"TAB3",#N/A,TRUE,"GENERAL";"TAB4",#N/A,TRUE,"GENERAL";"TAB5",#N/A,TRUE,"GENERAL"}</definedName>
    <definedName name="GFJHGJ" localSheetId="10" hidden="1">{"TAB1",#N/A,TRUE,"GENERAL";"TAB2",#N/A,TRUE,"GENERAL";"TAB3",#N/A,TRUE,"GENERAL";"TAB4",#N/A,TRUE,"GENERAL";"TAB5",#N/A,TRUE,"GENERAL"}</definedName>
    <definedName name="GFJHGJ" localSheetId="8" hidden="1">{"TAB1",#N/A,TRUE,"GENERAL";"TAB2",#N/A,TRUE,"GENERAL";"TAB3",#N/A,TRUE,"GENERAL";"TAB4",#N/A,TRUE,"GENERAL";"TAB5",#N/A,TRUE,"GENERAL"}</definedName>
    <definedName name="GFJHGJ" localSheetId="5" hidden="1">{"TAB1",#N/A,TRUE,"GENERAL";"TAB2",#N/A,TRUE,"GENERAL";"TAB3",#N/A,TRUE,"GENERAL";"TAB4",#N/A,TRUE,"GENERAL";"TAB5",#N/A,TRUE,"GENERAL"}</definedName>
    <definedName name="GFJHGJ" hidden="1">{"TAB1",#N/A,TRUE,"GENERAL";"TAB2",#N/A,TRUE,"GENERAL";"TAB3",#N/A,TRUE,"GENERAL";"TAB4",#N/A,TRUE,"GENERAL";"TAB5",#N/A,TRUE,"GENERAL"}</definedName>
    <definedName name="gfjjh" localSheetId="10" hidden="1">{"via1",#N/A,TRUE,"general";"via2",#N/A,TRUE,"general";"via3",#N/A,TRUE,"general"}</definedName>
    <definedName name="gfjjh" localSheetId="8" hidden="1">{"via1",#N/A,TRUE,"general";"via2",#N/A,TRUE,"general";"via3",#N/A,TRUE,"general"}</definedName>
    <definedName name="gfjjh" localSheetId="5" hidden="1">{"via1",#N/A,TRUE,"general";"via2",#N/A,TRUE,"general";"via3",#N/A,TRUE,"general"}</definedName>
    <definedName name="gfjjh" hidden="1">{"via1",#N/A,TRUE,"general";"via2",#N/A,TRUE,"general";"via3",#N/A,TRUE,"general"}</definedName>
    <definedName name="gfutyj6" localSheetId="10" hidden="1">{"via1",#N/A,TRUE,"general";"via2",#N/A,TRUE,"general";"via3",#N/A,TRUE,"general"}</definedName>
    <definedName name="gfutyj6" localSheetId="8" hidden="1">{"via1",#N/A,TRUE,"general";"via2",#N/A,TRUE,"general";"via3",#N/A,TRUE,"general"}</definedName>
    <definedName name="gfutyj6" localSheetId="5" hidden="1">{"via1",#N/A,TRUE,"general";"via2",#N/A,TRUE,"general";"via3",#N/A,TRUE,"general"}</definedName>
    <definedName name="gfutyj6" hidden="1">{"via1",#N/A,TRUE,"general";"via2",#N/A,TRUE,"general";"via3",#N/A,TRUE,"general"}</definedName>
    <definedName name="gg" localSheetId="10" hidden="1">{"TAB1",#N/A,TRUE,"GENERAL";"TAB2",#N/A,TRUE,"GENERAL";"TAB3",#N/A,TRUE,"GENERAL";"TAB4",#N/A,TRUE,"GENERAL";"TAB5",#N/A,TRUE,"GENERAL"}</definedName>
    <definedName name="gg" localSheetId="8" hidden="1">{"TAB1",#N/A,TRUE,"GENERAL";"TAB2",#N/A,TRUE,"GENERAL";"TAB3",#N/A,TRUE,"GENERAL";"TAB4",#N/A,TRUE,"GENERAL";"TAB5",#N/A,TRUE,"GENERAL"}</definedName>
    <definedName name="gg" localSheetId="5" hidden="1">{"TAB1",#N/A,TRUE,"GENERAL";"TAB2",#N/A,TRUE,"GENERAL";"TAB3",#N/A,TRUE,"GENERAL";"TAB4",#N/A,TRUE,"GENERAL";"TAB5",#N/A,TRUE,"GENERAL"}</definedName>
    <definedName name="gg" hidden="1">{"TAB1",#N/A,TRUE,"GENERAL";"TAB2",#N/A,TRUE,"GENERAL";"TAB3",#N/A,TRUE,"GENERAL";"TAB4",#N/A,TRUE,"GENERAL";"TAB5",#N/A,TRUE,"GENERAL"}</definedName>
    <definedName name="ggdr" localSheetId="10" hidden="1">{"via1",#N/A,TRUE,"general";"via2",#N/A,TRUE,"general";"via3",#N/A,TRUE,"general"}</definedName>
    <definedName name="ggdr" localSheetId="8" hidden="1">{"via1",#N/A,TRUE,"general";"via2",#N/A,TRUE,"general";"via3",#N/A,TRUE,"general"}</definedName>
    <definedName name="ggdr" localSheetId="5" hidden="1">{"via1",#N/A,TRUE,"general";"via2",#N/A,TRUE,"general";"via3",#N/A,TRUE,"general"}</definedName>
    <definedName name="ggdr" hidden="1">{"via1",#N/A,TRUE,"general";"via2",#N/A,TRUE,"general";"via3",#N/A,TRUE,"general"}</definedName>
    <definedName name="ggerg" localSheetId="10" hidden="1">{"TAB1",#N/A,TRUE,"GENERAL";"TAB2",#N/A,TRUE,"GENERAL";"TAB3",#N/A,TRUE,"GENERAL";"TAB4",#N/A,TRUE,"GENERAL";"TAB5",#N/A,TRUE,"GENERAL"}</definedName>
    <definedName name="ggerg" localSheetId="8" hidden="1">{"TAB1",#N/A,TRUE,"GENERAL";"TAB2",#N/A,TRUE,"GENERAL";"TAB3",#N/A,TRUE,"GENERAL";"TAB4",#N/A,TRUE,"GENERAL";"TAB5",#N/A,TRUE,"GENERAL"}</definedName>
    <definedName name="ggerg" localSheetId="5" hidden="1">{"TAB1",#N/A,TRUE,"GENERAL";"TAB2",#N/A,TRUE,"GENERAL";"TAB3",#N/A,TRUE,"GENERAL";"TAB4",#N/A,TRUE,"GENERAL";"TAB5",#N/A,TRUE,"GENERAL"}</definedName>
    <definedName name="ggerg" hidden="1">{"TAB1",#N/A,TRUE,"GENERAL";"TAB2",#N/A,TRUE,"GENERAL";"TAB3",#N/A,TRUE,"GENERAL";"TAB4",#N/A,TRUE,"GENERAL";"TAB5",#N/A,TRUE,"GENERAL"}</definedName>
    <definedName name="GGG">#N/A</definedName>
    <definedName name="gggb" localSheetId="10" hidden="1">{"TAB1",#N/A,TRUE,"GENERAL";"TAB2",#N/A,TRUE,"GENERAL";"TAB3",#N/A,TRUE,"GENERAL";"TAB4",#N/A,TRUE,"GENERAL";"TAB5",#N/A,TRUE,"GENERAL"}</definedName>
    <definedName name="gggb" localSheetId="8" hidden="1">{"TAB1",#N/A,TRUE,"GENERAL";"TAB2",#N/A,TRUE,"GENERAL";"TAB3",#N/A,TRUE,"GENERAL";"TAB4",#N/A,TRUE,"GENERAL";"TAB5",#N/A,TRUE,"GENERAL"}</definedName>
    <definedName name="gggb" localSheetId="5" hidden="1">{"TAB1",#N/A,TRUE,"GENERAL";"TAB2",#N/A,TRUE,"GENERAL";"TAB3",#N/A,TRUE,"GENERAL";"TAB4",#N/A,TRUE,"GENERAL";"TAB5",#N/A,TRUE,"GENERAL"}</definedName>
    <definedName name="gggb" hidden="1">{"TAB1",#N/A,TRUE,"GENERAL";"TAB2",#N/A,TRUE,"GENERAL";"TAB3",#N/A,TRUE,"GENERAL";"TAB4",#N/A,TRUE,"GENERAL";"TAB5",#N/A,TRUE,"GENERAL"}</definedName>
    <definedName name="gggg" localSheetId="10" hidden="1">{"via1",#N/A,TRUE,"general";"via2",#N/A,TRUE,"general";"via3",#N/A,TRUE,"general"}</definedName>
    <definedName name="gggg" localSheetId="8" hidden="1">{"via1",#N/A,TRUE,"general";"via2",#N/A,TRUE,"general";"via3",#N/A,TRUE,"general"}</definedName>
    <definedName name="gggg" localSheetId="5" hidden="1">{"via1",#N/A,TRUE,"general";"via2",#N/A,TRUE,"general";"via3",#N/A,TRUE,"general"}</definedName>
    <definedName name="gggg" hidden="1">{"via1",#N/A,TRUE,"general";"via2",#N/A,TRUE,"general";"via3",#N/A,TRUE,"general"}</definedName>
    <definedName name="ggggd" localSheetId="10" hidden="1">{"TAB1",#N/A,TRUE,"GENERAL";"TAB2",#N/A,TRUE,"GENERAL";"TAB3",#N/A,TRUE,"GENERAL";"TAB4",#N/A,TRUE,"GENERAL";"TAB5",#N/A,TRUE,"GENERAL"}</definedName>
    <definedName name="ggggd" localSheetId="8" hidden="1">{"TAB1",#N/A,TRUE,"GENERAL";"TAB2",#N/A,TRUE,"GENERAL";"TAB3",#N/A,TRUE,"GENERAL";"TAB4",#N/A,TRUE,"GENERAL";"TAB5",#N/A,TRUE,"GENERAL"}</definedName>
    <definedName name="ggggd" localSheetId="5" hidden="1">{"TAB1",#N/A,TRUE,"GENERAL";"TAB2",#N/A,TRUE,"GENERAL";"TAB3",#N/A,TRUE,"GENERAL";"TAB4",#N/A,TRUE,"GENERAL";"TAB5",#N/A,TRUE,"GENERAL"}</definedName>
    <definedName name="ggggd" hidden="1">{"TAB1",#N/A,TRUE,"GENERAL";"TAB2",#N/A,TRUE,"GENERAL";"TAB3",#N/A,TRUE,"GENERAL";"TAB4",#N/A,TRUE,"GENERAL";"TAB5",#N/A,TRUE,"GENERAL"}</definedName>
    <definedName name="gggggt" localSheetId="10" hidden="1">{"via1",#N/A,TRUE,"general";"via2",#N/A,TRUE,"general";"via3",#N/A,TRUE,"general"}</definedName>
    <definedName name="gggggt" localSheetId="8" hidden="1">{"via1",#N/A,TRUE,"general";"via2",#N/A,TRUE,"general";"via3",#N/A,TRUE,"general"}</definedName>
    <definedName name="gggggt" localSheetId="5" hidden="1">{"via1",#N/A,TRUE,"general";"via2",#N/A,TRUE,"general";"via3",#N/A,TRUE,"general"}</definedName>
    <definedName name="gggggt" hidden="1">{"via1",#N/A,TRUE,"general";"via2",#N/A,TRUE,"general";"via3",#N/A,TRUE,"general"}</definedName>
    <definedName name="gggghn" localSheetId="10" hidden="1">{"TAB1",#N/A,TRUE,"GENERAL";"TAB2",#N/A,TRUE,"GENERAL";"TAB3",#N/A,TRUE,"GENERAL";"TAB4",#N/A,TRUE,"GENERAL";"TAB5",#N/A,TRUE,"GENERAL"}</definedName>
    <definedName name="gggghn" localSheetId="8" hidden="1">{"TAB1",#N/A,TRUE,"GENERAL";"TAB2",#N/A,TRUE,"GENERAL";"TAB3",#N/A,TRUE,"GENERAL";"TAB4",#N/A,TRUE,"GENERAL";"TAB5",#N/A,TRUE,"GENERAL"}</definedName>
    <definedName name="gggghn" localSheetId="5" hidden="1">{"TAB1",#N/A,TRUE,"GENERAL";"TAB2",#N/A,TRUE,"GENERAL";"TAB3",#N/A,TRUE,"GENERAL";"TAB4",#N/A,TRUE,"GENERAL";"TAB5",#N/A,TRUE,"GENERAL"}</definedName>
    <definedName name="gggghn" hidden="1">{"TAB1",#N/A,TRUE,"GENERAL";"TAB2",#N/A,TRUE,"GENERAL";"TAB3",#N/A,TRUE,"GENERAL";"TAB4",#N/A,TRUE,"GENERAL";"TAB5",#N/A,TRUE,"GENERAL"}</definedName>
    <definedName name="ggggt" localSheetId="10" hidden="1">{"TAB1",#N/A,TRUE,"GENERAL";"TAB2",#N/A,TRUE,"GENERAL";"TAB3",#N/A,TRUE,"GENERAL";"TAB4",#N/A,TRUE,"GENERAL";"TAB5",#N/A,TRUE,"GENERAL"}</definedName>
    <definedName name="ggggt" localSheetId="8" hidden="1">{"TAB1",#N/A,TRUE,"GENERAL";"TAB2",#N/A,TRUE,"GENERAL";"TAB3",#N/A,TRUE,"GENERAL";"TAB4",#N/A,TRUE,"GENERAL";"TAB5",#N/A,TRUE,"GENERAL"}</definedName>
    <definedName name="ggggt" localSheetId="5" hidden="1">{"TAB1",#N/A,TRUE,"GENERAL";"TAB2",#N/A,TRUE,"GENERAL";"TAB3",#N/A,TRUE,"GENERAL";"TAB4",#N/A,TRUE,"GENERAL";"TAB5",#N/A,TRUE,"GENERAL"}</definedName>
    <definedName name="ggggt" hidden="1">{"TAB1",#N/A,TRUE,"GENERAL";"TAB2",#N/A,TRUE,"GENERAL";"TAB3",#N/A,TRUE,"GENERAL";"TAB4",#N/A,TRUE,"GENERAL";"TAB5",#N/A,TRUE,"GENERAL"}</definedName>
    <definedName name="ggggy" localSheetId="10" hidden="1">{"TAB1",#N/A,TRUE,"GENERAL";"TAB2",#N/A,TRUE,"GENERAL";"TAB3",#N/A,TRUE,"GENERAL";"TAB4",#N/A,TRUE,"GENERAL";"TAB5",#N/A,TRUE,"GENERAL"}</definedName>
    <definedName name="ggggy" localSheetId="8" hidden="1">{"TAB1",#N/A,TRUE,"GENERAL";"TAB2",#N/A,TRUE,"GENERAL";"TAB3",#N/A,TRUE,"GENERAL";"TAB4",#N/A,TRUE,"GENERAL";"TAB5",#N/A,TRUE,"GENERAL"}</definedName>
    <definedName name="ggggy" localSheetId="5" hidden="1">{"TAB1",#N/A,TRUE,"GENERAL";"TAB2",#N/A,TRUE,"GENERAL";"TAB3",#N/A,TRUE,"GENERAL";"TAB4",#N/A,TRUE,"GENERAL";"TAB5",#N/A,TRUE,"GENERAL"}</definedName>
    <definedName name="ggggy" hidden="1">{"TAB1",#N/A,TRUE,"GENERAL";"TAB2",#N/A,TRUE,"GENERAL";"TAB3",#N/A,TRUE,"GENERAL";"TAB4",#N/A,TRUE,"GENERAL";"TAB5",#N/A,TRUE,"GENERAL"}</definedName>
    <definedName name="gggtgd" localSheetId="10" hidden="1">{"via1",#N/A,TRUE,"general";"via2",#N/A,TRUE,"general";"via3",#N/A,TRUE,"general"}</definedName>
    <definedName name="gggtgd" localSheetId="8" hidden="1">{"via1",#N/A,TRUE,"general";"via2",#N/A,TRUE,"general";"via3",#N/A,TRUE,"general"}</definedName>
    <definedName name="gggtgd" localSheetId="5" hidden="1">{"via1",#N/A,TRUE,"general";"via2",#N/A,TRUE,"general";"via3",#N/A,TRUE,"general"}</definedName>
    <definedName name="gggtgd" hidden="1">{"via1",#N/A,TRUE,"general";"via2",#N/A,TRUE,"general";"via3",#N/A,TRUE,"general"}</definedName>
    <definedName name="ggtgt" localSheetId="10" hidden="1">{"via1",#N/A,TRUE,"general";"via2",#N/A,TRUE,"general";"via3",#N/A,TRUE,"general"}</definedName>
    <definedName name="ggtgt" localSheetId="8" hidden="1">{"via1",#N/A,TRUE,"general";"via2",#N/A,TRUE,"general";"via3",#N/A,TRUE,"general"}</definedName>
    <definedName name="ggtgt" localSheetId="5" hidden="1">{"via1",#N/A,TRUE,"general";"via2",#N/A,TRUE,"general";"via3",#N/A,TRUE,"general"}</definedName>
    <definedName name="ggtgt" hidden="1">{"via1",#N/A,TRUE,"general";"via2",#N/A,TRUE,"general";"via3",#N/A,TRUE,"general"}</definedName>
    <definedName name="ghdghuy" localSheetId="10" hidden="1">{"via1",#N/A,TRUE,"general";"via2",#N/A,TRUE,"general";"via3",#N/A,TRUE,"general"}</definedName>
    <definedName name="ghdghuy" localSheetId="8" hidden="1">{"via1",#N/A,TRUE,"general";"via2",#N/A,TRUE,"general";"via3",#N/A,TRUE,"general"}</definedName>
    <definedName name="ghdghuy" localSheetId="5" hidden="1">{"via1",#N/A,TRUE,"general";"via2",#N/A,TRUE,"general";"via3",#N/A,TRUE,"general"}</definedName>
    <definedName name="ghdghuy" hidden="1">{"via1",#N/A,TRUE,"general";"via2",#N/A,TRUE,"general";"via3",#N/A,TRUE,"general"}</definedName>
    <definedName name="GHDP" localSheetId="10" hidden="1">{"via1",#N/A,TRUE,"general";"via2",#N/A,TRUE,"general";"via3",#N/A,TRUE,"general"}</definedName>
    <definedName name="GHDP" localSheetId="8" hidden="1">{"via1",#N/A,TRUE,"general";"via2",#N/A,TRUE,"general";"via3",#N/A,TRUE,"general"}</definedName>
    <definedName name="GHDP" localSheetId="5" hidden="1">{"via1",#N/A,TRUE,"general";"via2",#N/A,TRUE,"general";"via3",#N/A,TRUE,"general"}</definedName>
    <definedName name="GHDP" hidden="1">{"via1",#N/A,TRUE,"general";"via2",#N/A,TRUE,"general";"via3",#N/A,TRUE,"general"}</definedName>
    <definedName name="ghfg" localSheetId="10" hidden="1">{"via1",#N/A,TRUE,"general";"via2",#N/A,TRUE,"general";"via3",#N/A,TRUE,"general"}</definedName>
    <definedName name="ghfg" localSheetId="8" hidden="1">{"via1",#N/A,TRUE,"general";"via2",#N/A,TRUE,"general";"via3",#N/A,TRUE,"general"}</definedName>
    <definedName name="ghfg" localSheetId="5" hidden="1">{"via1",#N/A,TRUE,"general";"via2",#N/A,TRUE,"general";"via3",#N/A,TRUE,"general"}</definedName>
    <definedName name="ghfg" hidden="1">{"via1",#N/A,TRUE,"general";"via2",#N/A,TRUE,"general";"via3",#N/A,TRUE,"general"}</definedName>
    <definedName name="ghjghj" localSheetId="10" hidden="1">{"TAB1",#N/A,TRUE,"GENERAL";"TAB2",#N/A,TRUE,"GENERAL";"TAB3",#N/A,TRUE,"GENERAL";"TAB4",#N/A,TRUE,"GENERAL";"TAB5",#N/A,TRUE,"GENERAL"}</definedName>
    <definedName name="ghjghj" localSheetId="8" hidden="1">{"TAB1",#N/A,TRUE,"GENERAL";"TAB2",#N/A,TRUE,"GENERAL";"TAB3",#N/A,TRUE,"GENERAL";"TAB4",#N/A,TRUE,"GENERAL";"TAB5",#N/A,TRUE,"GENERAL"}</definedName>
    <definedName name="ghjghj" localSheetId="5" hidden="1">{"TAB1",#N/A,TRUE,"GENERAL";"TAB2",#N/A,TRUE,"GENERAL";"TAB3",#N/A,TRUE,"GENERAL";"TAB4",#N/A,TRUE,"GENERAL";"TAB5",#N/A,TRUE,"GENERAL"}</definedName>
    <definedName name="ghjghj" hidden="1">{"TAB1",#N/A,TRUE,"GENERAL";"TAB2",#N/A,TRUE,"GENERAL";"TAB3",#N/A,TRUE,"GENERAL";"TAB4",#N/A,TRUE,"GENERAL";"TAB5",#N/A,TRUE,"GENERAL"}</definedName>
    <definedName name="GHKJHK" localSheetId="10" hidden="1">{"TAB1",#N/A,TRUE,"GENERAL";"TAB2",#N/A,TRUE,"GENERAL";"TAB3",#N/A,TRUE,"GENERAL";"TAB4",#N/A,TRUE,"GENERAL";"TAB5",#N/A,TRUE,"GENERAL"}</definedName>
    <definedName name="GHKJHK" localSheetId="8" hidden="1">{"TAB1",#N/A,TRUE,"GENERAL";"TAB2",#N/A,TRUE,"GENERAL";"TAB3",#N/A,TRUE,"GENERAL";"TAB4",#N/A,TRUE,"GENERAL";"TAB5",#N/A,TRUE,"GENERAL"}</definedName>
    <definedName name="GHKJHK" localSheetId="5" hidden="1">{"TAB1",#N/A,TRUE,"GENERAL";"TAB2",#N/A,TRUE,"GENERAL";"TAB3",#N/A,TRUE,"GENERAL";"TAB4",#N/A,TRUE,"GENERAL";"TAB5",#N/A,TRUE,"GENERAL"}</definedName>
    <definedName name="GHKJHK" hidden="1">{"TAB1",#N/A,TRUE,"GENERAL";"TAB2",#N/A,TRUE,"GENERAL";"TAB3",#N/A,TRUE,"GENERAL";"TAB4",#N/A,TRUE,"GENERAL";"TAB5",#N/A,TRUE,"GENERAL"}</definedName>
    <definedName name="GJHVCB" localSheetId="10" hidden="1">{"TAB1",#N/A,TRUE,"GENERAL";"TAB2",#N/A,TRUE,"GENERAL";"TAB3",#N/A,TRUE,"GENERAL";"TAB4",#N/A,TRUE,"GENERAL";"TAB5",#N/A,TRUE,"GENERAL"}</definedName>
    <definedName name="GJHVCB" localSheetId="8" hidden="1">{"TAB1",#N/A,TRUE,"GENERAL";"TAB2",#N/A,TRUE,"GENERAL";"TAB3",#N/A,TRUE,"GENERAL";"TAB4",#N/A,TRUE,"GENERAL";"TAB5",#N/A,TRUE,"GENERAL"}</definedName>
    <definedName name="GJHVCB" localSheetId="5" hidden="1">{"TAB1",#N/A,TRUE,"GENERAL";"TAB2",#N/A,TRUE,"GENERAL";"TAB3",#N/A,TRUE,"GENERAL";"TAB4",#N/A,TRUE,"GENERAL";"TAB5",#N/A,TRUE,"GENERAL"}</definedName>
    <definedName name="GJHVCB" hidden="1">{"TAB1",#N/A,TRUE,"GENERAL";"TAB2",#N/A,TRUE,"GENERAL";"TAB3",#N/A,TRUE,"GENERAL";"TAB4",#N/A,TRUE,"GENERAL";"TAB5",#N/A,TRUE,"GENERAL"}</definedName>
    <definedName name="gk" localSheetId="10" hidden="1">{"via1",#N/A,TRUE,"general";"via2",#N/A,TRUE,"general";"via3",#N/A,TRUE,"general"}</definedName>
    <definedName name="gk" localSheetId="8" hidden="1">{"via1",#N/A,TRUE,"general";"via2",#N/A,TRUE,"general";"via3",#N/A,TRUE,"general"}</definedName>
    <definedName name="gk" localSheetId="5" hidden="1">{"via1",#N/A,TRUE,"general";"via2",#N/A,TRUE,"general";"via3",#N/A,TRUE,"general"}</definedName>
    <definedName name="gk" hidden="1">{"via1",#N/A,TRUE,"general";"via2",#N/A,TRUE,"general";"via3",#N/A,TRUE,"general"}</definedName>
    <definedName name="GKJDGDIJZ">"Imagen 3"</definedName>
    <definedName name="GRAF1ANO" localSheetId="10" hidden="1">{"via1",#N/A,TRUE,"general";"via2",#N/A,TRUE,"general";"via3",#N/A,TRUE,"general"}</definedName>
    <definedName name="GRAF1ANO" localSheetId="8" hidden="1">{"via1",#N/A,TRUE,"general";"via2",#N/A,TRUE,"general";"via3",#N/A,TRUE,"general"}</definedName>
    <definedName name="GRAF1ANO" localSheetId="5" hidden="1">{"via1",#N/A,TRUE,"general";"via2",#N/A,TRUE,"general";"via3",#N/A,TRUE,"general"}</definedName>
    <definedName name="GRAF1ANO" hidden="1">{"via1",#N/A,TRUE,"general";"via2",#N/A,TRUE,"general";"via3",#N/A,TRUE,"general"}</definedName>
    <definedName name="GRAF1AÑO" localSheetId="10" hidden="1">{"TAB1",#N/A,TRUE,"GENERAL";"TAB2",#N/A,TRUE,"GENERAL";"TAB3",#N/A,TRUE,"GENERAL";"TAB4",#N/A,TRUE,"GENERAL";"TAB5",#N/A,TRUE,"GENERAL"}</definedName>
    <definedName name="GRAF1AÑO" localSheetId="8" hidden="1">{"TAB1",#N/A,TRUE,"GENERAL";"TAB2",#N/A,TRUE,"GENERAL";"TAB3",#N/A,TRUE,"GENERAL";"TAB4",#N/A,TRUE,"GENERAL";"TAB5",#N/A,TRUE,"GENERAL"}</definedName>
    <definedName name="GRAF1AÑO" localSheetId="5" hidden="1">{"TAB1",#N/A,TRUE,"GENERAL";"TAB2",#N/A,TRUE,"GENERAL";"TAB3",#N/A,TRUE,"GENERAL";"TAB4",#N/A,TRUE,"GENERAL";"TAB5",#N/A,TRUE,"GENERAL"}</definedName>
    <definedName name="GRAF1AÑO" hidden="1">{"TAB1",#N/A,TRUE,"GENERAL";"TAB2",#N/A,TRUE,"GENERAL";"TAB3",#N/A,TRUE,"GENERAL";"TAB4",#N/A,TRUE,"GENERAL";"TAB5",#N/A,TRUE,"GENERAL"}</definedName>
    <definedName name="GRAF2" localSheetId="5">#REF!</definedName>
    <definedName name="GRAF2">#REF!</definedName>
    <definedName name="GRAF3" localSheetId="5">#REF!</definedName>
    <definedName name="GRAF3">#REF!</definedName>
    <definedName name="gregds" localSheetId="10" hidden="1">{"TAB1",#N/A,TRUE,"GENERAL";"TAB2",#N/A,TRUE,"GENERAL";"TAB3",#N/A,TRUE,"GENERAL";"TAB4",#N/A,TRUE,"GENERAL";"TAB5",#N/A,TRUE,"GENERAL"}</definedName>
    <definedName name="gregds" localSheetId="8" hidden="1">{"TAB1",#N/A,TRUE,"GENERAL";"TAB2",#N/A,TRUE,"GENERAL";"TAB3",#N/A,TRUE,"GENERAL";"TAB4",#N/A,TRUE,"GENERAL";"TAB5",#N/A,TRUE,"GENERAL"}</definedName>
    <definedName name="gregds" localSheetId="5" hidden="1">{"TAB1",#N/A,TRUE,"GENERAL";"TAB2",#N/A,TRUE,"GENERAL";"TAB3",#N/A,TRUE,"GENERAL";"TAB4",#N/A,TRUE,"GENERAL";"TAB5",#N/A,TRUE,"GENERAL"}</definedName>
    <definedName name="gregds" hidden="1">{"TAB1",#N/A,TRUE,"GENERAL";"TAB2",#N/A,TRUE,"GENERAL";"TAB3",#N/A,TRUE,"GENERAL";"TAB4",#N/A,TRUE,"GENERAL";"TAB5",#N/A,TRUE,"GENERAL"}</definedName>
    <definedName name="grehrtyh" localSheetId="10" hidden="1">{"TAB1",#N/A,TRUE,"GENERAL";"TAB2",#N/A,TRUE,"GENERAL";"TAB3",#N/A,TRUE,"GENERAL";"TAB4",#N/A,TRUE,"GENERAL";"TAB5",#N/A,TRUE,"GENERAL"}</definedName>
    <definedName name="grehrtyh" localSheetId="8" hidden="1">{"TAB1",#N/A,TRUE,"GENERAL";"TAB2",#N/A,TRUE,"GENERAL";"TAB3",#N/A,TRUE,"GENERAL";"TAB4",#N/A,TRUE,"GENERAL";"TAB5",#N/A,TRUE,"GENERAL"}</definedName>
    <definedName name="grehrtyh" localSheetId="5" hidden="1">{"TAB1",#N/A,TRUE,"GENERAL";"TAB2",#N/A,TRUE,"GENERAL";"TAB3",#N/A,TRUE,"GENERAL";"TAB4",#N/A,TRUE,"GENERAL";"TAB5",#N/A,TRUE,"GENERAL"}</definedName>
    <definedName name="grehrtyh" hidden="1">{"TAB1",#N/A,TRUE,"GENERAL";"TAB2",#N/A,TRUE,"GENERAL";"TAB3",#N/A,TRUE,"GENERAL";"TAB4",#N/A,TRUE,"GENERAL";"TAB5",#N/A,TRUE,"GENERAL"}</definedName>
    <definedName name="grggwero" localSheetId="10" hidden="1">{"via1",#N/A,TRUE,"general";"via2",#N/A,TRUE,"general";"via3",#N/A,TRUE,"general"}</definedName>
    <definedName name="grggwero" localSheetId="8" hidden="1">{"via1",#N/A,TRUE,"general";"via2",#N/A,TRUE,"general";"via3",#N/A,TRUE,"general"}</definedName>
    <definedName name="grggwero" localSheetId="5" hidden="1">{"via1",#N/A,TRUE,"general";"via2",#N/A,TRUE,"general";"via3",#N/A,TRUE,"general"}</definedName>
    <definedName name="grggwero" hidden="1">{"via1",#N/A,TRUE,"general";"via2",#N/A,TRUE,"general";"via3",#N/A,TRUE,"general"}</definedName>
    <definedName name="grtyerh" localSheetId="10" hidden="1">{"TAB1",#N/A,TRUE,"GENERAL";"TAB2",#N/A,TRUE,"GENERAL";"TAB3",#N/A,TRUE,"GENERAL";"TAB4",#N/A,TRUE,"GENERAL";"TAB5",#N/A,TRUE,"GENERAL"}</definedName>
    <definedName name="grtyerh" localSheetId="8" hidden="1">{"TAB1",#N/A,TRUE,"GENERAL";"TAB2",#N/A,TRUE,"GENERAL";"TAB3",#N/A,TRUE,"GENERAL";"TAB4",#N/A,TRUE,"GENERAL";"TAB5",#N/A,TRUE,"GENERAL"}</definedName>
    <definedName name="grtyerh" localSheetId="5" hidden="1">{"TAB1",#N/A,TRUE,"GENERAL";"TAB2",#N/A,TRUE,"GENERAL";"TAB3",#N/A,TRUE,"GENERAL";"TAB4",#N/A,TRUE,"GENERAL";"TAB5",#N/A,TRUE,"GENERAL"}</definedName>
    <definedName name="grtyerh" hidden="1">{"TAB1",#N/A,TRUE,"GENERAL";"TAB2",#N/A,TRUE,"GENERAL";"TAB3",#N/A,TRUE,"GENERAL";"TAB4",#N/A,TRUE,"GENERAL";"TAB5",#N/A,TRUE,"GENERAL"}</definedName>
    <definedName name="GRUPO1" localSheetId="5">#REF!</definedName>
    <definedName name="GRUPO1">#REF!</definedName>
    <definedName name="GRUPO123" localSheetId="5">#REF!</definedName>
    <definedName name="GRUPO123">#REF!</definedName>
    <definedName name="GRUPO13" localSheetId="5">#REF!</definedName>
    <definedName name="GRUPO13">#REF!</definedName>
    <definedName name="GRUPO2" localSheetId="5">#REF!</definedName>
    <definedName name="GRUPO2">#REF!</definedName>
    <definedName name="GSDG" localSheetId="10" hidden="1">{"TAB1",#N/A,TRUE,"GENERAL";"TAB2",#N/A,TRUE,"GENERAL";"TAB3",#N/A,TRUE,"GENERAL";"TAB4",#N/A,TRUE,"GENERAL";"TAB5",#N/A,TRUE,"GENERAL"}</definedName>
    <definedName name="GSDG" localSheetId="8" hidden="1">{"TAB1",#N/A,TRUE,"GENERAL";"TAB2",#N/A,TRUE,"GENERAL";"TAB3",#N/A,TRUE,"GENERAL";"TAB4",#N/A,TRUE,"GENERAL";"TAB5",#N/A,TRUE,"GENERAL"}</definedName>
    <definedName name="GSDG" localSheetId="5" hidden="1">{"TAB1",#N/A,TRUE,"GENERAL";"TAB2",#N/A,TRUE,"GENERAL";"TAB3",#N/A,TRUE,"GENERAL";"TAB4",#N/A,TRUE,"GENERAL";"TAB5",#N/A,TRUE,"GENERAL"}</definedName>
    <definedName name="GSDG" hidden="1">{"TAB1",#N/A,TRUE,"GENERAL";"TAB2",#N/A,TRUE,"GENERAL";"TAB3",#N/A,TRUE,"GENERAL";"TAB4",#N/A,TRUE,"GENERAL";"TAB5",#N/A,TRUE,"GENERAL"}</definedName>
    <definedName name="gsfsf" localSheetId="10" hidden="1">{"via1",#N/A,TRUE,"general";"via2",#N/A,TRUE,"general";"via3",#N/A,TRUE,"general"}</definedName>
    <definedName name="gsfsf" localSheetId="8" hidden="1">{"via1",#N/A,TRUE,"general";"via2",#N/A,TRUE,"general";"via3",#N/A,TRUE,"general"}</definedName>
    <definedName name="gsfsf" localSheetId="5" hidden="1">{"via1",#N/A,TRUE,"general";"via2",#N/A,TRUE,"general";"via3",#N/A,TRUE,"general"}</definedName>
    <definedName name="gsfsf" hidden="1">{"via1",#N/A,TRUE,"general";"via2",#N/A,TRUE,"general";"via3",#N/A,TRUE,"general"}</definedName>
    <definedName name="GT">[24]BASE!$C$4:$H$255</definedName>
    <definedName name="gtgt" localSheetId="10" hidden="1">{"via1",#N/A,TRUE,"general";"via2",#N/A,TRUE,"general";"via3",#N/A,TRUE,"general"}</definedName>
    <definedName name="gtgt" localSheetId="8" hidden="1">{"via1",#N/A,TRUE,"general";"via2",#N/A,TRUE,"general";"via3",#N/A,TRUE,"general"}</definedName>
    <definedName name="gtgt" localSheetId="5" hidden="1">{"via1",#N/A,TRUE,"general";"via2",#N/A,TRUE,"general";"via3",#N/A,TRUE,"general"}</definedName>
    <definedName name="gtgt" hidden="1">{"via1",#N/A,TRUE,"general";"via2",#N/A,TRUE,"general";"via3",#N/A,TRUE,"general"}</definedName>
    <definedName name="gtgtg" localSheetId="10" hidden="1">{"via1",#N/A,TRUE,"general";"via2",#N/A,TRUE,"general";"via3",#N/A,TRUE,"general"}</definedName>
    <definedName name="gtgtg" localSheetId="8" hidden="1">{"via1",#N/A,TRUE,"general";"via2",#N/A,TRUE,"general";"via3",#N/A,TRUE,"general"}</definedName>
    <definedName name="gtgtg" localSheetId="5" hidden="1">{"via1",#N/A,TRUE,"general";"via2",#N/A,TRUE,"general";"via3",#N/A,TRUE,"general"}</definedName>
    <definedName name="gtgtg" hidden="1">{"via1",#N/A,TRUE,"general";"via2",#N/A,TRUE,"general";"via3",#N/A,TRUE,"general"}</definedName>
    <definedName name="gtgtgff" localSheetId="10" hidden="1">{"via1",#N/A,TRUE,"general";"via2",#N/A,TRUE,"general";"via3",#N/A,TRUE,"general"}</definedName>
    <definedName name="gtgtgff" localSheetId="8" hidden="1">{"via1",#N/A,TRUE,"general";"via2",#N/A,TRUE,"general";"via3",#N/A,TRUE,"general"}</definedName>
    <definedName name="gtgtgff" localSheetId="5" hidden="1">{"via1",#N/A,TRUE,"general";"via2",#N/A,TRUE,"general";"via3",#N/A,TRUE,"general"}</definedName>
    <definedName name="gtgtgff" hidden="1">{"via1",#N/A,TRUE,"general";"via2",#N/A,TRUE,"general";"via3",#N/A,TRUE,"general"}</definedName>
    <definedName name="gtgtgyh" localSheetId="10" hidden="1">{"TAB1",#N/A,TRUE,"GENERAL";"TAB2",#N/A,TRUE,"GENERAL";"TAB3",#N/A,TRUE,"GENERAL";"TAB4",#N/A,TRUE,"GENERAL";"TAB5",#N/A,TRUE,"GENERAL"}</definedName>
    <definedName name="gtgtgyh" localSheetId="8" hidden="1">{"TAB1",#N/A,TRUE,"GENERAL";"TAB2",#N/A,TRUE,"GENERAL";"TAB3",#N/A,TRUE,"GENERAL";"TAB4",#N/A,TRUE,"GENERAL";"TAB5",#N/A,TRUE,"GENERAL"}</definedName>
    <definedName name="gtgtgyh" localSheetId="5" hidden="1">{"TAB1",#N/A,TRUE,"GENERAL";"TAB2",#N/A,TRUE,"GENERAL";"TAB3",#N/A,TRUE,"GENERAL";"TAB4",#N/A,TRUE,"GENERAL";"TAB5",#N/A,TRUE,"GENERAL"}</definedName>
    <definedName name="gtgtgyh" hidden="1">{"TAB1",#N/A,TRUE,"GENERAL";"TAB2",#N/A,TRUE,"GENERAL";"TAB3",#N/A,TRUE,"GENERAL";"TAB4",#N/A,TRUE,"GENERAL";"TAB5",#N/A,TRUE,"GENERAL"}</definedName>
    <definedName name="gtgth" localSheetId="10" hidden="1">{"TAB1",#N/A,TRUE,"GENERAL";"TAB2",#N/A,TRUE,"GENERAL";"TAB3",#N/A,TRUE,"GENERAL";"TAB4",#N/A,TRUE,"GENERAL";"TAB5",#N/A,TRUE,"GENERAL"}</definedName>
    <definedName name="gtgth" localSheetId="8" hidden="1">{"TAB1",#N/A,TRUE,"GENERAL";"TAB2",#N/A,TRUE,"GENERAL";"TAB3",#N/A,TRUE,"GENERAL";"TAB4",#N/A,TRUE,"GENERAL";"TAB5",#N/A,TRUE,"GENERAL"}</definedName>
    <definedName name="gtgth" localSheetId="5" hidden="1">{"TAB1",#N/A,TRUE,"GENERAL";"TAB2",#N/A,TRUE,"GENERAL";"TAB3",#N/A,TRUE,"GENERAL";"TAB4",#N/A,TRUE,"GENERAL";"TAB5",#N/A,TRUE,"GENERAL"}</definedName>
    <definedName name="gtgth" hidden="1">{"TAB1",#N/A,TRUE,"GENERAL";"TAB2",#N/A,TRUE,"GENERAL";"TAB3",#N/A,TRUE,"GENERAL";"TAB4",#N/A,TRUE,"GENERAL";"TAB5",#N/A,TRUE,"GENERAL"}</definedName>
    <definedName name="GTRE" localSheetId="5">#REF!</definedName>
    <definedName name="GTRE">#REF!</definedName>
    <definedName name="h9h" localSheetId="10" hidden="1">{"via1",#N/A,TRUE,"general";"via2",#N/A,TRUE,"general";"via3",#N/A,TRUE,"general"}</definedName>
    <definedName name="h9h" localSheetId="8" hidden="1">{"via1",#N/A,TRUE,"general";"via2",#N/A,TRUE,"general";"via3",#N/A,TRUE,"general"}</definedName>
    <definedName name="h9h" localSheetId="5" hidden="1">{"via1",#N/A,TRUE,"general";"via2",#N/A,TRUE,"general";"via3",#N/A,TRUE,"general"}</definedName>
    <definedName name="h9h" hidden="1">{"via1",#N/A,TRUE,"general";"via2",#N/A,TRUE,"general";"via3",#N/A,TRUE,"general"}</definedName>
    <definedName name="hbfdhrw" localSheetId="10" hidden="1">{"TAB1",#N/A,TRUE,"GENERAL";"TAB2",#N/A,TRUE,"GENERAL";"TAB3",#N/A,TRUE,"GENERAL";"TAB4",#N/A,TRUE,"GENERAL";"TAB5",#N/A,TRUE,"GENERAL"}</definedName>
    <definedName name="hbfdhrw" localSheetId="8" hidden="1">{"TAB1",#N/A,TRUE,"GENERAL";"TAB2",#N/A,TRUE,"GENERAL";"TAB3",#N/A,TRUE,"GENERAL";"TAB4",#N/A,TRUE,"GENERAL";"TAB5",#N/A,TRUE,"GENERAL"}</definedName>
    <definedName name="hbfdhrw" localSheetId="5" hidden="1">{"TAB1",#N/A,TRUE,"GENERAL";"TAB2",#N/A,TRUE,"GENERAL";"TAB3",#N/A,TRUE,"GENERAL";"TAB4",#N/A,TRUE,"GENERAL";"TAB5",#N/A,TRUE,"GENERAL"}</definedName>
    <definedName name="hbfdhrw" hidden="1">{"TAB1",#N/A,TRUE,"GENERAL";"TAB2",#N/A,TRUE,"GENERAL";"TAB3",#N/A,TRUE,"GENERAL";"TAB4",#N/A,TRUE,"GENERAL";"TAB5",#N/A,TRUE,"GENERAL"}</definedName>
    <definedName name="hdfh" localSheetId="10" hidden="1">{"via1",#N/A,TRUE,"general";"via2",#N/A,TRUE,"general";"via3",#N/A,TRUE,"general"}</definedName>
    <definedName name="hdfh" localSheetId="8" hidden="1">{"via1",#N/A,TRUE,"general";"via2",#N/A,TRUE,"general";"via3",#N/A,TRUE,"general"}</definedName>
    <definedName name="hdfh" localSheetId="5" hidden="1">{"via1",#N/A,TRUE,"general";"via2",#N/A,TRUE,"general";"via3",#N/A,TRUE,"general"}</definedName>
    <definedName name="hdfh" hidden="1">{"via1",#N/A,TRUE,"general";"via2",#N/A,TRUE,"general";"via3",#N/A,TRUE,"general"}</definedName>
    <definedName name="hdfh4" localSheetId="10" hidden="1">{"TAB1",#N/A,TRUE,"GENERAL";"TAB2",#N/A,TRUE,"GENERAL";"TAB3",#N/A,TRUE,"GENERAL";"TAB4",#N/A,TRUE,"GENERAL";"TAB5",#N/A,TRUE,"GENERAL"}</definedName>
    <definedName name="hdfh4" localSheetId="8" hidden="1">{"TAB1",#N/A,TRUE,"GENERAL";"TAB2",#N/A,TRUE,"GENERAL";"TAB3",#N/A,TRUE,"GENERAL";"TAB4",#N/A,TRUE,"GENERAL";"TAB5",#N/A,TRUE,"GENERAL"}</definedName>
    <definedName name="hdfh4" localSheetId="5" hidden="1">{"TAB1",#N/A,TRUE,"GENERAL";"TAB2",#N/A,TRUE,"GENERAL";"TAB3",#N/A,TRUE,"GENERAL";"TAB4",#N/A,TRUE,"GENERAL";"TAB5",#N/A,TRUE,"GENERAL"}</definedName>
    <definedName name="hdfh4" hidden="1">{"TAB1",#N/A,TRUE,"GENERAL";"TAB2",#N/A,TRUE,"GENERAL";"TAB3",#N/A,TRUE,"GENERAL";"TAB4",#N/A,TRUE,"GENERAL";"TAB5",#N/A,TRUE,"GENERAL"}</definedName>
    <definedName name="hdfhwq" localSheetId="10" hidden="1">{"TAB1",#N/A,TRUE,"GENERAL";"TAB2",#N/A,TRUE,"GENERAL";"TAB3",#N/A,TRUE,"GENERAL";"TAB4",#N/A,TRUE,"GENERAL";"TAB5",#N/A,TRUE,"GENERAL"}</definedName>
    <definedName name="hdfhwq" localSheetId="8" hidden="1">{"TAB1",#N/A,TRUE,"GENERAL";"TAB2",#N/A,TRUE,"GENERAL";"TAB3",#N/A,TRUE,"GENERAL";"TAB4",#N/A,TRUE,"GENERAL";"TAB5",#N/A,TRUE,"GENERAL"}</definedName>
    <definedName name="hdfhwq" localSheetId="5" hidden="1">{"TAB1",#N/A,TRUE,"GENERAL";"TAB2",#N/A,TRUE,"GENERAL";"TAB3",#N/A,TRUE,"GENERAL";"TAB4",#N/A,TRUE,"GENERAL";"TAB5",#N/A,TRUE,"GENERAL"}</definedName>
    <definedName name="hdfhwq" hidden="1">{"TAB1",#N/A,TRUE,"GENERAL";"TAB2",#N/A,TRUE,"GENERAL";"TAB3",#N/A,TRUE,"GENERAL";"TAB4",#N/A,TRUE,"GENERAL";"TAB5",#N/A,TRUE,"GENERAL"}</definedName>
    <definedName name="hdgh" localSheetId="10" hidden="1">{"via1",#N/A,TRUE,"general";"via2",#N/A,TRUE,"general";"via3",#N/A,TRUE,"general"}</definedName>
    <definedName name="hdgh" localSheetId="8" hidden="1">{"via1",#N/A,TRUE,"general";"via2",#N/A,TRUE,"general";"via3",#N/A,TRUE,"general"}</definedName>
    <definedName name="hdgh" localSheetId="5" hidden="1">{"via1",#N/A,TRUE,"general";"via2",#N/A,TRUE,"general";"via3",#N/A,TRUE,"general"}</definedName>
    <definedName name="hdgh" hidden="1">{"via1",#N/A,TRUE,"general";"via2",#N/A,TRUE,"general";"via3",#N/A,TRUE,"general"}</definedName>
    <definedName name="hdhf" localSheetId="10" hidden="1">{"TAB1",#N/A,TRUE,"GENERAL";"TAB2",#N/A,TRUE,"GENERAL";"TAB3",#N/A,TRUE,"GENERAL";"TAB4",#N/A,TRUE,"GENERAL";"TAB5",#N/A,TRUE,"GENERAL"}</definedName>
    <definedName name="hdhf" localSheetId="8" hidden="1">{"TAB1",#N/A,TRUE,"GENERAL";"TAB2",#N/A,TRUE,"GENERAL";"TAB3",#N/A,TRUE,"GENERAL";"TAB4",#N/A,TRUE,"GENERAL";"TAB5",#N/A,TRUE,"GENERAL"}</definedName>
    <definedName name="hdhf" localSheetId="5" hidden="1">{"TAB1",#N/A,TRUE,"GENERAL";"TAB2",#N/A,TRUE,"GENERAL";"TAB3",#N/A,TRUE,"GENERAL";"TAB4",#N/A,TRUE,"GENERAL";"TAB5",#N/A,TRUE,"GENERAL"}</definedName>
    <definedName name="hdhf" hidden="1">{"TAB1",#N/A,TRUE,"GENERAL";"TAB2",#N/A,TRUE,"GENERAL";"TAB3",#N/A,TRUE,"GENERAL";"TAB4",#N/A,TRUE,"GENERAL";"TAB5",#N/A,TRUE,"GENERAL"}</definedName>
    <definedName name="hfgh" localSheetId="10" hidden="1">{"via1",#N/A,TRUE,"general";"via2",#N/A,TRUE,"general";"via3",#N/A,TRUE,"general"}</definedName>
    <definedName name="hfgh" localSheetId="8" hidden="1">{"via1",#N/A,TRUE,"general";"via2",#N/A,TRUE,"general";"via3",#N/A,TRUE,"general"}</definedName>
    <definedName name="hfgh" localSheetId="5" hidden="1">{"via1",#N/A,TRUE,"general";"via2",#N/A,TRUE,"general";"via3",#N/A,TRUE,"general"}</definedName>
    <definedName name="hfgh" hidden="1">{"via1",#N/A,TRUE,"general";"via2",#N/A,TRUE,"general";"via3",#N/A,TRUE,"general"}</definedName>
    <definedName name="hfh" localSheetId="10" hidden="1">{"TAB1",#N/A,TRUE,"GENERAL";"TAB2",#N/A,TRUE,"GENERAL";"TAB3",#N/A,TRUE,"GENERAL";"TAB4",#N/A,TRUE,"GENERAL";"TAB5",#N/A,TRUE,"GENERAL"}</definedName>
    <definedName name="hfh" localSheetId="8" hidden="1">{"TAB1",#N/A,TRUE,"GENERAL";"TAB2",#N/A,TRUE,"GENERAL";"TAB3",#N/A,TRUE,"GENERAL";"TAB4",#N/A,TRUE,"GENERAL";"TAB5",#N/A,TRUE,"GENERAL"}</definedName>
    <definedName name="hfh" localSheetId="5" hidden="1">{"TAB1",#N/A,TRUE,"GENERAL";"TAB2",#N/A,TRUE,"GENERAL";"TAB3",#N/A,TRUE,"GENERAL";"TAB4",#N/A,TRUE,"GENERAL";"TAB5",#N/A,TRUE,"GENERAL"}</definedName>
    <definedName name="hfh" hidden="1">{"TAB1",#N/A,TRUE,"GENERAL";"TAB2",#N/A,TRUE,"GENERAL";"TAB3",#N/A,TRUE,"GENERAL";"TAB4",#N/A,TRUE,"GENERAL";"TAB5",#N/A,TRUE,"GENERAL"}</definedName>
    <definedName name="hfhg" localSheetId="10" hidden="1">{"TAB1",#N/A,TRUE,"GENERAL";"TAB2",#N/A,TRUE,"GENERAL";"TAB3",#N/A,TRUE,"GENERAL";"TAB4",#N/A,TRUE,"GENERAL";"TAB5",#N/A,TRUE,"GENERAL"}</definedName>
    <definedName name="hfhg" localSheetId="8" hidden="1">{"TAB1",#N/A,TRUE,"GENERAL";"TAB2",#N/A,TRUE,"GENERAL";"TAB3",#N/A,TRUE,"GENERAL";"TAB4",#N/A,TRUE,"GENERAL";"TAB5",#N/A,TRUE,"GENERAL"}</definedName>
    <definedName name="hfhg" localSheetId="5" hidden="1">{"TAB1",#N/A,TRUE,"GENERAL";"TAB2",#N/A,TRUE,"GENERAL";"TAB3",#N/A,TRUE,"GENERAL";"TAB4",#N/A,TRUE,"GENERAL";"TAB5",#N/A,TRUE,"GENERAL"}</definedName>
    <definedName name="hfhg" hidden="1">{"TAB1",#N/A,TRUE,"GENERAL";"TAB2",#N/A,TRUE,"GENERAL";"TAB3",#N/A,TRUE,"GENERAL";"TAB4",#N/A,TRUE,"GENERAL";"TAB5",#N/A,TRUE,"GENERAL"}</definedName>
    <definedName name="hfthr" localSheetId="10" hidden="1">{"via1",#N/A,TRUE,"general";"via2",#N/A,TRUE,"general";"via3",#N/A,TRUE,"general"}</definedName>
    <definedName name="hfthr" localSheetId="8" hidden="1">{"via1",#N/A,TRUE,"general";"via2",#N/A,TRUE,"general";"via3",#N/A,TRUE,"general"}</definedName>
    <definedName name="hfthr" localSheetId="5" hidden="1">{"via1",#N/A,TRUE,"general";"via2",#N/A,TRUE,"general";"via3",#N/A,TRUE,"general"}</definedName>
    <definedName name="hfthr" hidden="1">{"via1",#N/A,TRUE,"general";"via2",#N/A,TRUE,"general";"via3",#N/A,TRUE,"general"}</definedName>
    <definedName name="hg" localSheetId="10" hidden="1">{"via1",#N/A,TRUE,"general";"via2",#N/A,TRUE,"general";"via3",#N/A,TRUE,"general"}</definedName>
    <definedName name="hg" localSheetId="8" hidden="1">{"via1",#N/A,TRUE,"general";"via2",#N/A,TRUE,"general";"via3",#N/A,TRUE,"general"}</definedName>
    <definedName name="hg" localSheetId="5" hidden="1">{"via1",#N/A,TRUE,"general";"via2",#N/A,TRUE,"general";"via3",#N/A,TRUE,"general"}</definedName>
    <definedName name="hg" hidden="1">{"via1",#N/A,TRUE,"general";"via2",#N/A,TRUE,"general";"via3",#N/A,TRUE,"general"}</definedName>
    <definedName name="HGFH" localSheetId="10" hidden="1">{"via1",#N/A,TRUE,"general";"via2",#N/A,TRUE,"general";"via3",#N/A,TRUE,"general"}</definedName>
    <definedName name="HGFH" localSheetId="8" hidden="1">{"via1",#N/A,TRUE,"general";"via2",#N/A,TRUE,"general";"via3",#N/A,TRUE,"general"}</definedName>
    <definedName name="HGFH" localSheetId="5" hidden="1">{"via1",#N/A,TRUE,"general";"via2",#N/A,TRUE,"general";"via3",#N/A,TRUE,"general"}</definedName>
    <definedName name="HGFH" hidden="1">{"via1",#N/A,TRUE,"general";"via2",#N/A,TRUE,"general";"via3",#N/A,TRUE,"general"}</definedName>
    <definedName name="hgfhty" localSheetId="10" hidden="1">{"via1",#N/A,TRUE,"general";"via2",#N/A,TRUE,"general";"via3",#N/A,TRUE,"general"}</definedName>
    <definedName name="hgfhty" localSheetId="8" hidden="1">{"via1",#N/A,TRUE,"general";"via2",#N/A,TRUE,"general";"via3",#N/A,TRUE,"general"}</definedName>
    <definedName name="hgfhty" localSheetId="5" hidden="1">{"via1",#N/A,TRUE,"general";"via2",#N/A,TRUE,"general";"via3",#N/A,TRUE,"general"}</definedName>
    <definedName name="hgfhty" hidden="1">{"via1",#N/A,TRUE,"general";"via2",#N/A,TRUE,"general";"via3",#N/A,TRUE,"general"}</definedName>
    <definedName name="HGHFH7" localSheetId="10" hidden="1">{"TAB1",#N/A,TRUE,"GENERAL";"TAB2",#N/A,TRUE,"GENERAL";"TAB3",#N/A,TRUE,"GENERAL";"TAB4",#N/A,TRUE,"GENERAL";"TAB5",#N/A,TRUE,"GENERAL"}</definedName>
    <definedName name="HGHFH7" localSheetId="8" hidden="1">{"TAB1",#N/A,TRUE,"GENERAL";"TAB2",#N/A,TRUE,"GENERAL";"TAB3",#N/A,TRUE,"GENERAL";"TAB4",#N/A,TRUE,"GENERAL";"TAB5",#N/A,TRUE,"GENERAL"}</definedName>
    <definedName name="HGHFH7" localSheetId="5" hidden="1">{"TAB1",#N/A,TRUE,"GENERAL";"TAB2",#N/A,TRUE,"GENERAL";"TAB3",#N/A,TRUE,"GENERAL";"TAB4",#N/A,TRUE,"GENERAL";"TAB5",#N/A,TRUE,"GENERAL"}</definedName>
    <definedName name="HGHFH7" hidden="1">{"TAB1",#N/A,TRUE,"GENERAL";"TAB2",#N/A,TRUE,"GENERAL";"TAB3",#N/A,TRUE,"GENERAL";"TAB4",#N/A,TRUE,"GENERAL";"TAB5",#N/A,TRUE,"GENERAL"}</definedName>
    <definedName name="hghhj" localSheetId="10" hidden="1">{"TAB1",#N/A,TRUE,"GENERAL";"TAB2",#N/A,TRUE,"GENERAL";"TAB3",#N/A,TRUE,"GENERAL";"TAB4",#N/A,TRUE,"GENERAL";"TAB5",#N/A,TRUE,"GENERAL"}</definedName>
    <definedName name="hghhj" localSheetId="8" hidden="1">{"TAB1",#N/A,TRUE,"GENERAL";"TAB2",#N/A,TRUE,"GENERAL";"TAB3",#N/A,TRUE,"GENERAL";"TAB4",#N/A,TRUE,"GENERAL";"TAB5",#N/A,TRUE,"GENERAL"}</definedName>
    <definedName name="hghhj" localSheetId="5" hidden="1">{"TAB1",#N/A,TRUE,"GENERAL";"TAB2",#N/A,TRUE,"GENERAL";"TAB3",#N/A,TRUE,"GENERAL";"TAB4",#N/A,TRUE,"GENERAL";"TAB5",#N/A,TRUE,"GENERAL"}</definedName>
    <definedName name="hghhj" hidden="1">{"TAB1",#N/A,TRUE,"GENERAL";"TAB2",#N/A,TRUE,"GENERAL";"TAB3",#N/A,TRUE,"GENERAL";"TAB4",#N/A,TRUE,"GENERAL";"TAB5",#N/A,TRUE,"GENERAL"}</definedName>
    <definedName name="hghydj" localSheetId="10" hidden="1">{"via1",#N/A,TRUE,"general";"via2",#N/A,TRUE,"general";"via3",#N/A,TRUE,"general"}</definedName>
    <definedName name="hghydj" localSheetId="8" hidden="1">{"via1",#N/A,TRUE,"general";"via2",#N/A,TRUE,"general";"via3",#N/A,TRUE,"general"}</definedName>
    <definedName name="hghydj" localSheetId="5" hidden="1">{"via1",#N/A,TRUE,"general";"via2",#N/A,TRUE,"general";"via3",#N/A,TRUE,"general"}</definedName>
    <definedName name="hghydj" hidden="1">{"via1",#N/A,TRUE,"general";"via2",#N/A,TRUE,"general";"via3",#N/A,TRUE,"general"}</definedName>
    <definedName name="hgjfjw" localSheetId="10" hidden="1">{"via1",#N/A,TRUE,"general";"via2",#N/A,TRUE,"general";"via3",#N/A,TRUE,"general"}</definedName>
    <definedName name="hgjfjw" localSheetId="8" hidden="1">{"via1",#N/A,TRUE,"general";"via2",#N/A,TRUE,"general";"via3",#N/A,TRUE,"general"}</definedName>
    <definedName name="hgjfjw" localSheetId="5" hidden="1">{"via1",#N/A,TRUE,"general";"via2",#N/A,TRUE,"general";"via3",#N/A,TRUE,"general"}</definedName>
    <definedName name="hgjfjw" hidden="1">{"via1",#N/A,TRUE,"general";"via2",#N/A,TRUE,"general";"via3",#N/A,TRUE,"general"}</definedName>
    <definedName name="HGJG" localSheetId="10" hidden="1">{"TAB1",#N/A,TRUE,"GENERAL";"TAB2",#N/A,TRUE,"GENERAL";"TAB3",#N/A,TRUE,"GENERAL";"TAB4",#N/A,TRUE,"GENERAL";"TAB5",#N/A,TRUE,"GENERAL"}</definedName>
    <definedName name="HGJG" localSheetId="8" hidden="1">{"TAB1",#N/A,TRUE,"GENERAL";"TAB2",#N/A,TRUE,"GENERAL";"TAB3",#N/A,TRUE,"GENERAL";"TAB4",#N/A,TRUE,"GENERAL";"TAB5",#N/A,TRUE,"GENERAL"}</definedName>
    <definedName name="HGJG" localSheetId="5" hidden="1">{"TAB1",#N/A,TRUE,"GENERAL";"TAB2",#N/A,TRUE,"GENERAL";"TAB3",#N/A,TRUE,"GENERAL";"TAB4",#N/A,TRUE,"GENERAL";"TAB5",#N/A,TRUE,"GENERAL"}</definedName>
    <definedName name="HGJG" hidden="1">{"TAB1",#N/A,TRUE,"GENERAL";"TAB2",#N/A,TRUE,"GENERAL";"TAB3",#N/A,TRUE,"GENERAL";"TAB4",#N/A,TRUE,"GENERAL";"TAB5",#N/A,TRUE,"GENERAL"}</definedName>
    <definedName name="hh">#N/A</definedName>
    <definedName name="hhh" localSheetId="10" hidden="1">{"TAB1",#N/A,TRUE,"GENERAL";"TAB2",#N/A,TRUE,"GENERAL";"TAB3",#N/A,TRUE,"GENERAL";"TAB4",#N/A,TRUE,"GENERAL";"TAB5",#N/A,TRUE,"GENERAL"}</definedName>
    <definedName name="hhh" localSheetId="8" hidden="1">{"TAB1",#N/A,TRUE,"GENERAL";"TAB2",#N/A,TRUE,"GENERAL";"TAB3",#N/A,TRUE,"GENERAL";"TAB4",#N/A,TRUE,"GENERAL";"TAB5",#N/A,TRUE,"GENERAL"}</definedName>
    <definedName name="hhh" localSheetId="5" hidden="1">{"TAB1",#N/A,TRUE,"GENERAL";"TAB2",#N/A,TRUE,"GENERAL";"TAB3",#N/A,TRUE,"GENERAL";"TAB4",#N/A,TRUE,"GENERAL";"TAB5",#N/A,TRUE,"GENERAL"}</definedName>
    <definedName name="hhh" hidden="1">{"TAB1",#N/A,TRUE,"GENERAL";"TAB2",#N/A,TRUE,"GENERAL";"TAB3",#N/A,TRUE,"GENERAL";"TAB4",#N/A,TRUE,"GENERAL";"TAB5",#N/A,TRUE,"GENERAL"}</definedName>
    <definedName name="hhhhhh" localSheetId="10" hidden="1">{"via1",#N/A,TRUE,"general";"via2",#N/A,TRUE,"general";"via3",#N/A,TRUE,"general"}</definedName>
    <definedName name="hhhhhh" localSheetId="8" hidden="1">{"via1",#N/A,TRUE,"general";"via2",#N/A,TRUE,"general";"via3",#N/A,TRUE,"general"}</definedName>
    <definedName name="hhhhhh" localSheetId="5" hidden="1">{"via1",#N/A,TRUE,"general";"via2",#N/A,TRUE,"general";"via3",#N/A,TRUE,"general"}</definedName>
    <definedName name="hhhhhh" hidden="1">{"via1",#N/A,TRUE,"general";"via2",#N/A,TRUE,"general";"via3",#N/A,TRUE,"general"}</definedName>
    <definedName name="hhhhhho" localSheetId="10" hidden="1">{"TAB1",#N/A,TRUE,"GENERAL";"TAB2",#N/A,TRUE,"GENERAL";"TAB3",#N/A,TRUE,"GENERAL";"TAB4",#N/A,TRUE,"GENERAL";"TAB5",#N/A,TRUE,"GENERAL"}</definedName>
    <definedName name="hhhhhho" localSheetId="8" hidden="1">{"TAB1",#N/A,TRUE,"GENERAL";"TAB2",#N/A,TRUE,"GENERAL";"TAB3",#N/A,TRUE,"GENERAL";"TAB4",#N/A,TRUE,"GENERAL";"TAB5",#N/A,TRUE,"GENERAL"}</definedName>
    <definedName name="hhhhhho" localSheetId="5" hidden="1">{"TAB1",#N/A,TRUE,"GENERAL";"TAB2",#N/A,TRUE,"GENERAL";"TAB3",#N/A,TRUE,"GENERAL";"TAB4",#N/A,TRUE,"GENERAL";"TAB5",#N/A,TRUE,"GENERAL"}</definedName>
    <definedName name="hhhhhho" hidden="1">{"TAB1",#N/A,TRUE,"GENERAL";"TAB2",#N/A,TRUE,"GENERAL";"TAB3",#N/A,TRUE,"GENERAL";"TAB4",#N/A,TRUE,"GENERAL";"TAB5",#N/A,TRUE,"GENERAL"}</definedName>
    <definedName name="hhhhhpy" localSheetId="10" hidden="1">{"TAB1",#N/A,TRUE,"GENERAL";"TAB2",#N/A,TRUE,"GENERAL";"TAB3",#N/A,TRUE,"GENERAL";"TAB4",#N/A,TRUE,"GENERAL";"TAB5",#N/A,TRUE,"GENERAL"}</definedName>
    <definedName name="hhhhhpy" localSheetId="8" hidden="1">{"TAB1",#N/A,TRUE,"GENERAL";"TAB2",#N/A,TRUE,"GENERAL";"TAB3",#N/A,TRUE,"GENERAL";"TAB4",#N/A,TRUE,"GENERAL";"TAB5",#N/A,TRUE,"GENERAL"}</definedName>
    <definedName name="hhhhhpy" localSheetId="5" hidden="1">{"TAB1",#N/A,TRUE,"GENERAL";"TAB2",#N/A,TRUE,"GENERAL";"TAB3",#N/A,TRUE,"GENERAL";"TAB4",#N/A,TRUE,"GENERAL";"TAB5",#N/A,TRUE,"GENERAL"}</definedName>
    <definedName name="hhhhhpy" hidden="1">{"TAB1",#N/A,TRUE,"GENERAL";"TAB2",#N/A,TRUE,"GENERAL";"TAB3",#N/A,TRUE,"GENERAL";"TAB4",#N/A,TRUE,"GENERAL";"TAB5",#N/A,TRUE,"GENERAL"}</definedName>
    <definedName name="hhhhth" localSheetId="10" hidden="1">{"via1",#N/A,TRUE,"general";"via2",#N/A,TRUE,"general";"via3",#N/A,TRUE,"general"}</definedName>
    <definedName name="hhhhth" localSheetId="8" hidden="1">{"via1",#N/A,TRUE,"general";"via2",#N/A,TRUE,"general";"via3",#N/A,TRUE,"general"}</definedName>
    <definedName name="hhhhth" localSheetId="5" hidden="1">{"via1",#N/A,TRUE,"general";"via2",#N/A,TRUE,"general";"via3",#N/A,TRUE,"general"}</definedName>
    <definedName name="hhhhth" hidden="1">{"via1",#N/A,TRUE,"general";"via2",#N/A,TRUE,"general";"via3",#N/A,TRUE,"general"}</definedName>
    <definedName name="hhhyhyh" localSheetId="10" hidden="1">{"TAB1",#N/A,TRUE,"GENERAL";"TAB2",#N/A,TRUE,"GENERAL";"TAB3",#N/A,TRUE,"GENERAL";"TAB4",#N/A,TRUE,"GENERAL";"TAB5",#N/A,TRUE,"GENERAL"}</definedName>
    <definedName name="hhhyhyh" localSheetId="8" hidden="1">{"TAB1",#N/A,TRUE,"GENERAL";"TAB2",#N/A,TRUE,"GENERAL";"TAB3",#N/A,TRUE,"GENERAL";"TAB4",#N/A,TRUE,"GENERAL";"TAB5",#N/A,TRUE,"GENERAL"}</definedName>
    <definedName name="hhhyhyh" localSheetId="5" hidden="1">{"TAB1",#N/A,TRUE,"GENERAL";"TAB2",#N/A,TRUE,"GENERAL";"TAB3",#N/A,TRUE,"GENERAL";"TAB4",#N/A,TRUE,"GENERAL";"TAB5",#N/A,TRUE,"GENERAL"}</definedName>
    <definedName name="hhhyhyh" hidden="1">{"TAB1",#N/A,TRUE,"GENERAL";"TAB2",#N/A,TRUE,"GENERAL";"TAB3",#N/A,TRUE,"GENERAL";"TAB4",#N/A,TRUE,"GENERAL";"TAB5",#N/A,TRUE,"GENERAL"}</definedName>
    <definedName name="hhtrhreh" localSheetId="10" hidden="1">{"via1",#N/A,TRUE,"general";"via2",#N/A,TRUE,"general";"via3",#N/A,TRUE,"general"}</definedName>
    <definedName name="hhtrhreh" localSheetId="8" hidden="1">{"via1",#N/A,TRUE,"general";"via2",#N/A,TRUE,"general";"via3",#N/A,TRUE,"general"}</definedName>
    <definedName name="hhtrhreh" localSheetId="5" hidden="1">{"via1",#N/A,TRUE,"general";"via2",#N/A,TRUE,"general";"via3",#N/A,TRUE,"general"}</definedName>
    <definedName name="hhtrhreh" hidden="1">{"via1",#N/A,TRUE,"general";"via2",#N/A,TRUE,"general";"via3",#N/A,TRUE,"general"}</definedName>
    <definedName name="hjfg" localSheetId="10" hidden="1">{"via1",#N/A,TRUE,"general";"via2",#N/A,TRUE,"general";"via3",#N/A,TRUE,"general"}</definedName>
    <definedName name="hjfg" localSheetId="8" hidden="1">{"via1",#N/A,TRUE,"general";"via2",#N/A,TRUE,"general";"via3",#N/A,TRUE,"general"}</definedName>
    <definedName name="hjfg" localSheetId="5" hidden="1">{"via1",#N/A,TRUE,"general";"via2",#N/A,TRUE,"general";"via3",#N/A,TRUE,"general"}</definedName>
    <definedName name="hjfg" hidden="1">{"via1",#N/A,TRUE,"general";"via2",#N/A,TRUE,"general";"via3",#N/A,TRUE,"general"}</definedName>
    <definedName name="hjgh" localSheetId="10" hidden="1">{"TAB1",#N/A,TRUE,"GENERAL";"TAB2",#N/A,TRUE,"GENERAL";"TAB3",#N/A,TRUE,"GENERAL";"TAB4",#N/A,TRUE,"GENERAL";"TAB5",#N/A,TRUE,"GENERAL"}</definedName>
    <definedName name="hjgh" localSheetId="8" hidden="1">{"TAB1",#N/A,TRUE,"GENERAL";"TAB2",#N/A,TRUE,"GENERAL";"TAB3",#N/A,TRUE,"GENERAL";"TAB4",#N/A,TRUE,"GENERAL";"TAB5",#N/A,TRUE,"GENERAL"}</definedName>
    <definedName name="hjgh" localSheetId="5" hidden="1">{"TAB1",#N/A,TRUE,"GENERAL";"TAB2",#N/A,TRUE,"GENERAL";"TAB3",#N/A,TRUE,"GENERAL";"TAB4",#N/A,TRUE,"GENERAL";"TAB5",#N/A,TRUE,"GENERAL"}</definedName>
    <definedName name="hjgh" hidden="1">{"TAB1",#N/A,TRUE,"GENERAL";"TAB2",#N/A,TRUE,"GENERAL";"TAB3",#N/A,TRUE,"GENERAL";"TAB4",#N/A,TRUE,"GENERAL";"TAB5",#N/A,TRUE,"GENERAL"}</definedName>
    <definedName name="hjghj" localSheetId="10" hidden="1">{"TAB1",#N/A,TRUE,"GENERAL";"TAB2",#N/A,TRUE,"GENERAL";"TAB3",#N/A,TRUE,"GENERAL";"TAB4",#N/A,TRUE,"GENERAL";"TAB5",#N/A,TRUE,"GENERAL"}</definedName>
    <definedName name="hjghj" localSheetId="8" hidden="1">{"TAB1",#N/A,TRUE,"GENERAL";"TAB2",#N/A,TRUE,"GENERAL";"TAB3",#N/A,TRUE,"GENERAL";"TAB4",#N/A,TRUE,"GENERAL";"TAB5",#N/A,TRUE,"GENERAL"}</definedName>
    <definedName name="hjghj" localSheetId="5" hidden="1">{"TAB1",#N/A,TRUE,"GENERAL";"TAB2",#N/A,TRUE,"GENERAL";"TAB3",#N/A,TRUE,"GENERAL";"TAB4",#N/A,TRUE,"GENERAL";"TAB5",#N/A,TRUE,"GENERAL"}</definedName>
    <definedName name="hjghj" hidden="1">{"TAB1",#N/A,TRUE,"GENERAL";"TAB2",#N/A,TRUE,"GENERAL";"TAB3",#N/A,TRUE,"GENERAL";"TAB4",#N/A,TRUE,"GENERAL";"TAB5",#N/A,TRUE,"GENERAL"}</definedName>
    <definedName name="hjhjhg" localSheetId="10" hidden="1">{"TAB1",#N/A,TRUE,"GENERAL";"TAB2",#N/A,TRUE,"GENERAL";"TAB3",#N/A,TRUE,"GENERAL";"TAB4",#N/A,TRUE,"GENERAL";"TAB5",#N/A,TRUE,"GENERAL"}</definedName>
    <definedName name="hjhjhg" localSheetId="8" hidden="1">{"TAB1",#N/A,TRUE,"GENERAL";"TAB2",#N/A,TRUE,"GENERAL";"TAB3",#N/A,TRUE,"GENERAL";"TAB4",#N/A,TRUE,"GENERAL";"TAB5",#N/A,TRUE,"GENERAL"}</definedName>
    <definedName name="hjhjhg" localSheetId="5" hidden="1">{"TAB1",#N/A,TRUE,"GENERAL";"TAB2",#N/A,TRUE,"GENERAL";"TAB3",#N/A,TRUE,"GENERAL";"TAB4",#N/A,TRUE,"GENERAL";"TAB5",#N/A,TRUE,"GENERAL"}</definedName>
    <definedName name="hjhjhg" hidden="1">{"TAB1",#N/A,TRUE,"GENERAL";"TAB2",#N/A,TRUE,"GENERAL";"TAB3",#N/A,TRUE,"GENERAL";"TAB4",#N/A,TRUE,"GENERAL";"TAB5",#N/A,TRUE,"GENERAL"}</definedName>
    <definedName name="HJKH" localSheetId="10" hidden="1">{"via1",#N/A,TRUE,"general";"via2",#N/A,TRUE,"general";"via3",#N/A,TRUE,"general"}</definedName>
    <definedName name="HJKH" localSheetId="8" hidden="1">{"via1",#N/A,TRUE,"general";"via2",#N/A,TRUE,"general";"via3",#N/A,TRUE,"general"}</definedName>
    <definedName name="HJKH" localSheetId="5" hidden="1">{"via1",#N/A,TRUE,"general";"via2",#N/A,TRUE,"general";"via3",#N/A,TRUE,"general"}</definedName>
    <definedName name="HJKH" hidden="1">{"via1",#N/A,TRUE,"general";"via2",#N/A,TRUE,"general";"via3",#N/A,TRUE,"general"}</definedName>
    <definedName name="hjkjk" localSheetId="10" hidden="1">{"via1",#N/A,TRUE,"general";"via2",#N/A,TRUE,"general";"via3",#N/A,TRUE,"general"}</definedName>
    <definedName name="hjkjk" localSheetId="8" hidden="1">{"via1",#N/A,TRUE,"general";"via2",#N/A,TRUE,"general";"via3",#N/A,TRUE,"general"}</definedName>
    <definedName name="hjkjk" localSheetId="5" hidden="1">{"via1",#N/A,TRUE,"general";"via2",#N/A,TRUE,"general";"via3",#N/A,TRUE,"general"}</definedName>
    <definedName name="hjkjk" hidden="1">{"via1",#N/A,TRUE,"general";"via2",#N/A,TRUE,"general";"via3",#N/A,TRUE,"general"}</definedName>
    <definedName name="HK">#N/A</definedName>
    <definedName name="hn" localSheetId="10" hidden="1">{"TAB1",#N/A,TRUE,"GENERAL";"TAB2",#N/A,TRUE,"GENERAL";"TAB3",#N/A,TRUE,"GENERAL";"TAB4",#N/A,TRUE,"GENERAL";"TAB5",#N/A,TRUE,"GENERAL"}</definedName>
    <definedName name="hn" localSheetId="8" hidden="1">{"TAB1",#N/A,TRUE,"GENERAL";"TAB2",#N/A,TRUE,"GENERAL";"TAB3",#N/A,TRUE,"GENERAL";"TAB4",#N/A,TRUE,"GENERAL";"TAB5",#N/A,TRUE,"GENERAL"}</definedName>
    <definedName name="hn" localSheetId="5" hidden="1">{"TAB1",#N/A,TRUE,"GENERAL";"TAB2",#N/A,TRUE,"GENERAL";"TAB3",#N/A,TRUE,"GENERAL";"TAB4",#N/A,TRUE,"GENERAL";"TAB5",#N/A,TRUE,"GENERAL"}</definedName>
    <definedName name="hn" hidden="1">{"TAB1",#N/A,TRUE,"GENERAL";"TAB2",#N/A,TRUE,"GENERAL";"TAB3",#N/A,TRUE,"GENERAL";"TAB4",#N/A,TRUE,"GENERAL";"TAB5",#N/A,TRUE,"GENERAL"}</definedName>
    <definedName name="HOJA1" localSheetId="5">#REF!</definedName>
    <definedName name="HOJA1">#REF!</definedName>
    <definedName name="hreer" localSheetId="10" hidden="1">{"TAB1",#N/A,TRUE,"GENERAL";"TAB2",#N/A,TRUE,"GENERAL";"TAB3",#N/A,TRUE,"GENERAL";"TAB4",#N/A,TRUE,"GENERAL";"TAB5",#N/A,TRUE,"GENERAL"}</definedName>
    <definedName name="hreer" localSheetId="8" hidden="1">{"TAB1",#N/A,TRUE,"GENERAL";"TAB2",#N/A,TRUE,"GENERAL";"TAB3",#N/A,TRUE,"GENERAL";"TAB4",#N/A,TRUE,"GENERAL";"TAB5",#N/A,TRUE,"GENERAL"}</definedName>
    <definedName name="hreer" localSheetId="5" hidden="1">{"TAB1",#N/A,TRUE,"GENERAL";"TAB2",#N/A,TRUE,"GENERAL";"TAB3",#N/A,TRUE,"GENERAL";"TAB4",#N/A,TRUE,"GENERAL";"TAB5",#N/A,TRUE,"GENERAL"}</definedName>
    <definedName name="hreer" hidden="1">{"TAB1",#N/A,TRUE,"GENERAL";"TAB2",#N/A,TRUE,"GENERAL";"TAB3",#N/A,TRUE,"GENERAL";"TAB4",#N/A,TRUE,"GENERAL";"TAB5",#N/A,TRUE,"GENERAL"}</definedName>
    <definedName name="hrhth" localSheetId="10" hidden="1">{"TAB1",#N/A,TRUE,"GENERAL";"TAB2",#N/A,TRUE,"GENERAL";"TAB3",#N/A,TRUE,"GENERAL";"TAB4",#N/A,TRUE,"GENERAL";"TAB5",#N/A,TRUE,"GENERAL"}</definedName>
    <definedName name="hrhth" localSheetId="8" hidden="1">{"TAB1",#N/A,TRUE,"GENERAL";"TAB2",#N/A,TRUE,"GENERAL";"TAB3",#N/A,TRUE,"GENERAL";"TAB4",#N/A,TRUE,"GENERAL";"TAB5",#N/A,TRUE,"GENERAL"}</definedName>
    <definedName name="hrhth" localSheetId="5" hidden="1">{"TAB1",#N/A,TRUE,"GENERAL";"TAB2",#N/A,TRUE,"GENERAL";"TAB3",#N/A,TRUE,"GENERAL";"TAB4",#N/A,TRUE,"GENERAL";"TAB5",#N/A,TRUE,"GENERAL"}</definedName>
    <definedName name="hrhth" hidden="1">{"TAB1",#N/A,TRUE,"GENERAL";"TAB2",#N/A,TRUE,"GENERAL";"TAB3",#N/A,TRUE,"GENERAL";"TAB4",#N/A,TRUE,"GENERAL";"TAB5",#N/A,TRUE,"GENERAL"}</definedName>
    <definedName name="hrthtrh" localSheetId="10" hidden="1">{"TAB1",#N/A,TRUE,"GENERAL";"TAB2",#N/A,TRUE,"GENERAL";"TAB3",#N/A,TRUE,"GENERAL";"TAB4",#N/A,TRUE,"GENERAL";"TAB5",#N/A,TRUE,"GENERAL"}</definedName>
    <definedName name="hrthtrh" localSheetId="8" hidden="1">{"TAB1",#N/A,TRUE,"GENERAL";"TAB2",#N/A,TRUE,"GENERAL";"TAB3",#N/A,TRUE,"GENERAL";"TAB4",#N/A,TRUE,"GENERAL";"TAB5",#N/A,TRUE,"GENERAL"}</definedName>
    <definedName name="hrthtrh" localSheetId="5" hidden="1">{"TAB1",#N/A,TRUE,"GENERAL";"TAB2",#N/A,TRUE,"GENERAL";"TAB3",#N/A,TRUE,"GENERAL";"TAB4",#N/A,TRUE,"GENERAL";"TAB5",#N/A,TRUE,"GENERAL"}</definedName>
    <definedName name="hrthtrh" hidden="1">{"TAB1",#N/A,TRUE,"GENERAL";"TAB2",#N/A,TRUE,"GENERAL";"TAB3",#N/A,TRUE,"GENERAL";"TAB4",#N/A,TRUE,"GENERAL";"TAB5",#N/A,TRUE,"GENERAL"}</definedName>
    <definedName name="hsfg" localSheetId="10" hidden="1">{"via1",#N/A,TRUE,"general";"via2",#N/A,TRUE,"general";"via3",#N/A,TRUE,"general"}</definedName>
    <definedName name="hsfg" localSheetId="8" hidden="1">{"via1",#N/A,TRUE,"general";"via2",#N/A,TRUE,"general";"via3",#N/A,TRUE,"general"}</definedName>
    <definedName name="hsfg" localSheetId="5" hidden="1">{"via1",#N/A,TRUE,"general";"via2",#N/A,TRUE,"general";"via3",#N/A,TRUE,"general"}</definedName>
    <definedName name="hsfg" hidden="1">{"via1",#N/A,TRUE,"general";"via2",#N/A,TRUE,"general";"via3",#N/A,TRUE,"general"}</definedName>
    <definedName name="hthdrf" localSheetId="10" hidden="1">{"TAB1",#N/A,TRUE,"GENERAL";"TAB2",#N/A,TRUE,"GENERAL";"TAB3",#N/A,TRUE,"GENERAL";"TAB4",#N/A,TRUE,"GENERAL";"TAB5",#N/A,TRUE,"GENERAL"}</definedName>
    <definedName name="hthdrf" localSheetId="8" hidden="1">{"TAB1",#N/A,TRUE,"GENERAL";"TAB2",#N/A,TRUE,"GENERAL";"TAB3",#N/A,TRUE,"GENERAL";"TAB4",#N/A,TRUE,"GENERAL";"TAB5",#N/A,TRUE,"GENERAL"}</definedName>
    <definedName name="hthdrf" localSheetId="5" hidden="1">{"TAB1",#N/A,TRUE,"GENERAL";"TAB2",#N/A,TRUE,"GENERAL";"TAB3",#N/A,TRUE,"GENERAL";"TAB4",#N/A,TRUE,"GENERAL";"TAB5",#N/A,TRUE,"GENERAL"}</definedName>
    <definedName name="hthdrf" hidden="1">{"TAB1",#N/A,TRUE,"GENERAL";"TAB2",#N/A,TRUE,"GENERAL";"TAB3",#N/A,TRUE,"GENERAL";"TAB4",#N/A,TRUE,"GENERAL";"TAB5",#N/A,TRUE,"GENERAL"}</definedName>
    <definedName name="htryrt7" localSheetId="10" hidden="1">{"via1",#N/A,TRUE,"general";"via2",#N/A,TRUE,"general";"via3",#N/A,TRUE,"general"}</definedName>
    <definedName name="htryrt7" localSheetId="8" hidden="1">{"via1",#N/A,TRUE,"general";"via2",#N/A,TRUE,"general";"via3",#N/A,TRUE,"general"}</definedName>
    <definedName name="htryrt7" localSheetId="5" hidden="1">{"via1",#N/A,TRUE,"general";"via2",#N/A,TRUE,"general";"via3",#N/A,TRUE,"general"}</definedName>
    <definedName name="htryrt7" hidden="1">{"via1",#N/A,TRUE,"general";"via2",#N/A,TRUE,"general";"via3",#N/A,TRUE,"general"}</definedName>
    <definedName name="hyhjop" localSheetId="10" hidden="1">{"TAB1",#N/A,TRUE,"GENERAL";"TAB2",#N/A,TRUE,"GENERAL";"TAB3",#N/A,TRUE,"GENERAL";"TAB4",#N/A,TRUE,"GENERAL";"TAB5",#N/A,TRUE,"GENERAL"}</definedName>
    <definedName name="hyhjop" localSheetId="8" hidden="1">{"TAB1",#N/A,TRUE,"GENERAL";"TAB2",#N/A,TRUE,"GENERAL";"TAB3",#N/A,TRUE,"GENERAL";"TAB4",#N/A,TRUE,"GENERAL";"TAB5",#N/A,TRUE,"GENERAL"}</definedName>
    <definedName name="hyhjop" localSheetId="5" hidden="1">{"TAB1",#N/A,TRUE,"GENERAL";"TAB2",#N/A,TRUE,"GENERAL";"TAB3",#N/A,TRUE,"GENERAL";"TAB4",#N/A,TRUE,"GENERAL";"TAB5",#N/A,TRUE,"GENERAL"}</definedName>
    <definedName name="hyhjop" hidden="1">{"TAB1",#N/A,TRUE,"GENERAL";"TAB2",#N/A,TRUE,"GENERAL";"TAB3",#N/A,TRUE,"GENERAL";"TAB4",#N/A,TRUE,"GENERAL";"TAB5",#N/A,TRUE,"GENERAL"}</definedName>
    <definedName name="hyhyh" localSheetId="10" hidden="1">{"TAB1",#N/A,TRUE,"GENERAL";"TAB2",#N/A,TRUE,"GENERAL";"TAB3",#N/A,TRUE,"GENERAL";"TAB4",#N/A,TRUE,"GENERAL";"TAB5",#N/A,TRUE,"GENERAL"}</definedName>
    <definedName name="hyhyh" localSheetId="8" hidden="1">{"TAB1",#N/A,TRUE,"GENERAL";"TAB2",#N/A,TRUE,"GENERAL";"TAB3",#N/A,TRUE,"GENERAL";"TAB4",#N/A,TRUE,"GENERAL";"TAB5",#N/A,TRUE,"GENERAL"}</definedName>
    <definedName name="hyhyh" localSheetId="5" hidden="1">{"TAB1",#N/A,TRUE,"GENERAL";"TAB2",#N/A,TRUE,"GENERAL";"TAB3",#N/A,TRUE,"GENERAL";"TAB4",#N/A,TRUE,"GENERAL";"TAB5",#N/A,TRUE,"GENERAL"}</definedName>
    <definedName name="hyhyh" hidden="1">{"TAB1",#N/A,TRUE,"GENERAL";"TAB2",#N/A,TRUE,"GENERAL";"TAB3",#N/A,TRUE,"GENERAL";"TAB4",#N/A,TRUE,"GENERAL";"TAB5",#N/A,TRUE,"GENERAL"}</definedName>
    <definedName name="hytirs" localSheetId="10" hidden="1">{"via1",#N/A,TRUE,"general";"via2",#N/A,TRUE,"general";"via3",#N/A,TRUE,"general"}</definedName>
    <definedName name="hytirs" localSheetId="8" hidden="1">{"via1",#N/A,TRUE,"general";"via2",#N/A,TRUE,"general";"via3",#N/A,TRUE,"general"}</definedName>
    <definedName name="hytirs" localSheetId="5" hidden="1">{"via1",#N/A,TRUE,"general";"via2",#N/A,TRUE,"general";"via3",#N/A,TRUE,"general"}</definedName>
    <definedName name="hytirs" hidden="1">{"via1",#N/A,TRUE,"general";"via2",#N/A,TRUE,"general";"via3",#N/A,TRUE,"general"}</definedName>
    <definedName name="I" localSheetId="5">#REF!</definedName>
    <definedName name="I">#REF!</definedName>
    <definedName name="i8i" localSheetId="10" hidden="1">{"TAB1",#N/A,TRUE,"GENERAL";"TAB2",#N/A,TRUE,"GENERAL";"TAB3",#N/A,TRUE,"GENERAL";"TAB4",#N/A,TRUE,"GENERAL";"TAB5",#N/A,TRUE,"GENERAL"}</definedName>
    <definedName name="i8i" localSheetId="8" hidden="1">{"TAB1",#N/A,TRUE,"GENERAL";"TAB2",#N/A,TRUE,"GENERAL";"TAB3",#N/A,TRUE,"GENERAL";"TAB4",#N/A,TRUE,"GENERAL";"TAB5",#N/A,TRUE,"GENERAL"}</definedName>
    <definedName name="i8i" localSheetId="5" hidden="1">{"TAB1",#N/A,TRUE,"GENERAL";"TAB2",#N/A,TRUE,"GENERAL";"TAB3",#N/A,TRUE,"GENERAL";"TAB4",#N/A,TRUE,"GENERAL";"TAB5",#N/A,TRUE,"GENERAL"}</definedName>
    <definedName name="i8i" hidden="1">{"TAB1",#N/A,TRUE,"GENERAL";"TAB2",#N/A,TRUE,"GENERAL";"TAB3",#N/A,TRUE,"GENERAL";"TAB4",#N/A,TRUE,"GENERAL";"TAB5",#N/A,TRUE,"GENERAL"}</definedName>
    <definedName name="ID">#N/A</definedName>
    <definedName name="IF" localSheetId="5">'[18]A. P. U.'!#REF!</definedName>
    <definedName name="IF">'[18]A. P. U.'!#REF!</definedName>
    <definedName name="ii" localSheetId="10" hidden="1">{"TAB1",#N/A,TRUE,"GENERAL";"TAB2",#N/A,TRUE,"GENERAL";"TAB3",#N/A,TRUE,"GENERAL";"TAB4",#N/A,TRUE,"GENERAL";"TAB5",#N/A,TRUE,"GENERAL"}</definedName>
    <definedName name="ii" localSheetId="8" hidden="1">{"TAB1",#N/A,TRUE,"GENERAL";"TAB2",#N/A,TRUE,"GENERAL";"TAB3",#N/A,TRUE,"GENERAL";"TAB4",#N/A,TRUE,"GENERAL";"TAB5",#N/A,TRUE,"GENERAL"}</definedName>
    <definedName name="ii" localSheetId="5" hidden="1">{"TAB1",#N/A,TRUE,"GENERAL";"TAB2",#N/A,TRUE,"GENERAL";"TAB3",#N/A,TRUE,"GENERAL";"TAB4",#N/A,TRUE,"GENERAL";"TAB5",#N/A,TRUE,"GENERAL"}</definedName>
    <definedName name="ii" hidden="1">{"TAB1",#N/A,TRUE,"GENERAL";"TAB2",#N/A,TRUE,"GENERAL";"TAB3",#N/A,TRUE,"GENERAL";"TAB4",#N/A,TRUE,"GENERAL";"TAB5",#N/A,TRUE,"GENERAL"}</definedName>
    <definedName name="iii" localSheetId="10" hidden="1">{"via1",#N/A,TRUE,"general";"via2",#N/A,TRUE,"general";"via3",#N/A,TRUE,"general"}</definedName>
    <definedName name="iii" localSheetId="8" hidden="1">{"via1",#N/A,TRUE,"general";"via2",#N/A,TRUE,"general";"via3",#N/A,TRUE,"general"}</definedName>
    <definedName name="iii" localSheetId="5" hidden="1">{"via1",#N/A,TRUE,"general";"via2",#N/A,TRUE,"general";"via3",#N/A,TRUE,"general"}</definedName>
    <definedName name="iii" hidden="1">{"via1",#N/A,TRUE,"general";"via2",#N/A,TRUE,"general";"via3",#N/A,TRUE,"general"}</definedName>
    <definedName name="iiii" localSheetId="10" hidden="1">{"via1",#N/A,TRUE,"general";"via2",#N/A,TRUE,"general";"via3",#N/A,TRUE,"general"}</definedName>
    <definedName name="iiii" localSheetId="8" hidden="1">{"via1",#N/A,TRUE,"general";"via2",#N/A,TRUE,"general";"via3",#N/A,TRUE,"general"}</definedName>
    <definedName name="iiii" localSheetId="5" hidden="1">{"via1",#N/A,TRUE,"general";"via2",#N/A,TRUE,"general";"via3",#N/A,TRUE,"general"}</definedName>
    <definedName name="iiii" hidden="1">{"via1",#N/A,TRUE,"general";"via2",#N/A,TRUE,"general";"via3",#N/A,TRUE,"general"}</definedName>
    <definedName name="iiiiiiik" localSheetId="10" hidden="1">{"via1",#N/A,TRUE,"general";"via2",#N/A,TRUE,"general";"via3",#N/A,TRUE,"general"}</definedName>
    <definedName name="iiiiiiik" localSheetId="8" hidden="1">{"via1",#N/A,TRUE,"general";"via2",#N/A,TRUE,"general";"via3",#N/A,TRUE,"general"}</definedName>
    <definedName name="iiiiiiik" localSheetId="5" hidden="1">{"via1",#N/A,TRUE,"general";"via2",#N/A,TRUE,"general";"via3",#N/A,TRUE,"general"}</definedName>
    <definedName name="iiiiiiik" hidden="1">{"via1",#N/A,TRUE,"general";"via2",#N/A,TRUE,"general";"via3",#N/A,TRUE,"general"}</definedName>
    <definedName name="iiiiuh" localSheetId="10" hidden="1">{"TAB1",#N/A,TRUE,"GENERAL";"TAB2",#N/A,TRUE,"GENERAL";"TAB3",#N/A,TRUE,"GENERAL";"TAB4",#N/A,TRUE,"GENERAL";"TAB5",#N/A,TRUE,"GENERAL"}</definedName>
    <definedName name="iiiiuh" localSheetId="8" hidden="1">{"TAB1",#N/A,TRUE,"GENERAL";"TAB2",#N/A,TRUE,"GENERAL";"TAB3",#N/A,TRUE,"GENERAL";"TAB4",#N/A,TRUE,"GENERAL";"TAB5",#N/A,TRUE,"GENERAL"}</definedName>
    <definedName name="iiiiuh" localSheetId="5" hidden="1">{"TAB1",#N/A,TRUE,"GENERAL";"TAB2",#N/A,TRUE,"GENERAL";"TAB3",#N/A,TRUE,"GENERAL";"TAB4",#N/A,TRUE,"GENERAL";"TAB5",#N/A,TRUE,"GENERAL"}</definedName>
    <definedName name="iiiiuh" hidden="1">{"TAB1",#N/A,TRUE,"GENERAL";"TAB2",#N/A,TRUE,"GENERAL";"TAB3",#N/A,TRUE,"GENERAL";"TAB4",#N/A,TRUE,"GENERAL";"TAB5",#N/A,TRUE,"GENERAL"}</definedName>
    <definedName name="iktgvfmu" localSheetId="10" hidden="1">{"TAB1",#N/A,TRUE,"GENERAL";"TAB2",#N/A,TRUE,"GENERAL";"TAB3",#N/A,TRUE,"GENERAL";"TAB4",#N/A,TRUE,"GENERAL";"TAB5",#N/A,TRUE,"GENERAL"}</definedName>
    <definedName name="iktgvfmu" localSheetId="8" hidden="1">{"TAB1",#N/A,TRUE,"GENERAL";"TAB2",#N/A,TRUE,"GENERAL";"TAB3",#N/A,TRUE,"GENERAL";"TAB4",#N/A,TRUE,"GENERAL";"TAB5",#N/A,TRUE,"GENERAL"}</definedName>
    <definedName name="iktgvfmu" localSheetId="5" hidden="1">{"TAB1",#N/A,TRUE,"GENERAL";"TAB2",#N/A,TRUE,"GENERAL";"TAB3",#N/A,TRUE,"GENERAL";"TAB4",#N/A,TRUE,"GENERAL";"TAB5",#N/A,TRUE,"GENERAL"}</definedName>
    <definedName name="iktgvfmu" hidden="1">{"TAB1",#N/A,TRUE,"GENERAL";"TAB2",#N/A,TRUE,"GENERAL";"TAB3",#N/A,TRUE,"GENERAL";"TAB4",#N/A,TRUE,"GENERAL";"TAB5",#N/A,TRUE,"GENERAL"}</definedName>
    <definedName name="IMP">[5]otros!$C$3</definedName>
    <definedName name="INDICE" localSheetId="5">#REF!</definedName>
    <definedName name="INDICE">#REF!</definedName>
    <definedName name="inf" localSheetId="5">#REF!</definedName>
    <definedName name="inf">#REF!</definedName>
    <definedName name="Inicio">[14]BASES!$E$26</definedName>
    <definedName name="Insumos_auxiliares" localSheetId="5">[25]Insumos!#REF!</definedName>
    <definedName name="Insumos_auxiliares">[25]Insumos!#REF!</definedName>
    <definedName name="Insumos_basicos" localSheetId="5">#REF!</definedName>
    <definedName name="Insumos_basicos">#REF!</definedName>
    <definedName name="INV_11">'[26]PR 1'!$A$2:$N$655</definedName>
    <definedName name="IOUHH">#N/A</definedName>
    <definedName name="ITEM">[24]BASE!$C$4:$H$255</definedName>
    <definedName name="ITEM1" localSheetId="5">#REF!</definedName>
    <definedName name="ITEM1">#REF!</definedName>
    <definedName name="ITEM15" localSheetId="5">#REF!</definedName>
    <definedName name="ITEM15">#REF!</definedName>
    <definedName name="ITEM2" localSheetId="5">#REF!</definedName>
    <definedName name="ITEM2">#REF!</definedName>
    <definedName name="item210.3" localSheetId="5">#REF!</definedName>
    <definedName name="item210.3">#REF!</definedName>
    <definedName name="item230.1" localSheetId="5">#REF!</definedName>
    <definedName name="item230.1">#REF!</definedName>
    <definedName name="ITEM3" localSheetId="5">#REF!</definedName>
    <definedName name="ITEM3">#REF!</definedName>
    <definedName name="item310" localSheetId="5">#REF!</definedName>
    <definedName name="item310">#REF!</definedName>
    <definedName name="item320.2" localSheetId="5">#REF!</definedName>
    <definedName name="item320.2">#REF!</definedName>
    <definedName name="item330.1" localSheetId="5">#REF!</definedName>
    <definedName name="item330.1">#REF!</definedName>
    <definedName name="item420" localSheetId="5">#REF!</definedName>
    <definedName name="item420">#REF!</definedName>
    <definedName name="item450.2P" localSheetId="5">#REF!</definedName>
    <definedName name="item450.2P">#REF!</definedName>
    <definedName name="item600.1" localSheetId="5">#REF!</definedName>
    <definedName name="item600.1">#REF!</definedName>
    <definedName name="item610.1" localSheetId="5">#REF!</definedName>
    <definedName name="item610.1">#REF!</definedName>
    <definedName name="item610.2" localSheetId="5">#REF!</definedName>
    <definedName name="item610.2">#REF!</definedName>
    <definedName name="item630.4" localSheetId="5">#REF!</definedName>
    <definedName name="item630.4">#REF!</definedName>
    <definedName name="item630.6" localSheetId="5">#REF!</definedName>
    <definedName name="item630.6">#REF!</definedName>
    <definedName name="item630.7" localSheetId="5">#REF!</definedName>
    <definedName name="item630.7">#REF!</definedName>
    <definedName name="item640.3" localSheetId="5">#REF!</definedName>
    <definedName name="item640.3">#REF!</definedName>
    <definedName name="item661" localSheetId="5">#REF!</definedName>
    <definedName name="item661">#REF!</definedName>
    <definedName name="item671" localSheetId="5">#REF!</definedName>
    <definedName name="item671">#REF!</definedName>
    <definedName name="item673.1" localSheetId="5">#REF!</definedName>
    <definedName name="item673.1">#REF!</definedName>
    <definedName name="item673.3" localSheetId="5">#REF!</definedName>
    <definedName name="item673.3">#REF!</definedName>
    <definedName name="item681" localSheetId="5">#REF!</definedName>
    <definedName name="item681">#REF!</definedName>
    <definedName name="item700.1" localSheetId="5">#REF!</definedName>
    <definedName name="item700.1">#REF!</definedName>
    <definedName name="item710.1" localSheetId="5">#REF!</definedName>
    <definedName name="item710.1">#REF!</definedName>
    <definedName name="item710.2" localSheetId="5">#REF!</definedName>
    <definedName name="item710.2">#REF!</definedName>
    <definedName name="item730.1" localSheetId="5">#REF!</definedName>
    <definedName name="item730.1">#REF!</definedName>
    <definedName name="item730.2" localSheetId="5">#REF!</definedName>
    <definedName name="item730.2">#REF!</definedName>
    <definedName name="item730.2.4" localSheetId="5">#REF!</definedName>
    <definedName name="item730.2.4">#REF!</definedName>
    <definedName name="item900.2" localSheetId="5">#REF!</definedName>
    <definedName name="item900.2">#REF!</definedName>
    <definedName name="IUI" localSheetId="10" hidden="1">{"TAB1",#N/A,TRUE,"GENERAL";"TAB2",#N/A,TRUE,"GENERAL";"TAB3",#N/A,TRUE,"GENERAL";"TAB4",#N/A,TRUE,"GENERAL";"TAB5",#N/A,TRUE,"GENERAL"}</definedName>
    <definedName name="IUI" localSheetId="8" hidden="1">{"TAB1",#N/A,TRUE,"GENERAL";"TAB2",#N/A,TRUE,"GENERAL";"TAB3",#N/A,TRUE,"GENERAL";"TAB4",#N/A,TRUE,"GENERAL";"TAB5",#N/A,TRUE,"GENERAL"}</definedName>
    <definedName name="IUI" localSheetId="5" hidden="1">{"TAB1",#N/A,TRUE,"GENERAL";"TAB2",#N/A,TRUE,"GENERAL";"TAB3",#N/A,TRUE,"GENERAL";"TAB4",#N/A,TRUE,"GENERAL";"TAB5",#N/A,TRUE,"GENERAL"}</definedName>
    <definedName name="IUI" hidden="1">{"TAB1",#N/A,TRUE,"GENERAL";"TAB2",#N/A,TRUE,"GENERAL";"TAB3",#N/A,TRUE,"GENERAL";"TAB4",#N/A,TRUE,"GENERAL";"TAB5",#N/A,TRUE,"GENERAL"}</definedName>
    <definedName name="iuit7" localSheetId="10" hidden="1">{"TAB1",#N/A,TRUE,"GENERAL";"TAB2",#N/A,TRUE,"GENERAL";"TAB3",#N/A,TRUE,"GENERAL";"TAB4",#N/A,TRUE,"GENERAL";"TAB5",#N/A,TRUE,"GENERAL"}</definedName>
    <definedName name="iuit7" localSheetId="8" hidden="1">{"TAB1",#N/A,TRUE,"GENERAL";"TAB2",#N/A,TRUE,"GENERAL";"TAB3",#N/A,TRUE,"GENERAL";"TAB4",#N/A,TRUE,"GENERAL";"TAB5",#N/A,TRUE,"GENERAL"}</definedName>
    <definedName name="iuit7" localSheetId="5" hidden="1">{"TAB1",#N/A,TRUE,"GENERAL";"TAB2",#N/A,TRUE,"GENERAL";"TAB3",#N/A,TRUE,"GENERAL";"TAB4",#N/A,TRUE,"GENERAL";"TAB5",#N/A,TRUE,"GENERAL"}</definedName>
    <definedName name="iuit7" hidden="1">{"TAB1",#N/A,TRUE,"GENERAL";"TAB2",#N/A,TRUE,"GENERAL";"TAB3",#N/A,TRUE,"GENERAL";"TAB4",#N/A,TRUE,"GENERAL";"TAB5",#N/A,TRUE,"GENERAL"}</definedName>
    <definedName name="iul" localSheetId="10" hidden="1">{"via1",#N/A,TRUE,"general";"via2",#N/A,TRUE,"general";"via3",#N/A,TRUE,"general"}</definedName>
    <definedName name="iul" localSheetId="8" hidden="1">{"via1",#N/A,TRUE,"general";"via2",#N/A,TRUE,"general";"via3",#N/A,TRUE,"general"}</definedName>
    <definedName name="iul" localSheetId="5" hidden="1">{"via1",#N/A,TRUE,"general";"via2",#N/A,TRUE,"general";"via3",#N/A,TRUE,"general"}</definedName>
    <definedName name="iul" hidden="1">{"via1",#N/A,TRUE,"general";"via2",#N/A,TRUE,"general";"via3",#N/A,TRUE,"general"}</definedName>
    <definedName name="iuouio" localSheetId="10" hidden="1">{"via1",#N/A,TRUE,"general";"via2",#N/A,TRUE,"general";"via3",#N/A,TRUE,"general"}</definedName>
    <definedName name="iuouio" localSheetId="8" hidden="1">{"via1",#N/A,TRUE,"general";"via2",#N/A,TRUE,"general";"via3",#N/A,TRUE,"general"}</definedName>
    <definedName name="iuouio" localSheetId="5" hidden="1">{"via1",#N/A,TRUE,"general";"via2",#N/A,TRUE,"general";"via3",#N/A,TRUE,"general"}</definedName>
    <definedName name="iuouio" hidden="1">{"via1",#N/A,TRUE,"general";"via2",#N/A,TRUE,"general";"via3",#N/A,TRUE,"general"}</definedName>
    <definedName name="iuyi9" localSheetId="10" hidden="1">{"TAB1",#N/A,TRUE,"GENERAL";"TAB2",#N/A,TRUE,"GENERAL";"TAB3",#N/A,TRUE,"GENERAL";"TAB4",#N/A,TRUE,"GENERAL";"TAB5",#N/A,TRUE,"GENERAL"}</definedName>
    <definedName name="iuyi9" localSheetId="8" hidden="1">{"TAB1",#N/A,TRUE,"GENERAL";"TAB2",#N/A,TRUE,"GENERAL";"TAB3",#N/A,TRUE,"GENERAL";"TAB4",#N/A,TRUE,"GENERAL";"TAB5",#N/A,TRUE,"GENERAL"}</definedName>
    <definedName name="iuyi9" localSheetId="5" hidden="1">{"TAB1",#N/A,TRUE,"GENERAL";"TAB2",#N/A,TRUE,"GENERAL";"TAB3",#N/A,TRUE,"GENERAL";"TAB4",#N/A,TRUE,"GENERAL";"TAB5",#N/A,TRUE,"GENERAL"}</definedName>
    <definedName name="iuyi9" hidden="1">{"TAB1",#N/A,TRUE,"GENERAL";"TAB2",#N/A,TRUE,"GENERAL";"TAB3",#N/A,TRUE,"GENERAL";"TAB4",#N/A,TRUE,"GENERAL";"TAB5",#N/A,TRUE,"GENERAL"}</definedName>
    <definedName name="IVA" localSheetId="5">#REF!</definedName>
    <definedName name="IVA">#REF!</definedName>
    <definedName name="iyuiuyi" localSheetId="10" hidden="1">{"via1",#N/A,TRUE,"general";"via2",#N/A,TRUE,"general";"via3",#N/A,TRUE,"general"}</definedName>
    <definedName name="iyuiuyi" localSheetId="8" hidden="1">{"via1",#N/A,TRUE,"general";"via2",#N/A,TRUE,"general";"via3",#N/A,TRUE,"general"}</definedName>
    <definedName name="iyuiuyi" localSheetId="5" hidden="1">{"via1",#N/A,TRUE,"general";"via2",#N/A,TRUE,"general";"via3",#N/A,TRUE,"general"}</definedName>
    <definedName name="iyuiuyi" hidden="1">{"via1",#N/A,TRUE,"general";"via2",#N/A,TRUE,"general";"via3",#N/A,TRUE,"general"}</definedName>
    <definedName name="j" localSheetId="10" hidden="1">{"TAB1",#N/A,TRUE,"GENERAL";"TAB2",#N/A,TRUE,"GENERAL";"TAB3",#N/A,TRUE,"GENERAL";"TAB4",#N/A,TRUE,"GENERAL";"TAB5",#N/A,TRUE,"GENERAL"}</definedName>
    <definedName name="j" localSheetId="8" hidden="1">{"TAB1",#N/A,TRUE,"GENERAL";"TAB2",#N/A,TRUE,"GENERAL";"TAB3",#N/A,TRUE,"GENERAL";"TAB4",#N/A,TRUE,"GENERAL";"TAB5",#N/A,TRUE,"GENERAL"}</definedName>
    <definedName name="j" localSheetId="5" hidden="1">{"TAB1",#N/A,TRUE,"GENERAL";"TAB2",#N/A,TRUE,"GENERAL";"TAB3",#N/A,TRUE,"GENERAL";"TAB4",#N/A,TRUE,"GENERAL";"TAB5",#N/A,TRUE,"GENERAL"}</definedName>
    <definedName name="j" hidden="1">{"TAB1",#N/A,TRUE,"GENERAL";"TAB2",#N/A,TRUE,"GENERAL";"TAB3",#N/A,TRUE,"GENERAL";"TAB4",#N/A,TRUE,"GENERAL";"TAB5",#N/A,TRUE,"GENERAL"}</definedName>
    <definedName name="jd" localSheetId="10" hidden="1">{"via1",#N/A,TRUE,"general";"via2",#N/A,TRUE,"general";"via3",#N/A,TRUE,"general"}</definedName>
    <definedName name="jd" localSheetId="8" hidden="1">{"via1",#N/A,TRUE,"general";"via2",#N/A,TRUE,"general";"via3",#N/A,TRUE,"general"}</definedName>
    <definedName name="jd" localSheetId="5" hidden="1">{"via1",#N/A,TRUE,"general";"via2",#N/A,TRUE,"general";"via3",#N/A,TRUE,"general"}</definedName>
    <definedName name="jd" hidden="1">{"via1",#N/A,TRUE,"general";"via2",#N/A,TRUE,"general";"via3",#N/A,TRUE,"general"}</definedName>
    <definedName name="jdh" localSheetId="10" hidden="1">{"TAB1",#N/A,TRUE,"GENERAL";"TAB2",#N/A,TRUE,"GENERAL";"TAB3",#N/A,TRUE,"GENERAL";"TAB4",#N/A,TRUE,"GENERAL";"TAB5",#N/A,TRUE,"GENERAL"}</definedName>
    <definedName name="jdh" localSheetId="8" hidden="1">{"TAB1",#N/A,TRUE,"GENERAL";"TAB2",#N/A,TRUE,"GENERAL";"TAB3",#N/A,TRUE,"GENERAL";"TAB4",#N/A,TRUE,"GENERAL";"TAB5",#N/A,TRUE,"GENERAL"}</definedName>
    <definedName name="jdh" localSheetId="5" hidden="1">{"TAB1",#N/A,TRUE,"GENERAL";"TAB2",#N/A,TRUE,"GENERAL";"TAB3",#N/A,TRUE,"GENERAL";"TAB4",#N/A,TRUE,"GENERAL";"TAB5",#N/A,TRUE,"GENERAL"}</definedName>
    <definedName name="jdh" hidden="1">{"TAB1",#N/A,TRUE,"GENERAL";"TAB2",#N/A,TRUE,"GENERAL";"TAB3",#N/A,TRUE,"GENERAL";"TAB4",#N/A,TRUE,"GENERAL";"TAB5",#N/A,TRUE,"GENERAL"}</definedName>
    <definedName name="jeytj" localSheetId="10" hidden="1">{"TAB1",#N/A,TRUE,"GENERAL";"TAB2",#N/A,TRUE,"GENERAL";"TAB3",#N/A,TRUE,"GENERAL";"TAB4",#N/A,TRUE,"GENERAL";"TAB5",#N/A,TRUE,"GENERAL"}</definedName>
    <definedName name="jeytj" localSheetId="8" hidden="1">{"TAB1",#N/A,TRUE,"GENERAL";"TAB2",#N/A,TRUE,"GENERAL";"TAB3",#N/A,TRUE,"GENERAL";"TAB4",#N/A,TRUE,"GENERAL";"TAB5",#N/A,TRUE,"GENERAL"}</definedName>
    <definedName name="jeytj" localSheetId="5" hidden="1">{"TAB1",#N/A,TRUE,"GENERAL";"TAB2",#N/A,TRUE,"GENERAL";"TAB3",#N/A,TRUE,"GENERAL";"TAB4",#N/A,TRUE,"GENERAL";"TAB5",#N/A,TRUE,"GENERAL"}</definedName>
    <definedName name="jeytj" hidden="1">{"TAB1",#N/A,TRUE,"GENERAL";"TAB2",#N/A,TRUE,"GENERAL";"TAB3",#N/A,TRUE,"GENERAL";"TAB4",#N/A,TRUE,"GENERAL";"TAB5",#N/A,TRUE,"GENERAL"}</definedName>
    <definedName name="jfhjfrt" localSheetId="10" hidden="1">{"TAB1",#N/A,TRUE,"GENERAL";"TAB2",#N/A,TRUE,"GENERAL";"TAB3",#N/A,TRUE,"GENERAL";"TAB4",#N/A,TRUE,"GENERAL";"TAB5",#N/A,TRUE,"GENERAL"}</definedName>
    <definedName name="jfhjfrt" localSheetId="8" hidden="1">{"TAB1",#N/A,TRUE,"GENERAL";"TAB2",#N/A,TRUE,"GENERAL";"TAB3",#N/A,TRUE,"GENERAL";"TAB4",#N/A,TRUE,"GENERAL";"TAB5",#N/A,TRUE,"GENERAL"}</definedName>
    <definedName name="jfhjfrt" localSheetId="5" hidden="1">{"TAB1",#N/A,TRUE,"GENERAL";"TAB2",#N/A,TRUE,"GENERAL";"TAB3",#N/A,TRUE,"GENERAL";"TAB4",#N/A,TRUE,"GENERAL";"TAB5",#N/A,TRUE,"GENERAL"}</definedName>
    <definedName name="jfhjfrt" hidden="1">{"TAB1",#N/A,TRUE,"GENERAL";"TAB2",#N/A,TRUE,"GENERAL";"TAB3",#N/A,TRUE,"GENERAL";"TAB4",#N/A,TRUE,"GENERAL";"TAB5",#N/A,TRUE,"GENERAL"}</definedName>
    <definedName name="jgfj" localSheetId="10" hidden="1">{"via1",#N/A,TRUE,"general";"via2",#N/A,TRUE,"general";"via3",#N/A,TRUE,"general"}</definedName>
    <definedName name="jgfj" localSheetId="8" hidden="1">{"via1",#N/A,TRUE,"general";"via2",#N/A,TRUE,"general";"via3",#N/A,TRUE,"general"}</definedName>
    <definedName name="jgfj" localSheetId="5" hidden="1">{"via1",#N/A,TRUE,"general";"via2",#N/A,TRUE,"general";"via3",#N/A,TRUE,"general"}</definedName>
    <definedName name="jgfj" hidden="1">{"via1",#N/A,TRUE,"general";"via2",#N/A,TRUE,"general";"via3",#N/A,TRUE,"general"}</definedName>
    <definedName name="jghj" localSheetId="10" hidden="1">{"TAB1",#N/A,TRUE,"GENERAL";"TAB2",#N/A,TRUE,"GENERAL";"TAB3",#N/A,TRUE,"GENERAL";"TAB4",#N/A,TRUE,"GENERAL";"TAB5",#N/A,TRUE,"GENERAL"}</definedName>
    <definedName name="jghj" localSheetId="8" hidden="1">{"TAB1",#N/A,TRUE,"GENERAL";"TAB2",#N/A,TRUE,"GENERAL";"TAB3",#N/A,TRUE,"GENERAL";"TAB4",#N/A,TRUE,"GENERAL";"TAB5",#N/A,TRUE,"GENERAL"}</definedName>
    <definedName name="jghj" localSheetId="5" hidden="1">{"TAB1",#N/A,TRUE,"GENERAL";"TAB2",#N/A,TRUE,"GENERAL";"TAB3",#N/A,TRUE,"GENERAL";"TAB4",#N/A,TRUE,"GENERAL";"TAB5",#N/A,TRUE,"GENERAL"}</definedName>
    <definedName name="jghj" hidden="1">{"TAB1",#N/A,TRUE,"GENERAL";"TAB2",#N/A,TRUE,"GENERAL";"TAB3",#N/A,TRUE,"GENERAL";"TAB4",#N/A,TRUE,"GENERAL";"TAB5",#N/A,TRUE,"GENERAL"}</definedName>
    <definedName name="jgj" localSheetId="10" hidden="1">{"TAB1",#N/A,TRUE,"GENERAL";"TAB2",#N/A,TRUE,"GENERAL";"TAB3",#N/A,TRUE,"GENERAL";"TAB4",#N/A,TRUE,"GENERAL";"TAB5",#N/A,TRUE,"GENERAL"}</definedName>
    <definedName name="jgj" localSheetId="8" hidden="1">{"TAB1",#N/A,TRUE,"GENERAL";"TAB2",#N/A,TRUE,"GENERAL";"TAB3",#N/A,TRUE,"GENERAL";"TAB4",#N/A,TRUE,"GENERAL";"TAB5",#N/A,TRUE,"GENERAL"}</definedName>
    <definedName name="jgj" localSheetId="5" hidden="1">{"TAB1",#N/A,TRUE,"GENERAL";"TAB2",#N/A,TRUE,"GENERAL";"TAB3",#N/A,TRUE,"GENERAL";"TAB4",#N/A,TRUE,"GENERAL";"TAB5",#N/A,TRUE,"GENERAL"}</definedName>
    <definedName name="jgj" hidden="1">{"TAB1",#N/A,TRUE,"GENERAL";"TAB2",#N/A,TRUE,"GENERAL";"TAB3",#N/A,TRUE,"GENERAL";"TAB4",#N/A,TRUE,"GENERAL";"TAB5",#N/A,TRUE,"GENERAL"}</definedName>
    <definedName name="jhg" localSheetId="10" hidden="1">{"TAB1",#N/A,TRUE,"GENERAL";"TAB2",#N/A,TRUE,"GENERAL";"TAB3",#N/A,TRUE,"GENERAL";"TAB4",#N/A,TRUE,"GENERAL";"TAB5",#N/A,TRUE,"GENERAL"}</definedName>
    <definedName name="jhg" localSheetId="8" hidden="1">{"TAB1",#N/A,TRUE,"GENERAL";"TAB2",#N/A,TRUE,"GENERAL";"TAB3",#N/A,TRUE,"GENERAL";"TAB4",#N/A,TRUE,"GENERAL";"TAB5",#N/A,TRUE,"GENERAL"}</definedName>
    <definedName name="jhg" localSheetId="5" hidden="1">{"TAB1",#N/A,TRUE,"GENERAL";"TAB2",#N/A,TRUE,"GENERAL";"TAB3",#N/A,TRUE,"GENERAL";"TAB4",#N/A,TRUE,"GENERAL";"TAB5",#N/A,TRUE,"GENERAL"}</definedName>
    <definedName name="jhg" hidden="1">{"TAB1",#N/A,TRUE,"GENERAL";"TAB2",#N/A,TRUE,"GENERAL";"TAB3",#N/A,TRUE,"GENERAL";"TAB4",#N/A,TRUE,"GENERAL";"TAB5",#N/A,TRUE,"GENERAL"}</definedName>
    <definedName name="jhjyj" localSheetId="10" hidden="1">{"via1",#N/A,TRUE,"general";"via2",#N/A,TRUE,"general";"via3",#N/A,TRUE,"general"}</definedName>
    <definedName name="jhjyj" localSheetId="8" hidden="1">{"via1",#N/A,TRUE,"general";"via2",#N/A,TRUE,"general";"via3",#N/A,TRUE,"general"}</definedName>
    <definedName name="jhjyj" localSheetId="5" hidden="1">{"via1",#N/A,TRUE,"general";"via2",#N/A,TRUE,"general";"via3",#N/A,TRUE,"general"}</definedName>
    <definedName name="jhjyj" hidden="1">{"via1",#N/A,TRUE,"general";"via2",#N/A,TRUE,"general";"via3",#N/A,TRUE,"general"}</definedName>
    <definedName name="JHK" localSheetId="10" hidden="1">{"TAB1",#N/A,TRUE,"GENERAL";"TAB2",#N/A,TRUE,"GENERAL";"TAB3",#N/A,TRUE,"GENERAL";"TAB4",#N/A,TRUE,"GENERAL";"TAB5",#N/A,TRUE,"GENERAL"}</definedName>
    <definedName name="JHK" localSheetId="8" hidden="1">{"TAB1",#N/A,TRUE,"GENERAL";"TAB2",#N/A,TRUE,"GENERAL";"TAB3",#N/A,TRUE,"GENERAL";"TAB4",#N/A,TRUE,"GENERAL";"TAB5",#N/A,TRUE,"GENERAL"}</definedName>
    <definedName name="JHK" localSheetId="5" hidden="1">{"TAB1",#N/A,TRUE,"GENERAL";"TAB2",#N/A,TRUE,"GENERAL";"TAB3",#N/A,TRUE,"GENERAL";"TAB4",#N/A,TRUE,"GENERAL";"TAB5",#N/A,TRUE,"GENERAL"}</definedName>
    <definedName name="JHK" hidden="1">{"TAB1",#N/A,TRUE,"GENERAL";"TAB2",#N/A,TRUE,"GENERAL";"TAB3",#N/A,TRUE,"GENERAL";"TAB4",#N/A,TRUE,"GENERAL";"TAB5",#N/A,TRUE,"GENERAL"}</definedName>
    <definedName name="jhkgjkvf" localSheetId="10" hidden="1">{"TAB1",#N/A,TRUE,"GENERAL";"TAB2",#N/A,TRUE,"GENERAL";"TAB3",#N/A,TRUE,"GENERAL";"TAB4",#N/A,TRUE,"GENERAL";"TAB5",#N/A,TRUE,"GENERAL"}</definedName>
    <definedName name="jhkgjkvf" localSheetId="8" hidden="1">{"TAB1",#N/A,TRUE,"GENERAL";"TAB2",#N/A,TRUE,"GENERAL";"TAB3",#N/A,TRUE,"GENERAL";"TAB4",#N/A,TRUE,"GENERAL";"TAB5",#N/A,TRUE,"GENERAL"}</definedName>
    <definedName name="jhkgjkvf" localSheetId="5" hidden="1">{"TAB1",#N/A,TRUE,"GENERAL";"TAB2",#N/A,TRUE,"GENERAL";"TAB3",#N/A,TRUE,"GENERAL";"TAB4",#N/A,TRUE,"GENERAL";"TAB5",#N/A,TRUE,"GENERAL"}</definedName>
    <definedName name="jhkgjkvf" hidden="1">{"TAB1",#N/A,TRUE,"GENERAL";"TAB2",#N/A,TRUE,"GENERAL";"TAB3",#N/A,TRUE,"GENERAL";"TAB4",#N/A,TRUE,"GENERAL";"TAB5",#N/A,TRUE,"GENERAL"}</definedName>
    <definedName name="jj" localSheetId="10" hidden="1">{"via1",#N/A,TRUE,"general";"via2",#N/A,TRUE,"general";"via3",#N/A,TRUE,"general"}</definedName>
    <definedName name="jj" localSheetId="8" hidden="1">{"via1",#N/A,TRUE,"general";"via2",#N/A,TRUE,"general";"via3",#N/A,TRUE,"general"}</definedName>
    <definedName name="jj" localSheetId="5" hidden="1">{"via1",#N/A,TRUE,"general";"via2",#N/A,TRUE,"general";"via3",#N/A,TRUE,"general"}</definedName>
    <definedName name="jj" hidden="1">{"via1",#N/A,TRUE,"general";"via2",#N/A,TRUE,"general";"via3",#N/A,TRUE,"general"}</definedName>
    <definedName name="jjfq" localSheetId="10" hidden="1">{"via1",#N/A,TRUE,"general";"via2",#N/A,TRUE,"general";"via3",#N/A,TRUE,"general"}</definedName>
    <definedName name="jjfq" localSheetId="8" hidden="1">{"via1",#N/A,TRUE,"general";"via2",#N/A,TRUE,"general";"via3",#N/A,TRUE,"general"}</definedName>
    <definedName name="jjfq" localSheetId="5" hidden="1">{"via1",#N/A,TRUE,"general";"via2",#N/A,TRUE,"general";"via3",#N/A,TRUE,"general"}</definedName>
    <definedName name="jjfq" hidden="1">{"via1",#N/A,TRUE,"general";"via2",#N/A,TRUE,"general";"via3",#N/A,TRUE,"general"}</definedName>
    <definedName name="jjjhjddfg" localSheetId="10" hidden="1">{"via1",#N/A,TRUE,"general";"via2",#N/A,TRUE,"general";"via3",#N/A,TRUE,"general"}</definedName>
    <definedName name="jjjhjddfg" localSheetId="8" hidden="1">{"via1",#N/A,TRUE,"general";"via2",#N/A,TRUE,"general";"via3",#N/A,TRUE,"general"}</definedName>
    <definedName name="jjjhjddfg" localSheetId="5" hidden="1">{"via1",#N/A,TRUE,"general";"via2",#N/A,TRUE,"general";"via3",#N/A,TRUE,"general"}</definedName>
    <definedName name="jjjhjddfg" hidden="1">{"via1",#N/A,TRUE,"general";"via2",#N/A,TRUE,"general";"via3",#N/A,TRUE,"general"}</definedName>
    <definedName name="jjjjju" localSheetId="10" hidden="1">{"via1",#N/A,TRUE,"general";"via2",#N/A,TRUE,"general";"via3",#N/A,TRUE,"general"}</definedName>
    <definedName name="jjjjju" localSheetId="8" hidden="1">{"via1",#N/A,TRUE,"general";"via2",#N/A,TRUE,"general";"via3",#N/A,TRUE,"general"}</definedName>
    <definedName name="jjjjju" localSheetId="5" hidden="1">{"via1",#N/A,TRUE,"general";"via2",#N/A,TRUE,"general";"via3",#N/A,TRUE,"general"}</definedName>
    <definedName name="jjjjju" hidden="1">{"via1",#N/A,TRUE,"general";"via2",#N/A,TRUE,"general";"via3",#N/A,TRUE,"general"}</definedName>
    <definedName name="jjujujty" localSheetId="10" hidden="1">{"TAB1",#N/A,TRUE,"GENERAL";"TAB2",#N/A,TRUE,"GENERAL";"TAB3",#N/A,TRUE,"GENERAL";"TAB4",#N/A,TRUE,"GENERAL";"TAB5",#N/A,TRUE,"GENERAL"}</definedName>
    <definedName name="jjujujty" localSheetId="8" hidden="1">{"TAB1",#N/A,TRUE,"GENERAL";"TAB2",#N/A,TRUE,"GENERAL";"TAB3",#N/A,TRUE,"GENERAL";"TAB4",#N/A,TRUE,"GENERAL";"TAB5",#N/A,TRUE,"GENERAL"}</definedName>
    <definedName name="jjujujty" localSheetId="5" hidden="1">{"TAB1",#N/A,TRUE,"GENERAL";"TAB2",#N/A,TRUE,"GENERAL";"TAB3",#N/A,TRUE,"GENERAL";"TAB4",#N/A,TRUE,"GENERAL";"TAB5",#N/A,TRUE,"GENERAL"}</definedName>
    <definedName name="jjujujty" hidden="1">{"TAB1",#N/A,TRUE,"GENERAL";"TAB2",#N/A,TRUE,"GENERAL";"TAB3",#N/A,TRUE,"GENERAL";"TAB4",#N/A,TRUE,"GENERAL";"TAB5",#N/A,TRUE,"GENERAL"}</definedName>
    <definedName name="jjyjy" localSheetId="10" hidden="1">{"via1",#N/A,TRUE,"general";"via2",#N/A,TRUE,"general";"via3",#N/A,TRUE,"general"}</definedName>
    <definedName name="jjyjy" localSheetId="8" hidden="1">{"via1",#N/A,TRUE,"general";"via2",#N/A,TRUE,"general";"via3",#N/A,TRUE,"general"}</definedName>
    <definedName name="jjyjy" localSheetId="5" hidden="1">{"via1",#N/A,TRUE,"general";"via2",#N/A,TRUE,"general";"via3",#N/A,TRUE,"general"}</definedName>
    <definedName name="jjyjy" hidden="1">{"via1",#N/A,TRUE,"general";"via2",#N/A,TRUE,"general";"via3",#N/A,TRUE,"general"}</definedName>
    <definedName name="jkk" localSheetId="10" hidden="1">{"TAB1",#N/A,TRUE,"GENERAL";"TAB2",#N/A,TRUE,"GENERAL";"TAB3",#N/A,TRUE,"GENERAL";"TAB4",#N/A,TRUE,"GENERAL";"TAB5",#N/A,TRUE,"GENERAL"}</definedName>
    <definedName name="jkk" localSheetId="8" hidden="1">{"TAB1",#N/A,TRUE,"GENERAL";"TAB2",#N/A,TRUE,"GENERAL";"TAB3",#N/A,TRUE,"GENERAL";"TAB4",#N/A,TRUE,"GENERAL";"TAB5",#N/A,TRUE,"GENERAL"}</definedName>
    <definedName name="jkk" localSheetId="5" hidden="1">{"TAB1",#N/A,TRUE,"GENERAL";"TAB2",#N/A,TRUE,"GENERAL";"TAB3",#N/A,TRUE,"GENERAL";"TAB4",#N/A,TRUE,"GENERAL";"TAB5",#N/A,TRUE,"GENERAL"}</definedName>
    <definedName name="jkk" hidden="1">{"TAB1",#N/A,TRUE,"GENERAL";"TAB2",#N/A,TRUE,"GENERAL";"TAB3",#N/A,TRUE,"GENERAL";"TAB4",#N/A,TRUE,"GENERAL";"TAB5",#N/A,TRUE,"GENERAL"}</definedName>
    <definedName name="jkl" localSheetId="10" hidden="1">{"TAB1",#N/A,TRUE,"GENERAL";"TAB2",#N/A,TRUE,"GENERAL";"TAB3",#N/A,TRUE,"GENERAL";"TAB4",#N/A,TRUE,"GENERAL";"TAB5",#N/A,TRUE,"GENERAL"}</definedName>
    <definedName name="jkl" localSheetId="8" hidden="1">{"TAB1",#N/A,TRUE,"GENERAL";"TAB2",#N/A,TRUE,"GENERAL";"TAB3",#N/A,TRUE,"GENERAL";"TAB4",#N/A,TRUE,"GENERAL";"TAB5",#N/A,TRUE,"GENERAL"}</definedName>
    <definedName name="jkl" localSheetId="5" hidden="1">{"TAB1",#N/A,TRUE,"GENERAL";"TAB2",#N/A,TRUE,"GENERAL";"TAB3",#N/A,TRUE,"GENERAL";"TAB4",#N/A,TRUE,"GENERAL";"TAB5",#N/A,TRUE,"GENERAL"}</definedName>
    <definedName name="jkl" hidden="1">{"TAB1",#N/A,TRUE,"GENERAL";"TAB2",#N/A,TRUE,"GENERAL";"TAB3",#N/A,TRUE,"GENERAL";"TAB4",#N/A,TRUE,"GENERAL";"TAB5",#N/A,TRUE,"GENERAL"}</definedName>
    <definedName name="JOHNNY">#N/A</definedName>
    <definedName name="JRYJ" localSheetId="10" hidden="1">{"via1",#N/A,TRUE,"general";"via2",#N/A,TRUE,"general";"via3",#N/A,TRUE,"general"}</definedName>
    <definedName name="JRYJ" localSheetId="8" hidden="1">{"via1",#N/A,TRUE,"general";"via2",#N/A,TRUE,"general";"via3",#N/A,TRUE,"general"}</definedName>
    <definedName name="JRYJ" localSheetId="5" hidden="1">{"via1",#N/A,TRUE,"general";"via2",#N/A,TRUE,"general";"via3",#N/A,TRUE,"general"}</definedName>
    <definedName name="JRYJ" hidden="1">{"via1",#N/A,TRUE,"general";"via2",#N/A,TRUE,"general";"via3",#N/A,TRUE,"general"}</definedName>
    <definedName name="jtyj" localSheetId="10" hidden="1">{"TAB1",#N/A,TRUE,"GENERAL";"TAB2",#N/A,TRUE,"GENERAL";"TAB3",#N/A,TRUE,"GENERAL";"TAB4",#N/A,TRUE,"GENERAL";"TAB5",#N/A,TRUE,"GENERAL"}</definedName>
    <definedName name="jtyj" localSheetId="8" hidden="1">{"TAB1",#N/A,TRUE,"GENERAL";"TAB2",#N/A,TRUE,"GENERAL";"TAB3",#N/A,TRUE,"GENERAL";"TAB4",#N/A,TRUE,"GENERAL";"TAB5",#N/A,TRUE,"GENERAL"}</definedName>
    <definedName name="jtyj" localSheetId="5" hidden="1">{"TAB1",#N/A,TRUE,"GENERAL";"TAB2",#N/A,TRUE,"GENERAL";"TAB3",#N/A,TRUE,"GENERAL";"TAB4",#N/A,TRUE,"GENERAL";"TAB5",#N/A,TRUE,"GENERAL"}</definedName>
    <definedName name="jtyj" hidden="1">{"TAB1",#N/A,TRUE,"GENERAL";"TAB2",#N/A,TRUE,"GENERAL";"TAB3",#N/A,TRUE,"GENERAL";"TAB4",#N/A,TRUE,"GENERAL";"TAB5",#N/A,TRUE,"GENERAL"}</definedName>
    <definedName name="jtyry" localSheetId="10" hidden="1">{"TAB1",#N/A,TRUE,"GENERAL";"TAB2",#N/A,TRUE,"GENERAL";"TAB3",#N/A,TRUE,"GENERAL";"TAB4",#N/A,TRUE,"GENERAL";"TAB5",#N/A,TRUE,"GENERAL"}</definedName>
    <definedName name="jtyry" localSheetId="8" hidden="1">{"TAB1",#N/A,TRUE,"GENERAL";"TAB2",#N/A,TRUE,"GENERAL";"TAB3",#N/A,TRUE,"GENERAL";"TAB4",#N/A,TRUE,"GENERAL";"TAB5",#N/A,TRUE,"GENERAL"}</definedName>
    <definedName name="jtyry" localSheetId="5" hidden="1">{"TAB1",#N/A,TRUE,"GENERAL";"TAB2",#N/A,TRUE,"GENERAL";"TAB3",#N/A,TRUE,"GENERAL";"TAB4",#N/A,TRUE,"GENERAL";"TAB5",#N/A,TRUE,"GENERAL"}</definedName>
    <definedName name="jtyry" hidden="1">{"TAB1",#N/A,TRUE,"GENERAL";"TAB2",#N/A,TRUE,"GENERAL";"TAB3",#N/A,TRUE,"GENERAL";"TAB4",#N/A,TRUE,"GENERAL";"TAB5",#N/A,TRUE,"GENERAL"}</definedName>
    <definedName name="juj" localSheetId="10" hidden="1">{"via1",#N/A,TRUE,"general";"via2",#N/A,TRUE,"general";"via3",#N/A,TRUE,"general"}</definedName>
    <definedName name="juj" localSheetId="8" hidden="1">{"via1",#N/A,TRUE,"general";"via2",#N/A,TRUE,"general";"via3",#N/A,TRUE,"general"}</definedName>
    <definedName name="juj" localSheetId="5" hidden="1">{"via1",#N/A,TRUE,"general";"via2",#N/A,TRUE,"general";"via3",#N/A,TRUE,"general"}</definedName>
    <definedName name="juj" hidden="1">{"via1",#N/A,TRUE,"general";"via2",#N/A,TRUE,"general";"via3",#N/A,TRUE,"general"}</definedName>
    <definedName name="jujcx" localSheetId="10" hidden="1">{"via1",#N/A,TRUE,"general";"via2",#N/A,TRUE,"general";"via3",#N/A,TRUE,"general"}</definedName>
    <definedName name="jujcx" localSheetId="8" hidden="1">{"via1",#N/A,TRUE,"general";"via2",#N/A,TRUE,"general";"via3",#N/A,TRUE,"general"}</definedName>
    <definedName name="jujcx" localSheetId="5" hidden="1">{"via1",#N/A,TRUE,"general";"via2",#N/A,TRUE,"general";"via3",#N/A,TRUE,"general"}</definedName>
    <definedName name="jujcx" hidden="1">{"via1",#N/A,TRUE,"general";"via2",#N/A,TRUE,"general";"via3",#N/A,TRUE,"general"}</definedName>
    <definedName name="jujuj" localSheetId="10" hidden="1">{"via1",#N/A,TRUE,"general";"via2",#N/A,TRUE,"general";"via3",#N/A,TRUE,"general"}</definedName>
    <definedName name="jujuj" localSheetId="8" hidden="1">{"via1",#N/A,TRUE,"general";"via2",#N/A,TRUE,"general";"via3",#N/A,TRUE,"general"}</definedName>
    <definedName name="jujuj" localSheetId="5" hidden="1">{"via1",#N/A,TRUE,"general";"via2",#N/A,TRUE,"general";"via3",#N/A,TRUE,"general"}</definedName>
    <definedName name="jujuj" hidden="1">{"via1",#N/A,TRUE,"general";"via2",#N/A,TRUE,"general";"via3",#N/A,TRUE,"general"}</definedName>
    <definedName name="jujujuju" localSheetId="10" hidden="1">{"TAB1",#N/A,TRUE,"GENERAL";"TAB2",#N/A,TRUE,"GENERAL";"TAB3",#N/A,TRUE,"GENERAL";"TAB4",#N/A,TRUE,"GENERAL";"TAB5",#N/A,TRUE,"GENERAL"}</definedName>
    <definedName name="jujujuju" localSheetId="8" hidden="1">{"TAB1",#N/A,TRUE,"GENERAL";"TAB2",#N/A,TRUE,"GENERAL";"TAB3",#N/A,TRUE,"GENERAL";"TAB4",#N/A,TRUE,"GENERAL";"TAB5",#N/A,TRUE,"GENERAL"}</definedName>
    <definedName name="jujujuju" localSheetId="5" hidden="1">{"TAB1",#N/A,TRUE,"GENERAL";"TAB2",#N/A,TRUE,"GENERAL";"TAB3",#N/A,TRUE,"GENERAL";"TAB4",#N/A,TRUE,"GENERAL";"TAB5",#N/A,TRUE,"GENERAL"}</definedName>
    <definedName name="jujujuju" hidden="1">{"TAB1",#N/A,TRUE,"GENERAL";"TAB2",#N/A,TRUE,"GENERAL";"TAB3",#N/A,TRUE,"GENERAL";"TAB4",#N/A,TRUE,"GENERAL";"TAB5",#N/A,TRUE,"GENERAL"}</definedName>
    <definedName name="juuuhb" localSheetId="10" hidden="1">{"TAB1",#N/A,TRUE,"GENERAL";"TAB2",#N/A,TRUE,"GENERAL";"TAB3",#N/A,TRUE,"GENERAL";"TAB4",#N/A,TRUE,"GENERAL";"TAB5",#N/A,TRUE,"GENERAL"}</definedName>
    <definedName name="juuuhb" localSheetId="8" hidden="1">{"TAB1",#N/A,TRUE,"GENERAL";"TAB2",#N/A,TRUE,"GENERAL";"TAB3",#N/A,TRUE,"GENERAL";"TAB4",#N/A,TRUE,"GENERAL";"TAB5",#N/A,TRUE,"GENERAL"}</definedName>
    <definedName name="juuuhb" localSheetId="5" hidden="1">{"TAB1",#N/A,TRUE,"GENERAL";"TAB2",#N/A,TRUE,"GENERAL";"TAB3",#N/A,TRUE,"GENERAL";"TAB4",#N/A,TRUE,"GENERAL";"TAB5",#N/A,TRUE,"GENERAL"}</definedName>
    <definedName name="juuuhb" hidden="1">{"TAB1",#N/A,TRUE,"GENERAL";"TAB2",#N/A,TRUE,"GENERAL";"TAB3",#N/A,TRUE,"GENERAL";"TAB4",#N/A,TRUE,"GENERAL";"TAB5",#N/A,TRUE,"GENERAL"}</definedName>
    <definedName name="jvv" localSheetId="5">#REF!</definedName>
    <definedName name="jvv">#REF!</definedName>
    <definedName name="jyjt7" localSheetId="10" hidden="1">{"via1",#N/A,TRUE,"general";"via2",#N/A,TRUE,"general";"via3",#N/A,TRUE,"general"}</definedName>
    <definedName name="jyjt7" localSheetId="8" hidden="1">{"via1",#N/A,TRUE,"general";"via2",#N/A,TRUE,"general";"via3",#N/A,TRUE,"general"}</definedName>
    <definedName name="jyjt7" localSheetId="5" hidden="1">{"via1",#N/A,TRUE,"general";"via2",#N/A,TRUE,"general";"via3",#N/A,TRUE,"general"}</definedName>
    <definedName name="jyjt7" hidden="1">{"via1",#N/A,TRUE,"general";"via2",#N/A,TRUE,"general";"via3",#N/A,TRUE,"general"}</definedName>
    <definedName name="jyt" localSheetId="10" hidden="1">{"via1",#N/A,TRUE,"general";"via2",#N/A,TRUE,"general";"via3",#N/A,TRUE,"general"}</definedName>
    <definedName name="jyt" localSheetId="8" hidden="1">{"via1",#N/A,TRUE,"general";"via2",#N/A,TRUE,"general";"via3",#N/A,TRUE,"general"}</definedName>
    <definedName name="jyt" localSheetId="5" hidden="1">{"via1",#N/A,TRUE,"general";"via2",#N/A,TRUE,"general";"via3",#N/A,TRUE,"general"}</definedName>
    <definedName name="jyt" hidden="1">{"via1",#N/A,TRUE,"general";"via2",#N/A,TRUE,"general";"via3",#N/A,TRUE,"general"}</definedName>
    <definedName name="jytj" localSheetId="10" hidden="1">{"via1",#N/A,TRUE,"general";"via2",#N/A,TRUE,"general";"via3",#N/A,TRUE,"general"}</definedName>
    <definedName name="jytj" localSheetId="8" hidden="1">{"via1",#N/A,TRUE,"general";"via2",#N/A,TRUE,"general";"via3",#N/A,TRUE,"general"}</definedName>
    <definedName name="jytj" localSheetId="5" hidden="1">{"via1",#N/A,TRUE,"general";"via2",#N/A,TRUE,"general";"via3",#N/A,TRUE,"general"}</definedName>
    <definedName name="jytj" hidden="1">{"via1",#N/A,TRUE,"general";"via2",#N/A,TRUE,"general";"via3",#N/A,TRUE,"general"}</definedName>
    <definedName name="jyuju" localSheetId="10" hidden="1">{"via1",#N/A,TRUE,"general";"via2",#N/A,TRUE,"general";"via3",#N/A,TRUE,"general"}</definedName>
    <definedName name="jyuju" localSheetId="8" hidden="1">{"via1",#N/A,TRUE,"general";"via2",#N/A,TRUE,"general";"via3",#N/A,TRUE,"general"}</definedName>
    <definedName name="jyuju" localSheetId="5" hidden="1">{"via1",#N/A,TRUE,"general";"via2",#N/A,TRUE,"general";"via3",#N/A,TRUE,"general"}</definedName>
    <definedName name="jyuju" hidden="1">{"via1",#N/A,TRUE,"general";"via2",#N/A,TRUE,"general";"via3",#N/A,TRUE,"general"}</definedName>
    <definedName name="jyujyuj" localSheetId="10" hidden="1">{"via1",#N/A,TRUE,"general";"via2",#N/A,TRUE,"general";"via3",#N/A,TRUE,"general"}</definedName>
    <definedName name="jyujyuj" localSheetId="8" hidden="1">{"via1",#N/A,TRUE,"general";"via2",#N/A,TRUE,"general";"via3",#N/A,TRUE,"general"}</definedName>
    <definedName name="jyujyuj" localSheetId="5" hidden="1">{"via1",#N/A,TRUE,"general";"via2",#N/A,TRUE,"general";"via3",#N/A,TRUE,"general"}</definedName>
    <definedName name="jyujyuj" hidden="1">{"via1",#N/A,TRUE,"general";"via2",#N/A,TRUE,"general";"via3",#N/A,TRUE,"general"}</definedName>
    <definedName name="K0F1" localSheetId="5">#REF!</definedName>
    <definedName name="K0F1">#REF!</definedName>
    <definedName name="K0F2" localSheetId="5">#REF!</definedName>
    <definedName name="K0F2">#REF!</definedName>
    <definedName name="K10ALO" localSheetId="5">#REF!</definedName>
    <definedName name="K10ALO">#REF!</definedName>
    <definedName name="K11ALO" localSheetId="5">#REF!</definedName>
    <definedName name="K11ALO">#REF!</definedName>
    <definedName name="K1F1" localSheetId="5">#REF!</definedName>
    <definedName name="K1F1">#REF!</definedName>
    <definedName name="K1F2" localSheetId="5">#REF!</definedName>
    <definedName name="K1F2">#REF!</definedName>
    <definedName name="K2F1" localSheetId="5">#REF!</definedName>
    <definedName name="K2F1">#REF!</definedName>
    <definedName name="K2F2" localSheetId="5">#REF!</definedName>
    <definedName name="K2F2">#REF!</definedName>
    <definedName name="K3F1" localSheetId="5">#REF!</definedName>
    <definedName name="K3F1">#REF!</definedName>
    <definedName name="K3F2" localSheetId="5">#REF!</definedName>
    <definedName name="K3F2">#REF!</definedName>
    <definedName name="K4F1" localSheetId="5">#REF!</definedName>
    <definedName name="K4F1">#REF!</definedName>
    <definedName name="K4F2" localSheetId="5">#REF!</definedName>
    <definedName name="K4F2">#REF!</definedName>
    <definedName name="K5F1" localSheetId="5">#REF!</definedName>
    <definedName name="K5F1">#REF!</definedName>
    <definedName name="K5F2" localSheetId="5">#REF!</definedName>
    <definedName name="K5F2">#REF!</definedName>
    <definedName name="K6F1" localSheetId="5">#REF!</definedName>
    <definedName name="K6F1">#REF!</definedName>
    <definedName name="K6F2" localSheetId="5">#REF!</definedName>
    <definedName name="K6F2">#REF!</definedName>
    <definedName name="K7F1" localSheetId="5">#REF!</definedName>
    <definedName name="K7F1">#REF!</definedName>
    <definedName name="K7F2" localSheetId="5">#REF!</definedName>
    <definedName name="K7F2">#REF!</definedName>
    <definedName name="K8ALO" localSheetId="5">#REF!</definedName>
    <definedName name="K8ALO">#REF!</definedName>
    <definedName name="K8F1" localSheetId="5">#REF!</definedName>
    <definedName name="K8F1">#REF!</definedName>
    <definedName name="K8F2" localSheetId="5">#REF!</definedName>
    <definedName name="K8F2">#REF!</definedName>
    <definedName name="K9ALO" localSheetId="5">#REF!</definedName>
    <definedName name="K9ALO">#REF!</definedName>
    <definedName name="KHGGH" localSheetId="10" hidden="1">{"via1",#N/A,TRUE,"general";"via2",#N/A,TRUE,"general";"via3",#N/A,TRUE,"general"}</definedName>
    <definedName name="KHGGH" localSheetId="8" hidden="1">{"via1",#N/A,TRUE,"general";"via2",#N/A,TRUE,"general";"via3",#N/A,TRUE,"general"}</definedName>
    <definedName name="KHGGH" localSheetId="5" hidden="1">{"via1",#N/A,TRUE,"general";"via2",#N/A,TRUE,"general";"via3",#N/A,TRUE,"general"}</definedName>
    <definedName name="KHGGH" hidden="1">{"via1",#N/A,TRUE,"general";"via2",#N/A,TRUE,"general";"via3",#N/A,TRUE,"general"}</definedName>
    <definedName name="khjk7" localSheetId="10" hidden="1">{"TAB1",#N/A,TRUE,"GENERAL";"TAB2",#N/A,TRUE,"GENERAL";"TAB3",#N/A,TRUE,"GENERAL";"TAB4",#N/A,TRUE,"GENERAL";"TAB5",#N/A,TRUE,"GENERAL"}</definedName>
    <definedName name="khjk7" localSheetId="8" hidden="1">{"TAB1",#N/A,TRUE,"GENERAL";"TAB2",#N/A,TRUE,"GENERAL";"TAB3",#N/A,TRUE,"GENERAL";"TAB4",#N/A,TRUE,"GENERAL";"TAB5",#N/A,TRUE,"GENERAL"}</definedName>
    <definedName name="khjk7" localSheetId="5" hidden="1">{"TAB1",#N/A,TRUE,"GENERAL";"TAB2",#N/A,TRUE,"GENERAL";"TAB3",#N/A,TRUE,"GENERAL";"TAB4",#N/A,TRUE,"GENERAL";"TAB5",#N/A,TRUE,"GENERAL"}</definedName>
    <definedName name="khjk7" hidden="1">{"TAB1",#N/A,TRUE,"GENERAL";"TAB2",#N/A,TRUE,"GENERAL";"TAB3",#N/A,TRUE,"GENERAL";"TAB4",#N/A,TRUE,"GENERAL";"TAB5",#N/A,TRUE,"GENERAL"}</definedName>
    <definedName name="kikik" localSheetId="10" hidden="1">{"via1",#N/A,TRUE,"general";"via2",#N/A,TRUE,"general";"via3",#N/A,TRUE,"general"}</definedName>
    <definedName name="kikik" localSheetId="8" hidden="1">{"via1",#N/A,TRUE,"general";"via2",#N/A,TRUE,"general";"via3",#N/A,TRUE,"general"}</definedName>
    <definedName name="kikik" localSheetId="5" hidden="1">{"via1",#N/A,TRUE,"general";"via2",#N/A,TRUE,"general";"via3",#N/A,TRUE,"general"}</definedName>
    <definedName name="kikik" hidden="1">{"via1",#N/A,TRUE,"general";"via2",#N/A,TRUE,"general";"via3",#N/A,TRUE,"general"}</definedName>
    <definedName name="kjhkd" localSheetId="10" hidden="1">{"via1",#N/A,TRUE,"general";"via2",#N/A,TRUE,"general";"via3",#N/A,TRUE,"general"}</definedName>
    <definedName name="kjhkd" localSheetId="8" hidden="1">{"via1",#N/A,TRUE,"general";"via2",#N/A,TRUE,"general";"via3",#N/A,TRUE,"general"}</definedName>
    <definedName name="kjhkd" localSheetId="5" hidden="1">{"via1",#N/A,TRUE,"general";"via2",#N/A,TRUE,"general";"via3",#N/A,TRUE,"general"}</definedName>
    <definedName name="kjhkd" hidden="1">{"via1",#N/A,TRUE,"general";"via2",#N/A,TRUE,"general";"via3",#N/A,TRUE,"general"}</definedName>
    <definedName name="kjk" localSheetId="10" hidden="1">{"via1",#N/A,TRUE,"general";"via2",#N/A,TRUE,"general";"via3",#N/A,TRUE,"general"}</definedName>
    <definedName name="kjk" localSheetId="8" hidden="1">{"via1",#N/A,TRUE,"general";"via2",#N/A,TRUE,"general";"via3",#N/A,TRUE,"general"}</definedName>
    <definedName name="kjk" localSheetId="5" hidden="1">{"via1",#N/A,TRUE,"general";"via2",#N/A,TRUE,"general";"via3",#N/A,TRUE,"general"}</definedName>
    <definedName name="kjk" hidden="1">{"via1",#N/A,TRUE,"general";"via2",#N/A,TRUE,"general";"via3",#N/A,TRUE,"general"}</definedName>
    <definedName name="kjtrkjr" localSheetId="10" hidden="1">{"via1",#N/A,TRUE,"general";"via2",#N/A,TRUE,"general";"via3",#N/A,TRUE,"general"}</definedName>
    <definedName name="kjtrkjr" localSheetId="8" hidden="1">{"via1",#N/A,TRUE,"general";"via2",#N/A,TRUE,"general";"via3",#N/A,TRUE,"general"}</definedName>
    <definedName name="kjtrkjr" localSheetId="5" hidden="1">{"via1",#N/A,TRUE,"general";"via2",#N/A,TRUE,"general";"via3",#N/A,TRUE,"general"}</definedName>
    <definedName name="kjtrkjr" hidden="1">{"via1",#N/A,TRUE,"general";"via2",#N/A,TRUE,"general";"via3",#N/A,TRUE,"general"}</definedName>
    <definedName name="kkkki" localSheetId="10" hidden="1">{"via1",#N/A,TRUE,"general";"via2",#N/A,TRUE,"general";"via3",#N/A,TRUE,"general"}</definedName>
    <definedName name="kkkki" localSheetId="8" hidden="1">{"via1",#N/A,TRUE,"general";"via2",#N/A,TRUE,"general";"via3",#N/A,TRUE,"general"}</definedName>
    <definedName name="kkkki" localSheetId="5" hidden="1">{"via1",#N/A,TRUE,"general";"via2",#N/A,TRUE,"general";"via3",#N/A,TRUE,"general"}</definedName>
    <definedName name="kkkki" hidden="1">{"via1",#N/A,TRUE,"general";"via2",#N/A,TRUE,"general";"via3",#N/A,TRUE,"general"}</definedName>
    <definedName name="kkkkkki" localSheetId="10" hidden="1">{"TAB1",#N/A,TRUE,"GENERAL";"TAB2",#N/A,TRUE,"GENERAL";"TAB3",#N/A,TRUE,"GENERAL";"TAB4",#N/A,TRUE,"GENERAL";"TAB5",#N/A,TRUE,"GENERAL"}</definedName>
    <definedName name="kkkkkki" localSheetId="8" hidden="1">{"TAB1",#N/A,TRUE,"GENERAL";"TAB2",#N/A,TRUE,"GENERAL";"TAB3",#N/A,TRUE,"GENERAL";"TAB4",#N/A,TRUE,"GENERAL";"TAB5",#N/A,TRUE,"GENERAL"}</definedName>
    <definedName name="kkkkkki" localSheetId="5" hidden="1">{"TAB1",#N/A,TRUE,"GENERAL";"TAB2",#N/A,TRUE,"GENERAL";"TAB3",#N/A,TRUE,"GENERAL";"TAB4",#N/A,TRUE,"GENERAL";"TAB5",#N/A,TRUE,"GENERAL"}</definedName>
    <definedName name="kkkkkki" hidden="1">{"TAB1",#N/A,TRUE,"GENERAL";"TAB2",#N/A,TRUE,"GENERAL";"TAB3",#N/A,TRUE,"GENERAL";"TAB4",#N/A,TRUE,"GENERAL";"TAB5",#N/A,TRUE,"GENERAL"}</definedName>
    <definedName name="kl">#N/A</definedName>
    <definedName name="klklk" localSheetId="5">#REF!</definedName>
    <definedName name="klklk">#REF!</definedName>
    <definedName name="krtrk" localSheetId="10" hidden="1">{"via1",#N/A,TRUE,"general";"via2",#N/A,TRUE,"general";"via3",#N/A,TRUE,"general"}</definedName>
    <definedName name="krtrk" localSheetId="8" hidden="1">{"via1",#N/A,TRUE,"general";"via2",#N/A,TRUE,"general";"via3",#N/A,TRUE,"general"}</definedName>
    <definedName name="krtrk" localSheetId="5" hidden="1">{"via1",#N/A,TRUE,"general";"via2",#N/A,TRUE,"general";"via3",#N/A,TRUE,"general"}</definedName>
    <definedName name="krtrk" hidden="1">{"via1",#N/A,TRUE,"general";"via2",#N/A,TRUE,"general";"via3",#N/A,TRUE,"general"}</definedName>
    <definedName name="kyr" localSheetId="10" hidden="1">{"TAB1",#N/A,TRUE,"GENERAL";"TAB2",#N/A,TRUE,"GENERAL";"TAB3",#N/A,TRUE,"GENERAL";"TAB4",#N/A,TRUE,"GENERAL";"TAB5",#N/A,TRUE,"GENERAL"}</definedName>
    <definedName name="kyr" localSheetId="8" hidden="1">{"TAB1",#N/A,TRUE,"GENERAL";"TAB2",#N/A,TRUE,"GENERAL";"TAB3",#N/A,TRUE,"GENERAL";"TAB4",#N/A,TRUE,"GENERAL";"TAB5",#N/A,TRUE,"GENERAL"}</definedName>
    <definedName name="kyr" localSheetId="5" hidden="1">{"TAB1",#N/A,TRUE,"GENERAL";"TAB2",#N/A,TRUE,"GENERAL";"TAB3",#N/A,TRUE,"GENERAL";"TAB4",#N/A,TRUE,"GENERAL";"TAB5",#N/A,TRUE,"GENERAL"}</definedName>
    <definedName name="kyr" hidden="1">{"TAB1",#N/A,TRUE,"GENERAL";"TAB2",#N/A,TRUE,"GENERAL";"TAB3",#N/A,TRUE,"GENERAL";"TAB4",#N/A,TRUE,"GENERAL";"TAB5",#N/A,TRUE,"GENERAL"}</definedName>
    <definedName name="LICITACION" localSheetId="5">#REF!</definedName>
    <definedName name="LICITACION">#REF!</definedName>
    <definedName name="LINEA" localSheetId="5">[27]CONT_ADI!#REF!</definedName>
    <definedName name="LINEA">[27]CONT_ADI!#REF!</definedName>
    <definedName name="liuoo" localSheetId="10" hidden="1">{"TAB1",#N/A,TRUE,"GENERAL";"TAB2",#N/A,TRUE,"GENERAL";"TAB3",#N/A,TRUE,"GENERAL";"TAB4",#N/A,TRUE,"GENERAL";"TAB5",#N/A,TRUE,"GENERAL"}</definedName>
    <definedName name="liuoo" localSheetId="8" hidden="1">{"TAB1",#N/A,TRUE,"GENERAL";"TAB2",#N/A,TRUE,"GENERAL";"TAB3",#N/A,TRUE,"GENERAL";"TAB4",#N/A,TRUE,"GENERAL";"TAB5",#N/A,TRUE,"GENERAL"}</definedName>
    <definedName name="liuoo" localSheetId="5" hidden="1">{"TAB1",#N/A,TRUE,"GENERAL";"TAB2",#N/A,TRUE,"GENERAL";"TAB3",#N/A,TRUE,"GENERAL";"TAB4",#N/A,TRUE,"GENERAL";"TAB5",#N/A,TRUE,"GENERAL"}</definedName>
    <definedName name="liuoo" hidden="1">{"TAB1",#N/A,TRUE,"GENERAL";"TAB2",#N/A,TRUE,"GENERAL";"TAB3",#N/A,TRUE,"GENERAL";"TAB4",#N/A,TRUE,"GENERAL";"TAB5",#N/A,TRUE,"GENERAL"}</definedName>
    <definedName name="lkj" localSheetId="10" hidden="1">{"via1",#N/A,TRUE,"general";"via2",#N/A,TRUE,"general";"via3",#N/A,TRUE,"general"}</definedName>
    <definedName name="lkj" localSheetId="8" hidden="1">{"via1",#N/A,TRUE,"general";"via2",#N/A,TRUE,"general";"via3",#N/A,TRUE,"general"}</definedName>
    <definedName name="lkj" localSheetId="5" hidden="1">{"via1",#N/A,TRUE,"general";"via2",#N/A,TRUE,"general";"via3",#N/A,TRUE,"general"}</definedName>
    <definedName name="lkj" hidden="1">{"via1",#N/A,TRUE,"general";"via2",#N/A,TRUE,"general";"via3",#N/A,TRUE,"general"}</definedName>
    <definedName name="LKJLJK" localSheetId="10" hidden="1">{"TAB1",#N/A,TRUE,"GENERAL";"TAB2",#N/A,TRUE,"GENERAL";"TAB3",#N/A,TRUE,"GENERAL";"TAB4",#N/A,TRUE,"GENERAL";"TAB5",#N/A,TRUE,"GENERAL"}</definedName>
    <definedName name="LKJLJK" localSheetId="8" hidden="1">{"TAB1",#N/A,TRUE,"GENERAL";"TAB2",#N/A,TRUE,"GENERAL";"TAB3",#N/A,TRUE,"GENERAL";"TAB4",#N/A,TRUE,"GENERAL";"TAB5",#N/A,TRUE,"GENERAL"}</definedName>
    <definedName name="LKJLJK" localSheetId="5" hidden="1">{"TAB1",#N/A,TRUE,"GENERAL";"TAB2",#N/A,TRUE,"GENERAL";"TAB3",#N/A,TRUE,"GENERAL";"TAB4",#N/A,TRUE,"GENERAL";"TAB5",#N/A,TRUE,"GENERAL"}</definedName>
    <definedName name="LKJLJK" hidden="1">{"TAB1",#N/A,TRUE,"GENERAL";"TAB2",#N/A,TRUE,"GENERAL";"TAB3",#N/A,TRUE,"GENERAL";"TAB4",#N/A,TRUE,"GENERAL";"TAB5",#N/A,TRUE,"GENERAL"}</definedName>
    <definedName name="lllllh" localSheetId="10" hidden="1">{"via1",#N/A,TRUE,"general";"via2",#N/A,TRUE,"general";"via3",#N/A,TRUE,"general"}</definedName>
    <definedName name="lllllh" localSheetId="8" hidden="1">{"via1",#N/A,TRUE,"general";"via2",#N/A,TRUE,"general";"via3",#N/A,TRUE,"general"}</definedName>
    <definedName name="lllllh" localSheetId="5" hidden="1">{"via1",#N/A,TRUE,"general";"via2",#N/A,TRUE,"general";"via3",#N/A,TRUE,"general"}</definedName>
    <definedName name="lllllh" hidden="1">{"via1",#N/A,TRUE,"general";"via2",#N/A,TRUE,"general";"via3",#N/A,TRUE,"general"}</definedName>
    <definedName name="lllllllo" localSheetId="10" hidden="1">{"via1",#N/A,TRUE,"general";"via2",#N/A,TRUE,"general";"via3",#N/A,TRUE,"general"}</definedName>
    <definedName name="lllllllo" localSheetId="8" hidden="1">{"via1",#N/A,TRUE,"general";"via2",#N/A,TRUE,"general";"via3",#N/A,TRUE,"general"}</definedName>
    <definedName name="lllllllo" localSheetId="5" hidden="1">{"via1",#N/A,TRUE,"general";"via2",#N/A,TRUE,"general";"via3",#N/A,TRUE,"general"}</definedName>
    <definedName name="lllllllo" hidden="1">{"via1",#N/A,TRUE,"general";"via2",#N/A,TRUE,"general";"via3",#N/A,TRUE,"general"}</definedName>
    <definedName name="LOCA" localSheetId="5">[8]!absc</definedName>
    <definedName name="LOCA">[8]!absc</definedName>
    <definedName name="LOCA1" localSheetId="5">[17]!absc</definedName>
    <definedName name="LOCA1">[17]!absc</definedName>
    <definedName name="LOCALIZACION_Y_REPLANTEO" localSheetId="5">#REF!</definedName>
    <definedName name="LOCALIZACION_Y_REPLANTEO">#REF!</definedName>
    <definedName name="LOGO">#N/A</definedName>
    <definedName name="lolol" localSheetId="10" hidden="1">{"TAB1",#N/A,TRUE,"GENERAL";"TAB2",#N/A,TRUE,"GENERAL";"TAB3",#N/A,TRUE,"GENERAL";"TAB4",#N/A,TRUE,"GENERAL";"TAB5",#N/A,TRUE,"GENERAL"}</definedName>
    <definedName name="lolol" localSheetId="8" hidden="1">{"TAB1",#N/A,TRUE,"GENERAL";"TAB2",#N/A,TRUE,"GENERAL";"TAB3",#N/A,TRUE,"GENERAL";"TAB4",#N/A,TRUE,"GENERAL";"TAB5",#N/A,TRUE,"GENERAL"}</definedName>
    <definedName name="lolol" localSheetId="5" hidden="1">{"TAB1",#N/A,TRUE,"GENERAL";"TAB2",#N/A,TRUE,"GENERAL";"TAB3",#N/A,TRUE,"GENERAL";"TAB4",#N/A,TRUE,"GENERAL";"TAB5",#N/A,TRUE,"GENERAL"}</definedName>
    <definedName name="lolol" hidden="1">{"TAB1",#N/A,TRUE,"GENERAL";"TAB2",#N/A,TRUE,"GENERAL";"TAB3",#N/A,TRUE,"GENERAL";"TAB4",#N/A,TRUE,"GENERAL";"TAB5",#N/A,TRUE,"GENERAL"}</definedName>
    <definedName name="lplpl" localSheetId="10" hidden="1">{"via1",#N/A,TRUE,"general";"via2",#N/A,TRUE,"general";"via3",#N/A,TRUE,"general"}</definedName>
    <definedName name="lplpl" localSheetId="8" hidden="1">{"via1",#N/A,TRUE,"general";"via2",#N/A,TRUE,"general";"via3",#N/A,TRUE,"general"}</definedName>
    <definedName name="lplpl" localSheetId="5" hidden="1">{"via1",#N/A,TRUE,"general";"via2",#N/A,TRUE,"general";"via3",#N/A,TRUE,"general"}</definedName>
    <definedName name="lplpl" hidden="1">{"via1",#N/A,TRUE,"general";"via2",#N/A,TRUE,"general";"via3",#N/A,TRUE,"general"}</definedName>
    <definedName name="lun" localSheetId="5">'[16]Res-Accide-10'!#REF!</definedName>
    <definedName name="lun">'[16]Res-Accide-10'!#REF!</definedName>
    <definedName name="MA" localSheetId="5">'[16]Res-Accide-10'!#REF!</definedName>
    <definedName name="MA">'[16]Res-Accide-10'!#REF!</definedName>
    <definedName name="mafdsf" localSheetId="10" hidden="1">{"via1",#N/A,TRUE,"general";"via2",#N/A,TRUE,"general";"via3",#N/A,TRUE,"general"}</definedName>
    <definedName name="mafdsf" localSheetId="8" hidden="1">{"via1",#N/A,TRUE,"general";"via2",#N/A,TRUE,"general";"via3",#N/A,TRUE,"general"}</definedName>
    <definedName name="mafdsf" localSheetId="5" hidden="1">{"via1",#N/A,TRUE,"general";"via2",#N/A,TRUE,"general";"via3",#N/A,TRUE,"general"}</definedName>
    <definedName name="mafdsf" hidden="1">{"via1",#N/A,TRUE,"general";"via2",#N/A,TRUE,"general";"via3",#N/A,TRUE,"general"}</definedName>
    <definedName name="mao" localSheetId="10" hidden="1">{"TAB1",#N/A,TRUE,"GENERAL";"TAB2",#N/A,TRUE,"GENERAL";"TAB3",#N/A,TRUE,"GENERAL";"TAB4",#N/A,TRUE,"GENERAL";"TAB5",#N/A,TRUE,"GENERAL"}</definedName>
    <definedName name="mao" localSheetId="8" hidden="1">{"TAB1",#N/A,TRUE,"GENERAL";"TAB2",#N/A,TRUE,"GENERAL";"TAB3",#N/A,TRUE,"GENERAL";"TAB4",#N/A,TRUE,"GENERAL";"TAB5",#N/A,TRUE,"GENERAL"}</definedName>
    <definedName name="mao" localSheetId="5" hidden="1">{"TAB1",#N/A,TRUE,"GENERAL";"TAB2",#N/A,TRUE,"GENERAL";"TAB3",#N/A,TRUE,"GENERAL";"TAB4",#N/A,TRUE,"GENERAL";"TAB5",#N/A,TRUE,"GENERAL"}</definedName>
    <definedName name="mao" hidden="1">{"TAB1",#N/A,TRUE,"GENERAL";"TAB2",#N/A,TRUE,"GENERAL";"TAB3",#N/A,TRUE,"GENERAL";"TAB4",#N/A,TRUE,"GENERAL";"TAB5",#N/A,TRUE,"GENERAL"}</definedName>
    <definedName name="maow" localSheetId="10" hidden="1">{"via1",#N/A,TRUE,"general";"via2",#N/A,TRUE,"general";"via3",#N/A,TRUE,"general"}</definedName>
    <definedName name="maow" localSheetId="8" hidden="1">{"via1",#N/A,TRUE,"general";"via2",#N/A,TRUE,"general";"via3",#N/A,TRUE,"general"}</definedName>
    <definedName name="maow" localSheetId="5" hidden="1">{"via1",#N/A,TRUE,"general";"via2",#N/A,TRUE,"general";"via3",#N/A,TRUE,"general"}</definedName>
    <definedName name="maow" hidden="1">{"via1",#N/A,TRUE,"general";"via2",#N/A,TRUE,"general";"via3",#N/A,TRUE,"general"}</definedName>
    <definedName name="MAQUINAR">[20]Insum!$A$68:$H$98</definedName>
    <definedName name="mar" localSheetId="5">'[16]Res-Accide-10'!#REF!</definedName>
    <definedName name="mar">'[16]Res-Accide-10'!#REF!</definedName>
    <definedName name="masor" localSheetId="10" hidden="1">{"via1",#N/A,TRUE,"general";"via2",#N/A,TRUE,"general";"via3",#N/A,TRUE,"general"}</definedName>
    <definedName name="masor" localSheetId="8" hidden="1">{"via1",#N/A,TRUE,"general";"via2",#N/A,TRUE,"general";"via3",#N/A,TRUE,"general"}</definedName>
    <definedName name="masor" localSheetId="5" hidden="1">{"via1",#N/A,TRUE,"general";"via2",#N/A,TRUE,"general";"via3",#N/A,TRUE,"general"}</definedName>
    <definedName name="masor" hidden="1">{"via1",#N/A,TRUE,"general";"via2",#N/A,TRUE,"general";"via3",#N/A,TRUE,"general"}</definedName>
    <definedName name="MAT" localSheetId="5">#REF!</definedName>
    <definedName name="MAT">#REF!</definedName>
    <definedName name="materiales">[22]materiales!$A$7:$A$1317</definedName>
    <definedName name="mdd" localSheetId="10" hidden="1">{"via1",#N/A,TRUE,"general";"via2",#N/A,TRUE,"general";"via3",#N/A,TRUE,"general"}</definedName>
    <definedName name="mdd" localSheetId="8" hidden="1">{"via1",#N/A,TRUE,"general";"via2",#N/A,TRUE,"general";"via3",#N/A,TRUE,"general"}</definedName>
    <definedName name="mdd" localSheetId="5" hidden="1">{"via1",#N/A,TRUE,"general";"via2",#N/A,TRUE,"general";"via3",#N/A,TRUE,"general"}</definedName>
    <definedName name="mdd" hidden="1">{"via1",#N/A,TRUE,"general";"via2",#N/A,TRUE,"general";"via3",#N/A,TRUE,"general"}</definedName>
    <definedName name="meg" localSheetId="10" hidden="1">{"TAB1",#N/A,TRUE,"GENERAL";"TAB2",#N/A,TRUE,"GENERAL";"TAB3",#N/A,TRUE,"GENERAL";"TAB4",#N/A,TRUE,"GENERAL";"TAB5",#N/A,TRUE,"GENERAL"}</definedName>
    <definedName name="meg" localSheetId="8" hidden="1">{"TAB1",#N/A,TRUE,"GENERAL";"TAB2",#N/A,TRUE,"GENERAL";"TAB3",#N/A,TRUE,"GENERAL";"TAB4",#N/A,TRUE,"GENERAL";"TAB5",#N/A,TRUE,"GENERAL"}</definedName>
    <definedName name="meg" localSheetId="5" hidden="1">{"TAB1",#N/A,TRUE,"GENERAL";"TAB2",#N/A,TRUE,"GENERAL";"TAB3",#N/A,TRUE,"GENERAL";"TAB4",#N/A,TRUE,"GENERAL";"TAB5",#N/A,TRUE,"GENERAL"}</definedName>
    <definedName name="meg" hidden="1">{"TAB1",#N/A,TRUE,"GENERAL";"TAB2",#N/A,TRUE,"GENERAL";"TAB3",#N/A,TRUE,"GENERAL";"TAB4",#N/A,TRUE,"GENERAL";"TAB5",#N/A,TRUE,"GENERAL"}</definedName>
    <definedName name="MES">[5]PRESUPUESTO!$C$13</definedName>
    <definedName name="MESES" localSheetId="5">#REF!</definedName>
    <definedName name="MESES">#REF!</definedName>
    <definedName name="mfgjrdt" localSheetId="10" hidden="1">{"TAB1",#N/A,TRUE,"GENERAL";"TAB2",#N/A,TRUE,"GENERAL";"TAB3",#N/A,TRUE,"GENERAL";"TAB4",#N/A,TRUE,"GENERAL";"TAB5",#N/A,TRUE,"GENERAL"}</definedName>
    <definedName name="mfgjrdt" localSheetId="8" hidden="1">{"TAB1",#N/A,TRUE,"GENERAL";"TAB2",#N/A,TRUE,"GENERAL";"TAB3",#N/A,TRUE,"GENERAL";"TAB4",#N/A,TRUE,"GENERAL";"TAB5",#N/A,TRUE,"GENERAL"}</definedName>
    <definedName name="mfgjrdt" localSheetId="5" hidden="1">{"TAB1",#N/A,TRUE,"GENERAL";"TAB2",#N/A,TRUE,"GENERAL";"TAB3",#N/A,TRUE,"GENERAL";"TAB4",#N/A,TRUE,"GENERAL";"TAB5",#N/A,TRUE,"GENERAL"}</definedName>
    <definedName name="mfgjrdt" hidden="1">{"TAB1",#N/A,TRUE,"GENERAL";"TAB2",#N/A,TRUE,"GENERAL";"TAB3",#N/A,TRUE,"GENERAL";"TAB4",#N/A,TRUE,"GENERAL";"TAB5",#N/A,TRUE,"GENERAL"}</definedName>
    <definedName name="mghm" localSheetId="10" hidden="1">{"via1",#N/A,TRUE,"general";"via2",#N/A,TRUE,"general";"via3",#N/A,TRUE,"general"}</definedName>
    <definedName name="mghm" localSheetId="8" hidden="1">{"via1",#N/A,TRUE,"general";"via2",#N/A,TRUE,"general";"via3",#N/A,TRUE,"general"}</definedName>
    <definedName name="mghm" localSheetId="5" hidden="1">{"via1",#N/A,TRUE,"general";"via2",#N/A,TRUE,"general";"via3",#N/A,TRUE,"general"}</definedName>
    <definedName name="mghm" hidden="1">{"via1",#N/A,TRUE,"general";"via2",#N/A,TRUE,"general";"via3",#N/A,TRUE,"general"}</definedName>
    <definedName name="mjmj" localSheetId="10" hidden="1">{"via1",#N/A,TRUE,"general";"via2",#N/A,TRUE,"general";"via3",#N/A,TRUE,"general"}</definedName>
    <definedName name="mjmj" localSheetId="8" hidden="1">{"via1",#N/A,TRUE,"general";"via2",#N/A,TRUE,"general";"via3",#N/A,TRUE,"general"}</definedName>
    <definedName name="mjmj" localSheetId="5" hidden="1">{"via1",#N/A,TRUE,"general";"via2",#N/A,TRUE,"general";"via3",#N/A,TRUE,"general"}</definedName>
    <definedName name="mjmj" hidden="1">{"via1",#N/A,TRUE,"general";"via2",#N/A,TRUE,"general";"via3",#N/A,TRUE,"general"}</definedName>
    <definedName name="mjmjmn" localSheetId="10" hidden="1">{"via1",#N/A,TRUE,"general";"via2",#N/A,TRUE,"general";"via3",#N/A,TRUE,"general"}</definedName>
    <definedName name="mjmjmn" localSheetId="8" hidden="1">{"via1",#N/A,TRUE,"general";"via2",#N/A,TRUE,"general";"via3",#N/A,TRUE,"general"}</definedName>
    <definedName name="mjmjmn" localSheetId="5" hidden="1">{"via1",#N/A,TRUE,"general";"via2",#N/A,TRUE,"general";"via3",#N/A,TRUE,"general"}</definedName>
    <definedName name="mjmjmn" hidden="1">{"via1",#N/A,TRUE,"general";"via2",#N/A,TRUE,"general";"via3",#N/A,TRUE,"general"}</definedName>
    <definedName name="mjnhgkio" localSheetId="10" hidden="1">{"via1",#N/A,TRUE,"general";"via2",#N/A,TRUE,"general";"via3",#N/A,TRUE,"general"}</definedName>
    <definedName name="mjnhgkio" localSheetId="8" hidden="1">{"via1",#N/A,TRUE,"general";"via2",#N/A,TRUE,"general";"via3",#N/A,TRUE,"general"}</definedName>
    <definedName name="mjnhgkio" localSheetId="5" hidden="1">{"via1",#N/A,TRUE,"general";"via2",#N/A,TRUE,"general";"via3",#N/A,TRUE,"general"}</definedName>
    <definedName name="mjnhgkio" hidden="1">{"via1",#N/A,TRUE,"general";"via2",#N/A,TRUE,"general";"via3",#N/A,TRUE,"general"}</definedName>
    <definedName name="mmjmjh" localSheetId="10" hidden="1">{"TAB1",#N/A,TRUE,"GENERAL";"TAB2",#N/A,TRUE,"GENERAL";"TAB3",#N/A,TRUE,"GENERAL";"TAB4",#N/A,TRUE,"GENERAL";"TAB5",#N/A,TRUE,"GENERAL"}</definedName>
    <definedName name="mmjmjh" localSheetId="8" hidden="1">{"TAB1",#N/A,TRUE,"GENERAL";"TAB2",#N/A,TRUE,"GENERAL";"TAB3",#N/A,TRUE,"GENERAL";"TAB4",#N/A,TRUE,"GENERAL";"TAB5",#N/A,TRUE,"GENERAL"}</definedName>
    <definedName name="mmjmjh" localSheetId="5" hidden="1">{"TAB1",#N/A,TRUE,"GENERAL";"TAB2",#N/A,TRUE,"GENERAL";"TAB3",#N/A,TRUE,"GENERAL";"TAB4",#N/A,TRUE,"GENERAL";"TAB5",#N/A,TRUE,"GENERAL"}</definedName>
    <definedName name="mmjmjh" hidden="1">{"TAB1",#N/A,TRUE,"GENERAL";"TAB2",#N/A,TRUE,"GENERAL";"TAB3",#N/A,TRUE,"GENERAL";"TAB4",#N/A,TRUE,"GENERAL";"TAB5",#N/A,TRUE,"GENERAL"}</definedName>
    <definedName name="mmm" localSheetId="10" hidden="1">{"TAB1",#N/A,TRUE,"GENERAL";"TAB2",#N/A,TRUE,"GENERAL";"TAB3",#N/A,TRUE,"GENERAL";"TAB4",#N/A,TRUE,"GENERAL";"TAB5",#N/A,TRUE,"GENERAL"}</definedName>
    <definedName name="mmm" localSheetId="8" hidden="1">{"TAB1",#N/A,TRUE,"GENERAL";"TAB2",#N/A,TRUE,"GENERAL";"TAB3",#N/A,TRUE,"GENERAL";"TAB4",#N/A,TRUE,"GENERAL";"TAB5",#N/A,TRUE,"GENERAL"}</definedName>
    <definedName name="mmm" localSheetId="5" hidden="1">{"TAB1",#N/A,TRUE,"GENERAL";"TAB2",#N/A,TRUE,"GENERAL";"TAB3",#N/A,TRUE,"GENERAL";"TAB4",#N/A,TRUE,"GENERAL";"TAB5",#N/A,TRUE,"GENERAL"}</definedName>
    <definedName name="mmm" hidden="1">{"TAB1",#N/A,TRUE,"GENERAL";"TAB2",#N/A,TRUE,"GENERAL";"TAB3",#N/A,TRUE,"GENERAL";"TAB4",#N/A,TRUE,"GENERAL";"TAB5",#N/A,TRUE,"GENERAL"}</definedName>
    <definedName name="mmmh" localSheetId="10" hidden="1">{"via1",#N/A,TRUE,"general";"via2",#N/A,TRUE,"general";"via3",#N/A,TRUE,"general"}</definedName>
    <definedName name="mmmh" localSheetId="8" hidden="1">{"via1",#N/A,TRUE,"general";"via2",#N/A,TRUE,"general";"via3",#N/A,TRUE,"general"}</definedName>
    <definedName name="mmmh" localSheetId="5" hidden="1">{"via1",#N/A,TRUE,"general";"via2",#N/A,TRUE,"general";"via3",#N/A,TRUE,"general"}</definedName>
    <definedName name="mmmh" hidden="1">{"via1",#N/A,TRUE,"general";"via2",#N/A,TRUE,"general";"via3",#N/A,TRUE,"general"}</definedName>
    <definedName name="mmmmmjyt" localSheetId="10" hidden="1">{"TAB1",#N/A,TRUE,"GENERAL";"TAB2",#N/A,TRUE,"GENERAL";"TAB3",#N/A,TRUE,"GENERAL";"TAB4",#N/A,TRUE,"GENERAL";"TAB5",#N/A,TRUE,"GENERAL"}</definedName>
    <definedName name="mmmmmjyt" localSheetId="8" hidden="1">{"TAB1",#N/A,TRUE,"GENERAL";"TAB2",#N/A,TRUE,"GENERAL";"TAB3",#N/A,TRUE,"GENERAL";"TAB4",#N/A,TRUE,"GENERAL";"TAB5",#N/A,TRUE,"GENERAL"}</definedName>
    <definedName name="mmmmmjyt" localSheetId="5" hidden="1">{"TAB1",#N/A,TRUE,"GENERAL";"TAB2",#N/A,TRUE,"GENERAL";"TAB3",#N/A,TRUE,"GENERAL";"TAB4",#N/A,TRUE,"GENERAL";"TAB5",#N/A,TRUE,"GENERAL"}</definedName>
    <definedName name="mmmmmjyt" hidden="1">{"TAB1",#N/A,TRUE,"GENERAL";"TAB2",#N/A,TRUE,"GENERAL";"TAB3",#N/A,TRUE,"GENERAL";"TAB4",#N/A,TRUE,"GENERAL";"TAB5",#N/A,TRUE,"GENERAL"}</definedName>
    <definedName name="mmmmmmg" localSheetId="10" hidden="1">{"via1",#N/A,TRUE,"general";"via2",#N/A,TRUE,"general";"via3",#N/A,TRUE,"general"}</definedName>
    <definedName name="mmmmmmg" localSheetId="8" hidden="1">{"via1",#N/A,TRUE,"general";"via2",#N/A,TRUE,"general";"via3",#N/A,TRUE,"general"}</definedName>
    <definedName name="mmmmmmg" localSheetId="5" hidden="1">{"via1",#N/A,TRUE,"general";"via2",#N/A,TRUE,"general";"via3",#N/A,TRUE,"general"}</definedName>
    <definedName name="mmmmmmg" hidden="1">{"via1",#N/A,TRUE,"general";"via2",#N/A,TRUE,"general";"via3",#N/A,TRUE,"general"}</definedName>
    <definedName name="MN" localSheetId="10" hidden="1">{"via1",#N/A,TRUE,"general";"via2",#N/A,TRUE,"general";"via3",#N/A,TRUE,"general"}</definedName>
    <definedName name="MN" localSheetId="8" hidden="1">{"via1",#N/A,TRUE,"general";"via2",#N/A,TRUE,"general";"via3",#N/A,TRUE,"general"}</definedName>
    <definedName name="MN" localSheetId="5" hidden="1">{"via1",#N/A,TRUE,"general";"via2",#N/A,TRUE,"general";"via3",#N/A,TRUE,"general"}</definedName>
    <definedName name="MN" hidden="1">{"via1",#N/A,TRUE,"general";"via2",#N/A,TRUE,"general";"via3",#N/A,TRUE,"general"}</definedName>
    <definedName name="n" localSheetId="10" hidden="1">{"via1",#N/A,TRUE,"general";"via2",#N/A,TRUE,"general";"via3",#N/A,TRUE,"general"}</definedName>
    <definedName name="n" localSheetId="8" hidden="1">{"via1",#N/A,TRUE,"general";"via2",#N/A,TRUE,"general";"via3",#N/A,TRUE,"general"}</definedName>
    <definedName name="n" localSheetId="5" hidden="1">{"via1",#N/A,TRUE,"general";"via2",#N/A,TRUE,"general";"via3",#N/A,TRUE,"general"}</definedName>
    <definedName name="n" hidden="1">{"via1",#N/A,TRUE,"general";"via2",#N/A,TRUE,"general";"via3",#N/A,TRUE,"general"}</definedName>
    <definedName name="nbvnv" localSheetId="10" hidden="1">{"via1",#N/A,TRUE,"general";"via2",#N/A,TRUE,"general";"via3",#N/A,TRUE,"general"}</definedName>
    <definedName name="nbvnv" localSheetId="8" hidden="1">{"via1",#N/A,TRUE,"general";"via2",#N/A,TRUE,"general";"via3",#N/A,TRUE,"general"}</definedName>
    <definedName name="nbvnv" localSheetId="5" hidden="1">{"via1",#N/A,TRUE,"general";"via2",#N/A,TRUE,"general";"via3",#N/A,TRUE,"general"}</definedName>
    <definedName name="nbvnv" hidden="1">{"via1",#N/A,TRUE,"general";"via2",#N/A,TRUE,"general";"via3",#N/A,TRUE,"general"}</definedName>
    <definedName name="NDHS" localSheetId="10" hidden="1">{"TAB1",#N/A,TRUE,"GENERAL";"TAB2",#N/A,TRUE,"GENERAL";"TAB3",#N/A,TRUE,"GENERAL";"TAB4",#N/A,TRUE,"GENERAL";"TAB5",#N/A,TRUE,"GENERAL"}</definedName>
    <definedName name="NDHS" localSheetId="8" hidden="1">{"TAB1",#N/A,TRUE,"GENERAL";"TAB2",#N/A,TRUE,"GENERAL";"TAB3",#N/A,TRUE,"GENERAL";"TAB4",#N/A,TRUE,"GENERAL";"TAB5",#N/A,TRUE,"GENERAL"}</definedName>
    <definedName name="NDHS" localSheetId="5" hidden="1">{"TAB1",#N/A,TRUE,"GENERAL";"TAB2",#N/A,TRUE,"GENERAL";"TAB3",#N/A,TRUE,"GENERAL";"TAB4",#N/A,TRUE,"GENERAL";"TAB5",#N/A,TRUE,"GENERAL"}</definedName>
    <definedName name="NDHS" hidden="1">{"TAB1",#N/A,TRUE,"GENERAL";"TAB2",#N/A,TRUE,"GENERAL";"TAB3",#N/A,TRUE,"GENERAL";"TAB4",#N/A,TRUE,"GENERAL";"TAB5",#N/A,TRUE,"GENERAL"}</definedName>
    <definedName name="nf" localSheetId="10" hidden="1">{"TAB1",#N/A,TRUE,"GENERAL";"TAB2",#N/A,TRUE,"GENERAL";"TAB3",#N/A,TRUE,"GENERAL";"TAB4",#N/A,TRUE,"GENERAL";"TAB5",#N/A,TRUE,"GENERAL"}</definedName>
    <definedName name="nf" localSheetId="8" hidden="1">{"TAB1",#N/A,TRUE,"GENERAL";"TAB2",#N/A,TRUE,"GENERAL";"TAB3",#N/A,TRUE,"GENERAL";"TAB4",#N/A,TRUE,"GENERAL";"TAB5",#N/A,TRUE,"GENERAL"}</definedName>
    <definedName name="nf" localSheetId="5" hidden="1">{"TAB1",#N/A,TRUE,"GENERAL";"TAB2",#N/A,TRUE,"GENERAL";"TAB3",#N/A,TRUE,"GENERAL";"TAB4",#N/A,TRUE,"GENERAL";"TAB5",#N/A,TRUE,"GENERAL"}</definedName>
    <definedName name="nf" hidden="1">{"TAB1",#N/A,TRUE,"GENERAL";"TAB2",#N/A,TRUE,"GENERAL";"TAB3",#N/A,TRUE,"GENERAL";"TAB4",#N/A,TRUE,"GENERAL";"TAB5",#N/A,TRUE,"GENERAL"}</definedName>
    <definedName name="nfg" localSheetId="10" hidden="1">{"via1",#N/A,TRUE,"general";"via2",#N/A,TRUE,"general";"via3",#N/A,TRUE,"general"}</definedName>
    <definedName name="nfg" localSheetId="8" hidden="1">{"via1",#N/A,TRUE,"general";"via2",#N/A,TRUE,"general";"via3",#N/A,TRUE,"general"}</definedName>
    <definedName name="nfg" localSheetId="5" hidden="1">{"via1",#N/A,TRUE,"general";"via2",#N/A,TRUE,"general";"via3",#N/A,TRUE,"general"}</definedName>
    <definedName name="nfg" hidden="1">{"via1",#N/A,TRUE,"general";"via2",#N/A,TRUE,"general";"via3",#N/A,TRUE,"general"}</definedName>
    <definedName name="nfgn" localSheetId="10" hidden="1">{"via1",#N/A,TRUE,"general";"via2",#N/A,TRUE,"general";"via3",#N/A,TRUE,"general"}</definedName>
    <definedName name="nfgn" localSheetId="8" hidden="1">{"via1",#N/A,TRUE,"general";"via2",#N/A,TRUE,"general";"via3",#N/A,TRUE,"general"}</definedName>
    <definedName name="nfgn" localSheetId="5" hidden="1">{"via1",#N/A,TRUE,"general";"via2",#N/A,TRUE,"general";"via3",#N/A,TRUE,"general"}</definedName>
    <definedName name="nfgn" hidden="1">{"via1",#N/A,TRUE,"general";"via2",#N/A,TRUE,"general";"via3",#N/A,TRUE,"general"}</definedName>
    <definedName name="ngdn" localSheetId="10" hidden="1">{"TAB1",#N/A,TRUE,"GENERAL";"TAB2",#N/A,TRUE,"GENERAL";"TAB3",#N/A,TRUE,"GENERAL";"TAB4",#N/A,TRUE,"GENERAL";"TAB5",#N/A,TRUE,"GENERAL"}</definedName>
    <definedName name="ngdn" localSheetId="8" hidden="1">{"TAB1",#N/A,TRUE,"GENERAL";"TAB2",#N/A,TRUE,"GENERAL";"TAB3",#N/A,TRUE,"GENERAL";"TAB4",#N/A,TRUE,"GENERAL";"TAB5",#N/A,TRUE,"GENERAL"}</definedName>
    <definedName name="ngdn" localSheetId="5" hidden="1">{"TAB1",#N/A,TRUE,"GENERAL";"TAB2",#N/A,TRUE,"GENERAL";"TAB3",#N/A,TRUE,"GENERAL";"TAB4",#N/A,TRUE,"GENERAL";"TAB5",#N/A,TRUE,"GENERAL"}</definedName>
    <definedName name="ngdn" hidden="1">{"TAB1",#N/A,TRUE,"GENERAL";"TAB2",#N/A,TRUE,"GENERAL";"TAB3",#N/A,TRUE,"GENERAL";"TAB4",#N/A,TRUE,"GENERAL";"TAB5",#N/A,TRUE,"GENERAL"}</definedName>
    <definedName name="ngfh" localSheetId="10" hidden="1">{"via1",#N/A,TRUE,"general";"via2",#N/A,TRUE,"general";"via3",#N/A,TRUE,"general"}</definedName>
    <definedName name="ngfh" localSheetId="8" hidden="1">{"via1",#N/A,TRUE,"general";"via2",#N/A,TRUE,"general";"via3",#N/A,TRUE,"general"}</definedName>
    <definedName name="ngfh" localSheetId="5" hidden="1">{"via1",#N/A,TRUE,"general";"via2",#N/A,TRUE,"general";"via3",#N/A,TRUE,"general"}</definedName>
    <definedName name="ngfh" hidden="1">{"via1",#N/A,TRUE,"general";"via2",#N/A,TRUE,"general";"via3",#N/A,TRUE,"general"}</definedName>
    <definedName name="nhn" localSheetId="10" hidden="1">{"via1",#N/A,TRUE,"general";"via2",#N/A,TRUE,"general";"via3",#N/A,TRUE,"general"}</definedName>
    <definedName name="nhn" localSheetId="8" hidden="1">{"via1",#N/A,TRUE,"general";"via2",#N/A,TRUE,"general";"via3",#N/A,TRUE,"general"}</definedName>
    <definedName name="nhn" localSheetId="5" hidden="1">{"via1",#N/A,TRUE,"general";"via2",#N/A,TRUE,"general";"via3",#N/A,TRUE,"general"}</definedName>
    <definedName name="nhn" hidden="1">{"via1",#N/A,TRUE,"general";"via2",#N/A,TRUE,"general";"via3",#N/A,TRUE,"general"}</definedName>
    <definedName name="nhncfgn" localSheetId="10" hidden="1">{"TAB1",#N/A,TRUE,"GENERAL";"TAB2",#N/A,TRUE,"GENERAL";"TAB3",#N/A,TRUE,"GENERAL";"TAB4",#N/A,TRUE,"GENERAL";"TAB5",#N/A,TRUE,"GENERAL"}</definedName>
    <definedName name="nhncfgn" localSheetId="8" hidden="1">{"TAB1",#N/A,TRUE,"GENERAL";"TAB2",#N/A,TRUE,"GENERAL";"TAB3",#N/A,TRUE,"GENERAL";"TAB4",#N/A,TRUE,"GENERAL";"TAB5",#N/A,TRUE,"GENERAL"}</definedName>
    <definedName name="nhncfgn" localSheetId="5" hidden="1">{"TAB1",#N/A,TRUE,"GENERAL";"TAB2",#N/A,TRUE,"GENERAL";"TAB3",#N/A,TRUE,"GENERAL";"TAB4",#N/A,TRUE,"GENERAL";"TAB5",#N/A,TRUE,"GENERAL"}</definedName>
    <definedName name="nhncfgn" hidden="1">{"TAB1",#N/A,TRUE,"GENERAL";"TAB2",#N/A,TRUE,"GENERAL";"TAB3",#N/A,TRUE,"GENERAL";"TAB4",#N/A,TRUE,"GENERAL";"TAB5",#N/A,TRUE,"GENERAL"}</definedName>
    <definedName name="nhndr" localSheetId="10" hidden="1">{"via1",#N/A,TRUE,"general";"via2",#N/A,TRUE,"general";"via3",#N/A,TRUE,"general"}</definedName>
    <definedName name="nhndr" localSheetId="8" hidden="1">{"via1",#N/A,TRUE,"general";"via2",#N/A,TRUE,"general";"via3",#N/A,TRUE,"general"}</definedName>
    <definedName name="nhndr" localSheetId="5" hidden="1">{"via1",#N/A,TRUE,"general";"via2",#N/A,TRUE,"general";"via3",#N/A,TRUE,"general"}</definedName>
    <definedName name="nhndr" hidden="1">{"via1",#N/A,TRUE,"general";"via2",#N/A,TRUE,"general";"via3",#N/A,TRUE,"general"}</definedName>
    <definedName name="nmmmm" localSheetId="10" hidden="1">{"via1",#N/A,TRUE,"general";"via2",#N/A,TRUE,"general";"via3",#N/A,TRUE,"general"}</definedName>
    <definedName name="nmmmm" localSheetId="8" hidden="1">{"via1",#N/A,TRUE,"general";"via2",#N/A,TRUE,"general";"via3",#N/A,TRUE,"general"}</definedName>
    <definedName name="nmmmm" localSheetId="5" hidden="1">{"via1",#N/A,TRUE,"general";"via2",#N/A,TRUE,"general";"via3",#N/A,TRUE,"general"}</definedName>
    <definedName name="nmmmm" hidden="1">{"via1",#N/A,TRUE,"general";"via2",#N/A,TRUE,"general";"via3",#N/A,TRUE,"general"}</definedName>
    <definedName name="NN" localSheetId="10" hidden="1">{"TAB1",#N/A,TRUE,"GENERAL";"TAB2",#N/A,TRUE,"GENERAL";"TAB3",#N/A,TRUE,"GENERAL";"TAB4",#N/A,TRUE,"GENERAL";"TAB5",#N/A,TRUE,"GENERAL"}</definedName>
    <definedName name="NN" localSheetId="8" hidden="1">{"TAB1",#N/A,TRUE,"GENERAL";"TAB2",#N/A,TRUE,"GENERAL";"TAB3",#N/A,TRUE,"GENERAL";"TAB4",#N/A,TRUE,"GENERAL";"TAB5",#N/A,TRUE,"GENERAL"}</definedName>
    <definedName name="NN" localSheetId="5" hidden="1">{"TAB1",#N/A,TRUE,"GENERAL";"TAB2",#N/A,TRUE,"GENERAL";"TAB3",#N/A,TRUE,"GENERAL";"TAB4",#N/A,TRUE,"GENERAL";"TAB5",#N/A,TRUE,"GENERAL"}</definedName>
    <definedName name="NN" hidden="1">{"TAB1",#N/A,TRUE,"GENERAL";"TAB2",#N/A,TRUE,"GENERAL";"TAB3",#N/A,TRUE,"GENERAL";"TAB4",#N/A,TRUE,"GENERAL";"TAB5",#N/A,TRUE,"GENERAL"}</definedName>
    <definedName name="nndng" localSheetId="10" hidden="1">{"TAB1",#N/A,TRUE,"GENERAL";"TAB2",#N/A,TRUE,"GENERAL";"TAB3",#N/A,TRUE,"GENERAL";"TAB4",#N/A,TRUE,"GENERAL";"TAB5",#N/A,TRUE,"GENERAL"}</definedName>
    <definedName name="nndng" localSheetId="8" hidden="1">{"TAB1",#N/A,TRUE,"GENERAL";"TAB2",#N/A,TRUE,"GENERAL";"TAB3",#N/A,TRUE,"GENERAL";"TAB4",#N/A,TRUE,"GENERAL";"TAB5",#N/A,TRUE,"GENERAL"}</definedName>
    <definedName name="nndng" localSheetId="5" hidden="1">{"TAB1",#N/A,TRUE,"GENERAL";"TAB2",#N/A,TRUE,"GENERAL";"TAB3",#N/A,TRUE,"GENERAL";"TAB4",#N/A,TRUE,"GENERAL";"TAB5",#N/A,TRUE,"GENERAL"}</definedName>
    <definedName name="nndng" hidden="1">{"TAB1",#N/A,TRUE,"GENERAL";"TAB2",#N/A,TRUE,"GENERAL";"TAB3",#N/A,TRUE,"GENERAL";"TAB4",#N/A,TRUE,"GENERAL";"TAB5",#N/A,TRUE,"GENERAL"}</definedName>
    <definedName name="nnn" localSheetId="10" hidden="1">{"TAB1",#N/A,TRUE,"GENERAL";"TAB2",#N/A,TRUE,"GENERAL";"TAB3",#N/A,TRUE,"GENERAL";"TAB4",#N/A,TRUE,"GENERAL";"TAB5",#N/A,TRUE,"GENERAL"}</definedName>
    <definedName name="nnn" localSheetId="8" hidden="1">{"TAB1",#N/A,TRUE,"GENERAL";"TAB2",#N/A,TRUE,"GENERAL";"TAB3",#N/A,TRUE,"GENERAL";"TAB4",#N/A,TRUE,"GENERAL";"TAB5",#N/A,TRUE,"GENERAL"}</definedName>
    <definedName name="nnn" localSheetId="5" hidden="1">{"TAB1",#N/A,TRUE,"GENERAL";"TAB2",#N/A,TRUE,"GENERAL";"TAB3",#N/A,TRUE,"GENERAL";"TAB4",#N/A,TRUE,"GENERAL";"TAB5",#N/A,TRUE,"GENERAL"}</definedName>
    <definedName name="nnn" hidden="1">{"TAB1",#N/A,TRUE,"GENERAL";"TAB2",#N/A,TRUE,"GENERAL";"TAB3",#N/A,TRUE,"GENERAL";"TAB4",#N/A,TRUE,"GENERAL";"TAB5",#N/A,TRUE,"GENERAL"}</definedName>
    <definedName name="nnnhd" localSheetId="10" hidden="1">{"via1",#N/A,TRUE,"general";"via2",#N/A,TRUE,"general";"via3",#N/A,TRUE,"general"}</definedName>
    <definedName name="nnnhd" localSheetId="8" hidden="1">{"via1",#N/A,TRUE,"general";"via2",#N/A,TRUE,"general";"via3",#N/A,TRUE,"general"}</definedName>
    <definedName name="nnnhd" localSheetId="5" hidden="1">{"via1",#N/A,TRUE,"general";"via2",#N/A,TRUE,"general";"via3",#N/A,TRUE,"general"}</definedName>
    <definedName name="nnnhd" hidden="1">{"via1",#N/A,TRUE,"general";"via2",#N/A,TRUE,"general";"via3",#N/A,TRUE,"general"}</definedName>
    <definedName name="nnnnn" localSheetId="10" hidden="1">{"via1",#N/A,TRUE,"general";"via2",#N/A,TRUE,"general";"via3",#N/A,TRUE,"general"}</definedName>
    <definedName name="nnnnn" localSheetId="8" hidden="1">{"via1",#N/A,TRUE,"general";"via2",#N/A,TRUE,"general";"via3",#N/A,TRUE,"general"}</definedName>
    <definedName name="nnnnn" localSheetId="5" hidden="1">{"via1",#N/A,TRUE,"general";"via2",#N/A,TRUE,"general";"via3",#N/A,TRUE,"general"}</definedName>
    <definedName name="nnnnn" hidden="1">{"via1",#N/A,TRUE,"general";"via2",#N/A,TRUE,"general";"via3",#N/A,TRUE,"general"}</definedName>
    <definedName name="nnnnnd" localSheetId="10" hidden="1">{"TAB1",#N/A,TRUE,"GENERAL";"TAB2",#N/A,TRUE,"GENERAL";"TAB3",#N/A,TRUE,"GENERAL";"TAB4",#N/A,TRUE,"GENERAL";"TAB5",#N/A,TRUE,"GENERAL"}</definedName>
    <definedName name="nnnnnd" localSheetId="8" hidden="1">{"TAB1",#N/A,TRUE,"GENERAL";"TAB2",#N/A,TRUE,"GENERAL";"TAB3",#N/A,TRUE,"GENERAL";"TAB4",#N/A,TRUE,"GENERAL";"TAB5",#N/A,TRUE,"GENERAL"}</definedName>
    <definedName name="nnnnnd" localSheetId="5" hidden="1">{"TAB1",#N/A,TRUE,"GENERAL";"TAB2",#N/A,TRUE,"GENERAL";"TAB3",#N/A,TRUE,"GENERAL";"TAB4",#N/A,TRUE,"GENERAL";"TAB5",#N/A,TRUE,"GENERAL"}</definedName>
    <definedName name="nnnnnd" hidden="1">{"TAB1",#N/A,TRUE,"GENERAL";"TAB2",#N/A,TRUE,"GENERAL";"TAB3",#N/A,TRUE,"GENERAL";"TAB4",#N/A,TRUE,"GENERAL";"TAB5",#N/A,TRUE,"GENERAL"}</definedName>
    <definedName name="nnnnnf" localSheetId="10" hidden="1">{"TAB1",#N/A,TRUE,"GENERAL";"TAB2",#N/A,TRUE,"GENERAL";"TAB3",#N/A,TRUE,"GENERAL";"TAB4",#N/A,TRUE,"GENERAL";"TAB5",#N/A,TRUE,"GENERAL"}</definedName>
    <definedName name="nnnnnf" localSheetId="8" hidden="1">{"TAB1",#N/A,TRUE,"GENERAL";"TAB2",#N/A,TRUE,"GENERAL";"TAB3",#N/A,TRUE,"GENERAL";"TAB4",#N/A,TRUE,"GENERAL";"TAB5",#N/A,TRUE,"GENERAL"}</definedName>
    <definedName name="nnnnnf" localSheetId="5" hidden="1">{"TAB1",#N/A,TRUE,"GENERAL";"TAB2",#N/A,TRUE,"GENERAL";"TAB3",#N/A,TRUE,"GENERAL";"TAB4",#N/A,TRUE,"GENERAL";"TAB5",#N/A,TRUE,"GENERAL"}</definedName>
    <definedName name="nnnnnf" hidden="1">{"TAB1",#N/A,TRUE,"GENERAL";"TAB2",#N/A,TRUE,"GENERAL";"TAB3",#N/A,TRUE,"GENERAL";"TAB4",#N/A,TRUE,"GENERAL";"TAB5",#N/A,TRUE,"GENERAL"}</definedName>
    <definedName name="nnnnnh" localSheetId="10" hidden="1">{"via1",#N/A,TRUE,"general";"via2",#N/A,TRUE,"general";"via3",#N/A,TRUE,"general"}</definedName>
    <definedName name="nnnnnh" localSheetId="8" hidden="1">{"via1",#N/A,TRUE,"general";"via2",#N/A,TRUE,"general";"via3",#N/A,TRUE,"general"}</definedName>
    <definedName name="nnnnnh" localSheetId="5" hidden="1">{"via1",#N/A,TRUE,"general";"via2",#N/A,TRUE,"general";"via3",#N/A,TRUE,"general"}</definedName>
    <definedName name="nnnnnh" hidden="1">{"via1",#N/A,TRUE,"general";"via2",#N/A,TRUE,"general";"via3",#N/A,TRUE,"general"}</definedName>
    <definedName name="NO">#N/A</definedName>
    <definedName name="NOMBRE" localSheetId="5">#REF!</definedName>
    <definedName name="NOMBRE">#REF!</definedName>
    <definedName name="NUEVO" localSheetId="5">#REF!</definedName>
    <definedName name="NUEVO">#REF!</definedName>
    <definedName name="nxn" localSheetId="10" hidden="1">{"via1",#N/A,TRUE,"general";"via2",#N/A,TRUE,"general";"via3",#N/A,TRUE,"general"}</definedName>
    <definedName name="nxn" localSheetId="8" hidden="1">{"via1",#N/A,TRUE,"general";"via2",#N/A,TRUE,"general";"via3",#N/A,TRUE,"general"}</definedName>
    <definedName name="nxn" localSheetId="5" hidden="1">{"via1",#N/A,TRUE,"general";"via2",#N/A,TRUE,"general";"via3",#N/A,TRUE,"general"}</definedName>
    <definedName name="nxn" hidden="1">{"via1",#N/A,TRUE,"general";"via2",#N/A,TRUE,"general";"via3",#N/A,TRUE,"general"}</definedName>
    <definedName name="ñpñpñ" localSheetId="10" hidden="1">{"via1",#N/A,TRUE,"general";"via2",#N/A,TRUE,"general";"via3",#N/A,TRUE,"general"}</definedName>
    <definedName name="ñpñpñ" localSheetId="8" hidden="1">{"via1",#N/A,TRUE,"general";"via2",#N/A,TRUE,"general";"via3",#N/A,TRUE,"general"}</definedName>
    <definedName name="ñpñpñ" localSheetId="5" hidden="1">{"via1",#N/A,TRUE,"general";"via2",#N/A,TRUE,"general";"via3",#N/A,TRUE,"general"}</definedName>
    <definedName name="ñpñpñ" hidden="1">{"via1",#N/A,TRUE,"general";"via2",#N/A,TRUE,"general";"via3",#N/A,TRUE,"general"}</definedName>
    <definedName name="º1" localSheetId="5">#REF!</definedName>
    <definedName name="º1">#REF!</definedName>
    <definedName name="o9o9" localSheetId="10" hidden="1">{"via1",#N/A,TRUE,"general";"via2",#N/A,TRUE,"general";"via3",#N/A,TRUE,"general"}</definedName>
    <definedName name="o9o9" localSheetId="8" hidden="1">{"via1",#N/A,TRUE,"general";"via2",#N/A,TRUE,"general";"via3",#N/A,TRUE,"general"}</definedName>
    <definedName name="o9o9" localSheetId="5" hidden="1">{"via1",#N/A,TRUE,"general";"via2",#N/A,TRUE,"general";"via3",#N/A,TRUE,"general"}</definedName>
    <definedName name="o9o9" hidden="1">{"via1",#N/A,TRUE,"general";"via2",#N/A,TRUE,"general";"via3",#N/A,TRUE,"general"}</definedName>
    <definedName name="OBJ">[5]PRESUPUESTO!$C$10</definedName>
    <definedName name="Obra" localSheetId="5">#REF!</definedName>
    <definedName name="Obra">#REF!</definedName>
    <definedName name="oiret" localSheetId="10" hidden="1">{"TAB1",#N/A,TRUE,"GENERAL";"TAB2",#N/A,TRUE,"GENERAL";"TAB3",#N/A,TRUE,"GENERAL";"TAB4",#N/A,TRUE,"GENERAL";"TAB5",#N/A,TRUE,"GENERAL"}</definedName>
    <definedName name="oiret" localSheetId="8" hidden="1">{"TAB1",#N/A,TRUE,"GENERAL";"TAB2",#N/A,TRUE,"GENERAL";"TAB3",#N/A,TRUE,"GENERAL";"TAB4",#N/A,TRUE,"GENERAL";"TAB5",#N/A,TRUE,"GENERAL"}</definedName>
    <definedName name="oiret" localSheetId="5" hidden="1">{"TAB1",#N/A,TRUE,"GENERAL";"TAB2",#N/A,TRUE,"GENERAL";"TAB3",#N/A,TRUE,"GENERAL";"TAB4",#N/A,TRUE,"GENERAL";"TAB5",#N/A,TRUE,"GENERAL"}</definedName>
    <definedName name="oiret" hidden="1">{"TAB1",#N/A,TRUE,"GENERAL";"TAB2",#N/A,TRUE,"GENERAL";"TAB3",#N/A,TRUE,"GENERAL";"TAB4",#N/A,TRUE,"GENERAL";"TAB5",#N/A,TRUE,"GENERAL"}</definedName>
    <definedName name="oirgrth" localSheetId="10" hidden="1">{"TAB1",#N/A,TRUE,"GENERAL";"TAB2",#N/A,TRUE,"GENERAL";"TAB3",#N/A,TRUE,"GENERAL";"TAB4",#N/A,TRUE,"GENERAL";"TAB5",#N/A,TRUE,"GENERAL"}</definedName>
    <definedName name="oirgrth" localSheetId="8" hidden="1">{"TAB1",#N/A,TRUE,"GENERAL";"TAB2",#N/A,TRUE,"GENERAL";"TAB3",#N/A,TRUE,"GENERAL";"TAB4",#N/A,TRUE,"GENERAL";"TAB5",#N/A,TRUE,"GENERAL"}</definedName>
    <definedName name="oirgrth" localSheetId="5" hidden="1">{"TAB1",#N/A,TRUE,"GENERAL";"TAB2",#N/A,TRUE,"GENERAL";"TAB3",#N/A,TRUE,"GENERAL";"TAB4",#N/A,TRUE,"GENERAL";"TAB5",#N/A,TRUE,"GENERAL"}</definedName>
    <definedName name="oirgrth" hidden="1">{"TAB1",#N/A,TRUE,"GENERAL";"TAB2",#N/A,TRUE,"GENERAL";"TAB3",#N/A,TRUE,"GENERAL";"TAB4",#N/A,TRUE,"GENERAL";"TAB5",#N/A,TRUE,"GENERAL"}</definedName>
    <definedName name="OIUOIU" localSheetId="10" hidden="1">{"via1",#N/A,TRUE,"general";"via2",#N/A,TRUE,"general";"via3",#N/A,TRUE,"general"}</definedName>
    <definedName name="OIUOIU" localSheetId="8" hidden="1">{"via1",#N/A,TRUE,"general";"via2",#N/A,TRUE,"general";"via3",#N/A,TRUE,"general"}</definedName>
    <definedName name="OIUOIU" localSheetId="5" hidden="1">{"via1",#N/A,TRUE,"general";"via2",#N/A,TRUE,"general";"via3",#N/A,TRUE,"general"}</definedName>
    <definedName name="OIUOIU" hidden="1">{"via1",#N/A,TRUE,"general";"via2",#N/A,TRUE,"general";"via3",#N/A,TRUE,"general"}</definedName>
    <definedName name="ooo" localSheetId="10" hidden="1">{"via1",#N/A,TRUE,"general";"via2",#N/A,TRUE,"general";"via3",#N/A,TRUE,"general"}</definedName>
    <definedName name="ooo" localSheetId="8" hidden="1">{"via1",#N/A,TRUE,"general";"via2",#N/A,TRUE,"general";"via3",#N/A,TRUE,"general"}</definedName>
    <definedName name="ooo" localSheetId="5" hidden="1">{"via1",#N/A,TRUE,"general";"via2",#N/A,TRUE,"general";"via3",#N/A,TRUE,"general"}</definedName>
    <definedName name="ooo" hidden="1">{"via1",#N/A,TRUE,"general";"via2",#N/A,TRUE,"general";"via3",#N/A,TRUE,"general"}</definedName>
    <definedName name="ooooiii" localSheetId="10" hidden="1">{"TAB1",#N/A,TRUE,"GENERAL";"TAB2",#N/A,TRUE,"GENERAL";"TAB3",#N/A,TRUE,"GENERAL";"TAB4",#N/A,TRUE,"GENERAL";"TAB5",#N/A,TRUE,"GENERAL"}</definedName>
    <definedName name="ooooiii" localSheetId="8" hidden="1">{"TAB1",#N/A,TRUE,"GENERAL";"TAB2",#N/A,TRUE,"GENERAL";"TAB3",#N/A,TRUE,"GENERAL";"TAB4",#N/A,TRUE,"GENERAL";"TAB5",#N/A,TRUE,"GENERAL"}</definedName>
    <definedName name="ooooiii" localSheetId="5" hidden="1">{"TAB1",#N/A,TRUE,"GENERAL";"TAB2",#N/A,TRUE,"GENERAL";"TAB3",#N/A,TRUE,"GENERAL";"TAB4",#N/A,TRUE,"GENERAL";"TAB5",#N/A,TRUE,"GENERAL"}</definedName>
    <definedName name="ooooiii" hidden="1">{"TAB1",#N/A,TRUE,"GENERAL";"TAB2",#N/A,TRUE,"GENERAL";"TAB3",#N/A,TRUE,"GENERAL";"TAB4",#N/A,TRUE,"GENERAL";"TAB5",#N/A,TRUE,"GENERAL"}</definedName>
    <definedName name="oooos" localSheetId="10" hidden="1">{"via1",#N/A,TRUE,"general";"via2",#N/A,TRUE,"general";"via3",#N/A,TRUE,"general"}</definedName>
    <definedName name="oooos" localSheetId="8" hidden="1">{"via1",#N/A,TRUE,"general";"via2",#N/A,TRUE,"general";"via3",#N/A,TRUE,"general"}</definedName>
    <definedName name="oooos" localSheetId="5" hidden="1">{"via1",#N/A,TRUE,"general";"via2",#N/A,TRUE,"general";"via3",#N/A,TRUE,"general"}</definedName>
    <definedName name="oooos" hidden="1">{"via1",#N/A,TRUE,"general";"via2",#N/A,TRUE,"general";"via3",#N/A,TRUE,"general"}</definedName>
    <definedName name="otros">[22]otros!$A$6:$A$1235</definedName>
    <definedName name="P" localSheetId="10" hidden="1">{"via1",#N/A,TRUE,"general";"via2",#N/A,TRUE,"general";"via3",#N/A,TRUE,"general"}</definedName>
    <definedName name="P" localSheetId="8" hidden="1">{"via1",#N/A,TRUE,"general";"via2",#N/A,TRUE,"general";"via3",#N/A,TRUE,"general"}</definedName>
    <definedName name="P" localSheetId="5" hidden="1">{"via1",#N/A,TRUE,"general";"via2",#N/A,TRUE,"general";"via3",#N/A,TRUE,"general"}</definedName>
    <definedName name="P" hidden="1">{"via1",#N/A,TRUE,"general";"via2",#N/A,TRUE,"general";"via3",#N/A,TRUE,"general"}</definedName>
    <definedName name="p0p0" localSheetId="10" hidden="1">{"via1",#N/A,TRUE,"general";"via2",#N/A,TRUE,"general";"via3",#N/A,TRUE,"general"}</definedName>
    <definedName name="p0p0" localSheetId="8" hidden="1">{"via1",#N/A,TRUE,"general";"via2",#N/A,TRUE,"general";"via3",#N/A,TRUE,"general"}</definedName>
    <definedName name="p0p0" localSheetId="5" hidden="1">{"via1",#N/A,TRUE,"general";"via2",#N/A,TRUE,"general";"via3",#N/A,TRUE,"general"}</definedName>
    <definedName name="p0p0" hidden="1">{"via1",#N/A,TRUE,"general";"via2",#N/A,TRUE,"general";"via3",#N/A,TRUE,"general"}</definedName>
    <definedName name="PEPE">#N/A</definedName>
    <definedName name="PKHK" localSheetId="10" hidden="1">{"TAB1",#N/A,TRUE,"GENERAL";"TAB2",#N/A,TRUE,"GENERAL";"TAB3",#N/A,TRUE,"GENERAL";"TAB4",#N/A,TRUE,"GENERAL";"TAB5",#N/A,TRUE,"GENERAL"}</definedName>
    <definedName name="PKHK" localSheetId="8" hidden="1">{"TAB1",#N/A,TRUE,"GENERAL";"TAB2",#N/A,TRUE,"GENERAL";"TAB3",#N/A,TRUE,"GENERAL";"TAB4",#N/A,TRUE,"GENERAL";"TAB5",#N/A,TRUE,"GENERAL"}</definedName>
    <definedName name="PKHK" localSheetId="5" hidden="1">{"TAB1",#N/A,TRUE,"GENERAL";"TAB2",#N/A,TRUE,"GENERAL";"TAB3",#N/A,TRUE,"GENERAL";"TAB4",#N/A,TRUE,"GENERAL";"TAB5",#N/A,TRUE,"GENERAL"}</definedName>
    <definedName name="PKHK" hidden="1">{"TAB1",#N/A,TRUE,"GENERAL";"TAB2",#N/A,TRUE,"GENERAL";"TAB3",#N/A,TRUE,"GENERAL";"TAB4",#N/A,TRUE,"GENERAL";"TAB5",#N/A,TRUE,"GENERAL"}</definedName>
    <definedName name="pkj" localSheetId="10" hidden="1">{"TAB1",#N/A,TRUE,"GENERAL";"TAB2",#N/A,TRUE,"GENERAL";"TAB3",#N/A,TRUE,"GENERAL";"TAB4",#N/A,TRUE,"GENERAL";"TAB5",#N/A,TRUE,"GENERAL"}</definedName>
    <definedName name="pkj" localSheetId="8" hidden="1">{"TAB1",#N/A,TRUE,"GENERAL";"TAB2",#N/A,TRUE,"GENERAL";"TAB3",#N/A,TRUE,"GENERAL";"TAB4",#N/A,TRUE,"GENERAL";"TAB5",#N/A,TRUE,"GENERAL"}</definedName>
    <definedName name="pkj" localSheetId="5" hidden="1">{"TAB1",#N/A,TRUE,"GENERAL";"TAB2",#N/A,TRUE,"GENERAL";"TAB3",#N/A,TRUE,"GENERAL";"TAB4",#N/A,TRUE,"GENERAL";"TAB5",#N/A,TRUE,"GENERAL"}</definedName>
    <definedName name="pkj" hidden="1">{"TAB1",#N/A,TRUE,"GENERAL";"TAB2",#N/A,TRUE,"GENERAL";"TAB3",#N/A,TRUE,"GENERAL";"TAB4",#N/A,TRUE,"GENERAL";"TAB5",#N/A,TRUE,"GENERAL"}</definedName>
    <definedName name="PLAD" localSheetId="10" hidden="1">{"TAB1",#N/A,TRUE,"GENERAL";"TAB2",#N/A,TRUE,"GENERAL";"TAB3",#N/A,TRUE,"GENERAL";"TAB4",#N/A,TRUE,"GENERAL";"TAB5",#N/A,TRUE,"GENERAL"}</definedName>
    <definedName name="PLAD" localSheetId="8" hidden="1">{"TAB1",#N/A,TRUE,"GENERAL";"TAB2",#N/A,TRUE,"GENERAL";"TAB3",#N/A,TRUE,"GENERAL";"TAB4",#N/A,TRUE,"GENERAL";"TAB5",#N/A,TRUE,"GENERAL"}</definedName>
    <definedName name="PLAD" localSheetId="5" hidden="1">{"TAB1",#N/A,TRUE,"GENERAL";"TAB2",#N/A,TRUE,"GENERAL";"TAB3",#N/A,TRUE,"GENERAL";"TAB4",#N/A,TRUE,"GENERAL";"TAB5",#N/A,TRUE,"GENERAL"}</definedName>
    <definedName name="PLAD" hidden="1">{"TAB1",#N/A,TRUE,"GENERAL";"TAB2",#N/A,TRUE,"GENERAL";"TAB3",#N/A,TRUE,"GENERAL";"TAB4",#N/A,TRUE,"GENERAL";"TAB5",#N/A,TRUE,"GENERAL"}</definedName>
    <definedName name="Plazo">[14]BASES!$E$27</definedName>
    <definedName name="PlazoAIU" localSheetId="5">#REF!</definedName>
    <definedName name="PlazoAIU">#REF!</definedName>
    <definedName name="PLPLUNN" localSheetId="10" hidden="1">{"TAB1",#N/A,TRUE,"GENERAL";"TAB2",#N/A,TRUE,"GENERAL";"TAB3",#N/A,TRUE,"GENERAL";"TAB4",#N/A,TRUE,"GENERAL";"TAB5",#N/A,TRUE,"GENERAL"}</definedName>
    <definedName name="PLPLUNN" localSheetId="8" hidden="1">{"TAB1",#N/A,TRUE,"GENERAL";"TAB2",#N/A,TRUE,"GENERAL";"TAB3",#N/A,TRUE,"GENERAL";"TAB4",#N/A,TRUE,"GENERAL";"TAB5",#N/A,TRUE,"GENERAL"}</definedName>
    <definedName name="PLPLUNN" localSheetId="5" hidden="1">{"TAB1",#N/A,TRUE,"GENERAL";"TAB2",#N/A,TRUE,"GENERAL";"TAB3",#N/A,TRUE,"GENERAL";"TAB4",#N/A,TRUE,"GENERAL";"TAB5",#N/A,TRUE,"GENERAL"}</definedName>
    <definedName name="PLPLUNN" hidden="1">{"TAB1",#N/A,TRUE,"GENERAL";"TAB2",#N/A,TRUE,"GENERAL";"TAB3",#N/A,TRUE,"GENERAL";"TAB4",#N/A,TRUE,"GENERAL";"TAB5",#N/A,TRUE,"GENERAL"}</definedName>
    <definedName name="POCETAS" localSheetId="5">#REF!</definedName>
    <definedName name="POCETAS">#REF!</definedName>
    <definedName name="POIUP" localSheetId="10" hidden="1">{"via1",#N/A,TRUE,"general";"via2",#N/A,TRUE,"general";"via3",#N/A,TRUE,"general"}</definedName>
    <definedName name="POIUP" localSheetId="8" hidden="1">{"via1",#N/A,TRUE,"general";"via2",#N/A,TRUE,"general";"via3",#N/A,TRUE,"general"}</definedName>
    <definedName name="POIUP" localSheetId="5" hidden="1">{"via1",#N/A,TRUE,"general";"via2",#N/A,TRUE,"general";"via3",#N/A,TRUE,"general"}</definedName>
    <definedName name="POIUP" hidden="1">{"via1",#N/A,TRUE,"general";"via2",#N/A,TRUE,"general";"via3",#N/A,TRUE,"general"}</definedName>
    <definedName name="popop" localSheetId="10" hidden="1">{"via1",#N/A,TRUE,"general";"via2",#N/A,TRUE,"general";"via3",#N/A,TRUE,"general"}</definedName>
    <definedName name="popop" localSheetId="8" hidden="1">{"via1",#N/A,TRUE,"general";"via2",#N/A,TRUE,"general";"via3",#N/A,TRUE,"general"}</definedName>
    <definedName name="popop" localSheetId="5" hidden="1">{"via1",#N/A,TRUE,"general";"via2",#N/A,TRUE,"general";"via3",#N/A,TRUE,"general"}</definedName>
    <definedName name="popop" hidden="1">{"via1",#N/A,TRUE,"general";"via2",#N/A,TRUE,"general";"via3",#N/A,TRUE,"general"}</definedName>
    <definedName name="popp" localSheetId="10" hidden="1">{"via1",#N/A,TRUE,"general";"via2",#N/A,TRUE,"general";"via3",#N/A,TRUE,"general"}</definedName>
    <definedName name="popp" localSheetId="8" hidden="1">{"via1",#N/A,TRUE,"general";"via2",#N/A,TRUE,"general";"via3",#N/A,TRUE,"general"}</definedName>
    <definedName name="popp" localSheetId="5" hidden="1">{"via1",#N/A,TRUE,"general";"via2",#N/A,TRUE,"general";"via3",#N/A,TRUE,"general"}</definedName>
    <definedName name="popp" hidden="1">{"via1",#N/A,TRUE,"general";"via2",#N/A,TRUE,"general";"via3",#N/A,TRUE,"general"}</definedName>
    <definedName name="popu" localSheetId="5">#REF!</definedName>
    <definedName name="popu">#REF!</definedName>
    <definedName name="popvds" localSheetId="10" hidden="1">{"TAB1",#N/A,TRUE,"GENERAL";"TAB2",#N/A,TRUE,"GENERAL";"TAB3",#N/A,TRUE,"GENERAL";"TAB4",#N/A,TRUE,"GENERAL";"TAB5",#N/A,TRUE,"GENERAL"}</definedName>
    <definedName name="popvds" localSheetId="8" hidden="1">{"TAB1",#N/A,TRUE,"GENERAL";"TAB2",#N/A,TRUE,"GENERAL";"TAB3",#N/A,TRUE,"GENERAL";"TAB4",#N/A,TRUE,"GENERAL";"TAB5",#N/A,TRUE,"GENERAL"}</definedName>
    <definedName name="popvds" localSheetId="5" hidden="1">{"TAB1",#N/A,TRUE,"GENERAL";"TAB2",#N/A,TRUE,"GENERAL";"TAB3",#N/A,TRUE,"GENERAL";"TAB4",#N/A,TRUE,"GENERAL";"TAB5",#N/A,TRUE,"GENERAL"}</definedName>
    <definedName name="popvds" hidden="1">{"TAB1",#N/A,TRUE,"GENERAL";"TAB2",#N/A,TRUE,"GENERAL";"TAB3",#N/A,TRUE,"GENERAL";"TAB4",#N/A,TRUE,"GENERAL";"TAB5",#N/A,TRUE,"GENERAL"}</definedName>
    <definedName name="porc" localSheetId="5">#REF!</definedName>
    <definedName name="porc">#REF!</definedName>
    <definedName name="PORCE">[15]BASES!$E$26</definedName>
    <definedName name="pouig" localSheetId="10" hidden="1">{"via1",#N/A,TRUE,"general";"via2",#N/A,TRUE,"general";"via3",#N/A,TRUE,"general"}</definedName>
    <definedName name="pouig" localSheetId="8" hidden="1">{"via1",#N/A,TRUE,"general";"via2",#N/A,TRUE,"general";"via3",#N/A,TRUE,"general"}</definedName>
    <definedName name="pouig" localSheetId="5" hidden="1">{"via1",#N/A,TRUE,"general";"via2",#N/A,TRUE,"general";"via3",#N/A,TRUE,"general"}</definedName>
    <definedName name="pouig" hidden="1">{"via1",#N/A,TRUE,"general";"via2",#N/A,TRUE,"general";"via3",#N/A,TRUE,"general"}</definedName>
    <definedName name="ppppp9" localSheetId="10" hidden="1">{"via1",#N/A,TRUE,"general";"via2",#N/A,TRUE,"general";"via3",#N/A,TRUE,"general"}</definedName>
    <definedName name="ppppp9" localSheetId="8" hidden="1">{"via1",#N/A,TRUE,"general";"via2",#N/A,TRUE,"general";"via3",#N/A,TRUE,"general"}</definedName>
    <definedName name="ppppp9" localSheetId="5" hidden="1">{"via1",#N/A,TRUE,"general";"via2",#N/A,TRUE,"general";"via3",#N/A,TRUE,"general"}</definedName>
    <definedName name="ppppp9" hidden="1">{"via1",#N/A,TRUE,"general";"via2",#N/A,TRUE,"general";"via3",#N/A,TRUE,"general"}</definedName>
    <definedName name="pppppd" localSheetId="10" hidden="1">{"TAB1",#N/A,TRUE,"GENERAL";"TAB2",#N/A,TRUE,"GENERAL";"TAB3",#N/A,TRUE,"GENERAL";"TAB4",#N/A,TRUE,"GENERAL";"TAB5",#N/A,TRUE,"GENERAL"}</definedName>
    <definedName name="pppppd" localSheetId="8" hidden="1">{"TAB1",#N/A,TRUE,"GENERAL";"TAB2",#N/A,TRUE,"GENERAL";"TAB3",#N/A,TRUE,"GENERAL";"TAB4",#N/A,TRUE,"GENERAL";"TAB5",#N/A,TRUE,"GENERAL"}</definedName>
    <definedName name="pppppd" localSheetId="5" hidden="1">{"TAB1",#N/A,TRUE,"GENERAL";"TAB2",#N/A,TRUE,"GENERAL";"TAB3",#N/A,TRUE,"GENERAL";"TAB4",#N/A,TRUE,"GENERAL";"TAB5",#N/A,TRUE,"GENERAL"}</definedName>
    <definedName name="pppppd" hidden="1">{"TAB1",#N/A,TRUE,"GENERAL";"TAB2",#N/A,TRUE,"GENERAL";"TAB3",#N/A,TRUE,"GENERAL";"TAB4",#N/A,TRUE,"GENERAL";"TAB5",#N/A,TRUE,"GENERAL"}</definedName>
    <definedName name="pqroj" localSheetId="10" hidden="1">{"via1",#N/A,TRUE,"general";"via2",#N/A,TRUE,"general";"via3",#N/A,TRUE,"general"}</definedName>
    <definedName name="pqroj" localSheetId="8" hidden="1">{"via1",#N/A,TRUE,"general";"via2",#N/A,TRUE,"general";"via3",#N/A,TRUE,"general"}</definedName>
    <definedName name="pqroj" localSheetId="5" hidden="1">{"via1",#N/A,TRUE,"general";"via2",#N/A,TRUE,"general";"via3",#N/A,TRUE,"general"}</definedName>
    <definedName name="pqroj" hidden="1">{"via1",#N/A,TRUE,"general";"via2",#N/A,TRUE,"general";"via3",#N/A,TRUE,"general"}</definedName>
    <definedName name="PRE" localSheetId="5">#REF!</definedName>
    <definedName name="PRE">#REF!</definedName>
    <definedName name="PREST" localSheetId="5">#REF!</definedName>
    <definedName name="PREST">#REF!</definedName>
    <definedName name="PRIMER" localSheetId="10" hidden="1">{"via1",#N/A,TRUE,"general";"via2",#N/A,TRUE,"general";"via3",#N/A,TRUE,"general"}</definedName>
    <definedName name="PRIMER" localSheetId="8" hidden="1">{"via1",#N/A,TRUE,"general";"via2",#N/A,TRUE,"general";"via3",#N/A,TRUE,"general"}</definedName>
    <definedName name="PRIMER" localSheetId="5" hidden="1">{"via1",#N/A,TRUE,"general";"via2",#N/A,TRUE,"general";"via3",#N/A,TRUE,"general"}</definedName>
    <definedName name="PRIMER" hidden="1">{"via1",#N/A,TRUE,"general";"via2",#N/A,TRUE,"general";"via3",#N/A,TRUE,"general"}</definedName>
    <definedName name="PRIMET" localSheetId="10" hidden="1">{"TAB1",#N/A,TRUE,"GENERAL";"TAB2",#N/A,TRUE,"GENERAL";"TAB3",#N/A,TRUE,"GENERAL";"TAB4",#N/A,TRUE,"GENERAL";"TAB5",#N/A,TRUE,"GENERAL"}</definedName>
    <definedName name="PRIMET" localSheetId="8" hidden="1">{"TAB1",#N/A,TRUE,"GENERAL";"TAB2",#N/A,TRUE,"GENERAL";"TAB3",#N/A,TRUE,"GENERAL";"TAB4",#N/A,TRUE,"GENERAL";"TAB5",#N/A,TRUE,"GENERAL"}</definedName>
    <definedName name="PRIMET" localSheetId="5" hidden="1">{"TAB1",#N/A,TRUE,"GENERAL";"TAB2",#N/A,TRUE,"GENERAL";"TAB3",#N/A,TRUE,"GENERAL";"TAB4",#N/A,TRUE,"GENERAL";"TAB5",#N/A,TRUE,"GENERAL"}</definedName>
    <definedName name="PRIMET" hidden="1">{"TAB1",#N/A,TRUE,"GENERAL";"TAB2",#N/A,TRUE,"GENERAL";"TAB3",#N/A,TRUE,"GENERAL";"TAB4",#N/A,TRUE,"GENERAL";"TAB5",#N/A,TRUE,"GENERAL"}</definedName>
    <definedName name="PRINT_AREA">#N/A</definedName>
    <definedName name="Print_Area_MI" localSheetId="5">#REF!</definedName>
    <definedName name="Print_Area_MI">#REF!</definedName>
    <definedName name="PRINT_TITLES">#N/A</definedName>
    <definedName name="PRINT_TITLES_MI">#N/A</definedName>
    <definedName name="PrOfic">[14]BASES!$B$31</definedName>
    <definedName name="programainv">#N/A</definedName>
    <definedName name="Proponente" localSheetId="5">#REF!</definedName>
    <definedName name="Proponente">#REF!</definedName>
    <definedName name="PRUEBA" localSheetId="5">[28]!absc</definedName>
    <definedName name="PRUEBA">[28]!absc</definedName>
    <definedName name="prueba1" localSheetId="5">[28]!absc</definedName>
    <definedName name="prueba1">[28]!absc</definedName>
    <definedName name="PRUEBA2" localSheetId="5">#REF!</definedName>
    <definedName name="PRUEBA2">#REF!</definedName>
    <definedName name="ptope" localSheetId="10" hidden="1">{"TAB1",#N/A,TRUE,"GENERAL";"TAB2",#N/A,TRUE,"GENERAL";"TAB3",#N/A,TRUE,"GENERAL";"TAB4",#N/A,TRUE,"GENERAL";"TAB5",#N/A,TRUE,"GENERAL"}</definedName>
    <definedName name="ptope" localSheetId="8" hidden="1">{"TAB1",#N/A,TRUE,"GENERAL";"TAB2",#N/A,TRUE,"GENERAL";"TAB3",#N/A,TRUE,"GENERAL";"TAB4",#N/A,TRUE,"GENERAL";"TAB5",#N/A,TRUE,"GENERAL"}</definedName>
    <definedName name="ptope" localSheetId="5" hidden="1">{"TAB1",#N/A,TRUE,"GENERAL";"TAB2",#N/A,TRUE,"GENERAL";"TAB3",#N/A,TRUE,"GENERAL";"TAB4",#N/A,TRUE,"GENERAL";"TAB5",#N/A,TRUE,"GENERAL"}</definedName>
    <definedName name="ptope" hidden="1">{"TAB1",#N/A,TRUE,"GENERAL";"TAB2",#N/A,TRUE,"GENERAL";"TAB3",#N/A,TRUE,"GENERAL";"TAB4",#N/A,TRUE,"GENERAL";"TAB5",#N/A,TRUE,"GENERAL"}</definedName>
    <definedName name="ptopes" localSheetId="10" hidden="1">{"via1",#N/A,TRUE,"general";"via2",#N/A,TRUE,"general";"via3",#N/A,TRUE,"general"}</definedName>
    <definedName name="ptopes" localSheetId="8" hidden="1">{"via1",#N/A,TRUE,"general";"via2",#N/A,TRUE,"general";"via3",#N/A,TRUE,"general"}</definedName>
    <definedName name="ptopes" localSheetId="5" hidden="1">{"via1",#N/A,TRUE,"general";"via2",#N/A,TRUE,"general";"via3",#N/A,TRUE,"general"}</definedName>
    <definedName name="ptopes" hidden="1">{"via1",#N/A,TRUE,"general";"via2",#N/A,TRUE,"general";"via3",#N/A,TRUE,"general"}</definedName>
    <definedName name="q" localSheetId="10" hidden="1">{"via1",#N/A,TRUE,"general";"via2",#N/A,TRUE,"general";"via3",#N/A,TRUE,"general"}</definedName>
    <definedName name="q" localSheetId="8" hidden="1">{"via1",#N/A,TRUE,"general";"via2",#N/A,TRUE,"general";"via3",#N/A,TRUE,"general"}</definedName>
    <definedName name="q" localSheetId="5" hidden="1">{"via1",#N/A,TRUE,"general";"via2",#N/A,TRUE,"general";"via3",#N/A,TRUE,"general"}</definedName>
    <definedName name="q" hidden="1">{"via1",#N/A,TRUE,"general";"via2",#N/A,TRUE,"general";"via3",#N/A,TRUE,"general"}</definedName>
    <definedName name="q1q1q" localSheetId="10" hidden="1">{"via1",#N/A,TRUE,"general";"via2",#N/A,TRUE,"general";"via3",#N/A,TRUE,"general"}</definedName>
    <definedName name="q1q1q" localSheetId="8" hidden="1">{"via1",#N/A,TRUE,"general";"via2",#N/A,TRUE,"general";"via3",#N/A,TRUE,"general"}</definedName>
    <definedName name="q1q1q" localSheetId="5" hidden="1">{"via1",#N/A,TRUE,"general";"via2",#N/A,TRUE,"general";"via3",#N/A,TRUE,"general"}</definedName>
    <definedName name="q1q1q" hidden="1">{"via1",#N/A,TRUE,"general";"via2",#N/A,TRUE,"general";"via3",#N/A,TRUE,"general"}</definedName>
    <definedName name="qaedtguj" localSheetId="10" hidden="1">{"via1",#N/A,TRUE,"general";"via2",#N/A,TRUE,"general";"via3",#N/A,TRUE,"general"}</definedName>
    <definedName name="qaedtguj" localSheetId="8" hidden="1">{"via1",#N/A,TRUE,"general";"via2",#N/A,TRUE,"general";"via3",#N/A,TRUE,"general"}</definedName>
    <definedName name="qaedtguj" localSheetId="5" hidden="1">{"via1",#N/A,TRUE,"general";"via2",#N/A,TRUE,"general";"via3",#N/A,TRUE,"general"}</definedName>
    <definedName name="qaedtguj" hidden="1">{"via1",#N/A,TRUE,"general";"via2",#N/A,TRUE,"general";"via3",#N/A,TRUE,"general"}</definedName>
    <definedName name="QAQSWS" localSheetId="10" hidden="1">{"via1",#N/A,TRUE,"general";"via2",#N/A,TRUE,"general";"via3",#N/A,TRUE,"general"}</definedName>
    <definedName name="QAQSWS" localSheetId="8" hidden="1">{"via1",#N/A,TRUE,"general";"via2",#N/A,TRUE,"general";"via3",#N/A,TRUE,"general"}</definedName>
    <definedName name="QAQSWS" localSheetId="5" hidden="1">{"via1",#N/A,TRUE,"general";"via2",#N/A,TRUE,"general";"via3",#N/A,TRUE,"general"}</definedName>
    <definedName name="QAQSWS" hidden="1">{"via1",#N/A,TRUE,"general";"via2",#N/A,TRUE,"general";"via3",#N/A,TRUE,"general"}</definedName>
    <definedName name="qaqwwxcr" localSheetId="10" hidden="1">{"via1",#N/A,TRUE,"general";"via2",#N/A,TRUE,"general";"via3",#N/A,TRUE,"general"}</definedName>
    <definedName name="qaqwwxcr" localSheetId="8" hidden="1">{"via1",#N/A,TRUE,"general";"via2",#N/A,TRUE,"general";"via3",#N/A,TRUE,"general"}</definedName>
    <definedName name="qaqwwxcr" localSheetId="5" hidden="1">{"via1",#N/A,TRUE,"general";"via2",#N/A,TRUE,"general";"via3",#N/A,TRUE,"general"}</definedName>
    <definedName name="qaqwwxcr" hidden="1">{"via1",#N/A,TRUE,"general";"via2",#N/A,TRUE,"general";"via3",#N/A,TRUE,"general"}</definedName>
    <definedName name="qaz" localSheetId="5">#REF!</definedName>
    <definedName name="qaz">#REF!</definedName>
    <definedName name="qedcd" localSheetId="10" hidden="1">{"via1",#N/A,TRUE,"general";"via2",#N/A,TRUE,"general";"via3",#N/A,TRUE,"general"}</definedName>
    <definedName name="qedcd" localSheetId="8" hidden="1">{"via1",#N/A,TRUE,"general";"via2",#N/A,TRUE,"general";"via3",#N/A,TRUE,"general"}</definedName>
    <definedName name="qedcd" localSheetId="5" hidden="1">{"via1",#N/A,TRUE,"general";"via2",#N/A,TRUE,"general";"via3",#N/A,TRUE,"general"}</definedName>
    <definedName name="qedcd" hidden="1">{"via1",#N/A,TRUE,"general";"via2",#N/A,TRUE,"general";"via3",#N/A,TRUE,"general"}</definedName>
    <definedName name="qeqewe" localSheetId="10" hidden="1">{"TAB1",#N/A,TRUE,"GENERAL";"TAB2",#N/A,TRUE,"GENERAL";"TAB3",#N/A,TRUE,"GENERAL";"TAB4",#N/A,TRUE,"GENERAL";"TAB5",#N/A,TRUE,"GENERAL"}</definedName>
    <definedName name="qeqewe" localSheetId="8" hidden="1">{"TAB1",#N/A,TRUE,"GENERAL";"TAB2",#N/A,TRUE,"GENERAL";"TAB3",#N/A,TRUE,"GENERAL";"TAB4",#N/A,TRUE,"GENERAL";"TAB5",#N/A,TRUE,"GENERAL"}</definedName>
    <definedName name="qeqewe" localSheetId="5" hidden="1">{"TAB1",#N/A,TRUE,"GENERAL";"TAB2",#N/A,TRUE,"GENERAL";"TAB3",#N/A,TRUE,"GENERAL";"TAB4",#N/A,TRUE,"GENERAL";"TAB5",#N/A,TRUE,"GENERAL"}</definedName>
    <definedName name="qeqewe" hidden="1">{"TAB1",#N/A,TRUE,"GENERAL";"TAB2",#N/A,TRUE,"GENERAL";"TAB3",#N/A,TRUE,"GENERAL";"TAB4",#N/A,TRUE,"GENERAL";"TAB5",#N/A,TRUE,"GENERAL"}</definedName>
    <definedName name="qewj" localSheetId="10" hidden="1">{"via1",#N/A,TRUE,"general";"via2",#N/A,TRUE,"general";"via3",#N/A,TRUE,"general"}</definedName>
    <definedName name="qewj" localSheetId="8" hidden="1">{"via1",#N/A,TRUE,"general";"via2",#N/A,TRUE,"general";"via3",#N/A,TRUE,"general"}</definedName>
    <definedName name="qewj" localSheetId="5" hidden="1">{"via1",#N/A,TRUE,"general";"via2",#N/A,TRUE,"general";"via3",#N/A,TRUE,"general"}</definedName>
    <definedName name="qewj" hidden="1">{"via1",#N/A,TRUE,"general";"via2",#N/A,TRUE,"general";"via3",#N/A,TRUE,"general"}</definedName>
    <definedName name="qqqqqw" localSheetId="10" hidden="1">{"via1",#N/A,TRUE,"general";"via2",#N/A,TRUE,"general";"via3",#N/A,TRUE,"general"}</definedName>
    <definedName name="qqqqqw" localSheetId="8" hidden="1">{"via1",#N/A,TRUE,"general";"via2",#N/A,TRUE,"general";"via3",#N/A,TRUE,"general"}</definedName>
    <definedName name="qqqqqw" localSheetId="5" hidden="1">{"via1",#N/A,TRUE,"general";"via2",#N/A,TRUE,"general";"via3",#N/A,TRUE,"general"}</definedName>
    <definedName name="qqqqqw" hidden="1">{"via1",#N/A,TRUE,"general";"via2",#N/A,TRUE,"general";"via3",#N/A,TRUE,"general"}</definedName>
    <definedName name="qw" localSheetId="10" hidden="1">{"via1",#N/A,TRUE,"general";"via2",#N/A,TRUE,"general";"via3",#N/A,TRUE,"general"}</definedName>
    <definedName name="qw" localSheetId="8" hidden="1">{"via1",#N/A,TRUE,"general";"via2",#N/A,TRUE,"general";"via3",#N/A,TRUE,"general"}</definedName>
    <definedName name="qw" localSheetId="5" hidden="1">{"via1",#N/A,TRUE,"general";"via2",#N/A,TRUE,"general";"via3",#N/A,TRUE,"general"}</definedName>
    <definedName name="qw" hidden="1">{"via1",#N/A,TRUE,"general";"via2",#N/A,TRUE,"general";"via3",#N/A,TRUE,"general"}</definedName>
    <definedName name="qwdas2" localSheetId="10" hidden="1">{"via1",#N/A,TRUE,"general";"via2",#N/A,TRUE,"general";"via3",#N/A,TRUE,"general"}</definedName>
    <definedName name="qwdas2" localSheetId="8" hidden="1">{"via1",#N/A,TRUE,"general";"via2",#N/A,TRUE,"general";"via3",#N/A,TRUE,"general"}</definedName>
    <definedName name="qwdas2" localSheetId="5" hidden="1">{"via1",#N/A,TRUE,"general";"via2",#N/A,TRUE,"general";"via3",#N/A,TRUE,"general"}</definedName>
    <definedName name="qwdas2" hidden="1">{"via1",#N/A,TRUE,"general";"via2",#N/A,TRUE,"general";"via3",#N/A,TRUE,"general"}</definedName>
    <definedName name="qweqe" localSheetId="10" hidden="1">{"TAB1",#N/A,TRUE,"GENERAL";"TAB2",#N/A,TRUE,"GENERAL";"TAB3",#N/A,TRUE,"GENERAL";"TAB4",#N/A,TRUE,"GENERAL";"TAB5",#N/A,TRUE,"GENERAL"}</definedName>
    <definedName name="qweqe" localSheetId="8" hidden="1">{"TAB1",#N/A,TRUE,"GENERAL";"TAB2",#N/A,TRUE,"GENERAL";"TAB3",#N/A,TRUE,"GENERAL";"TAB4",#N/A,TRUE,"GENERAL";"TAB5",#N/A,TRUE,"GENERAL"}</definedName>
    <definedName name="qweqe" localSheetId="5" hidden="1">{"TAB1",#N/A,TRUE,"GENERAL";"TAB2",#N/A,TRUE,"GENERAL";"TAB3",#N/A,TRUE,"GENERAL";"TAB4",#N/A,TRUE,"GENERAL";"TAB5",#N/A,TRUE,"GENERAL"}</definedName>
    <definedName name="qweqe" hidden="1">{"TAB1",#N/A,TRUE,"GENERAL";"TAB2",#N/A,TRUE,"GENERAL";"TAB3",#N/A,TRUE,"GENERAL";"TAB4",#N/A,TRUE,"GENERAL";"TAB5",#N/A,TRUE,"GENERAL"}</definedName>
    <definedName name="QWERTY">#N/A</definedName>
    <definedName name="qwqwqwj" localSheetId="10" hidden="1">{"TAB1",#N/A,TRUE,"GENERAL";"TAB2",#N/A,TRUE,"GENERAL";"TAB3",#N/A,TRUE,"GENERAL";"TAB4",#N/A,TRUE,"GENERAL";"TAB5",#N/A,TRUE,"GENERAL"}</definedName>
    <definedName name="qwqwqwj" localSheetId="8" hidden="1">{"TAB1",#N/A,TRUE,"GENERAL";"TAB2",#N/A,TRUE,"GENERAL";"TAB3",#N/A,TRUE,"GENERAL";"TAB4",#N/A,TRUE,"GENERAL";"TAB5",#N/A,TRUE,"GENERAL"}</definedName>
    <definedName name="qwqwqwj" localSheetId="5" hidden="1">{"TAB1",#N/A,TRUE,"GENERAL";"TAB2",#N/A,TRUE,"GENERAL";"TAB3",#N/A,TRUE,"GENERAL";"TAB4",#N/A,TRUE,"GENERAL";"TAB5",#N/A,TRUE,"GENERAL"}</definedName>
    <definedName name="qwqwqwj" hidden="1">{"TAB1",#N/A,TRUE,"GENERAL";"TAB2",#N/A,TRUE,"GENERAL";"TAB3",#N/A,TRUE,"GENERAL";"TAB4",#N/A,TRUE,"GENERAL";"TAB5",#N/A,TRUE,"GENERAL"}</definedName>
    <definedName name="rege" localSheetId="10" hidden="1">{"TAB1",#N/A,TRUE,"GENERAL";"TAB2",#N/A,TRUE,"GENERAL";"TAB3",#N/A,TRUE,"GENERAL";"TAB4",#N/A,TRUE,"GENERAL";"TAB5",#N/A,TRUE,"GENERAL"}</definedName>
    <definedName name="rege" localSheetId="8" hidden="1">{"TAB1",#N/A,TRUE,"GENERAL";"TAB2",#N/A,TRUE,"GENERAL";"TAB3",#N/A,TRUE,"GENERAL";"TAB4",#N/A,TRUE,"GENERAL";"TAB5",#N/A,TRUE,"GENERAL"}</definedName>
    <definedName name="rege" localSheetId="5" hidden="1">{"TAB1",#N/A,TRUE,"GENERAL";"TAB2",#N/A,TRUE,"GENERAL";"TAB3",#N/A,TRUE,"GENERAL";"TAB4",#N/A,TRUE,"GENERAL";"TAB5",#N/A,TRUE,"GENERAL"}</definedName>
    <definedName name="rege" hidden="1">{"TAB1",#N/A,TRUE,"GENERAL";"TAB2",#N/A,TRUE,"GENERAL";"TAB3",#N/A,TRUE,"GENERAL";"TAB4",#N/A,TRUE,"GENERAL";"TAB5",#N/A,TRUE,"GENERAL"}</definedName>
    <definedName name="regresd" localSheetId="10" hidden="1">{"TAB1",#N/A,TRUE,"GENERAL";"TAB2",#N/A,TRUE,"GENERAL";"TAB3",#N/A,TRUE,"GENERAL";"TAB4",#N/A,TRUE,"GENERAL";"TAB5",#N/A,TRUE,"GENERAL"}</definedName>
    <definedName name="regresd" localSheetId="8" hidden="1">{"TAB1",#N/A,TRUE,"GENERAL";"TAB2",#N/A,TRUE,"GENERAL";"TAB3",#N/A,TRUE,"GENERAL";"TAB4",#N/A,TRUE,"GENERAL";"TAB5",#N/A,TRUE,"GENERAL"}</definedName>
    <definedName name="regresd" localSheetId="5" hidden="1">{"TAB1",#N/A,TRUE,"GENERAL";"TAB2",#N/A,TRUE,"GENERAL";"TAB3",#N/A,TRUE,"GENERAL";"TAB4",#N/A,TRUE,"GENERAL";"TAB5",#N/A,TRUE,"GENERAL"}</definedName>
    <definedName name="regresd" hidden="1">{"TAB1",#N/A,TRUE,"GENERAL";"TAB2",#N/A,TRUE,"GENERAL";"TAB3",#N/A,TRUE,"GENERAL";"TAB4",#N/A,TRUE,"GENERAL";"TAB5",#N/A,TRUE,"GENERAL"}</definedName>
    <definedName name="regthio" localSheetId="10" hidden="1">{"TAB1",#N/A,TRUE,"GENERAL";"TAB2",#N/A,TRUE,"GENERAL";"TAB3",#N/A,TRUE,"GENERAL";"TAB4",#N/A,TRUE,"GENERAL";"TAB5",#N/A,TRUE,"GENERAL"}</definedName>
    <definedName name="regthio" localSheetId="8" hidden="1">{"TAB1",#N/A,TRUE,"GENERAL";"TAB2",#N/A,TRUE,"GENERAL";"TAB3",#N/A,TRUE,"GENERAL";"TAB4",#N/A,TRUE,"GENERAL";"TAB5",#N/A,TRUE,"GENERAL"}</definedName>
    <definedName name="regthio" localSheetId="5" hidden="1">{"TAB1",#N/A,TRUE,"GENERAL";"TAB2",#N/A,TRUE,"GENERAL";"TAB3",#N/A,TRUE,"GENERAL";"TAB4",#N/A,TRUE,"GENERAL";"TAB5",#N/A,TRUE,"GENERAL"}</definedName>
    <definedName name="regthio" hidden="1">{"TAB1",#N/A,TRUE,"GENERAL";"TAB2",#N/A,TRUE,"GENERAL";"TAB3",#N/A,TRUE,"GENERAL";"TAB4",#N/A,TRUE,"GENERAL";"TAB5",#N/A,TRUE,"GENERAL"}</definedName>
    <definedName name="REICIO">#N/A</definedName>
    <definedName name="reinicio">#N/A</definedName>
    <definedName name="REJHE" localSheetId="10" hidden="1">{"via1",#N/A,TRUE,"general";"via2",#N/A,TRUE,"general";"via3",#N/A,TRUE,"general"}</definedName>
    <definedName name="REJHE" localSheetId="8" hidden="1">{"via1",#N/A,TRUE,"general";"via2",#N/A,TRUE,"general";"via3",#N/A,TRUE,"general"}</definedName>
    <definedName name="REJHE" localSheetId="5" hidden="1">{"via1",#N/A,TRUE,"general";"via2",#N/A,TRUE,"general";"via3",#N/A,TRUE,"general"}</definedName>
    <definedName name="REJHE" hidden="1">{"via1",#N/A,TRUE,"general";"via2",#N/A,TRUE,"general";"via3",#N/A,TRUE,"general"}</definedName>
    <definedName name="rell" localSheetId="5">#REF!</definedName>
    <definedName name="rell">#REF!</definedName>
    <definedName name="rer" localSheetId="10" hidden="1">{"via1",#N/A,TRUE,"general";"via2",#N/A,TRUE,"general";"via3",#N/A,TRUE,"general"}</definedName>
    <definedName name="rer" localSheetId="8" hidden="1">{"via1",#N/A,TRUE,"general";"via2",#N/A,TRUE,"general";"via3",#N/A,TRUE,"general"}</definedName>
    <definedName name="rer" localSheetId="5" hidden="1">{"via1",#N/A,TRUE,"general";"via2",#N/A,TRUE,"general";"via3",#N/A,TRUE,"general"}</definedName>
    <definedName name="rer" hidden="1">{"via1",#N/A,TRUE,"general";"via2",#N/A,TRUE,"general";"via3",#N/A,TRUE,"general"}</definedName>
    <definedName name="rererw" localSheetId="10" hidden="1">{"TAB1",#N/A,TRUE,"GENERAL";"TAB2",#N/A,TRUE,"GENERAL";"TAB3",#N/A,TRUE,"GENERAL";"TAB4",#N/A,TRUE,"GENERAL";"TAB5",#N/A,TRUE,"GENERAL"}</definedName>
    <definedName name="rererw" localSheetId="8" hidden="1">{"TAB1",#N/A,TRUE,"GENERAL";"TAB2",#N/A,TRUE,"GENERAL";"TAB3",#N/A,TRUE,"GENERAL";"TAB4",#N/A,TRUE,"GENERAL";"TAB5",#N/A,TRUE,"GENERAL"}</definedName>
    <definedName name="rererw" localSheetId="5" hidden="1">{"TAB1",#N/A,TRUE,"GENERAL";"TAB2",#N/A,TRUE,"GENERAL";"TAB3",#N/A,TRUE,"GENERAL";"TAB4",#N/A,TRUE,"GENERAL";"TAB5",#N/A,TRUE,"GENERAL"}</definedName>
    <definedName name="rererw" hidden="1">{"TAB1",#N/A,TRUE,"GENERAL";"TAB2",#N/A,TRUE,"GENERAL";"TAB3",#N/A,TRUE,"GENERAL";"TAB4",#N/A,TRUE,"GENERAL";"TAB5",#N/A,TRUE,"GENERAL"}</definedName>
    <definedName name="rerg" localSheetId="10" hidden="1">{"TAB1",#N/A,TRUE,"GENERAL";"TAB2",#N/A,TRUE,"GENERAL";"TAB3",#N/A,TRUE,"GENERAL";"TAB4",#N/A,TRUE,"GENERAL";"TAB5",#N/A,TRUE,"GENERAL"}</definedName>
    <definedName name="rerg" localSheetId="8" hidden="1">{"TAB1",#N/A,TRUE,"GENERAL";"TAB2",#N/A,TRUE,"GENERAL";"TAB3",#N/A,TRUE,"GENERAL";"TAB4",#N/A,TRUE,"GENERAL";"TAB5",#N/A,TRUE,"GENERAL"}</definedName>
    <definedName name="rerg" localSheetId="5" hidden="1">{"TAB1",#N/A,TRUE,"GENERAL";"TAB2",#N/A,TRUE,"GENERAL";"TAB3",#N/A,TRUE,"GENERAL";"TAB4",#N/A,TRUE,"GENERAL";"TAB5",#N/A,TRUE,"GENERAL"}</definedName>
    <definedName name="rerg" hidden="1">{"TAB1",#N/A,TRUE,"GENERAL";"TAB2",#N/A,TRUE,"GENERAL";"TAB3",#N/A,TRUE,"GENERAL";"TAB4",#N/A,TRUE,"GENERAL";"TAB5",#N/A,TRUE,"GENERAL"}</definedName>
    <definedName name="rerrrrw" localSheetId="10" hidden="1">{"TAB1",#N/A,TRUE,"GENERAL";"TAB2",#N/A,TRUE,"GENERAL";"TAB3",#N/A,TRUE,"GENERAL";"TAB4",#N/A,TRUE,"GENERAL";"TAB5",#N/A,TRUE,"GENERAL"}</definedName>
    <definedName name="rerrrrw" localSheetId="8" hidden="1">{"TAB1",#N/A,TRUE,"GENERAL";"TAB2",#N/A,TRUE,"GENERAL";"TAB3",#N/A,TRUE,"GENERAL";"TAB4",#N/A,TRUE,"GENERAL";"TAB5",#N/A,TRUE,"GENERAL"}</definedName>
    <definedName name="rerrrrw" localSheetId="5" hidden="1">{"TAB1",#N/A,TRUE,"GENERAL";"TAB2",#N/A,TRUE,"GENERAL";"TAB3",#N/A,TRUE,"GENERAL";"TAB4",#N/A,TRUE,"GENERAL";"TAB5",#N/A,TRUE,"GENERAL"}</definedName>
    <definedName name="rerrrrw" hidden="1">{"TAB1",#N/A,TRUE,"GENERAL";"TAB2",#N/A,TRUE,"GENERAL";"TAB3",#N/A,TRUE,"GENERAL";"TAB4",#N/A,TRUE,"GENERAL";"TAB5",#N/A,TRUE,"GENERAL"}</definedName>
    <definedName name="Retenc">[14]BASES!$E$31</definedName>
    <definedName name="RETTRE" localSheetId="10" hidden="1">{"via1",#N/A,TRUE,"general";"via2",#N/A,TRUE,"general";"via3",#N/A,TRUE,"general"}</definedName>
    <definedName name="RETTRE" localSheetId="8" hidden="1">{"via1",#N/A,TRUE,"general";"via2",#N/A,TRUE,"general";"via3",#N/A,TRUE,"general"}</definedName>
    <definedName name="RETTRE" localSheetId="5" hidden="1">{"via1",#N/A,TRUE,"general";"via2",#N/A,TRUE,"general";"via3",#N/A,TRUE,"general"}</definedName>
    <definedName name="RETTRE" hidden="1">{"via1",#N/A,TRUE,"general";"via2",#N/A,TRUE,"general";"via3",#N/A,TRUE,"general"}</definedName>
    <definedName name="rety" localSheetId="10" hidden="1">{"TAB1",#N/A,TRUE,"GENERAL";"TAB2",#N/A,TRUE,"GENERAL";"TAB3",#N/A,TRUE,"GENERAL";"TAB4",#N/A,TRUE,"GENERAL";"TAB5",#N/A,TRUE,"GENERAL"}</definedName>
    <definedName name="rety" localSheetId="8" hidden="1">{"TAB1",#N/A,TRUE,"GENERAL";"TAB2",#N/A,TRUE,"GENERAL";"TAB3",#N/A,TRUE,"GENERAL";"TAB4",#N/A,TRUE,"GENERAL";"TAB5",#N/A,TRUE,"GENERAL"}</definedName>
    <definedName name="rety" localSheetId="5" hidden="1">{"TAB1",#N/A,TRUE,"GENERAL";"TAB2",#N/A,TRUE,"GENERAL";"TAB3",#N/A,TRUE,"GENERAL";"TAB4",#N/A,TRUE,"GENERAL";"TAB5",#N/A,TRUE,"GENERAL"}</definedName>
    <definedName name="rety" hidden="1">{"TAB1",#N/A,TRUE,"GENERAL";"TAB2",#N/A,TRUE,"GENERAL";"TAB3",#N/A,TRUE,"GENERAL";"TAB4",#N/A,TRUE,"GENERAL";"TAB5",#N/A,TRUE,"GENERAL"}</definedName>
    <definedName name="rewfreg" localSheetId="10" hidden="1">{"via1",#N/A,TRUE,"general";"via2",#N/A,TRUE,"general";"via3",#N/A,TRUE,"general"}</definedName>
    <definedName name="rewfreg" localSheetId="8" hidden="1">{"via1",#N/A,TRUE,"general";"via2",#N/A,TRUE,"general";"via3",#N/A,TRUE,"general"}</definedName>
    <definedName name="rewfreg" localSheetId="5" hidden="1">{"via1",#N/A,TRUE,"general";"via2",#N/A,TRUE,"general";"via3",#N/A,TRUE,"general"}</definedName>
    <definedName name="rewfreg" hidden="1">{"via1",#N/A,TRUE,"general";"via2",#N/A,TRUE,"general";"via3",#N/A,TRUE,"general"}</definedName>
    <definedName name="rewr" localSheetId="10" hidden="1">{"via1",#N/A,TRUE,"general";"via2",#N/A,TRUE,"general";"via3",#N/A,TRUE,"general"}</definedName>
    <definedName name="rewr" localSheetId="8" hidden="1">{"via1",#N/A,TRUE,"general";"via2",#N/A,TRUE,"general";"via3",#N/A,TRUE,"general"}</definedName>
    <definedName name="rewr" localSheetId="5" hidden="1">{"via1",#N/A,TRUE,"general";"via2",#N/A,TRUE,"general";"via3",#N/A,TRUE,"general"}</definedName>
    <definedName name="rewr" hidden="1">{"via1",#N/A,TRUE,"general";"via2",#N/A,TRUE,"general";"via3",#N/A,TRUE,"general"}</definedName>
    <definedName name="REWWER" localSheetId="10" hidden="1">{"TAB1",#N/A,TRUE,"GENERAL";"TAB2",#N/A,TRUE,"GENERAL";"TAB3",#N/A,TRUE,"GENERAL";"TAB4",#N/A,TRUE,"GENERAL";"TAB5",#N/A,TRUE,"GENERAL"}</definedName>
    <definedName name="REWWER" localSheetId="8" hidden="1">{"TAB1",#N/A,TRUE,"GENERAL";"TAB2",#N/A,TRUE,"GENERAL";"TAB3",#N/A,TRUE,"GENERAL";"TAB4",#N/A,TRUE,"GENERAL";"TAB5",#N/A,TRUE,"GENERAL"}</definedName>
    <definedName name="REWWER" localSheetId="5" hidden="1">{"TAB1",#N/A,TRUE,"GENERAL";"TAB2",#N/A,TRUE,"GENERAL";"TAB3",#N/A,TRUE,"GENERAL";"TAB4",#N/A,TRUE,"GENERAL";"TAB5",#N/A,TRUE,"GENERAL"}</definedName>
    <definedName name="REWWER" hidden="1">{"TAB1",#N/A,TRUE,"GENERAL";"TAB2",#N/A,TRUE,"GENERAL";"TAB3",#N/A,TRUE,"GENERAL";"TAB4",#N/A,TRUE,"GENERAL";"TAB5",#N/A,TRUE,"GENERAL"}</definedName>
    <definedName name="reyepoi" localSheetId="10" hidden="1">{"TAB1",#N/A,TRUE,"GENERAL";"TAB2",#N/A,TRUE,"GENERAL";"TAB3",#N/A,TRUE,"GENERAL";"TAB4",#N/A,TRUE,"GENERAL";"TAB5",#N/A,TRUE,"GENERAL"}</definedName>
    <definedName name="reyepoi" localSheetId="8" hidden="1">{"TAB1",#N/A,TRUE,"GENERAL";"TAB2",#N/A,TRUE,"GENERAL";"TAB3",#N/A,TRUE,"GENERAL";"TAB4",#N/A,TRUE,"GENERAL";"TAB5",#N/A,TRUE,"GENERAL"}</definedName>
    <definedName name="reyepoi" localSheetId="5" hidden="1">{"TAB1",#N/A,TRUE,"GENERAL";"TAB2",#N/A,TRUE,"GENERAL";"TAB3",#N/A,TRUE,"GENERAL";"TAB4",#N/A,TRUE,"GENERAL";"TAB5",#N/A,TRUE,"GENERAL"}</definedName>
    <definedName name="reyepoi" hidden="1">{"TAB1",#N/A,TRUE,"GENERAL";"TAB2",#N/A,TRUE,"GENERAL";"TAB3",#N/A,TRUE,"GENERAL";"TAB4",#N/A,TRUE,"GENERAL";"TAB5",#N/A,TRUE,"GENERAL"}</definedName>
    <definedName name="reyety" localSheetId="10" hidden="1">{"via1",#N/A,TRUE,"general";"via2",#N/A,TRUE,"general";"via3",#N/A,TRUE,"general"}</definedName>
    <definedName name="reyety" localSheetId="8" hidden="1">{"via1",#N/A,TRUE,"general";"via2",#N/A,TRUE,"general";"via3",#N/A,TRUE,"general"}</definedName>
    <definedName name="reyety" localSheetId="5" hidden="1">{"via1",#N/A,TRUE,"general";"via2",#N/A,TRUE,"general";"via3",#N/A,TRUE,"general"}</definedName>
    <definedName name="reyety" hidden="1">{"via1",#N/A,TRUE,"general";"via2",#N/A,TRUE,"general";"via3",#N/A,TRUE,"general"}</definedName>
    <definedName name="reyty" localSheetId="10" hidden="1">{"via1",#N/A,TRUE,"general";"via2",#N/A,TRUE,"general";"via3",#N/A,TRUE,"general"}</definedName>
    <definedName name="reyty" localSheetId="8" hidden="1">{"via1",#N/A,TRUE,"general";"via2",#N/A,TRUE,"general";"via3",#N/A,TRUE,"general"}</definedName>
    <definedName name="reyty" localSheetId="5" hidden="1">{"via1",#N/A,TRUE,"general";"via2",#N/A,TRUE,"general";"via3",#N/A,TRUE,"general"}</definedName>
    <definedName name="reyty" hidden="1">{"via1",#N/A,TRUE,"general";"via2",#N/A,TRUE,"general";"via3",#N/A,TRUE,"general"}</definedName>
    <definedName name="reyyt" localSheetId="10" hidden="1">{"via1",#N/A,TRUE,"general";"via2",#N/A,TRUE,"general";"via3",#N/A,TRUE,"general"}</definedName>
    <definedName name="reyyt" localSheetId="8" hidden="1">{"via1",#N/A,TRUE,"general";"via2",#N/A,TRUE,"general";"via3",#N/A,TRUE,"general"}</definedName>
    <definedName name="reyyt" localSheetId="5" hidden="1">{"via1",#N/A,TRUE,"general";"via2",#N/A,TRUE,"general";"via3",#N/A,TRUE,"general"}</definedName>
    <definedName name="reyyt" hidden="1">{"via1",#N/A,TRUE,"general";"via2",#N/A,TRUE,"general";"via3",#N/A,TRUE,"general"}</definedName>
    <definedName name="rfhnhjyu" localSheetId="10" hidden="1">{"TAB1",#N/A,TRUE,"GENERAL";"TAB2",#N/A,TRUE,"GENERAL";"TAB3",#N/A,TRUE,"GENERAL";"TAB4",#N/A,TRUE,"GENERAL";"TAB5",#N/A,TRUE,"GENERAL"}</definedName>
    <definedName name="rfhnhjyu" localSheetId="8" hidden="1">{"TAB1",#N/A,TRUE,"GENERAL";"TAB2",#N/A,TRUE,"GENERAL";"TAB3",#N/A,TRUE,"GENERAL";"TAB4",#N/A,TRUE,"GENERAL";"TAB5",#N/A,TRUE,"GENERAL"}</definedName>
    <definedName name="rfhnhjyu" localSheetId="5" hidden="1">{"TAB1",#N/A,TRUE,"GENERAL";"TAB2",#N/A,TRUE,"GENERAL";"TAB3",#N/A,TRUE,"GENERAL";"TAB4",#N/A,TRUE,"GENERAL";"TAB5",#N/A,TRUE,"GENERAL"}</definedName>
    <definedName name="rfhnhjyu" hidden="1">{"TAB1",#N/A,TRUE,"GENERAL";"TAB2",#N/A,TRUE,"GENERAL";"TAB3",#N/A,TRUE,"GENERAL";"TAB4",#N/A,TRUE,"GENERAL";"TAB5",#N/A,TRUE,"GENERAL"}</definedName>
    <definedName name="rfrf" localSheetId="10" hidden="1">{"via1",#N/A,TRUE,"general";"via2",#N/A,TRUE,"general";"via3",#N/A,TRUE,"general"}</definedName>
    <definedName name="rfrf" localSheetId="8" hidden="1">{"via1",#N/A,TRUE,"general";"via2",#N/A,TRUE,"general";"via3",#N/A,TRUE,"general"}</definedName>
    <definedName name="rfrf" localSheetId="5" hidden="1">{"via1",#N/A,TRUE,"general";"via2",#N/A,TRUE,"general";"via3",#N/A,TRUE,"general"}</definedName>
    <definedName name="rfrf" hidden="1">{"via1",#N/A,TRUE,"general";"via2",#N/A,TRUE,"general";"via3",#N/A,TRUE,"general"}</definedName>
    <definedName name="rge" localSheetId="10" hidden="1">{"via1",#N/A,TRUE,"general";"via2",#N/A,TRUE,"general";"via3",#N/A,TRUE,"general"}</definedName>
    <definedName name="rge" localSheetId="8" hidden="1">{"via1",#N/A,TRUE,"general";"via2",#N/A,TRUE,"general";"via3",#N/A,TRUE,"general"}</definedName>
    <definedName name="rge" localSheetId="5" hidden="1">{"via1",#N/A,TRUE,"general";"via2",#N/A,TRUE,"general";"via3",#N/A,TRUE,"general"}</definedName>
    <definedName name="rge" hidden="1">{"via1",#N/A,TRUE,"general";"via2",#N/A,TRUE,"general";"via3",#N/A,TRUE,"general"}</definedName>
    <definedName name="rgegg" localSheetId="10" hidden="1">{"via1",#N/A,TRUE,"general";"via2",#N/A,TRUE,"general";"via3",#N/A,TRUE,"general"}</definedName>
    <definedName name="rgegg" localSheetId="8" hidden="1">{"via1",#N/A,TRUE,"general";"via2",#N/A,TRUE,"general";"via3",#N/A,TRUE,"general"}</definedName>
    <definedName name="rgegg" localSheetId="5" hidden="1">{"via1",#N/A,TRUE,"general";"via2",#N/A,TRUE,"general";"via3",#N/A,TRUE,"general"}</definedName>
    <definedName name="rgegg" hidden="1">{"via1",#N/A,TRUE,"general";"via2",#N/A,TRUE,"general";"via3",#N/A,TRUE,"general"}</definedName>
    <definedName name="rhh" localSheetId="10" hidden="1">{"TAB1",#N/A,TRUE,"GENERAL";"TAB2",#N/A,TRUE,"GENERAL";"TAB3",#N/A,TRUE,"GENERAL";"TAB4",#N/A,TRUE,"GENERAL";"TAB5",#N/A,TRUE,"GENERAL"}</definedName>
    <definedName name="rhh" localSheetId="8" hidden="1">{"TAB1",#N/A,TRUE,"GENERAL";"TAB2",#N/A,TRUE,"GENERAL";"TAB3",#N/A,TRUE,"GENERAL";"TAB4",#N/A,TRUE,"GENERAL";"TAB5",#N/A,TRUE,"GENERAL"}</definedName>
    <definedName name="rhh" localSheetId="5" hidden="1">{"TAB1",#N/A,TRUE,"GENERAL";"TAB2",#N/A,TRUE,"GENERAL";"TAB3",#N/A,TRUE,"GENERAL";"TAB4",#N/A,TRUE,"GENERAL";"TAB5",#N/A,TRUE,"GENERAL"}</definedName>
    <definedName name="rhh" hidden="1">{"TAB1",#N/A,TRUE,"GENERAL";"TAB2",#N/A,TRUE,"GENERAL";"TAB3",#N/A,TRUE,"GENERAL";"TAB4",#N/A,TRUE,"GENERAL";"TAB5",#N/A,TRUE,"GENERAL"}</definedName>
    <definedName name="rhrtd" localSheetId="10" hidden="1">{"TAB1",#N/A,TRUE,"GENERAL";"TAB2",#N/A,TRUE,"GENERAL";"TAB3",#N/A,TRUE,"GENERAL";"TAB4",#N/A,TRUE,"GENERAL";"TAB5",#N/A,TRUE,"GENERAL"}</definedName>
    <definedName name="rhrtd" localSheetId="8" hidden="1">{"TAB1",#N/A,TRUE,"GENERAL";"TAB2",#N/A,TRUE,"GENERAL";"TAB3",#N/A,TRUE,"GENERAL";"TAB4",#N/A,TRUE,"GENERAL";"TAB5",#N/A,TRUE,"GENERAL"}</definedName>
    <definedName name="rhrtd" localSheetId="5" hidden="1">{"TAB1",#N/A,TRUE,"GENERAL";"TAB2",#N/A,TRUE,"GENERAL";"TAB3",#N/A,TRUE,"GENERAL";"TAB4",#N/A,TRUE,"GENERAL";"TAB5",#N/A,TRUE,"GENERAL"}</definedName>
    <definedName name="rhrtd" hidden="1">{"TAB1",#N/A,TRUE,"GENERAL";"TAB2",#N/A,TRUE,"GENERAL";"TAB3",#N/A,TRUE,"GENERAL";"TAB4",#N/A,TRUE,"GENERAL";"TAB5",#N/A,TRUE,"GENERAL"}</definedName>
    <definedName name="rhtry" localSheetId="10" hidden="1">{"TAB1",#N/A,TRUE,"GENERAL";"TAB2",#N/A,TRUE,"GENERAL";"TAB3",#N/A,TRUE,"GENERAL";"TAB4",#N/A,TRUE,"GENERAL";"TAB5",#N/A,TRUE,"GENERAL"}</definedName>
    <definedName name="rhtry" localSheetId="8" hidden="1">{"TAB1",#N/A,TRUE,"GENERAL";"TAB2",#N/A,TRUE,"GENERAL";"TAB3",#N/A,TRUE,"GENERAL";"TAB4",#N/A,TRUE,"GENERAL";"TAB5",#N/A,TRUE,"GENERAL"}</definedName>
    <definedName name="rhtry" localSheetId="5" hidden="1">{"TAB1",#N/A,TRUE,"GENERAL";"TAB2",#N/A,TRUE,"GENERAL";"TAB3",#N/A,TRUE,"GENERAL";"TAB4",#N/A,TRUE,"GENERAL";"TAB5",#N/A,TRUE,"GENERAL"}</definedName>
    <definedName name="rhtry" hidden="1">{"TAB1",#N/A,TRUE,"GENERAL";"TAB2",#N/A,TRUE,"GENERAL";"TAB3",#N/A,TRUE,"GENERAL";"TAB4",#N/A,TRUE,"GENERAL";"TAB5",#N/A,TRUE,"GENERAL"}</definedName>
    <definedName name="rj" localSheetId="10" hidden="1">{"TAB1",#N/A,TRUE,"GENERAL";"TAB2",#N/A,TRUE,"GENERAL";"TAB3",#N/A,TRUE,"GENERAL";"TAB4",#N/A,TRUE,"GENERAL";"TAB5",#N/A,TRUE,"GENERAL"}</definedName>
    <definedName name="rj" localSheetId="8" hidden="1">{"TAB1",#N/A,TRUE,"GENERAL";"TAB2",#N/A,TRUE,"GENERAL";"TAB3",#N/A,TRUE,"GENERAL";"TAB4",#N/A,TRUE,"GENERAL";"TAB5",#N/A,TRUE,"GENERAL"}</definedName>
    <definedName name="rj" localSheetId="5" hidden="1">{"TAB1",#N/A,TRUE,"GENERAL";"TAB2",#N/A,TRUE,"GENERAL";"TAB3",#N/A,TRUE,"GENERAL";"TAB4",#N/A,TRUE,"GENERAL";"TAB5",#N/A,TRUE,"GENERAL"}</definedName>
    <definedName name="rj" hidden="1">{"TAB1",#N/A,TRUE,"GENERAL";"TAB2",#N/A,TRUE,"GENERAL";"TAB3",#N/A,TRUE,"GENERAL";"TAB4",#N/A,TRUE,"GENERAL";"TAB5",#N/A,TRUE,"GENERAL"}</definedName>
    <definedName name="rjjth" localSheetId="10" hidden="1">{"TAB1",#N/A,TRUE,"GENERAL";"TAB2",#N/A,TRUE,"GENERAL";"TAB3",#N/A,TRUE,"GENERAL";"TAB4",#N/A,TRUE,"GENERAL";"TAB5",#N/A,TRUE,"GENERAL"}</definedName>
    <definedName name="rjjth" localSheetId="8" hidden="1">{"TAB1",#N/A,TRUE,"GENERAL";"TAB2",#N/A,TRUE,"GENERAL";"TAB3",#N/A,TRUE,"GENERAL";"TAB4",#N/A,TRUE,"GENERAL";"TAB5",#N/A,TRUE,"GENERAL"}</definedName>
    <definedName name="rjjth" localSheetId="5" hidden="1">{"TAB1",#N/A,TRUE,"GENERAL";"TAB2",#N/A,TRUE,"GENERAL";"TAB3",#N/A,TRUE,"GENERAL";"TAB4",#N/A,TRUE,"GENERAL";"TAB5",#N/A,TRUE,"GENERAL"}</definedName>
    <definedName name="rjjth" hidden="1">{"TAB1",#N/A,TRUE,"GENERAL";"TAB2",#N/A,TRUE,"GENERAL";"TAB3",#N/A,TRUE,"GENERAL";"TAB4",#N/A,TRUE,"GENERAL";"TAB5",#N/A,TRUE,"GENERAL"}</definedName>
    <definedName name="rjy" localSheetId="10" hidden="1">{"via1",#N/A,TRUE,"general";"via2",#N/A,TRUE,"general";"via3",#N/A,TRUE,"general"}</definedName>
    <definedName name="rjy" localSheetId="8" hidden="1">{"via1",#N/A,TRUE,"general";"via2",#N/A,TRUE,"general";"via3",#N/A,TRUE,"general"}</definedName>
    <definedName name="rjy" localSheetId="5" hidden="1">{"via1",#N/A,TRUE,"general";"via2",#N/A,TRUE,"general";"via3",#N/A,TRUE,"general"}</definedName>
    <definedName name="rjy" hidden="1">{"via1",#N/A,TRUE,"general";"via2",#N/A,TRUE,"general";"via3",#N/A,TRUE,"general"}</definedName>
    <definedName name="rkjyk" localSheetId="10" hidden="1">{"TAB1",#N/A,TRUE,"GENERAL";"TAB2",#N/A,TRUE,"GENERAL";"TAB3",#N/A,TRUE,"GENERAL";"TAB4",#N/A,TRUE,"GENERAL";"TAB5",#N/A,TRUE,"GENERAL"}</definedName>
    <definedName name="rkjyk" localSheetId="8" hidden="1">{"TAB1",#N/A,TRUE,"GENERAL";"TAB2",#N/A,TRUE,"GENERAL";"TAB3",#N/A,TRUE,"GENERAL";"TAB4",#N/A,TRUE,"GENERAL";"TAB5",#N/A,TRUE,"GENERAL"}</definedName>
    <definedName name="rkjyk" localSheetId="5" hidden="1">{"TAB1",#N/A,TRUE,"GENERAL";"TAB2",#N/A,TRUE,"GENERAL";"TAB3",#N/A,TRUE,"GENERAL";"TAB4",#N/A,TRUE,"GENERAL";"TAB5",#N/A,TRUE,"GENERAL"}</definedName>
    <definedName name="rkjyk" hidden="1">{"TAB1",#N/A,TRUE,"GENERAL";"TAB2",#N/A,TRUE,"GENERAL";"TAB3",#N/A,TRUE,"GENERAL";"TAB4",#N/A,TRUE,"GENERAL";"TAB5",#N/A,TRUE,"GENERAL"}</definedName>
    <definedName name="rkru" localSheetId="10" hidden="1">{"via1",#N/A,TRUE,"general";"via2",#N/A,TRUE,"general";"via3",#N/A,TRUE,"general"}</definedName>
    <definedName name="rkru" localSheetId="8" hidden="1">{"via1",#N/A,TRUE,"general";"via2",#N/A,TRUE,"general";"via3",#N/A,TRUE,"general"}</definedName>
    <definedName name="rkru" localSheetId="5" hidden="1">{"via1",#N/A,TRUE,"general";"via2",#N/A,TRUE,"general";"via3",#N/A,TRUE,"general"}</definedName>
    <definedName name="rkru" hidden="1">{"via1",#N/A,TRUE,"general";"via2",#N/A,TRUE,"general";"via3",#N/A,TRUE,"general"}</definedName>
    <definedName name="rky" localSheetId="10" hidden="1">{"TAB1",#N/A,TRUE,"GENERAL";"TAB2",#N/A,TRUE,"GENERAL";"TAB3",#N/A,TRUE,"GENERAL";"TAB4",#N/A,TRUE,"GENERAL";"TAB5",#N/A,TRUE,"GENERAL"}</definedName>
    <definedName name="rky" localSheetId="8" hidden="1">{"TAB1",#N/A,TRUE,"GENERAL";"TAB2",#N/A,TRUE,"GENERAL";"TAB3",#N/A,TRUE,"GENERAL";"TAB4",#N/A,TRUE,"GENERAL";"TAB5",#N/A,TRUE,"GENERAL"}</definedName>
    <definedName name="rky" localSheetId="5" hidden="1">{"TAB1",#N/A,TRUE,"GENERAL";"TAB2",#N/A,TRUE,"GENERAL";"TAB3",#N/A,TRUE,"GENERAL";"TAB4",#N/A,TRUE,"GENERAL";"TAB5",#N/A,TRUE,"GENERAL"}</definedName>
    <definedName name="rky" hidden="1">{"TAB1",#N/A,TRUE,"GENERAL";"TAB2",#N/A,TRUE,"GENERAL";"TAB3",#N/A,TRUE,"GENERAL";"TAB4",#N/A,TRUE,"GENERAL";"TAB5",#N/A,TRUE,"GENERAL"}</definedName>
    <definedName name="rr">#N/A</definedName>
    <definedName name="rrr" localSheetId="10" hidden="1">{"via1",#N/A,TRUE,"general";"via2",#N/A,TRUE,"general";"via3",#N/A,TRUE,"general"}</definedName>
    <definedName name="rrr" localSheetId="8" hidden="1">{"via1",#N/A,TRUE,"general";"via2",#N/A,TRUE,"general";"via3",#N/A,TRUE,"general"}</definedName>
    <definedName name="rrr" localSheetId="5" hidden="1">{"via1",#N/A,TRUE,"general";"via2",#N/A,TRUE,"general";"via3",#N/A,TRUE,"general"}</definedName>
    <definedName name="rrr" hidden="1">{"via1",#N/A,TRUE,"general";"via2",#N/A,TRUE,"general";"via3",#N/A,TRUE,"general"}</definedName>
    <definedName name="rrrrrb" localSheetId="10" hidden="1">{"via1",#N/A,TRUE,"general";"via2",#N/A,TRUE,"general";"via3",#N/A,TRUE,"general"}</definedName>
    <definedName name="rrrrrb" localSheetId="8" hidden="1">{"via1",#N/A,TRUE,"general";"via2",#N/A,TRUE,"general";"via3",#N/A,TRUE,"general"}</definedName>
    <definedName name="rrrrrb" localSheetId="5" hidden="1">{"via1",#N/A,TRUE,"general";"via2",#N/A,TRUE,"general";"via3",#N/A,TRUE,"general"}</definedName>
    <definedName name="rrrrrb" hidden="1">{"via1",#N/A,TRUE,"general";"via2",#N/A,TRUE,"general";"via3",#N/A,TRUE,"general"}</definedName>
    <definedName name="rrrrrrre" localSheetId="10" hidden="1">{"TAB1",#N/A,TRUE,"GENERAL";"TAB2",#N/A,TRUE,"GENERAL";"TAB3",#N/A,TRUE,"GENERAL";"TAB4",#N/A,TRUE,"GENERAL";"TAB5",#N/A,TRUE,"GENERAL"}</definedName>
    <definedName name="rrrrrrre" localSheetId="8" hidden="1">{"TAB1",#N/A,TRUE,"GENERAL";"TAB2",#N/A,TRUE,"GENERAL";"TAB3",#N/A,TRUE,"GENERAL";"TAB4",#N/A,TRUE,"GENERAL";"TAB5",#N/A,TRUE,"GENERAL"}</definedName>
    <definedName name="rrrrrrre" localSheetId="5" hidden="1">{"TAB1",#N/A,TRUE,"GENERAL";"TAB2",#N/A,TRUE,"GENERAL";"TAB3",#N/A,TRUE,"GENERAL";"TAB4",#N/A,TRUE,"GENERAL";"TAB5",#N/A,TRUE,"GENERAL"}</definedName>
    <definedName name="rrrrrrre" hidden="1">{"TAB1",#N/A,TRUE,"GENERAL";"TAB2",#N/A,TRUE,"GENERAL";"TAB3",#N/A,TRUE,"GENERAL";"TAB4",#N/A,TRUE,"GENERAL";"TAB5",#N/A,TRUE,"GENERAL"}</definedName>
    <definedName name="rrrrt" localSheetId="10" hidden="1">{"via1",#N/A,TRUE,"general";"via2",#N/A,TRUE,"general";"via3",#N/A,TRUE,"general"}</definedName>
    <definedName name="rrrrt" localSheetId="8" hidden="1">{"via1",#N/A,TRUE,"general";"via2",#N/A,TRUE,"general";"via3",#N/A,TRUE,"general"}</definedName>
    <definedName name="rrrrt" localSheetId="5" hidden="1">{"via1",#N/A,TRUE,"general";"via2",#N/A,TRUE,"general";"via3",#N/A,TRUE,"general"}</definedName>
    <definedName name="rrrrt" hidden="1">{"via1",#N/A,TRUE,"general";"via2",#N/A,TRUE,"general";"via3",#N/A,TRUE,"general"}</definedName>
    <definedName name="rsdgsd5" localSheetId="10" hidden="1">{"TAB1",#N/A,TRUE,"GENERAL";"TAB2",#N/A,TRUE,"GENERAL";"TAB3",#N/A,TRUE,"GENERAL";"TAB4",#N/A,TRUE,"GENERAL";"TAB5",#N/A,TRUE,"GENERAL"}</definedName>
    <definedName name="rsdgsd5" localSheetId="8" hidden="1">{"TAB1",#N/A,TRUE,"GENERAL";"TAB2",#N/A,TRUE,"GENERAL";"TAB3",#N/A,TRUE,"GENERAL";"TAB4",#N/A,TRUE,"GENERAL";"TAB5",#N/A,TRUE,"GENERAL"}</definedName>
    <definedName name="rsdgsd5" localSheetId="5" hidden="1">{"TAB1",#N/A,TRUE,"GENERAL";"TAB2",#N/A,TRUE,"GENERAL";"TAB3",#N/A,TRUE,"GENERAL";"TAB4",#N/A,TRUE,"GENERAL";"TAB5",#N/A,TRUE,"GENERAL"}</definedName>
    <definedName name="rsdgsd5" hidden="1">{"TAB1",#N/A,TRUE,"GENERAL";"TAB2",#N/A,TRUE,"GENERAL";"TAB3",#N/A,TRUE,"GENERAL";"TAB4",#N/A,TRUE,"GENERAL";"TAB5",#N/A,TRUE,"GENERAL"}</definedName>
    <definedName name="rt" localSheetId="10" hidden="1">{"TAB1",#N/A,TRUE,"GENERAL";"TAB2",#N/A,TRUE,"GENERAL";"TAB3",#N/A,TRUE,"GENERAL";"TAB4",#N/A,TRUE,"GENERAL";"TAB5",#N/A,TRUE,"GENERAL"}</definedName>
    <definedName name="rt" localSheetId="8" hidden="1">{"TAB1",#N/A,TRUE,"GENERAL";"TAB2",#N/A,TRUE,"GENERAL";"TAB3",#N/A,TRUE,"GENERAL";"TAB4",#N/A,TRUE,"GENERAL";"TAB5",#N/A,TRUE,"GENERAL"}</definedName>
    <definedName name="rt" localSheetId="5" hidden="1">{"TAB1",#N/A,TRUE,"GENERAL";"TAB2",#N/A,TRUE,"GENERAL";"TAB3",#N/A,TRUE,"GENERAL";"TAB4",#N/A,TRUE,"GENERAL";"TAB5",#N/A,TRUE,"GENERAL"}</definedName>
    <definedName name="rt" hidden="1">{"TAB1",#N/A,TRUE,"GENERAL";"TAB2",#N/A,TRUE,"GENERAL";"TAB3",#N/A,TRUE,"GENERAL";"TAB4",#N/A,TRUE,"GENERAL";"TAB5",#N/A,TRUE,"GENERAL"}</definedName>
    <definedName name="rte" localSheetId="10" hidden="1">{"TAB1",#N/A,TRUE,"GENERAL";"TAB2",#N/A,TRUE,"GENERAL";"TAB3",#N/A,TRUE,"GENERAL";"TAB4",#N/A,TRUE,"GENERAL";"TAB5",#N/A,TRUE,"GENERAL"}</definedName>
    <definedName name="rte" localSheetId="8" hidden="1">{"TAB1",#N/A,TRUE,"GENERAL";"TAB2",#N/A,TRUE,"GENERAL";"TAB3",#N/A,TRUE,"GENERAL";"TAB4",#N/A,TRUE,"GENERAL";"TAB5",#N/A,TRUE,"GENERAL"}</definedName>
    <definedName name="rte" localSheetId="5" hidden="1">{"TAB1",#N/A,TRUE,"GENERAL";"TAB2",#N/A,TRUE,"GENERAL";"TAB3",#N/A,TRUE,"GENERAL";"TAB4",#N/A,TRUE,"GENERAL";"TAB5",#N/A,TRUE,"GENERAL"}</definedName>
    <definedName name="rte" hidden="1">{"TAB1",#N/A,TRUE,"GENERAL";"TAB2",#N/A,TRUE,"GENERAL";"TAB3",#N/A,TRUE,"GENERAL";"TAB4",#N/A,TRUE,"GENERAL";"TAB5",#N/A,TRUE,"GENERAL"}</definedName>
    <definedName name="rteg" localSheetId="10" hidden="1">{"via1",#N/A,TRUE,"general";"via2",#N/A,TRUE,"general";"via3",#N/A,TRUE,"general"}</definedName>
    <definedName name="rteg" localSheetId="8" hidden="1">{"via1",#N/A,TRUE,"general";"via2",#N/A,TRUE,"general";"via3",#N/A,TRUE,"general"}</definedName>
    <definedName name="rteg" localSheetId="5" hidden="1">{"via1",#N/A,TRUE,"general";"via2",#N/A,TRUE,"general";"via3",#N/A,TRUE,"general"}</definedName>
    <definedName name="rteg" hidden="1">{"via1",#N/A,TRUE,"general";"via2",#N/A,TRUE,"general";"via3",#N/A,TRUE,"general"}</definedName>
    <definedName name="rtert" localSheetId="10" hidden="1">{"TAB1",#N/A,TRUE,"GENERAL";"TAB2",#N/A,TRUE,"GENERAL";"TAB3",#N/A,TRUE,"GENERAL";"TAB4",#N/A,TRUE,"GENERAL";"TAB5",#N/A,TRUE,"GENERAL"}</definedName>
    <definedName name="rtert" localSheetId="8" hidden="1">{"TAB1",#N/A,TRUE,"GENERAL";"TAB2",#N/A,TRUE,"GENERAL";"TAB3",#N/A,TRUE,"GENERAL";"TAB4",#N/A,TRUE,"GENERAL";"TAB5",#N/A,TRUE,"GENERAL"}</definedName>
    <definedName name="rtert" localSheetId="5" hidden="1">{"TAB1",#N/A,TRUE,"GENERAL";"TAB2",#N/A,TRUE,"GENERAL";"TAB3",#N/A,TRUE,"GENERAL";"TAB4",#N/A,TRUE,"GENERAL";"TAB5",#N/A,TRUE,"GENERAL"}</definedName>
    <definedName name="rtert" hidden="1">{"TAB1",#N/A,TRUE,"GENERAL";"TAB2",#N/A,TRUE,"GENERAL";"TAB3",#N/A,TRUE,"GENERAL";"TAB4",#N/A,TRUE,"GENERAL";"TAB5",#N/A,TRUE,"GENERAL"}</definedName>
    <definedName name="rtes" localSheetId="10" hidden="1">{"via1",#N/A,TRUE,"general";"via2",#N/A,TRUE,"general";"via3",#N/A,TRUE,"general"}</definedName>
    <definedName name="rtes" localSheetId="8" hidden="1">{"via1",#N/A,TRUE,"general";"via2",#N/A,TRUE,"general";"via3",#N/A,TRUE,"general"}</definedName>
    <definedName name="rtes" localSheetId="5" hidden="1">{"via1",#N/A,TRUE,"general";"via2",#N/A,TRUE,"general";"via3",#N/A,TRUE,"general"}</definedName>
    <definedName name="rtes" hidden="1">{"via1",#N/A,TRUE,"general";"via2",#N/A,TRUE,"general";"via3",#N/A,TRUE,"general"}</definedName>
    <definedName name="rtewth" localSheetId="10" hidden="1">{"TAB1",#N/A,TRUE,"GENERAL";"TAB2",#N/A,TRUE,"GENERAL";"TAB3",#N/A,TRUE,"GENERAL";"TAB4",#N/A,TRUE,"GENERAL";"TAB5",#N/A,TRUE,"GENERAL"}</definedName>
    <definedName name="rtewth" localSheetId="8" hidden="1">{"TAB1",#N/A,TRUE,"GENERAL";"TAB2",#N/A,TRUE,"GENERAL";"TAB3",#N/A,TRUE,"GENERAL";"TAB4",#N/A,TRUE,"GENERAL";"TAB5",#N/A,TRUE,"GENERAL"}</definedName>
    <definedName name="rtewth" localSheetId="5" hidden="1">{"TAB1",#N/A,TRUE,"GENERAL";"TAB2",#N/A,TRUE,"GENERAL";"TAB3",#N/A,TRUE,"GENERAL";"TAB4",#N/A,TRUE,"GENERAL";"TAB5",#N/A,TRUE,"GENERAL"}</definedName>
    <definedName name="rtewth" hidden="1">{"TAB1",#N/A,TRUE,"GENERAL";"TAB2",#N/A,TRUE,"GENERAL";"TAB3",#N/A,TRUE,"GENERAL";"TAB4",#N/A,TRUE,"GENERAL";"TAB5",#N/A,TRUE,"GENERAL"}</definedName>
    <definedName name="rthjtj" localSheetId="10" hidden="1">{"TAB1",#N/A,TRUE,"GENERAL";"TAB2",#N/A,TRUE,"GENERAL";"TAB3",#N/A,TRUE,"GENERAL";"TAB4",#N/A,TRUE,"GENERAL";"TAB5",#N/A,TRUE,"GENERAL"}</definedName>
    <definedName name="rthjtj" localSheetId="8" hidden="1">{"TAB1",#N/A,TRUE,"GENERAL";"TAB2",#N/A,TRUE,"GENERAL";"TAB3",#N/A,TRUE,"GENERAL";"TAB4",#N/A,TRUE,"GENERAL";"TAB5",#N/A,TRUE,"GENERAL"}</definedName>
    <definedName name="rthjtj" localSheetId="5" hidden="1">{"TAB1",#N/A,TRUE,"GENERAL";"TAB2",#N/A,TRUE,"GENERAL";"TAB3",#N/A,TRUE,"GENERAL";"TAB4",#N/A,TRUE,"GENERAL";"TAB5",#N/A,TRUE,"GENERAL"}</definedName>
    <definedName name="rthjtj" hidden="1">{"TAB1",#N/A,TRUE,"GENERAL";"TAB2",#N/A,TRUE,"GENERAL";"TAB3",#N/A,TRUE,"GENERAL";"TAB4",#N/A,TRUE,"GENERAL";"TAB5",#N/A,TRUE,"GENERAL"}</definedName>
    <definedName name="rthrthg" localSheetId="10" hidden="1">{"via1",#N/A,TRUE,"general";"via2",#N/A,TRUE,"general";"via3",#N/A,TRUE,"general"}</definedName>
    <definedName name="rthrthg" localSheetId="8" hidden="1">{"via1",#N/A,TRUE,"general";"via2",#N/A,TRUE,"general";"via3",#N/A,TRUE,"general"}</definedName>
    <definedName name="rthrthg" localSheetId="5" hidden="1">{"via1",#N/A,TRUE,"general";"via2",#N/A,TRUE,"general";"via3",#N/A,TRUE,"general"}</definedName>
    <definedName name="rthrthg" hidden="1">{"via1",#N/A,TRUE,"general";"via2",#N/A,TRUE,"general";"via3",#N/A,TRUE,"general"}</definedName>
    <definedName name="rthtrh" localSheetId="10" hidden="1">{"via1",#N/A,TRUE,"general";"via2",#N/A,TRUE,"general";"via3",#N/A,TRUE,"general"}</definedName>
    <definedName name="rthtrh" localSheetId="8" hidden="1">{"via1",#N/A,TRUE,"general";"via2",#N/A,TRUE,"general";"via3",#N/A,TRUE,"general"}</definedName>
    <definedName name="rthtrh" localSheetId="5" hidden="1">{"via1",#N/A,TRUE,"general";"via2",#N/A,TRUE,"general";"via3",#N/A,TRUE,"general"}</definedName>
    <definedName name="rthtrh" hidden="1">{"via1",#N/A,TRUE,"general";"via2",#N/A,TRUE,"general";"via3",#N/A,TRUE,"general"}</definedName>
    <definedName name="rtkk" localSheetId="10" hidden="1">{"via1",#N/A,TRUE,"general";"via2",#N/A,TRUE,"general";"via3",#N/A,TRUE,"general"}</definedName>
    <definedName name="rtkk" localSheetId="8" hidden="1">{"via1",#N/A,TRUE,"general";"via2",#N/A,TRUE,"general";"via3",#N/A,TRUE,"general"}</definedName>
    <definedName name="rtkk" localSheetId="5" hidden="1">{"via1",#N/A,TRUE,"general";"via2",#N/A,TRUE,"general";"via3",#N/A,TRUE,"general"}</definedName>
    <definedName name="rtkk" hidden="1">{"via1",#N/A,TRUE,"general";"via2",#N/A,TRUE,"general";"via3",#N/A,TRUE,"general"}</definedName>
    <definedName name="rttthy" localSheetId="10" hidden="1">{"via1",#N/A,TRUE,"general";"via2",#N/A,TRUE,"general";"via3",#N/A,TRUE,"general"}</definedName>
    <definedName name="rttthy" localSheetId="8" hidden="1">{"via1",#N/A,TRUE,"general";"via2",#N/A,TRUE,"general";"via3",#N/A,TRUE,"general"}</definedName>
    <definedName name="rttthy" localSheetId="5" hidden="1">{"via1",#N/A,TRUE,"general";"via2",#N/A,TRUE,"general";"via3",#N/A,TRUE,"general"}</definedName>
    <definedName name="rttthy" hidden="1">{"via1",#N/A,TRUE,"general";"via2",#N/A,TRUE,"general";"via3",#N/A,TRUE,"general"}</definedName>
    <definedName name="rtu" localSheetId="10" hidden="1">{"via1",#N/A,TRUE,"general";"via2",#N/A,TRUE,"general";"via3",#N/A,TRUE,"general"}</definedName>
    <definedName name="rtu" localSheetId="8" hidden="1">{"via1",#N/A,TRUE,"general";"via2",#N/A,TRUE,"general";"via3",#N/A,TRUE,"general"}</definedName>
    <definedName name="rtu" localSheetId="5" hidden="1">{"via1",#N/A,TRUE,"general";"via2",#N/A,TRUE,"general";"via3",#N/A,TRUE,"general"}</definedName>
    <definedName name="rtu" hidden="1">{"via1",#N/A,TRUE,"general";"via2",#N/A,TRUE,"general";"via3",#N/A,TRUE,"general"}</definedName>
    <definedName name="rtug" localSheetId="10" hidden="1">{"TAB1",#N/A,TRUE,"GENERAL";"TAB2",#N/A,TRUE,"GENERAL";"TAB3",#N/A,TRUE,"GENERAL";"TAB4",#N/A,TRUE,"GENERAL";"TAB5",#N/A,TRUE,"GENERAL"}</definedName>
    <definedName name="rtug" localSheetId="8" hidden="1">{"TAB1",#N/A,TRUE,"GENERAL";"TAB2",#N/A,TRUE,"GENERAL";"TAB3",#N/A,TRUE,"GENERAL";"TAB4",#N/A,TRUE,"GENERAL";"TAB5",#N/A,TRUE,"GENERAL"}</definedName>
    <definedName name="rtug" localSheetId="5" hidden="1">{"TAB1",#N/A,TRUE,"GENERAL";"TAB2",#N/A,TRUE,"GENERAL";"TAB3",#N/A,TRUE,"GENERAL";"TAB4",#N/A,TRUE,"GENERAL";"TAB5",#N/A,TRUE,"GENERAL"}</definedName>
    <definedName name="rtug" hidden="1">{"TAB1",#N/A,TRUE,"GENERAL";"TAB2",#N/A,TRUE,"GENERAL";"TAB3",#N/A,TRUE,"GENERAL";"TAB4",#N/A,TRUE,"GENERAL";"TAB5",#N/A,TRUE,"GENERAL"}</definedName>
    <definedName name="rtugsd" localSheetId="10" hidden="1">{"TAB1",#N/A,TRUE,"GENERAL";"TAB2",#N/A,TRUE,"GENERAL";"TAB3",#N/A,TRUE,"GENERAL";"TAB4",#N/A,TRUE,"GENERAL";"TAB5",#N/A,TRUE,"GENERAL"}</definedName>
    <definedName name="rtugsd" localSheetId="8" hidden="1">{"TAB1",#N/A,TRUE,"GENERAL";"TAB2",#N/A,TRUE,"GENERAL";"TAB3",#N/A,TRUE,"GENERAL";"TAB4",#N/A,TRUE,"GENERAL";"TAB5",#N/A,TRUE,"GENERAL"}</definedName>
    <definedName name="rtugsd" localSheetId="5" hidden="1">{"TAB1",#N/A,TRUE,"GENERAL";"TAB2",#N/A,TRUE,"GENERAL";"TAB3",#N/A,TRUE,"GENERAL";"TAB4",#N/A,TRUE,"GENERAL";"TAB5",#N/A,TRUE,"GENERAL"}</definedName>
    <definedName name="rtugsd" hidden="1">{"TAB1",#N/A,TRUE,"GENERAL";"TAB2",#N/A,TRUE,"GENERAL";"TAB3",#N/A,TRUE,"GENERAL";"TAB4",#N/A,TRUE,"GENERAL";"TAB5",#N/A,TRUE,"GENERAL"}</definedName>
    <definedName name="rturtu" localSheetId="10" hidden="1">{"via1",#N/A,TRUE,"general";"via2",#N/A,TRUE,"general";"via3",#N/A,TRUE,"general"}</definedName>
    <definedName name="rturtu" localSheetId="8" hidden="1">{"via1",#N/A,TRUE,"general";"via2",#N/A,TRUE,"general";"via3",#N/A,TRUE,"general"}</definedName>
    <definedName name="rturtu" localSheetId="5" hidden="1">{"via1",#N/A,TRUE,"general";"via2",#N/A,TRUE,"general";"via3",#N/A,TRUE,"general"}</definedName>
    <definedName name="rturtu" hidden="1">{"via1",#N/A,TRUE,"general";"via2",#N/A,TRUE,"general";"via3",#N/A,TRUE,"general"}</definedName>
    <definedName name="rturu" localSheetId="10" hidden="1">{"via1",#N/A,TRUE,"general";"via2",#N/A,TRUE,"general";"via3",#N/A,TRUE,"general"}</definedName>
    <definedName name="rturu" localSheetId="8" hidden="1">{"via1",#N/A,TRUE,"general";"via2",#N/A,TRUE,"general";"via3",#N/A,TRUE,"general"}</definedName>
    <definedName name="rturu" localSheetId="5" hidden="1">{"via1",#N/A,TRUE,"general";"via2",#N/A,TRUE,"general";"via3",#N/A,TRUE,"general"}</definedName>
    <definedName name="rturu" hidden="1">{"via1",#N/A,TRUE,"general";"via2",#N/A,TRUE,"general";"via3",#N/A,TRUE,"general"}</definedName>
    <definedName name="rtut" localSheetId="10" hidden="1">{"via1",#N/A,TRUE,"general";"via2",#N/A,TRUE,"general";"via3",#N/A,TRUE,"general"}</definedName>
    <definedName name="rtut" localSheetId="8" hidden="1">{"via1",#N/A,TRUE,"general";"via2",#N/A,TRUE,"general";"via3",#N/A,TRUE,"general"}</definedName>
    <definedName name="rtut" localSheetId="5" hidden="1">{"via1",#N/A,TRUE,"general";"via2",#N/A,TRUE,"general";"via3",#N/A,TRUE,"general"}</definedName>
    <definedName name="rtut" hidden="1">{"via1",#N/A,TRUE,"general";"via2",#N/A,TRUE,"general";"via3",#N/A,TRUE,"general"}</definedName>
    <definedName name="rtutru" localSheetId="10" hidden="1">{"via1",#N/A,TRUE,"general";"via2",#N/A,TRUE,"general";"via3",#N/A,TRUE,"general"}</definedName>
    <definedName name="rtutru" localSheetId="8" hidden="1">{"via1",#N/A,TRUE,"general";"via2",#N/A,TRUE,"general";"via3",#N/A,TRUE,"general"}</definedName>
    <definedName name="rtutru" localSheetId="5" hidden="1">{"via1",#N/A,TRUE,"general";"via2",#N/A,TRUE,"general";"via3",#N/A,TRUE,"general"}</definedName>
    <definedName name="rtutru" hidden="1">{"via1",#N/A,TRUE,"general";"via2",#N/A,TRUE,"general";"via3",#N/A,TRUE,"general"}</definedName>
    <definedName name="rtuy" localSheetId="10" hidden="1">{"via1",#N/A,TRUE,"general";"via2",#N/A,TRUE,"general";"via3",#N/A,TRUE,"general"}</definedName>
    <definedName name="rtuy" localSheetId="8" hidden="1">{"via1",#N/A,TRUE,"general";"via2",#N/A,TRUE,"general";"via3",#N/A,TRUE,"general"}</definedName>
    <definedName name="rtuy" localSheetId="5" hidden="1">{"via1",#N/A,TRUE,"general";"via2",#N/A,TRUE,"general";"via3",#N/A,TRUE,"general"}</definedName>
    <definedName name="rtuy" hidden="1">{"via1",#N/A,TRUE,"general";"via2",#N/A,TRUE,"general";"via3",#N/A,TRUE,"general"}</definedName>
    <definedName name="rtyhr" localSheetId="10" hidden="1">{"TAB1",#N/A,TRUE,"GENERAL";"TAB2",#N/A,TRUE,"GENERAL";"TAB3",#N/A,TRUE,"GENERAL";"TAB4",#N/A,TRUE,"GENERAL";"TAB5",#N/A,TRUE,"GENERAL"}</definedName>
    <definedName name="rtyhr" localSheetId="8" hidden="1">{"TAB1",#N/A,TRUE,"GENERAL";"TAB2",#N/A,TRUE,"GENERAL";"TAB3",#N/A,TRUE,"GENERAL";"TAB4",#N/A,TRUE,"GENERAL";"TAB5",#N/A,TRUE,"GENERAL"}</definedName>
    <definedName name="rtyhr" localSheetId="5" hidden="1">{"TAB1",#N/A,TRUE,"GENERAL";"TAB2",#N/A,TRUE,"GENERAL";"TAB3",#N/A,TRUE,"GENERAL";"TAB4",#N/A,TRUE,"GENERAL";"TAB5",#N/A,TRUE,"GENERAL"}</definedName>
    <definedName name="rtyhr" hidden="1">{"TAB1",#N/A,TRUE,"GENERAL";"TAB2",#N/A,TRUE,"GENERAL";"TAB3",#N/A,TRUE,"GENERAL";"TAB4",#N/A,TRUE,"GENERAL";"TAB5",#N/A,TRUE,"GENERAL"}</definedName>
    <definedName name="rtym" localSheetId="10" hidden="1">{"via1",#N/A,TRUE,"general";"via2",#N/A,TRUE,"general";"via3",#N/A,TRUE,"general"}</definedName>
    <definedName name="rtym" localSheetId="8" hidden="1">{"via1",#N/A,TRUE,"general";"via2",#N/A,TRUE,"general";"via3",#N/A,TRUE,"general"}</definedName>
    <definedName name="rtym" localSheetId="5" hidden="1">{"via1",#N/A,TRUE,"general";"via2",#N/A,TRUE,"general";"via3",#N/A,TRUE,"general"}</definedName>
    <definedName name="rtym" hidden="1">{"via1",#N/A,TRUE,"general";"via2",#N/A,TRUE,"general";"via3",#N/A,TRUE,"general"}</definedName>
    <definedName name="rtyrey" localSheetId="10" hidden="1">{"TAB1",#N/A,TRUE,"GENERAL";"TAB2",#N/A,TRUE,"GENERAL";"TAB3",#N/A,TRUE,"GENERAL";"TAB4",#N/A,TRUE,"GENERAL";"TAB5",#N/A,TRUE,"GENERAL"}</definedName>
    <definedName name="rtyrey" localSheetId="8" hidden="1">{"TAB1",#N/A,TRUE,"GENERAL";"TAB2",#N/A,TRUE,"GENERAL";"TAB3",#N/A,TRUE,"GENERAL";"TAB4",#N/A,TRUE,"GENERAL";"TAB5",#N/A,TRUE,"GENERAL"}</definedName>
    <definedName name="rtyrey" localSheetId="5" hidden="1">{"TAB1",#N/A,TRUE,"GENERAL";"TAB2",#N/A,TRUE,"GENERAL";"TAB3",#N/A,TRUE,"GENERAL";"TAB4",#N/A,TRUE,"GENERAL";"TAB5",#N/A,TRUE,"GENERAL"}</definedName>
    <definedName name="rtyrey" hidden="1">{"TAB1",#N/A,TRUE,"GENERAL";"TAB2",#N/A,TRUE,"GENERAL";"TAB3",#N/A,TRUE,"GENERAL";"TAB4",#N/A,TRUE,"GENERAL";"TAB5",#N/A,TRUE,"GENERAL"}</definedName>
    <definedName name="rtyrh" localSheetId="10" hidden="1">{"via1",#N/A,TRUE,"general";"via2",#N/A,TRUE,"general";"via3",#N/A,TRUE,"general"}</definedName>
    <definedName name="rtyrh" localSheetId="8" hidden="1">{"via1",#N/A,TRUE,"general";"via2",#N/A,TRUE,"general";"via3",#N/A,TRUE,"general"}</definedName>
    <definedName name="rtyrh" localSheetId="5" hidden="1">{"via1",#N/A,TRUE,"general";"via2",#N/A,TRUE,"general";"via3",#N/A,TRUE,"general"}</definedName>
    <definedName name="rtyrh" hidden="1">{"via1",#N/A,TRUE,"general";"via2",#N/A,TRUE,"general";"via3",#N/A,TRUE,"general"}</definedName>
    <definedName name="RTYRTY" localSheetId="10" hidden="1">{"via1",#N/A,TRUE,"general";"via2",#N/A,TRUE,"general";"via3",#N/A,TRUE,"general"}</definedName>
    <definedName name="RTYRTY" localSheetId="8" hidden="1">{"via1",#N/A,TRUE,"general";"via2",#N/A,TRUE,"general";"via3",#N/A,TRUE,"general"}</definedName>
    <definedName name="RTYRTY" localSheetId="5" hidden="1">{"via1",#N/A,TRUE,"general";"via2",#N/A,TRUE,"general";"via3",#N/A,TRUE,"general"}</definedName>
    <definedName name="RTYRTY" hidden="1">{"via1",#N/A,TRUE,"general";"via2",#N/A,TRUE,"general";"via3",#N/A,TRUE,"general"}</definedName>
    <definedName name="rtyt" localSheetId="10" hidden="1">{"TAB1",#N/A,TRUE,"GENERAL";"TAB2",#N/A,TRUE,"GENERAL";"TAB3",#N/A,TRUE,"GENERAL";"TAB4",#N/A,TRUE,"GENERAL";"TAB5",#N/A,TRUE,"GENERAL"}</definedName>
    <definedName name="rtyt" localSheetId="8" hidden="1">{"TAB1",#N/A,TRUE,"GENERAL";"TAB2",#N/A,TRUE,"GENERAL";"TAB3",#N/A,TRUE,"GENERAL";"TAB4",#N/A,TRUE,"GENERAL";"TAB5",#N/A,TRUE,"GENERAL"}</definedName>
    <definedName name="rtyt" localSheetId="5" hidden="1">{"TAB1",#N/A,TRUE,"GENERAL";"TAB2",#N/A,TRUE,"GENERAL";"TAB3",#N/A,TRUE,"GENERAL";"TAB4",#N/A,TRUE,"GENERAL";"TAB5",#N/A,TRUE,"GENERAL"}</definedName>
    <definedName name="rtyt" hidden="1">{"TAB1",#N/A,TRUE,"GENERAL";"TAB2",#N/A,TRUE,"GENERAL";"TAB3",#N/A,TRUE,"GENERAL";"TAB4",#N/A,TRUE,"GENERAL";"TAB5",#N/A,TRUE,"GENERAL"}</definedName>
    <definedName name="rtytry" localSheetId="10" hidden="1">{"via1",#N/A,TRUE,"general";"via2",#N/A,TRUE,"general";"via3",#N/A,TRUE,"general"}</definedName>
    <definedName name="rtytry" localSheetId="8" hidden="1">{"via1",#N/A,TRUE,"general";"via2",#N/A,TRUE,"general";"via3",#N/A,TRUE,"general"}</definedName>
    <definedName name="rtytry" localSheetId="5" hidden="1">{"via1",#N/A,TRUE,"general";"via2",#N/A,TRUE,"general";"via3",#N/A,TRUE,"general"}</definedName>
    <definedName name="rtytry" hidden="1">{"via1",#N/A,TRUE,"general";"via2",#N/A,TRUE,"general";"via3",#N/A,TRUE,"general"}</definedName>
    <definedName name="ruru" localSheetId="10" hidden="1">{"TAB1",#N/A,TRUE,"GENERAL";"TAB2",#N/A,TRUE,"GENERAL";"TAB3",#N/A,TRUE,"GENERAL";"TAB4",#N/A,TRUE,"GENERAL";"TAB5",#N/A,TRUE,"GENERAL"}</definedName>
    <definedName name="ruru" localSheetId="8" hidden="1">{"TAB1",#N/A,TRUE,"GENERAL";"TAB2",#N/A,TRUE,"GENERAL";"TAB3",#N/A,TRUE,"GENERAL";"TAB4",#N/A,TRUE,"GENERAL";"TAB5",#N/A,TRUE,"GENERAL"}</definedName>
    <definedName name="ruru" localSheetId="5" hidden="1">{"TAB1",#N/A,TRUE,"GENERAL";"TAB2",#N/A,TRUE,"GENERAL";"TAB3",#N/A,TRUE,"GENERAL";"TAB4",#N/A,TRUE,"GENERAL";"TAB5",#N/A,TRUE,"GENERAL"}</definedName>
    <definedName name="ruru" hidden="1">{"TAB1",#N/A,TRUE,"GENERAL";"TAB2",#N/A,TRUE,"GENERAL";"TAB3",#N/A,TRUE,"GENERAL";"TAB4",#N/A,TRUE,"GENERAL";"TAB5",#N/A,TRUE,"GENERAL"}</definedName>
    <definedName name="rutu" localSheetId="10" hidden="1">{"via1",#N/A,TRUE,"general";"via2",#N/A,TRUE,"general";"via3",#N/A,TRUE,"general"}</definedName>
    <definedName name="rutu" localSheetId="8" hidden="1">{"via1",#N/A,TRUE,"general";"via2",#N/A,TRUE,"general";"via3",#N/A,TRUE,"general"}</definedName>
    <definedName name="rutu" localSheetId="5" hidden="1">{"via1",#N/A,TRUE,"general";"via2",#N/A,TRUE,"general";"via3",#N/A,TRUE,"general"}</definedName>
    <definedName name="rutu" hidden="1">{"via1",#N/A,TRUE,"general";"via2",#N/A,TRUE,"general";"via3",#N/A,TRUE,"general"}</definedName>
    <definedName name="rwt" localSheetId="10" hidden="1">{"via1",#N/A,TRUE,"general";"via2",#N/A,TRUE,"general";"via3",#N/A,TRUE,"general"}</definedName>
    <definedName name="rwt" localSheetId="8" hidden="1">{"via1",#N/A,TRUE,"general";"via2",#N/A,TRUE,"general";"via3",#N/A,TRUE,"general"}</definedName>
    <definedName name="rwt" localSheetId="5" hidden="1">{"via1",#N/A,TRUE,"general";"via2",#N/A,TRUE,"general";"via3",#N/A,TRUE,"general"}</definedName>
    <definedName name="rwt" hidden="1">{"via1",#N/A,TRUE,"general";"via2",#N/A,TRUE,"general";"via3",#N/A,TRUE,"general"}</definedName>
    <definedName name="ry" localSheetId="10" hidden="1">{"via1",#N/A,TRUE,"general";"via2",#N/A,TRUE,"general";"via3",#N/A,TRUE,"general"}</definedName>
    <definedName name="ry" localSheetId="8" hidden="1">{"via1",#N/A,TRUE,"general";"via2",#N/A,TRUE,"general";"via3",#N/A,TRUE,"general"}</definedName>
    <definedName name="ry" localSheetId="5" hidden="1">{"via1",#N/A,TRUE,"general";"via2",#N/A,TRUE,"general";"via3",#N/A,TRUE,"general"}</definedName>
    <definedName name="ry" hidden="1">{"via1",#N/A,TRUE,"general";"via2",#N/A,TRUE,"general";"via3",#N/A,TRUE,"general"}</definedName>
    <definedName name="ryeryb" localSheetId="10" hidden="1">{"TAB1",#N/A,TRUE,"GENERAL";"TAB2",#N/A,TRUE,"GENERAL";"TAB3",#N/A,TRUE,"GENERAL";"TAB4",#N/A,TRUE,"GENERAL";"TAB5",#N/A,TRUE,"GENERAL"}</definedName>
    <definedName name="ryeryb" localSheetId="8" hidden="1">{"TAB1",#N/A,TRUE,"GENERAL";"TAB2",#N/A,TRUE,"GENERAL";"TAB3",#N/A,TRUE,"GENERAL";"TAB4",#N/A,TRUE,"GENERAL";"TAB5",#N/A,TRUE,"GENERAL"}</definedName>
    <definedName name="ryeryb" localSheetId="5" hidden="1">{"TAB1",#N/A,TRUE,"GENERAL";"TAB2",#N/A,TRUE,"GENERAL";"TAB3",#N/A,TRUE,"GENERAL";"TAB4",#N/A,TRUE,"GENERAL";"TAB5",#N/A,TRUE,"GENERAL"}</definedName>
    <definedName name="ryeryb" hidden="1">{"TAB1",#N/A,TRUE,"GENERAL";"TAB2",#N/A,TRUE,"GENERAL";"TAB3",#N/A,TRUE,"GENERAL";"TAB4",#N/A,TRUE,"GENERAL";"TAB5",#N/A,TRUE,"GENERAL"}</definedName>
    <definedName name="rytrsdg" localSheetId="10" hidden="1">{"via1",#N/A,TRUE,"general";"via2",#N/A,TRUE,"general";"via3",#N/A,TRUE,"general"}</definedName>
    <definedName name="rytrsdg" localSheetId="8" hidden="1">{"via1",#N/A,TRUE,"general";"via2",#N/A,TRUE,"general";"via3",#N/A,TRUE,"general"}</definedName>
    <definedName name="rytrsdg" localSheetId="5" hidden="1">{"via1",#N/A,TRUE,"general";"via2",#N/A,TRUE,"general";"via3",#N/A,TRUE,"general"}</definedName>
    <definedName name="rytrsdg" hidden="1">{"via1",#N/A,TRUE,"general";"via2",#N/A,TRUE,"general";"via3",#N/A,TRUE,"general"}</definedName>
    <definedName name="s">#N/A</definedName>
    <definedName name="saa" localSheetId="10" hidden="1">{"via1",#N/A,TRUE,"general";"via2",#N/A,TRUE,"general";"via3",#N/A,TRUE,"general"}</definedName>
    <definedName name="saa" localSheetId="8" hidden="1">{"via1",#N/A,TRUE,"general";"via2",#N/A,TRUE,"general";"via3",#N/A,TRUE,"general"}</definedName>
    <definedName name="saa" localSheetId="5" hidden="1">{"via1",#N/A,TRUE,"general";"via2",#N/A,TRUE,"general";"via3",#N/A,TRUE,"general"}</definedName>
    <definedName name="saa" hidden="1">{"via1",#N/A,TRUE,"general";"via2",#N/A,TRUE,"general";"via3",#N/A,TRUE,"general"}</definedName>
    <definedName name="SAD" localSheetId="10" hidden="1">{"via1",#N/A,TRUE,"general";"via2",#N/A,TRUE,"general";"via3",#N/A,TRUE,"general"}</definedName>
    <definedName name="SAD" localSheetId="8" hidden="1">{"via1",#N/A,TRUE,"general";"via2",#N/A,TRUE,"general";"via3",#N/A,TRUE,"general"}</definedName>
    <definedName name="SAD" localSheetId="5" hidden="1">{"via1",#N/A,TRUE,"general";"via2",#N/A,TRUE,"general";"via3",#N/A,TRUE,"general"}</definedName>
    <definedName name="SAD" hidden="1">{"via1",#N/A,TRUE,"general";"via2",#N/A,TRUE,"general";"via3",#N/A,TRUE,"general"}</definedName>
    <definedName name="SADF" localSheetId="10" hidden="1">{"via1",#N/A,TRUE,"general";"via2",#N/A,TRUE,"general";"via3",#N/A,TRUE,"general"}</definedName>
    <definedName name="SADF" localSheetId="8" hidden="1">{"via1",#N/A,TRUE,"general";"via2",#N/A,TRUE,"general";"via3",#N/A,TRUE,"general"}</definedName>
    <definedName name="SADF" localSheetId="5" hidden="1">{"via1",#N/A,TRUE,"general";"via2",#N/A,TRUE,"general";"via3",#N/A,TRUE,"general"}</definedName>
    <definedName name="SADF" hidden="1">{"via1",#N/A,TRUE,"general";"via2",#N/A,TRUE,"general";"via3",#N/A,TRUE,"general"}</definedName>
    <definedName name="sadff" localSheetId="10" hidden="1">{"TAB1",#N/A,TRUE,"GENERAL";"TAB2",#N/A,TRUE,"GENERAL";"TAB3",#N/A,TRUE,"GENERAL";"TAB4",#N/A,TRUE,"GENERAL";"TAB5",#N/A,TRUE,"GENERAL"}</definedName>
    <definedName name="sadff" localSheetId="8" hidden="1">{"TAB1",#N/A,TRUE,"GENERAL";"TAB2",#N/A,TRUE,"GENERAL";"TAB3",#N/A,TRUE,"GENERAL";"TAB4",#N/A,TRUE,"GENERAL";"TAB5",#N/A,TRUE,"GENERAL"}</definedName>
    <definedName name="sadff" localSheetId="5" hidden="1">{"TAB1",#N/A,TRUE,"GENERAL";"TAB2",#N/A,TRUE,"GENERAL";"TAB3",#N/A,TRUE,"GENERAL";"TAB4",#N/A,TRUE,"GENERAL";"TAB5",#N/A,TRUE,"GENERAL"}</definedName>
    <definedName name="sadff" hidden="1">{"TAB1",#N/A,TRUE,"GENERAL";"TAB2",#N/A,TRUE,"GENERAL";"TAB3",#N/A,TRUE,"GENERAL";"TAB4",#N/A,TRUE,"GENERAL";"TAB5",#N/A,TRUE,"GENERAL"}</definedName>
    <definedName name="sadfo" localSheetId="10" hidden="1">{"via1",#N/A,TRUE,"general";"via2",#N/A,TRUE,"general";"via3",#N/A,TRUE,"general"}</definedName>
    <definedName name="sadfo" localSheetId="8" hidden="1">{"via1",#N/A,TRUE,"general";"via2",#N/A,TRUE,"general";"via3",#N/A,TRUE,"general"}</definedName>
    <definedName name="sadfo" localSheetId="5" hidden="1">{"via1",#N/A,TRUE,"general";"via2",#N/A,TRUE,"general";"via3",#N/A,TRUE,"general"}</definedName>
    <definedName name="sadfo" hidden="1">{"via1",#N/A,TRUE,"general";"via2",#N/A,TRUE,"general";"via3",#N/A,TRUE,"general"}</definedName>
    <definedName name="safdp" localSheetId="10" hidden="1">{"TAB1",#N/A,TRUE,"GENERAL";"TAB2",#N/A,TRUE,"GENERAL";"TAB3",#N/A,TRUE,"GENERAL";"TAB4",#N/A,TRUE,"GENERAL";"TAB5",#N/A,TRUE,"GENERAL"}</definedName>
    <definedName name="safdp" localSheetId="8" hidden="1">{"TAB1",#N/A,TRUE,"GENERAL";"TAB2",#N/A,TRUE,"GENERAL";"TAB3",#N/A,TRUE,"GENERAL";"TAB4",#N/A,TRUE,"GENERAL";"TAB5",#N/A,TRUE,"GENERAL"}</definedName>
    <definedName name="safdp" localSheetId="5" hidden="1">{"TAB1",#N/A,TRUE,"GENERAL";"TAB2",#N/A,TRUE,"GENERAL";"TAB3",#N/A,TRUE,"GENERAL";"TAB4",#N/A,TRUE,"GENERAL";"TAB5",#N/A,TRUE,"GENERAL"}</definedName>
    <definedName name="safdp" hidden="1">{"TAB1",#N/A,TRUE,"GENERAL";"TAB2",#N/A,TRUE,"GENERAL";"TAB3",#N/A,TRUE,"GENERAL";"TAB4",#N/A,TRUE,"GENERAL";"TAB5",#N/A,TRUE,"GENERAL"}</definedName>
    <definedName name="salarios">#N/A</definedName>
    <definedName name="SalMinimo">[14]BASES!$E$41</definedName>
    <definedName name="sbgfbgdr" localSheetId="10" hidden="1">{"via1",#N/A,TRUE,"general";"via2",#N/A,TRUE,"general";"via3",#N/A,TRUE,"general"}</definedName>
    <definedName name="sbgfbgdr" localSheetId="8" hidden="1">{"via1",#N/A,TRUE,"general";"via2",#N/A,TRUE,"general";"via3",#N/A,TRUE,"general"}</definedName>
    <definedName name="sbgfbgdr" localSheetId="5" hidden="1">{"via1",#N/A,TRUE,"general";"via2",#N/A,TRUE,"general";"via3",#N/A,TRUE,"general"}</definedName>
    <definedName name="sbgfbgdr" hidden="1">{"via1",#N/A,TRUE,"general";"via2",#N/A,TRUE,"general";"via3",#N/A,TRUE,"general"}</definedName>
    <definedName name="sd" localSheetId="10" hidden="1">{"TAB1",#N/A,TRUE,"GENERAL";"TAB2",#N/A,TRUE,"GENERAL";"TAB3",#N/A,TRUE,"GENERAL";"TAB4",#N/A,TRUE,"GENERAL";"TAB5",#N/A,TRUE,"GENERAL"}</definedName>
    <definedName name="sd" localSheetId="8" hidden="1">{"TAB1",#N/A,TRUE,"GENERAL";"TAB2",#N/A,TRUE,"GENERAL";"TAB3",#N/A,TRUE,"GENERAL";"TAB4",#N/A,TRUE,"GENERAL";"TAB5",#N/A,TRUE,"GENERAL"}</definedName>
    <definedName name="sd" localSheetId="5" hidden="1">{"TAB1",#N/A,TRUE,"GENERAL";"TAB2",#N/A,TRUE,"GENERAL";"TAB3",#N/A,TRUE,"GENERAL";"TAB4",#N/A,TRUE,"GENERAL";"TAB5",#N/A,TRUE,"GENERAL"}</definedName>
    <definedName name="sd" hidden="1">{"TAB1",#N/A,TRUE,"GENERAL";"TAB2",#N/A,TRUE,"GENERAL";"TAB3",#N/A,TRUE,"GENERAL";"TAB4",#N/A,TRUE,"GENERAL";"TAB5",#N/A,TRUE,"GENERAL"}</definedName>
    <definedName name="sdaf" localSheetId="10" hidden="1">{"via1",#N/A,TRUE,"general";"via2",#N/A,TRUE,"general";"via3",#N/A,TRUE,"general"}</definedName>
    <definedName name="sdaf" localSheetId="8" hidden="1">{"via1",#N/A,TRUE,"general";"via2",#N/A,TRUE,"general";"via3",#N/A,TRUE,"general"}</definedName>
    <definedName name="sdaf" localSheetId="5" hidden="1">{"via1",#N/A,TRUE,"general";"via2",#N/A,TRUE,"general";"via3",#N/A,TRUE,"general"}</definedName>
    <definedName name="sdaf" hidden="1">{"via1",#N/A,TRUE,"general";"via2",#N/A,TRUE,"general";"via3",#N/A,TRUE,"general"}</definedName>
    <definedName name="sdas" localSheetId="10" hidden="1">{"via1",#N/A,TRUE,"general";"via2",#N/A,TRUE,"general";"via3",#N/A,TRUE,"general"}</definedName>
    <definedName name="sdas" localSheetId="8" hidden="1">{"via1",#N/A,TRUE,"general";"via2",#N/A,TRUE,"general";"via3",#N/A,TRUE,"general"}</definedName>
    <definedName name="sdas" localSheetId="5" hidden="1">{"via1",#N/A,TRUE,"general";"via2",#N/A,TRUE,"general";"via3",#N/A,TRUE,"general"}</definedName>
    <definedName name="sdas" hidden="1">{"via1",#N/A,TRUE,"general";"via2",#N/A,TRUE,"general";"via3",#N/A,TRUE,"general"}</definedName>
    <definedName name="sdasdf" localSheetId="10" hidden="1">{"via1",#N/A,TRUE,"general";"via2",#N/A,TRUE,"general";"via3",#N/A,TRUE,"general"}</definedName>
    <definedName name="sdasdf" localSheetId="8" hidden="1">{"via1",#N/A,TRUE,"general";"via2",#N/A,TRUE,"general";"via3",#N/A,TRUE,"general"}</definedName>
    <definedName name="sdasdf" localSheetId="5" hidden="1">{"via1",#N/A,TRUE,"general";"via2",#N/A,TRUE,"general";"via3",#N/A,TRUE,"general"}</definedName>
    <definedName name="sdasdf" hidden="1">{"via1",#N/A,TRUE,"general";"via2",#N/A,TRUE,"general";"via3",#N/A,TRUE,"general"}</definedName>
    <definedName name="SDCDSCT" localSheetId="10" hidden="1">{"TAB1",#N/A,TRUE,"GENERAL";"TAB2",#N/A,TRUE,"GENERAL";"TAB3",#N/A,TRUE,"GENERAL";"TAB4",#N/A,TRUE,"GENERAL";"TAB5",#N/A,TRUE,"GENERAL"}</definedName>
    <definedName name="SDCDSCT" localSheetId="8" hidden="1">{"TAB1",#N/A,TRUE,"GENERAL";"TAB2",#N/A,TRUE,"GENERAL";"TAB3",#N/A,TRUE,"GENERAL";"TAB4",#N/A,TRUE,"GENERAL";"TAB5",#N/A,TRUE,"GENERAL"}</definedName>
    <definedName name="SDCDSCT" localSheetId="5" hidden="1">{"TAB1",#N/A,TRUE,"GENERAL";"TAB2",#N/A,TRUE,"GENERAL";"TAB3",#N/A,TRUE,"GENERAL";"TAB4",#N/A,TRUE,"GENERAL";"TAB5",#N/A,TRUE,"GENERAL"}</definedName>
    <definedName name="SDCDSCT" hidden="1">{"TAB1",#N/A,TRUE,"GENERAL";"TAB2",#N/A,TRUE,"GENERAL";"TAB3",#N/A,TRUE,"GENERAL";"TAB4",#N/A,TRUE,"GENERAL";"TAB5",#N/A,TRUE,"GENERAL"}</definedName>
    <definedName name="SDFCE" localSheetId="10" hidden="1">{"TAB1",#N/A,TRUE,"GENERAL";"TAB2",#N/A,TRUE,"GENERAL";"TAB3",#N/A,TRUE,"GENERAL";"TAB4",#N/A,TRUE,"GENERAL";"TAB5",#N/A,TRUE,"GENERAL"}</definedName>
    <definedName name="SDFCE" localSheetId="8" hidden="1">{"TAB1",#N/A,TRUE,"GENERAL";"TAB2",#N/A,TRUE,"GENERAL";"TAB3",#N/A,TRUE,"GENERAL";"TAB4",#N/A,TRUE,"GENERAL";"TAB5",#N/A,TRUE,"GENERAL"}</definedName>
    <definedName name="SDFCE" localSheetId="5" hidden="1">{"TAB1",#N/A,TRUE,"GENERAL";"TAB2",#N/A,TRUE,"GENERAL";"TAB3",#N/A,TRUE,"GENERAL";"TAB4",#N/A,TRUE,"GENERAL";"TAB5",#N/A,TRUE,"GENERAL"}</definedName>
    <definedName name="SDFCE" hidden="1">{"TAB1",#N/A,TRUE,"GENERAL";"TAB2",#N/A,TRUE,"GENERAL";"TAB3",#N/A,TRUE,"GENERAL";"TAB4",#N/A,TRUE,"GENERAL";"TAB5",#N/A,TRUE,"GENERAL"}</definedName>
    <definedName name="sdfd" localSheetId="10" hidden="1">{"via1",#N/A,TRUE,"general";"via2",#N/A,TRUE,"general";"via3",#N/A,TRUE,"general"}</definedName>
    <definedName name="sdfd" localSheetId="8" hidden="1">{"via1",#N/A,TRUE,"general";"via2",#N/A,TRUE,"general";"via3",#N/A,TRUE,"general"}</definedName>
    <definedName name="sdfd" localSheetId="5" hidden="1">{"via1",#N/A,TRUE,"general";"via2",#N/A,TRUE,"general";"via3",#N/A,TRUE,"general"}</definedName>
    <definedName name="sdfd" hidden="1">{"via1",#N/A,TRUE,"general";"via2",#N/A,TRUE,"general";"via3",#N/A,TRUE,"general"}</definedName>
    <definedName name="sdfds" localSheetId="10" hidden="1">{"via1",#N/A,TRUE,"general";"via2",#N/A,TRUE,"general";"via3",#N/A,TRUE,"general"}</definedName>
    <definedName name="sdfds" localSheetId="8" hidden="1">{"via1",#N/A,TRUE,"general";"via2",#N/A,TRUE,"general";"via3",#N/A,TRUE,"general"}</definedName>
    <definedName name="sdfds" localSheetId="5" hidden="1">{"via1",#N/A,TRUE,"general";"via2",#N/A,TRUE,"general";"via3",#N/A,TRUE,"general"}</definedName>
    <definedName name="sdfds" hidden="1">{"via1",#N/A,TRUE,"general";"via2",#N/A,TRUE,"general";"via3",#N/A,TRUE,"general"}</definedName>
    <definedName name="SDFDSO" localSheetId="10" hidden="1">{"via1",#N/A,TRUE,"general";"via2",#N/A,TRUE,"general";"via3",#N/A,TRUE,"general"}</definedName>
    <definedName name="SDFDSO" localSheetId="8" hidden="1">{"via1",#N/A,TRUE,"general";"via2",#N/A,TRUE,"general";"via3",#N/A,TRUE,"general"}</definedName>
    <definedName name="SDFDSO" localSheetId="5" hidden="1">{"via1",#N/A,TRUE,"general";"via2",#N/A,TRUE,"general";"via3",#N/A,TRUE,"general"}</definedName>
    <definedName name="SDFDSO" hidden="1">{"via1",#N/A,TRUE,"general";"via2",#N/A,TRUE,"general";"via3",#N/A,TRUE,"general"}</definedName>
    <definedName name="sdfdstp" localSheetId="10" hidden="1">{"TAB1",#N/A,TRUE,"GENERAL";"TAB2",#N/A,TRUE,"GENERAL";"TAB3",#N/A,TRUE,"GENERAL";"TAB4",#N/A,TRUE,"GENERAL";"TAB5",#N/A,TRUE,"GENERAL"}</definedName>
    <definedName name="sdfdstp" localSheetId="8" hidden="1">{"TAB1",#N/A,TRUE,"GENERAL";"TAB2",#N/A,TRUE,"GENERAL";"TAB3",#N/A,TRUE,"GENERAL";"TAB4",#N/A,TRUE,"GENERAL";"TAB5",#N/A,TRUE,"GENERAL"}</definedName>
    <definedName name="sdfdstp" localSheetId="5" hidden="1">{"TAB1",#N/A,TRUE,"GENERAL";"TAB2",#N/A,TRUE,"GENERAL";"TAB3",#N/A,TRUE,"GENERAL";"TAB4",#N/A,TRUE,"GENERAL";"TAB5",#N/A,TRUE,"GENERAL"}</definedName>
    <definedName name="sdfdstp" hidden="1">{"TAB1",#N/A,TRUE,"GENERAL";"TAB2",#N/A,TRUE,"GENERAL";"TAB3",#N/A,TRUE,"GENERAL";"TAB4",#N/A,TRUE,"GENERAL";"TAB5",#N/A,TRUE,"GENERAL"}</definedName>
    <definedName name="SDFEO" localSheetId="10" hidden="1">{"via1",#N/A,TRUE,"general";"via2",#N/A,TRUE,"general";"via3",#N/A,TRUE,"general"}</definedName>
    <definedName name="SDFEO" localSheetId="8" hidden="1">{"via1",#N/A,TRUE,"general";"via2",#N/A,TRUE,"general";"via3",#N/A,TRUE,"general"}</definedName>
    <definedName name="SDFEO" localSheetId="5" hidden="1">{"via1",#N/A,TRUE,"general";"via2",#N/A,TRUE,"general";"via3",#N/A,TRUE,"general"}</definedName>
    <definedName name="SDFEO" hidden="1">{"via1",#N/A,TRUE,"general";"via2",#N/A,TRUE,"general";"via3",#N/A,TRUE,"general"}</definedName>
    <definedName name="sdfg" localSheetId="10" hidden="1">{"TAB1",#N/A,TRUE,"GENERAL";"TAB2",#N/A,TRUE,"GENERAL";"TAB3",#N/A,TRUE,"GENERAL";"TAB4",#N/A,TRUE,"GENERAL";"TAB5",#N/A,TRUE,"GENERAL"}</definedName>
    <definedName name="sdfg" localSheetId="8" hidden="1">{"TAB1",#N/A,TRUE,"GENERAL";"TAB2",#N/A,TRUE,"GENERAL";"TAB3",#N/A,TRUE,"GENERAL";"TAB4",#N/A,TRUE,"GENERAL";"TAB5",#N/A,TRUE,"GENERAL"}</definedName>
    <definedName name="sdfg" localSheetId="5" hidden="1">{"TAB1",#N/A,TRUE,"GENERAL";"TAB2",#N/A,TRUE,"GENERAL";"TAB3",#N/A,TRUE,"GENERAL";"TAB4",#N/A,TRUE,"GENERAL";"TAB5",#N/A,TRUE,"GENERAL"}</definedName>
    <definedName name="sdfg" hidden="1">{"TAB1",#N/A,TRUE,"GENERAL";"TAB2",#N/A,TRUE,"GENERAL";"TAB3",#N/A,TRUE,"GENERAL";"TAB4",#N/A,TRUE,"GENERAL";"TAB5",#N/A,TRUE,"GENERAL"}</definedName>
    <definedName name="sdfgdsfk" localSheetId="10" hidden="1">{"via1",#N/A,TRUE,"general";"via2",#N/A,TRUE,"general";"via3",#N/A,TRUE,"general"}</definedName>
    <definedName name="sdfgdsfk" localSheetId="8" hidden="1">{"via1",#N/A,TRUE,"general";"via2",#N/A,TRUE,"general";"via3",#N/A,TRUE,"general"}</definedName>
    <definedName name="sdfgdsfk" localSheetId="5" hidden="1">{"via1",#N/A,TRUE,"general";"via2",#N/A,TRUE,"general";"via3",#N/A,TRUE,"general"}</definedName>
    <definedName name="sdfgdsfk" hidden="1">{"via1",#N/A,TRUE,"general";"via2",#N/A,TRUE,"general";"via3",#N/A,TRUE,"general"}</definedName>
    <definedName name="sdfgsg" localSheetId="10" hidden="1">{"via1",#N/A,TRUE,"general";"via2",#N/A,TRUE,"general";"via3",#N/A,TRUE,"general"}</definedName>
    <definedName name="sdfgsg" localSheetId="8" hidden="1">{"via1",#N/A,TRUE,"general";"via2",#N/A,TRUE,"general";"via3",#N/A,TRUE,"general"}</definedName>
    <definedName name="sdfgsg" localSheetId="5" hidden="1">{"via1",#N/A,TRUE,"general";"via2",#N/A,TRUE,"general";"via3",#N/A,TRUE,"general"}</definedName>
    <definedName name="sdfgsg" hidden="1">{"via1",#N/A,TRUE,"general";"via2",#N/A,TRUE,"general";"via3",#N/A,TRUE,"general"}</definedName>
    <definedName name="SDFLJK" localSheetId="10" hidden="1">{"TAB1",#N/A,TRUE,"GENERAL";"TAB2",#N/A,TRUE,"GENERAL";"TAB3",#N/A,TRUE,"GENERAL";"TAB4",#N/A,TRUE,"GENERAL";"TAB5",#N/A,TRUE,"GENERAL"}</definedName>
    <definedName name="SDFLJK" localSheetId="8" hidden="1">{"TAB1",#N/A,TRUE,"GENERAL";"TAB2",#N/A,TRUE,"GENERAL";"TAB3",#N/A,TRUE,"GENERAL";"TAB4",#N/A,TRUE,"GENERAL";"TAB5",#N/A,TRUE,"GENERAL"}</definedName>
    <definedName name="SDFLJK" localSheetId="5" hidden="1">{"TAB1",#N/A,TRUE,"GENERAL";"TAB2",#N/A,TRUE,"GENERAL";"TAB3",#N/A,TRUE,"GENERAL";"TAB4",#N/A,TRUE,"GENERAL";"TAB5",#N/A,TRUE,"GENERAL"}</definedName>
    <definedName name="SDFLJK" hidden="1">{"TAB1",#N/A,TRUE,"GENERAL";"TAB2",#N/A,TRUE,"GENERAL";"TAB3",#N/A,TRUE,"GENERAL";"TAB4",#N/A,TRUE,"GENERAL";"TAB5",#N/A,TRUE,"GENERAL"}</definedName>
    <definedName name="sdfsd4" localSheetId="10" hidden="1">{"via1",#N/A,TRUE,"general";"via2",#N/A,TRUE,"general";"via3",#N/A,TRUE,"general"}</definedName>
    <definedName name="sdfsd4" localSheetId="8" hidden="1">{"via1",#N/A,TRUE,"general";"via2",#N/A,TRUE,"general";"via3",#N/A,TRUE,"general"}</definedName>
    <definedName name="sdfsd4" localSheetId="5" hidden="1">{"via1",#N/A,TRUE,"general";"via2",#N/A,TRUE,"general";"via3",#N/A,TRUE,"general"}</definedName>
    <definedName name="sdfsd4" hidden="1">{"via1",#N/A,TRUE,"general";"via2",#N/A,TRUE,"general";"via3",#N/A,TRUE,"general"}</definedName>
    <definedName name="SDFSDF" localSheetId="10" hidden="1">{"TAB1",#N/A,TRUE,"GENERAL";"TAB2",#N/A,TRUE,"GENERAL";"TAB3",#N/A,TRUE,"GENERAL";"TAB4",#N/A,TRUE,"GENERAL";"TAB5",#N/A,TRUE,"GENERAL"}</definedName>
    <definedName name="SDFSDF" localSheetId="8" hidden="1">{"TAB1",#N/A,TRUE,"GENERAL";"TAB2",#N/A,TRUE,"GENERAL";"TAB3",#N/A,TRUE,"GENERAL";"TAB4",#N/A,TRUE,"GENERAL";"TAB5",#N/A,TRUE,"GENERAL"}</definedName>
    <definedName name="SDFSDF" localSheetId="5" hidden="1">{"TAB1",#N/A,TRUE,"GENERAL";"TAB2",#N/A,TRUE,"GENERAL";"TAB3",#N/A,TRUE,"GENERAL";"TAB4",#N/A,TRUE,"GENERAL";"TAB5",#N/A,TRUE,"GENERAL"}</definedName>
    <definedName name="SDFSDF" hidden="1">{"TAB1",#N/A,TRUE,"GENERAL";"TAB2",#N/A,TRUE,"GENERAL";"TAB3",#N/A,TRUE,"GENERAL";"TAB4",#N/A,TRUE,"GENERAL";"TAB5",#N/A,TRUE,"GENERAL"}</definedName>
    <definedName name="sdfsdfb" localSheetId="10" hidden="1">{"via1",#N/A,TRUE,"general";"via2",#N/A,TRUE,"general";"via3",#N/A,TRUE,"general"}</definedName>
    <definedName name="sdfsdfb" localSheetId="8" hidden="1">{"via1",#N/A,TRUE,"general";"via2",#N/A,TRUE,"general";"via3",#N/A,TRUE,"general"}</definedName>
    <definedName name="sdfsdfb" localSheetId="5" hidden="1">{"via1",#N/A,TRUE,"general";"via2",#N/A,TRUE,"general";"via3",#N/A,TRUE,"general"}</definedName>
    <definedName name="sdfsdfb" hidden="1">{"via1",#N/A,TRUE,"general";"via2",#N/A,TRUE,"general";"via3",#N/A,TRUE,"general"}</definedName>
    <definedName name="SDFSF" localSheetId="10" hidden="1">{"TAB1",#N/A,TRUE,"GENERAL";"TAB2",#N/A,TRUE,"GENERAL";"TAB3",#N/A,TRUE,"GENERAL";"TAB4",#N/A,TRUE,"GENERAL";"TAB5",#N/A,TRUE,"GENERAL"}</definedName>
    <definedName name="SDFSF" localSheetId="8" hidden="1">{"TAB1",#N/A,TRUE,"GENERAL";"TAB2",#N/A,TRUE,"GENERAL";"TAB3",#N/A,TRUE,"GENERAL";"TAB4",#N/A,TRUE,"GENERAL";"TAB5",#N/A,TRUE,"GENERAL"}</definedName>
    <definedName name="SDFSF" localSheetId="5" hidden="1">{"TAB1",#N/A,TRUE,"GENERAL";"TAB2",#N/A,TRUE,"GENERAL";"TAB3",#N/A,TRUE,"GENERAL";"TAB4",#N/A,TRUE,"GENERAL";"TAB5",#N/A,TRUE,"GENERAL"}</definedName>
    <definedName name="SDFSF" hidden="1">{"TAB1",#N/A,TRUE,"GENERAL";"TAB2",#N/A,TRUE,"GENERAL";"TAB3",#N/A,TRUE,"GENERAL";"TAB4",#N/A,TRUE,"GENERAL";"TAB5",#N/A,TRUE,"GENERAL"}</definedName>
    <definedName name="sdfsv" localSheetId="10" hidden="1">{"TAB1",#N/A,TRUE,"GENERAL";"TAB2",#N/A,TRUE,"GENERAL";"TAB3",#N/A,TRUE,"GENERAL";"TAB4",#N/A,TRUE,"GENERAL";"TAB5",#N/A,TRUE,"GENERAL"}</definedName>
    <definedName name="sdfsv" localSheetId="8" hidden="1">{"TAB1",#N/A,TRUE,"GENERAL";"TAB2",#N/A,TRUE,"GENERAL";"TAB3",#N/A,TRUE,"GENERAL";"TAB4",#N/A,TRUE,"GENERAL";"TAB5",#N/A,TRUE,"GENERAL"}</definedName>
    <definedName name="sdfsv" localSheetId="5" hidden="1">{"TAB1",#N/A,TRUE,"GENERAL";"TAB2",#N/A,TRUE,"GENERAL";"TAB3",#N/A,TRUE,"GENERAL";"TAB4",#N/A,TRUE,"GENERAL";"TAB5",#N/A,TRUE,"GENERAL"}</definedName>
    <definedName name="sdfsv" hidden="1">{"TAB1",#N/A,TRUE,"GENERAL";"TAB2",#N/A,TRUE,"GENERAL";"TAB3",#N/A,TRUE,"GENERAL";"TAB4",#N/A,TRUE,"GENERAL";"TAB5",#N/A,TRUE,"GENERAL"}</definedName>
    <definedName name="sdgfd" localSheetId="10" hidden="1">{"TAB1",#N/A,TRUE,"GENERAL";"TAB2",#N/A,TRUE,"GENERAL";"TAB3",#N/A,TRUE,"GENERAL";"TAB4",#N/A,TRUE,"GENERAL";"TAB5",#N/A,TRUE,"GENERAL"}</definedName>
    <definedName name="sdgfd" localSheetId="8" hidden="1">{"TAB1",#N/A,TRUE,"GENERAL";"TAB2",#N/A,TRUE,"GENERAL";"TAB3",#N/A,TRUE,"GENERAL";"TAB4",#N/A,TRUE,"GENERAL";"TAB5",#N/A,TRUE,"GENERAL"}</definedName>
    <definedName name="sdgfd" localSheetId="5" hidden="1">{"TAB1",#N/A,TRUE,"GENERAL";"TAB2",#N/A,TRUE,"GENERAL";"TAB3",#N/A,TRUE,"GENERAL";"TAB4",#N/A,TRUE,"GENERAL";"TAB5",#N/A,TRUE,"GENERAL"}</definedName>
    <definedName name="sdgfd" hidden="1">{"TAB1",#N/A,TRUE,"GENERAL";"TAB2",#N/A,TRUE,"GENERAL";"TAB3",#N/A,TRUE,"GENERAL";"TAB4",#N/A,TRUE,"GENERAL";"TAB5",#N/A,TRUE,"GENERAL"}</definedName>
    <definedName name="sdgfgp" localSheetId="10" hidden="1">{"via1",#N/A,TRUE,"general";"via2",#N/A,TRUE,"general";"via3",#N/A,TRUE,"general"}</definedName>
    <definedName name="sdgfgp" localSheetId="8" hidden="1">{"via1",#N/A,TRUE,"general";"via2",#N/A,TRUE,"general";"via3",#N/A,TRUE,"general"}</definedName>
    <definedName name="sdgfgp" localSheetId="5" hidden="1">{"via1",#N/A,TRUE,"general";"via2",#N/A,TRUE,"general";"via3",#N/A,TRUE,"general"}</definedName>
    <definedName name="sdgfgp" hidden="1">{"via1",#N/A,TRUE,"general";"via2",#N/A,TRUE,"general";"via3",#N/A,TRUE,"general"}</definedName>
    <definedName name="sdgfiu" localSheetId="10" hidden="1">{"via1",#N/A,TRUE,"general";"via2",#N/A,TRUE,"general";"via3",#N/A,TRUE,"general"}</definedName>
    <definedName name="sdgfiu" localSheetId="8" hidden="1">{"via1",#N/A,TRUE,"general";"via2",#N/A,TRUE,"general";"via3",#N/A,TRUE,"general"}</definedName>
    <definedName name="sdgfiu" localSheetId="5" hidden="1">{"via1",#N/A,TRUE,"general";"via2",#N/A,TRUE,"general";"via3",#N/A,TRUE,"general"}</definedName>
    <definedName name="sdgfiu" hidden="1">{"via1",#N/A,TRUE,"general";"via2",#N/A,TRUE,"general";"via3",#N/A,TRUE,"general"}</definedName>
    <definedName name="sdgsd" localSheetId="10" hidden="1">{"TAB1",#N/A,TRUE,"GENERAL";"TAB2",#N/A,TRUE,"GENERAL";"TAB3",#N/A,TRUE,"GENERAL";"TAB4",#N/A,TRUE,"GENERAL";"TAB5",#N/A,TRUE,"GENERAL"}</definedName>
    <definedName name="sdgsd" localSheetId="8" hidden="1">{"TAB1",#N/A,TRUE,"GENERAL";"TAB2",#N/A,TRUE,"GENERAL";"TAB3",#N/A,TRUE,"GENERAL";"TAB4",#N/A,TRUE,"GENERAL";"TAB5",#N/A,TRUE,"GENERAL"}</definedName>
    <definedName name="sdgsd" localSheetId="5" hidden="1">{"TAB1",#N/A,TRUE,"GENERAL";"TAB2",#N/A,TRUE,"GENERAL";"TAB3",#N/A,TRUE,"GENERAL";"TAB4",#N/A,TRUE,"GENERAL";"TAB5",#N/A,TRUE,"GENERAL"}</definedName>
    <definedName name="sdgsd" hidden="1">{"TAB1",#N/A,TRUE,"GENERAL";"TAB2",#N/A,TRUE,"GENERAL";"TAB3",#N/A,TRUE,"GENERAL";"TAB4",#N/A,TRUE,"GENERAL";"TAB5",#N/A,TRUE,"GENERAL"}</definedName>
    <definedName name="sdgsg" localSheetId="10" hidden="1">{"via1",#N/A,TRUE,"general";"via2",#N/A,TRUE,"general";"via3",#N/A,TRUE,"general"}</definedName>
    <definedName name="sdgsg" localSheetId="8" hidden="1">{"via1",#N/A,TRUE,"general";"via2",#N/A,TRUE,"general";"via3",#N/A,TRUE,"general"}</definedName>
    <definedName name="sdgsg" localSheetId="5" hidden="1">{"via1",#N/A,TRUE,"general";"via2",#N/A,TRUE,"general";"via3",#N/A,TRUE,"general"}</definedName>
    <definedName name="sdgsg" hidden="1">{"via1",#N/A,TRUE,"general";"via2",#N/A,TRUE,"general";"via3",#N/A,TRUE,"general"}</definedName>
    <definedName name="SDIKOM" localSheetId="10" hidden="1">{"TAB1",#N/A,TRUE,"GENERAL";"TAB2",#N/A,TRUE,"GENERAL";"TAB3",#N/A,TRUE,"GENERAL";"TAB4",#N/A,TRUE,"GENERAL";"TAB5",#N/A,TRUE,"GENERAL"}</definedName>
    <definedName name="SDIKOM" localSheetId="8" hidden="1">{"TAB1",#N/A,TRUE,"GENERAL";"TAB2",#N/A,TRUE,"GENERAL";"TAB3",#N/A,TRUE,"GENERAL";"TAB4",#N/A,TRUE,"GENERAL";"TAB5",#N/A,TRUE,"GENERAL"}</definedName>
    <definedName name="SDIKOM" localSheetId="5" hidden="1">{"TAB1",#N/A,TRUE,"GENERAL";"TAB2",#N/A,TRUE,"GENERAL";"TAB3",#N/A,TRUE,"GENERAL";"TAB4",#N/A,TRUE,"GENERAL";"TAB5",#N/A,TRUE,"GENERAL"}</definedName>
    <definedName name="SDIKOM" hidden="1">{"TAB1",#N/A,TRUE,"GENERAL";"TAB2",#N/A,TRUE,"GENERAL";"TAB3",#N/A,TRUE,"GENERAL";"TAB4",#N/A,TRUE,"GENERAL";"TAB5",#N/A,TRUE,"GENERAL"}</definedName>
    <definedName name="sdsdfh" localSheetId="10" hidden="1">{"via1",#N/A,TRUE,"general";"via2",#N/A,TRUE,"general";"via3",#N/A,TRUE,"general"}</definedName>
    <definedName name="sdsdfh" localSheetId="8" hidden="1">{"via1",#N/A,TRUE,"general";"via2",#N/A,TRUE,"general";"via3",#N/A,TRUE,"general"}</definedName>
    <definedName name="sdsdfh" localSheetId="5" hidden="1">{"via1",#N/A,TRUE,"general";"via2",#N/A,TRUE,"general";"via3",#N/A,TRUE,"general"}</definedName>
    <definedName name="sdsdfh" hidden="1">{"via1",#N/A,TRUE,"general";"via2",#N/A,TRUE,"general";"via3",#N/A,TRUE,"general"}</definedName>
    <definedName name="SECTOR" localSheetId="5">#REF!</definedName>
    <definedName name="SECTOR">#REF!</definedName>
    <definedName name="SERO">#N/A</definedName>
    <definedName name="setrj" localSheetId="10" hidden="1">{"via1",#N/A,TRUE,"general";"via2",#N/A,TRUE,"general";"via3",#N/A,TRUE,"general"}</definedName>
    <definedName name="setrj" localSheetId="8" hidden="1">{"via1",#N/A,TRUE,"general";"via2",#N/A,TRUE,"general";"via3",#N/A,TRUE,"general"}</definedName>
    <definedName name="setrj" localSheetId="5" hidden="1">{"via1",#N/A,TRUE,"general";"via2",#N/A,TRUE,"general";"via3",#N/A,TRUE,"general"}</definedName>
    <definedName name="setrj" hidden="1">{"via1",#N/A,TRUE,"general";"via2",#N/A,TRUE,"general";"via3",#N/A,TRUE,"general"}</definedName>
    <definedName name="sett" localSheetId="10" hidden="1">{"via1",#N/A,TRUE,"general";"via2",#N/A,TRUE,"general";"via3",#N/A,TRUE,"general"}</definedName>
    <definedName name="sett" localSheetId="8" hidden="1">{"via1",#N/A,TRUE,"general";"via2",#N/A,TRUE,"general";"via3",#N/A,TRUE,"general"}</definedName>
    <definedName name="sett" localSheetId="5" hidden="1">{"via1",#N/A,TRUE,"general";"via2",#N/A,TRUE,"general";"via3",#N/A,TRUE,"general"}</definedName>
    <definedName name="sett" hidden="1">{"via1",#N/A,TRUE,"general";"via2",#N/A,TRUE,"general";"via3",#N/A,TRUE,"general"}</definedName>
    <definedName name="sfasf" localSheetId="10" hidden="1">{"TAB1",#N/A,TRUE,"GENERAL";"TAB2",#N/A,TRUE,"GENERAL";"TAB3",#N/A,TRUE,"GENERAL";"TAB4",#N/A,TRUE,"GENERAL";"TAB5",#N/A,TRUE,"GENERAL"}</definedName>
    <definedName name="sfasf" localSheetId="8" hidden="1">{"TAB1",#N/A,TRUE,"GENERAL";"TAB2",#N/A,TRUE,"GENERAL";"TAB3",#N/A,TRUE,"GENERAL";"TAB4",#N/A,TRUE,"GENERAL";"TAB5",#N/A,TRUE,"GENERAL"}</definedName>
    <definedName name="sfasf" localSheetId="5" hidden="1">{"TAB1",#N/A,TRUE,"GENERAL";"TAB2",#N/A,TRUE,"GENERAL";"TAB3",#N/A,TRUE,"GENERAL";"TAB4",#N/A,TRUE,"GENERAL";"TAB5",#N/A,TRUE,"GENERAL"}</definedName>
    <definedName name="sfasf" hidden="1">{"TAB1",#N/A,TRUE,"GENERAL";"TAB2",#N/A,TRUE,"GENERAL";"TAB3",#N/A,TRUE,"GENERAL";"TAB4",#N/A,TRUE,"GENERAL";"TAB5",#N/A,TRUE,"GENERAL"}</definedName>
    <definedName name="SFHSGFH" localSheetId="10" hidden="1">{"TAB1",#N/A,TRUE,"GENERAL";"TAB2",#N/A,TRUE,"GENERAL";"TAB3",#N/A,TRUE,"GENERAL";"TAB4",#N/A,TRUE,"GENERAL";"TAB5",#N/A,TRUE,"GENERAL"}</definedName>
    <definedName name="SFHSGFH" localSheetId="8" hidden="1">{"TAB1",#N/A,TRUE,"GENERAL";"TAB2",#N/A,TRUE,"GENERAL";"TAB3",#N/A,TRUE,"GENERAL";"TAB4",#N/A,TRUE,"GENERAL";"TAB5",#N/A,TRUE,"GENERAL"}</definedName>
    <definedName name="SFHSGFH" localSheetId="5" hidden="1">{"TAB1",#N/A,TRUE,"GENERAL";"TAB2",#N/A,TRUE,"GENERAL";"TAB3",#N/A,TRUE,"GENERAL";"TAB4",#N/A,TRUE,"GENERAL";"TAB5",#N/A,TRUE,"GENERAL"}</definedName>
    <definedName name="SFHSGFH" hidden="1">{"TAB1",#N/A,TRUE,"GENERAL";"TAB2",#N/A,TRUE,"GENERAL";"TAB3",#N/A,TRUE,"GENERAL";"TAB4",#N/A,TRUE,"GENERAL";"TAB5",#N/A,TRUE,"GENERAL"}</definedName>
    <definedName name="sfsd" localSheetId="10" hidden="1">{"via1",#N/A,TRUE,"general";"via2",#N/A,TRUE,"general";"via3",#N/A,TRUE,"general"}</definedName>
    <definedName name="sfsd" localSheetId="8" hidden="1">{"via1",#N/A,TRUE,"general";"via2",#N/A,TRUE,"general";"via3",#N/A,TRUE,"general"}</definedName>
    <definedName name="sfsd" localSheetId="5" hidden="1">{"via1",#N/A,TRUE,"general";"via2",#N/A,TRUE,"general";"via3",#N/A,TRUE,"general"}</definedName>
    <definedName name="sfsd" hidden="1">{"via1",#N/A,TRUE,"general";"via2",#N/A,TRUE,"general";"via3",#N/A,TRUE,"general"}</definedName>
    <definedName name="sfsdf" localSheetId="10" hidden="1">{"TAB1",#N/A,TRUE,"GENERAL";"TAB2",#N/A,TRUE,"GENERAL";"TAB3",#N/A,TRUE,"GENERAL";"TAB4",#N/A,TRUE,"GENERAL";"TAB5",#N/A,TRUE,"GENERAL"}</definedName>
    <definedName name="sfsdf" localSheetId="8" hidden="1">{"TAB1",#N/A,TRUE,"GENERAL";"TAB2",#N/A,TRUE,"GENERAL";"TAB3",#N/A,TRUE,"GENERAL";"TAB4",#N/A,TRUE,"GENERAL";"TAB5",#N/A,TRUE,"GENERAL"}</definedName>
    <definedName name="sfsdf" localSheetId="5" hidden="1">{"TAB1",#N/A,TRUE,"GENERAL";"TAB2",#N/A,TRUE,"GENERAL";"TAB3",#N/A,TRUE,"GENERAL";"TAB4",#N/A,TRUE,"GENERAL";"TAB5",#N/A,TRUE,"GENERAL"}</definedName>
    <definedName name="sfsdf" hidden="1">{"TAB1",#N/A,TRUE,"GENERAL";"TAB2",#N/A,TRUE,"GENERAL";"TAB3",#N/A,TRUE,"GENERAL";"TAB4",#N/A,TRUE,"GENERAL";"TAB5",#N/A,TRUE,"GENERAL"}</definedName>
    <definedName name="sfsdferg" localSheetId="10" hidden="1">{"TAB1",#N/A,TRUE,"GENERAL";"TAB2",#N/A,TRUE,"GENERAL";"TAB3",#N/A,TRUE,"GENERAL";"TAB4",#N/A,TRUE,"GENERAL";"TAB5",#N/A,TRUE,"GENERAL"}</definedName>
    <definedName name="sfsdferg" localSheetId="8" hidden="1">{"TAB1",#N/A,TRUE,"GENERAL";"TAB2",#N/A,TRUE,"GENERAL";"TAB3",#N/A,TRUE,"GENERAL";"TAB4",#N/A,TRUE,"GENERAL";"TAB5",#N/A,TRUE,"GENERAL"}</definedName>
    <definedName name="sfsdferg" localSheetId="5" hidden="1">{"TAB1",#N/A,TRUE,"GENERAL";"TAB2",#N/A,TRUE,"GENERAL";"TAB3",#N/A,TRUE,"GENERAL";"TAB4",#N/A,TRUE,"GENERAL";"TAB5",#N/A,TRUE,"GENERAL"}</definedName>
    <definedName name="sfsdferg" hidden="1">{"TAB1",#N/A,TRUE,"GENERAL";"TAB2",#N/A,TRUE,"GENERAL";"TAB3",#N/A,TRUE,"GENERAL";"TAB4",#N/A,TRUE,"GENERAL";"TAB5",#N/A,TRUE,"GENERAL"}</definedName>
    <definedName name="sfsdfs" localSheetId="10" hidden="1">{"TAB1",#N/A,TRUE,"GENERAL";"TAB2",#N/A,TRUE,"GENERAL";"TAB3",#N/A,TRUE,"GENERAL";"TAB4",#N/A,TRUE,"GENERAL";"TAB5",#N/A,TRUE,"GENERAL"}</definedName>
    <definedName name="sfsdfs" localSheetId="8" hidden="1">{"TAB1",#N/A,TRUE,"GENERAL";"TAB2",#N/A,TRUE,"GENERAL";"TAB3",#N/A,TRUE,"GENERAL";"TAB4",#N/A,TRUE,"GENERAL";"TAB5",#N/A,TRUE,"GENERAL"}</definedName>
    <definedName name="sfsdfs" localSheetId="5" hidden="1">{"TAB1",#N/A,TRUE,"GENERAL";"TAB2",#N/A,TRUE,"GENERAL";"TAB3",#N/A,TRUE,"GENERAL";"TAB4",#N/A,TRUE,"GENERAL";"TAB5",#N/A,TRUE,"GENERAL"}</definedName>
    <definedName name="sfsdfs" hidden="1">{"TAB1",#N/A,TRUE,"GENERAL";"TAB2",#N/A,TRUE,"GENERAL";"TAB3",#N/A,TRUE,"GENERAL";"TAB4",#N/A,TRUE,"GENERAL";"TAB5",#N/A,TRUE,"GENERAL"}</definedName>
    <definedName name="SI">#N/A</definedName>
    <definedName name="SISISIS">#N/A</definedName>
    <definedName name="srwrwr" localSheetId="10" hidden="1">{"TAB1",#N/A,TRUE,"GENERAL";"TAB2",#N/A,TRUE,"GENERAL";"TAB3",#N/A,TRUE,"GENERAL";"TAB4",#N/A,TRUE,"GENERAL";"TAB5",#N/A,TRUE,"GENERAL"}</definedName>
    <definedName name="srwrwr" localSheetId="8" hidden="1">{"TAB1",#N/A,TRUE,"GENERAL";"TAB2",#N/A,TRUE,"GENERAL";"TAB3",#N/A,TRUE,"GENERAL";"TAB4",#N/A,TRUE,"GENERAL";"TAB5",#N/A,TRUE,"GENERAL"}</definedName>
    <definedName name="srwrwr" localSheetId="5" hidden="1">{"TAB1",#N/A,TRUE,"GENERAL";"TAB2",#N/A,TRUE,"GENERAL";"TAB3",#N/A,TRUE,"GENERAL";"TAB4",#N/A,TRUE,"GENERAL";"TAB5",#N/A,TRUE,"GENERAL"}</definedName>
    <definedName name="srwrwr" hidden="1">{"TAB1",#N/A,TRUE,"GENERAL";"TAB2",#N/A,TRUE,"GENERAL";"TAB3",#N/A,TRUE,"GENERAL";"TAB4",#N/A,TRUE,"GENERAL";"TAB5",#N/A,TRUE,"GENERAL"}</definedName>
    <definedName name="SS" localSheetId="5">#REF!</definedName>
    <definedName name="SS">#REF!</definedName>
    <definedName name="SSSS">#N/A</definedName>
    <definedName name="sssss7" localSheetId="10" hidden="1">{"via1",#N/A,TRUE,"general";"via2",#N/A,TRUE,"general";"via3",#N/A,TRUE,"general"}</definedName>
    <definedName name="sssss7" localSheetId="8" hidden="1">{"via1",#N/A,TRUE,"general";"via2",#N/A,TRUE,"general";"via3",#N/A,TRUE,"general"}</definedName>
    <definedName name="sssss7" localSheetId="5" hidden="1">{"via1",#N/A,TRUE,"general";"via2",#N/A,TRUE,"general";"via3",#N/A,TRUE,"general"}</definedName>
    <definedName name="sssss7" hidden="1">{"via1",#N/A,TRUE,"general";"via2",#N/A,TRUE,"general";"via3",#N/A,TRUE,"general"}</definedName>
    <definedName name="sssssa" localSheetId="10" hidden="1">{"TAB1",#N/A,TRUE,"GENERAL";"TAB2",#N/A,TRUE,"GENERAL";"TAB3",#N/A,TRUE,"GENERAL";"TAB4",#N/A,TRUE,"GENERAL";"TAB5",#N/A,TRUE,"GENERAL"}</definedName>
    <definedName name="sssssa" localSheetId="8" hidden="1">{"TAB1",#N/A,TRUE,"GENERAL";"TAB2",#N/A,TRUE,"GENERAL";"TAB3",#N/A,TRUE,"GENERAL";"TAB4",#N/A,TRUE,"GENERAL";"TAB5",#N/A,TRUE,"GENERAL"}</definedName>
    <definedName name="sssssa" localSheetId="5" hidden="1">{"TAB1",#N/A,TRUE,"GENERAL";"TAB2",#N/A,TRUE,"GENERAL";"TAB3",#N/A,TRUE,"GENERAL";"TAB4",#N/A,TRUE,"GENERAL";"TAB5",#N/A,TRUE,"GENERAL"}</definedName>
    <definedName name="sssssa" hidden="1">{"TAB1",#N/A,TRUE,"GENERAL";"TAB2",#N/A,TRUE,"GENERAL";"TAB3",#N/A,TRUE,"GENERAL";"TAB4",#N/A,TRUE,"GENERAL";"TAB5",#N/A,TRUE,"GENERAL"}</definedName>
    <definedName name="sssssy" localSheetId="10" hidden="1">{"via1",#N/A,TRUE,"general";"via2",#N/A,TRUE,"general";"via3",#N/A,TRUE,"general"}</definedName>
    <definedName name="sssssy" localSheetId="8" hidden="1">{"via1",#N/A,TRUE,"general";"via2",#N/A,TRUE,"general";"via3",#N/A,TRUE,"general"}</definedName>
    <definedName name="sssssy" localSheetId="5" hidden="1">{"via1",#N/A,TRUE,"general";"via2",#N/A,TRUE,"general";"via3",#N/A,TRUE,"general"}</definedName>
    <definedName name="sssssy" hidden="1">{"via1",#N/A,TRUE,"general";"via2",#N/A,TRUE,"general";"via3",#N/A,TRUE,"general"}</definedName>
    <definedName name="stt" localSheetId="10" hidden="1">{"via1",#N/A,TRUE,"general";"via2",#N/A,TRUE,"general";"via3",#N/A,TRUE,"general"}</definedName>
    <definedName name="stt" localSheetId="8" hidden="1">{"via1",#N/A,TRUE,"general";"via2",#N/A,TRUE,"general";"via3",#N/A,TRUE,"general"}</definedName>
    <definedName name="stt" localSheetId="5" hidden="1">{"via1",#N/A,TRUE,"general";"via2",#N/A,TRUE,"general";"via3",#N/A,TRUE,"general"}</definedName>
    <definedName name="stt" hidden="1">{"via1",#N/A,TRUE,"general";"via2",#N/A,TRUE,"general";"via3",#N/A,TRUE,"general"}</definedName>
    <definedName name="suma">[19]Hoja1!$F$60</definedName>
    <definedName name="Summary" localSheetId="5">#REF!</definedName>
    <definedName name="Summary">#REF!</definedName>
    <definedName name="sw">#N/A</definedName>
    <definedName name="swsw" localSheetId="10" hidden="1">{"via1",#N/A,TRUE,"general";"via2",#N/A,TRUE,"general";"via3",#N/A,TRUE,"general"}</definedName>
    <definedName name="swsw" localSheetId="8" hidden="1">{"via1",#N/A,TRUE,"general";"via2",#N/A,TRUE,"general";"via3",#N/A,TRUE,"general"}</definedName>
    <definedName name="swsw" localSheetId="5" hidden="1">{"via1",#N/A,TRUE,"general";"via2",#N/A,TRUE,"general";"via3",#N/A,TRUE,"general"}</definedName>
    <definedName name="swsw" hidden="1">{"via1",#N/A,TRUE,"general";"via2",#N/A,TRUE,"general";"via3",#N/A,TRUE,"general"}</definedName>
    <definedName name="swsw3" localSheetId="10" hidden="1">{"TAB1",#N/A,TRUE,"GENERAL";"TAB2",#N/A,TRUE,"GENERAL";"TAB3",#N/A,TRUE,"GENERAL";"TAB4",#N/A,TRUE,"GENERAL";"TAB5",#N/A,TRUE,"GENERAL"}</definedName>
    <definedName name="swsw3" localSheetId="8" hidden="1">{"TAB1",#N/A,TRUE,"GENERAL";"TAB2",#N/A,TRUE,"GENERAL";"TAB3",#N/A,TRUE,"GENERAL";"TAB4",#N/A,TRUE,"GENERAL";"TAB5",#N/A,TRUE,"GENERAL"}</definedName>
    <definedName name="swsw3" localSheetId="5" hidden="1">{"TAB1",#N/A,TRUE,"GENERAL";"TAB2",#N/A,TRUE,"GENERAL";"TAB3",#N/A,TRUE,"GENERAL";"TAB4",#N/A,TRUE,"GENERAL";"TAB5",#N/A,TRUE,"GENERAL"}</definedName>
    <definedName name="swsw3" hidden="1">{"TAB1",#N/A,TRUE,"GENERAL";"TAB2",#N/A,TRUE,"GENERAL";"TAB3",#N/A,TRUE,"GENERAL";"TAB4",#N/A,TRUE,"GENERAL";"TAB5",#N/A,TRUE,"GENERAL"}</definedName>
    <definedName name="t" localSheetId="5">[3]!absc</definedName>
    <definedName name="t">[3]!absc</definedName>
    <definedName name="t5t5" localSheetId="10" hidden="1">{"TAB1",#N/A,TRUE,"GENERAL";"TAB2",#N/A,TRUE,"GENERAL";"TAB3",#N/A,TRUE,"GENERAL";"TAB4",#N/A,TRUE,"GENERAL";"TAB5",#N/A,TRUE,"GENERAL"}</definedName>
    <definedName name="t5t5" localSheetId="8" hidden="1">{"TAB1",#N/A,TRUE,"GENERAL";"TAB2",#N/A,TRUE,"GENERAL";"TAB3",#N/A,TRUE,"GENERAL";"TAB4",#N/A,TRUE,"GENERAL";"TAB5",#N/A,TRUE,"GENERAL"}</definedName>
    <definedName name="t5t5" localSheetId="5" hidden="1">{"TAB1",#N/A,TRUE,"GENERAL";"TAB2",#N/A,TRUE,"GENERAL";"TAB3",#N/A,TRUE,"GENERAL";"TAB4",#N/A,TRUE,"GENERAL";"TAB5",#N/A,TRUE,"GENERAL"}</definedName>
    <definedName name="t5t5" hidden="1">{"TAB1",#N/A,TRUE,"GENERAL";"TAB2",#N/A,TRUE,"GENERAL";"TAB3",#N/A,TRUE,"GENERAL";"TAB4",#N/A,TRUE,"GENERAL";"TAB5",#N/A,TRUE,"GENERAL"}</definedName>
    <definedName name="TABLA" localSheetId="5">#REF!</definedName>
    <definedName name="TABLA">#REF!</definedName>
    <definedName name="TABLA_DE_CONTENIDO__A1" comment="VOLVER A TABLA DE CONTENIDO">'GENERALIDADES '!$K$28</definedName>
    <definedName name="TARIFAS">[29]TARIFAS!$A$1:$F$52</definedName>
    <definedName name="tdy" localSheetId="10" hidden="1">{"TAB1",#N/A,TRUE,"GENERAL";"TAB2",#N/A,TRUE,"GENERAL";"TAB3",#N/A,TRUE,"GENERAL";"TAB4",#N/A,TRUE,"GENERAL";"TAB5",#N/A,TRUE,"GENERAL"}</definedName>
    <definedName name="tdy" localSheetId="8" hidden="1">{"TAB1",#N/A,TRUE,"GENERAL";"TAB2",#N/A,TRUE,"GENERAL";"TAB3",#N/A,TRUE,"GENERAL";"TAB4",#N/A,TRUE,"GENERAL";"TAB5",#N/A,TRUE,"GENERAL"}</definedName>
    <definedName name="tdy" localSheetId="5" hidden="1">{"TAB1",#N/A,TRUE,"GENERAL";"TAB2",#N/A,TRUE,"GENERAL";"TAB3",#N/A,TRUE,"GENERAL";"TAB4",#N/A,TRUE,"GENERAL";"TAB5",#N/A,TRUE,"GENERAL"}</definedName>
    <definedName name="tdy" hidden="1">{"TAB1",#N/A,TRUE,"GENERAL";"TAB2",#N/A,TRUE,"GENERAL";"TAB3",#N/A,TRUE,"GENERAL";"TAB4",#N/A,TRUE,"GENERAL";"TAB5",#N/A,TRUE,"GENERAL"}</definedName>
    <definedName name="TER">#N/A</definedName>
    <definedName name="TERM">#N/A</definedName>
    <definedName name="TÉRMINOS">#N/A</definedName>
    <definedName name="TERR">[5]PRESUPUESTO!$I$7</definedName>
    <definedName name="tewst" localSheetId="10" hidden="1">{"TAB1",#N/A,TRUE,"GENERAL";"TAB2",#N/A,TRUE,"GENERAL";"TAB3",#N/A,TRUE,"GENERAL";"TAB4",#N/A,TRUE,"GENERAL";"TAB5",#N/A,TRUE,"GENERAL"}</definedName>
    <definedName name="tewst" localSheetId="8" hidden="1">{"TAB1",#N/A,TRUE,"GENERAL";"TAB2",#N/A,TRUE,"GENERAL";"TAB3",#N/A,TRUE,"GENERAL";"TAB4",#N/A,TRUE,"GENERAL";"TAB5",#N/A,TRUE,"GENERAL"}</definedName>
    <definedName name="tewst" localSheetId="5" hidden="1">{"TAB1",#N/A,TRUE,"GENERAL";"TAB2",#N/A,TRUE,"GENERAL";"TAB3",#N/A,TRUE,"GENERAL";"TAB4",#N/A,TRUE,"GENERAL";"TAB5",#N/A,TRUE,"GENERAL"}</definedName>
    <definedName name="tewst" hidden="1">{"TAB1",#N/A,TRUE,"GENERAL";"TAB2",#N/A,TRUE,"GENERAL";"TAB3",#N/A,TRUE,"GENERAL";"TAB4",#N/A,TRUE,"GENERAL";"TAB5",#N/A,TRUE,"GENERAL"}</definedName>
    <definedName name="teytrh" localSheetId="10" hidden="1">{"via1",#N/A,TRUE,"general";"via2",#N/A,TRUE,"general";"via3",#N/A,TRUE,"general"}</definedName>
    <definedName name="teytrh" localSheetId="8" hidden="1">{"via1",#N/A,TRUE,"general";"via2",#N/A,TRUE,"general";"via3",#N/A,TRUE,"general"}</definedName>
    <definedName name="teytrh" localSheetId="5" hidden="1">{"via1",#N/A,TRUE,"general";"via2",#N/A,TRUE,"general";"via3",#N/A,TRUE,"general"}</definedName>
    <definedName name="teytrh" hidden="1">{"via1",#N/A,TRUE,"general";"via2",#N/A,TRUE,"general";"via3",#N/A,TRUE,"general"}</definedName>
    <definedName name="thdh" localSheetId="10" hidden="1">{"TAB1",#N/A,TRUE,"GENERAL";"TAB2",#N/A,TRUE,"GENERAL";"TAB3",#N/A,TRUE,"GENERAL";"TAB4",#N/A,TRUE,"GENERAL";"TAB5",#N/A,TRUE,"GENERAL"}</definedName>
    <definedName name="thdh" localSheetId="8" hidden="1">{"TAB1",#N/A,TRUE,"GENERAL";"TAB2",#N/A,TRUE,"GENERAL";"TAB3",#N/A,TRUE,"GENERAL";"TAB4",#N/A,TRUE,"GENERAL";"TAB5",#N/A,TRUE,"GENERAL"}</definedName>
    <definedName name="thdh" localSheetId="5" hidden="1">{"TAB1",#N/A,TRUE,"GENERAL";"TAB2",#N/A,TRUE,"GENERAL";"TAB3",#N/A,TRUE,"GENERAL";"TAB4",#N/A,TRUE,"GENERAL";"TAB5",#N/A,TRUE,"GENERAL"}</definedName>
    <definedName name="thdh" hidden="1">{"TAB1",#N/A,TRUE,"GENERAL";"TAB2",#N/A,TRUE,"GENERAL";"TAB3",#N/A,TRUE,"GENERAL";"TAB4",#N/A,TRUE,"GENERAL";"TAB5",#N/A,TRUE,"GENERAL"}</definedName>
    <definedName name="thtj" localSheetId="10" hidden="1">{"via1",#N/A,TRUE,"general";"via2",#N/A,TRUE,"general";"via3",#N/A,TRUE,"general"}</definedName>
    <definedName name="thtj" localSheetId="8" hidden="1">{"via1",#N/A,TRUE,"general";"via2",#N/A,TRUE,"general";"via3",#N/A,TRUE,"general"}</definedName>
    <definedName name="thtj" localSheetId="5" hidden="1">{"via1",#N/A,TRUE,"general";"via2",#N/A,TRUE,"general";"via3",#N/A,TRUE,"general"}</definedName>
    <definedName name="thtj" hidden="1">{"via1",#N/A,TRUE,"general";"via2",#N/A,TRUE,"general";"via3",#N/A,TRUE,"general"}</definedName>
    <definedName name="TIEMPO">[15]BASES!$E$27</definedName>
    <definedName name="TITULO" localSheetId="5">#REF!</definedName>
    <definedName name="TITULO">#REF!</definedName>
    <definedName name="_xlnm.Print_Titles">#N/A</definedName>
    <definedName name="Títulos_a_imprimir_IM" localSheetId="5">#REF!</definedName>
    <definedName name="Títulos_a_imprimir_IM">#REF!</definedName>
    <definedName name="tortas" localSheetId="10" hidden="1">{"TAB1",#N/A,TRUE,"GENERAL";"TAB2",#N/A,TRUE,"GENERAL";"TAB3",#N/A,TRUE,"GENERAL";"TAB4",#N/A,TRUE,"GENERAL";"TAB5",#N/A,TRUE,"GENERAL"}</definedName>
    <definedName name="tortas" localSheetId="8" hidden="1">{"TAB1",#N/A,TRUE,"GENERAL";"TAB2",#N/A,TRUE,"GENERAL";"TAB3",#N/A,TRUE,"GENERAL";"TAB4",#N/A,TRUE,"GENERAL";"TAB5",#N/A,TRUE,"GENERAL"}</definedName>
    <definedName name="tortas" localSheetId="5" hidden="1">{"TAB1",#N/A,TRUE,"GENERAL";"TAB2",#N/A,TRUE,"GENERAL";"TAB3",#N/A,TRUE,"GENERAL";"TAB4",#N/A,TRUE,"GENERAL";"TAB5",#N/A,TRUE,"GENERAL"}</definedName>
    <definedName name="tortas" hidden="1">{"TAB1",#N/A,TRUE,"GENERAL";"TAB2",#N/A,TRUE,"GENERAL";"TAB3",#N/A,TRUE,"GENERAL";"TAB4",#N/A,TRUE,"GENERAL";"TAB5",#N/A,TRUE,"GENERAL"}</definedName>
    <definedName name="tortas2" localSheetId="10" hidden="1">{"via1",#N/A,TRUE,"general";"via2",#N/A,TRUE,"general";"via3",#N/A,TRUE,"general"}</definedName>
    <definedName name="tortas2" localSheetId="8" hidden="1">{"via1",#N/A,TRUE,"general";"via2",#N/A,TRUE,"general";"via3",#N/A,TRUE,"general"}</definedName>
    <definedName name="tortas2" localSheetId="5" hidden="1">{"via1",#N/A,TRUE,"general";"via2",#N/A,TRUE,"general";"via3",#N/A,TRUE,"general"}</definedName>
    <definedName name="tortas2" hidden="1">{"via1",#N/A,TRUE,"general";"via2",#N/A,TRUE,"general";"via3",#N/A,TRUE,"general"}</definedName>
    <definedName name="TOTAL" localSheetId="5">#REF!</definedName>
    <definedName name="TOTAL">#REF!</definedName>
    <definedName name="tr" localSheetId="10" hidden="1">{"TAB1",#N/A,TRUE,"GENERAL";"TAB2",#N/A,TRUE,"GENERAL";"TAB3",#N/A,TRUE,"GENERAL";"TAB4",#N/A,TRUE,"GENERAL";"TAB5",#N/A,TRUE,"GENERAL"}</definedName>
    <definedName name="tr" localSheetId="8" hidden="1">{"TAB1",#N/A,TRUE,"GENERAL";"TAB2",#N/A,TRUE,"GENERAL";"TAB3",#N/A,TRUE,"GENERAL";"TAB4",#N/A,TRUE,"GENERAL";"TAB5",#N/A,TRUE,"GENERAL"}</definedName>
    <definedName name="tr" localSheetId="5" hidden="1">{"TAB1",#N/A,TRUE,"GENERAL";"TAB2",#N/A,TRUE,"GENERAL";"TAB3",#N/A,TRUE,"GENERAL";"TAB4",#N/A,TRUE,"GENERAL";"TAB5",#N/A,TRUE,"GENERAL"}</definedName>
    <definedName name="tr" hidden="1">{"TAB1",#N/A,TRUE,"GENERAL";"TAB2",#N/A,TRUE,"GENERAL";"TAB3",#N/A,TRUE,"GENERAL";"TAB4",#N/A,TRUE,"GENERAL";"TAB5",#N/A,TRUE,"GENERAL"}</definedName>
    <definedName name="TRAT">[30]desmonte!$E$48</definedName>
    <definedName name="trest" localSheetId="10" hidden="1">{"TAB1",#N/A,TRUE,"GENERAL";"TAB2",#N/A,TRUE,"GENERAL";"TAB3",#N/A,TRUE,"GENERAL";"TAB4",#N/A,TRUE,"GENERAL";"TAB5",#N/A,TRUE,"GENERAL"}</definedName>
    <definedName name="trest" localSheetId="8" hidden="1">{"TAB1",#N/A,TRUE,"GENERAL";"TAB2",#N/A,TRUE,"GENERAL";"TAB3",#N/A,TRUE,"GENERAL";"TAB4",#N/A,TRUE,"GENERAL";"TAB5",#N/A,TRUE,"GENERAL"}</definedName>
    <definedName name="trest" localSheetId="5" hidden="1">{"TAB1",#N/A,TRUE,"GENERAL";"TAB2",#N/A,TRUE,"GENERAL";"TAB3",#N/A,TRUE,"GENERAL";"TAB4",#N/A,TRUE,"GENERAL";"TAB5",#N/A,TRUE,"GENERAL"}</definedName>
    <definedName name="trest" hidden="1">{"TAB1",#N/A,TRUE,"GENERAL";"TAB2",#N/A,TRUE,"GENERAL";"TAB3",#N/A,TRUE,"GENERAL";"TAB4",#N/A,TRUE,"GENERAL";"TAB5",#N/A,TRUE,"GENERAL"}</definedName>
    <definedName name="tret" localSheetId="10" hidden="1">{"TAB1",#N/A,TRUE,"GENERAL";"TAB2",#N/A,TRUE,"GENERAL";"TAB3",#N/A,TRUE,"GENERAL";"TAB4",#N/A,TRUE,"GENERAL";"TAB5",#N/A,TRUE,"GENERAL"}</definedName>
    <definedName name="tret" localSheetId="8" hidden="1">{"TAB1",#N/A,TRUE,"GENERAL";"TAB2",#N/A,TRUE,"GENERAL";"TAB3",#N/A,TRUE,"GENERAL";"TAB4",#N/A,TRUE,"GENERAL";"TAB5",#N/A,TRUE,"GENERAL"}</definedName>
    <definedName name="tret" localSheetId="5" hidden="1">{"TAB1",#N/A,TRUE,"GENERAL";"TAB2",#N/A,TRUE,"GENERAL";"TAB3",#N/A,TRUE,"GENERAL";"TAB4",#N/A,TRUE,"GENERAL";"TAB5",#N/A,TRUE,"GENERAL"}</definedName>
    <definedName name="tret" hidden="1">{"TAB1",#N/A,TRUE,"GENERAL";"TAB2",#N/A,TRUE,"GENERAL";"TAB3",#N/A,TRUE,"GENERAL";"TAB4",#N/A,TRUE,"GENERAL";"TAB5",#N/A,TRUE,"GENERAL"}</definedName>
    <definedName name="trh" localSheetId="10" hidden="1">{"via1",#N/A,TRUE,"general";"via2",#N/A,TRUE,"general";"via3",#N/A,TRUE,"general"}</definedName>
    <definedName name="trh" localSheetId="8" hidden="1">{"via1",#N/A,TRUE,"general";"via2",#N/A,TRUE,"general";"via3",#N/A,TRUE,"general"}</definedName>
    <definedName name="trh" localSheetId="5" hidden="1">{"via1",#N/A,TRUE,"general";"via2",#N/A,TRUE,"general";"via3",#N/A,TRUE,"general"}</definedName>
    <definedName name="trh" hidden="1">{"via1",#N/A,TRUE,"general";"via2",#N/A,TRUE,"general";"via3",#N/A,TRUE,"general"}</definedName>
    <definedName name="trhfh" localSheetId="10" hidden="1">{"via1",#N/A,TRUE,"general";"via2",#N/A,TRUE,"general";"via3",#N/A,TRUE,"general"}</definedName>
    <definedName name="trhfh" localSheetId="8" hidden="1">{"via1",#N/A,TRUE,"general";"via2",#N/A,TRUE,"general";"via3",#N/A,TRUE,"general"}</definedName>
    <definedName name="trhfh" localSheetId="5" hidden="1">{"via1",#N/A,TRUE,"general";"via2",#N/A,TRUE,"general";"via3",#N/A,TRUE,"general"}</definedName>
    <definedName name="trhfh" hidden="1">{"via1",#N/A,TRUE,"general";"via2",#N/A,TRUE,"general";"via3",#N/A,TRUE,"general"}</definedName>
    <definedName name="trjfgjh" localSheetId="10" hidden="1">{"via1",#N/A,TRUE,"general";"via2",#N/A,TRUE,"general";"via3",#N/A,TRUE,"general"}</definedName>
    <definedName name="trjfgjh" localSheetId="8" hidden="1">{"via1",#N/A,TRUE,"general";"via2",#N/A,TRUE,"general";"via3",#N/A,TRUE,"general"}</definedName>
    <definedName name="trjfgjh" localSheetId="5" hidden="1">{"via1",#N/A,TRUE,"general";"via2",#N/A,TRUE,"general";"via3",#N/A,TRUE,"general"}</definedName>
    <definedName name="trjfgjh" hidden="1">{"via1",#N/A,TRUE,"general";"via2",#N/A,TRUE,"general";"via3",#N/A,TRUE,"general"}</definedName>
    <definedName name="tru" localSheetId="10" hidden="1">{"via1",#N/A,TRUE,"general";"via2",#N/A,TRUE,"general";"via3",#N/A,TRUE,"general"}</definedName>
    <definedName name="tru" localSheetId="8" hidden="1">{"via1",#N/A,TRUE,"general";"via2",#N/A,TRUE,"general";"via3",#N/A,TRUE,"general"}</definedName>
    <definedName name="tru" localSheetId="5" hidden="1">{"via1",#N/A,TRUE,"general";"via2",#N/A,TRUE,"general";"via3",#N/A,TRUE,"general"}</definedName>
    <definedName name="tru" hidden="1">{"via1",#N/A,TRUE,"general";"via2",#N/A,TRUE,"general";"via3",#N/A,TRUE,"general"}</definedName>
    <definedName name="truds" localSheetId="10" hidden="1">{"via1",#N/A,TRUE,"general";"via2",#N/A,TRUE,"general";"via3",#N/A,TRUE,"general"}</definedName>
    <definedName name="truds" localSheetId="8" hidden="1">{"via1",#N/A,TRUE,"general";"via2",#N/A,TRUE,"general";"via3",#N/A,TRUE,"general"}</definedName>
    <definedName name="truds" localSheetId="5" hidden="1">{"via1",#N/A,TRUE,"general";"via2",#N/A,TRUE,"general";"via3",#N/A,TRUE,"general"}</definedName>
    <definedName name="truds" hidden="1">{"via1",#N/A,TRUE,"general";"via2",#N/A,TRUE,"general";"via3",#N/A,TRUE,"general"}</definedName>
    <definedName name="trutu" localSheetId="10" hidden="1">{"via1",#N/A,TRUE,"general";"via2",#N/A,TRUE,"general";"via3",#N/A,TRUE,"general"}</definedName>
    <definedName name="trutu" localSheetId="8" hidden="1">{"via1",#N/A,TRUE,"general";"via2",#N/A,TRUE,"general";"via3",#N/A,TRUE,"general"}</definedName>
    <definedName name="trutu" localSheetId="5" hidden="1">{"via1",#N/A,TRUE,"general";"via2",#N/A,TRUE,"general";"via3",#N/A,TRUE,"general"}</definedName>
    <definedName name="trutu" hidden="1">{"via1",#N/A,TRUE,"general";"via2",#N/A,TRUE,"general";"via3",#N/A,TRUE,"general"}</definedName>
    <definedName name="trydfg" localSheetId="10" hidden="1">{"via1",#N/A,TRUE,"general";"via2",#N/A,TRUE,"general";"via3",#N/A,TRUE,"general"}</definedName>
    <definedName name="trydfg" localSheetId="8" hidden="1">{"via1",#N/A,TRUE,"general";"via2",#N/A,TRUE,"general";"via3",#N/A,TRUE,"general"}</definedName>
    <definedName name="trydfg" localSheetId="5" hidden="1">{"via1",#N/A,TRUE,"general";"via2",#N/A,TRUE,"general";"via3",#N/A,TRUE,"general"}</definedName>
    <definedName name="trydfg" hidden="1">{"via1",#N/A,TRUE,"general";"via2",#N/A,TRUE,"general";"via3",#N/A,TRUE,"general"}</definedName>
    <definedName name="trydtrygf" localSheetId="10" hidden="1">{"via1",#N/A,TRUE,"general";"via2",#N/A,TRUE,"general";"via3",#N/A,TRUE,"general"}</definedName>
    <definedName name="trydtrygf" localSheetId="8" hidden="1">{"via1",#N/A,TRUE,"general";"via2",#N/A,TRUE,"general";"via3",#N/A,TRUE,"general"}</definedName>
    <definedName name="trydtrygf" localSheetId="5" hidden="1">{"via1",#N/A,TRUE,"general";"via2",#N/A,TRUE,"general";"via3",#N/A,TRUE,"general"}</definedName>
    <definedName name="trydtrygf" hidden="1">{"via1",#N/A,TRUE,"general";"via2",#N/A,TRUE,"general";"via3",#N/A,TRUE,"general"}</definedName>
    <definedName name="tryery" localSheetId="10" hidden="1">{"TAB1",#N/A,TRUE,"GENERAL";"TAB2",#N/A,TRUE,"GENERAL";"TAB3",#N/A,TRUE,"GENERAL";"TAB4",#N/A,TRUE,"GENERAL";"TAB5",#N/A,TRUE,"GENERAL"}</definedName>
    <definedName name="tryery" localSheetId="8" hidden="1">{"TAB1",#N/A,TRUE,"GENERAL";"TAB2",#N/A,TRUE,"GENERAL";"TAB3",#N/A,TRUE,"GENERAL";"TAB4",#N/A,TRUE,"GENERAL";"TAB5",#N/A,TRUE,"GENERAL"}</definedName>
    <definedName name="tryery" localSheetId="5" hidden="1">{"TAB1",#N/A,TRUE,"GENERAL";"TAB2",#N/A,TRUE,"GENERAL";"TAB3",#N/A,TRUE,"GENERAL";"TAB4",#N/A,TRUE,"GENERAL";"TAB5",#N/A,TRUE,"GENERAL"}</definedName>
    <definedName name="tryery" hidden="1">{"TAB1",#N/A,TRUE,"GENERAL";"TAB2",#N/A,TRUE,"GENERAL";"TAB3",#N/A,TRUE,"GENERAL";"TAB4",#N/A,TRUE,"GENERAL";"TAB5",#N/A,TRUE,"GENERAL"}</definedName>
    <definedName name="tryi6" localSheetId="10" hidden="1">{"TAB1",#N/A,TRUE,"GENERAL";"TAB2",#N/A,TRUE,"GENERAL";"TAB3",#N/A,TRUE,"GENERAL";"TAB4",#N/A,TRUE,"GENERAL";"TAB5",#N/A,TRUE,"GENERAL"}</definedName>
    <definedName name="tryi6" localSheetId="8" hidden="1">{"TAB1",#N/A,TRUE,"GENERAL";"TAB2",#N/A,TRUE,"GENERAL";"TAB3",#N/A,TRUE,"GENERAL";"TAB4",#N/A,TRUE,"GENERAL";"TAB5",#N/A,TRUE,"GENERAL"}</definedName>
    <definedName name="tryi6" localSheetId="5" hidden="1">{"TAB1",#N/A,TRUE,"GENERAL";"TAB2",#N/A,TRUE,"GENERAL";"TAB3",#N/A,TRUE,"GENERAL";"TAB4",#N/A,TRUE,"GENERAL";"TAB5",#N/A,TRUE,"GENERAL"}</definedName>
    <definedName name="tryi6" hidden="1">{"TAB1",#N/A,TRUE,"GENERAL";"TAB2",#N/A,TRUE,"GENERAL";"TAB3",#N/A,TRUE,"GENERAL";"TAB4",#N/A,TRUE,"GENERAL";"TAB5",#N/A,TRUE,"GENERAL"}</definedName>
    <definedName name="tryrth" localSheetId="10" hidden="1">{"via1",#N/A,TRUE,"general";"via2",#N/A,TRUE,"general";"via3",#N/A,TRUE,"general"}</definedName>
    <definedName name="tryrth" localSheetId="8" hidden="1">{"via1",#N/A,TRUE,"general";"via2",#N/A,TRUE,"general";"via3",#N/A,TRUE,"general"}</definedName>
    <definedName name="tryrth" localSheetId="5" hidden="1">{"via1",#N/A,TRUE,"general";"via2",#N/A,TRUE,"general";"via3",#N/A,TRUE,"general"}</definedName>
    <definedName name="tryrth" hidden="1">{"via1",#N/A,TRUE,"general";"via2",#N/A,TRUE,"general";"via3",#N/A,TRUE,"general"}</definedName>
    <definedName name="tsert" localSheetId="10" hidden="1">{"TAB1",#N/A,TRUE,"GENERAL";"TAB2",#N/A,TRUE,"GENERAL";"TAB3",#N/A,TRUE,"GENERAL";"TAB4",#N/A,TRUE,"GENERAL";"TAB5",#N/A,TRUE,"GENERAL"}</definedName>
    <definedName name="tsert" localSheetId="8" hidden="1">{"TAB1",#N/A,TRUE,"GENERAL";"TAB2",#N/A,TRUE,"GENERAL";"TAB3",#N/A,TRUE,"GENERAL";"TAB4",#N/A,TRUE,"GENERAL";"TAB5",#N/A,TRUE,"GENERAL"}</definedName>
    <definedName name="tsert" localSheetId="5" hidden="1">{"TAB1",#N/A,TRUE,"GENERAL";"TAB2",#N/A,TRUE,"GENERAL";"TAB3",#N/A,TRUE,"GENERAL";"TAB4",#N/A,TRUE,"GENERAL";"TAB5",#N/A,TRUE,"GENERAL"}</definedName>
    <definedName name="tsert" hidden="1">{"TAB1",#N/A,TRUE,"GENERAL";"TAB2",#N/A,TRUE,"GENERAL";"TAB3",#N/A,TRUE,"GENERAL";"TAB4",#N/A,TRUE,"GENERAL";"TAB5",#N/A,TRUE,"GENERAL"}</definedName>
    <definedName name="TtCD" localSheetId="5">#REF!</definedName>
    <definedName name="TtCD">#REF!</definedName>
    <definedName name="TTR" localSheetId="10" hidden="1">{"via1",#N/A,TRUE,"general";"via2",#N/A,TRUE,"general";"via3",#N/A,TRUE,"general"}</definedName>
    <definedName name="TTR" localSheetId="8" hidden="1">{"via1",#N/A,TRUE,"general";"via2",#N/A,TRUE,"general";"via3",#N/A,TRUE,"general"}</definedName>
    <definedName name="TTR" localSheetId="5" hidden="1">{"via1",#N/A,TRUE,"general";"via2",#N/A,TRUE,"general";"via3",#N/A,TRUE,"general"}</definedName>
    <definedName name="TTR" hidden="1">{"via1",#N/A,TRUE,"general";"via2",#N/A,TRUE,"general";"via3",#N/A,TRUE,"general"}</definedName>
    <definedName name="ttrff" localSheetId="10" hidden="1">{"via1",#N/A,TRUE,"general";"via2",#N/A,TRUE,"general";"via3",#N/A,TRUE,"general"}</definedName>
    <definedName name="ttrff" localSheetId="8" hidden="1">{"via1",#N/A,TRUE,"general";"via2",#N/A,TRUE,"general";"via3",#N/A,TRUE,"general"}</definedName>
    <definedName name="ttrff" localSheetId="5" hidden="1">{"via1",#N/A,TRUE,"general";"via2",#N/A,TRUE,"general";"via3",#N/A,TRUE,"general"}</definedName>
    <definedName name="ttrff" hidden="1">{"via1",#N/A,TRUE,"general";"via2",#N/A,TRUE,"general";"via3",#N/A,TRUE,"general"}</definedName>
    <definedName name="ttt" localSheetId="10" hidden="1">{"TAB1",#N/A,TRUE,"GENERAL";"TAB2",#N/A,TRUE,"GENERAL";"TAB3",#N/A,TRUE,"GENERAL";"TAB4",#N/A,TRUE,"GENERAL";"TAB5",#N/A,TRUE,"GENERAL"}</definedName>
    <definedName name="ttt" localSheetId="8" hidden="1">{"TAB1",#N/A,TRUE,"GENERAL";"TAB2",#N/A,TRUE,"GENERAL";"TAB3",#N/A,TRUE,"GENERAL";"TAB4",#N/A,TRUE,"GENERAL";"TAB5",#N/A,TRUE,"GENERAL"}</definedName>
    <definedName name="ttt" localSheetId="5" hidden="1">{"TAB1",#N/A,TRUE,"GENERAL";"TAB2",#N/A,TRUE,"GENERAL";"TAB3",#N/A,TRUE,"GENERAL";"TAB4",#N/A,TRUE,"GENERAL";"TAB5",#N/A,TRUE,"GENERAL"}</definedName>
    <definedName name="ttt" hidden="1">{"TAB1",#N/A,TRUE,"GENERAL";"TAB2",#N/A,TRUE,"GENERAL";"TAB3",#N/A,TRUE,"GENERAL";"TAB4",#N/A,TRUE,"GENERAL";"TAB5",#N/A,TRUE,"GENERAL"}</definedName>
    <definedName name="tttt7" localSheetId="10" hidden="1">{"via1",#N/A,TRUE,"general";"via2",#N/A,TRUE,"general";"via3",#N/A,TRUE,"general"}</definedName>
    <definedName name="tttt7" localSheetId="8" hidden="1">{"via1",#N/A,TRUE,"general";"via2",#N/A,TRUE,"general";"via3",#N/A,TRUE,"general"}</definedName>
    <definedName name="tttt7" localSheetId="5" hidden="1">{"via1",#N/A,TRUE,"general";"via2",#N/A,TRUE,"general";"via3",#N/A,TRUE,"general"}</definedName>
    <definedName name="tttt7" hidden="1">{"via1",#N/A,TRUE,"general";"via2",#N/A,TRUE,"general";"via3",#N/A,TRUE,"general"}</definedName>
    <definedName name="tttthy" localSheetId="10" hidden="1">{"TAB1",#N/A,TRUE,"GENERAL";"TAB2",#N/A,TRUE,"GENERAL";"TAB3",#N/A,TRUE,"GENERAL";"TAB4",#N/A,TRUE,"GENERAL";"TAB5",#N/A,TRUE,"GENERAL"}</definedName>
    <definedName name="tttthy" localSheetId="8" hidden="1">{"TAB1",#N/A,TRUE,"GENERAL";"TAB2",#N/A,TRUE,"GENERAL";"TAB3",#N/A,TRUE,"GENERAL";"TAB4",#N/A,TRUE,"GENERAL";"TAB5",#N/A,TRUE,"GENERAL"}</definedName>
    <definedName name="tttthy" localSheetId="5" hidden="1">{"TAB1",#N/A,TRUE,"GENERAL";"TAB2",#N/A,TRUE,"GENERAL";"TAB3",#N/A,TRUE,"GENERAL";"TAB4",#N/A,TRUE,"GENERAL";"TAB5",#N/A,TRUE,"GENERAL"}</definedName>
    <definedName name="tttthy" hidden="1">{"TAB1",#N/A,TRUE,"GENERAL";"TAB2",#N/A,TRUE,"GENERAL";"TAB3",#N/A,TRUE,"GENERAL";"TAB4",#N/A,TRUE,"GENERAL";"TAB5",#N/A,TRUE,"GENERAL"}</definedName>
    <definedName name="ttttr" localSheetId="10" hidden="1">{"via1",#N/A,TRUE,"general";"via2",#N/A,TRUE,"general";"via3",#N/A,TRUE,"general"}</definedName>
    <definedName name="ttttr" localSheetId="8" hidden="1">{"via1",#N/A,TRUE,"general";"via2",#N/A,TRUE,"general";"via3",#N/A,TRUE,"general"}</definedName>
    <definedName name="ttttr" localSheetId="5" hidden="1">{"via1",#N/A,TRUE,"general";"via2",#N/A,TRUE,"general";"via3",#N/A,TRUE,"general"}</definedName>
    <definedName name="ttttr" hidden="1">{"via1",#N/A,TRUE,"general";"via2",#N/A,TRUE,"general";"via3",#N/A,TRUE,"general"}</definedName>
    <definedName name="ttttt" localSheetId="10" hidden="1">{"TAB1",#N/A,TRUE,"GENERAL";"TAB2",#N/A,TRUE,"GENERAL";"TAB3",#N/A,TRUE,"GENERAL";"TAB4",#N/A,TRUE,"GENERAL";"TAB5",#N/A,TRUE,"GENERAL"}</definedName>
    <definedName name="ttttt" localSheetId="8" hidden="1">{"TAB1",#N/A,TRUE,"GENERAL";"TAB2",#N/A,TRUE,"GENERAL";"TAB3",#N/A,TRUE,"GENERAL";"TAB4",#N/A,TRUE,"GENERAL";"TAB5",#N/A,TRUE,"GENERAL"}</definedName>
    <definedName name="ttttt" localSheetId="5" hidden="1">{"TAB1",#N/A,TRUE,"GENERAL";"TAB2",#N/A,TRUE,"GENERAL";"TAB3",#N/A,TRUE,"GENERAL";"TAB4",#N/A,TRUE,"GENERAL";"TAB5",#N/A,TRUE,"GENERAL"}</definedName>
    <definedName name="ttttt" hidden="1">{"TAB1",#N/A,TRUE,"GENERAL";"TAB2",#N/A,TRUE,"GENERAL";"TAB3",#N/A,TRUE,"GENERAL";"TAB4",#N/A,TRUE,"GENERAL";"TAB5",#N/A,TRUE,"GENERAL"}</definedName>
    <definedName name="tu" localSheetId="10" hidden="1">{"via1",#N/A,TRUE,"general";"via2",#N/A,TRUE,"general";"via3",#N/A,TRUE,"general"}</definedName>
    <definedName name="tu" localSheetId="8" hidden="1">{"via1",#N/A,TRUE,"general";"via2",#N/A,TRUE,"general";"via3",#N/A,TRUE,"general"}</definedName>
    <definedName name="tu" localSheetId="5" hidden="1">{"via1",#N/A,TRUE,"general";"via2",#N/A,TRUE,"general";"via3",#N/A,TRUE,"general"}</definedName>
    <definedName name="tu" hidden="1">{"via1",#N/A,TRUE,"general";"via2",#N/A,TRUE,"general";"via3",#N/A,TRUE,"general"}</definedName>
    <definedName name="tur" localSheetId="10" hidden="1">{"TAB1",#N/A,TRUE,"GENERAL";"TAB2",#N/A,TRUE,"GENERAL";"TAB3",#N/A,TRUE,"GENERAL";"TAB4",#N/A,TRUE,"GENERAL";"TAB5",#N/A,TRUE,"GENERAL"}</definedName>
    <definedName name="tur" localSheetId="8" hidden="1">{"TAB1",#N/A,TRUE,"GENERAL";"TAB2",#N/A,TRUE,"GENERAL";"TAB3",#N/A,TRUE,"GENERAL";"TAB4",#N/A,TRUE,"GENERAL";"TAB5",#N/A,TRUE,"GENERAL"}</definedName>
    <definedName name="tur" localSheetId="5" hidden="1">{"TAB1",#N/A,TRUE,"GENERAL";"TAB2",#N/A,TRUE,"GENERAL";"TAB3",#N/A,TRUE,"GENERAL";"TAB4",#N/A,TRUE,"GENERAL";"TAB5",#N/A,TRUE,"GENERAL"}</definedName>
    <definedName name="tur" hidden="1">{"TAB1",#N/A,TRUE,"GENERAL";"TAB2",#N/A,TRUE,"GENERAL";"TAB3",#N/A,TRUE,"GENERAL";"TAB4",#N/A,TRUE,"GENERAL";"TAB5",#N/A,TRUE,"GENERAL"}</definedName>
    <definedName name="turu" localSheetId="10" hidden="1">{"TAB1",#N/A,TRUE,"GENERAL";"TAB2",#N/A,TRUE,"GENERAL";"TAB3",#N/A,TRUE,"GENERAL";"TAB4",#N/A,TRUE,"GENERAL";"TAB5",#N/A,TRUE,"GENERAL"}</definedName>
    <definedName name="turu" localSheetId="8" hidden="1">{"TAB1",#N/A,TRUE,"GENERAL";"TAB2",#N/A,TRUE,"GENERAL";"TAB3",#N/A,TRUE,"GENERAL";"TAB4",#N/A,TRUE,"GENERAL";"TAB5",#N/A,TRUE,"GENERAL"}</definedName>
    <definedName name="turu" localSheetId="5" hidden="1">{"TAB1",#N/A,TRUE,"GENERAL";"TAB2",#N/A,TRUE,"GENERAL";"TAB3",#N/A,TRUE,"GENERAL";"TAB4",#N/A,TRUE,"GENERAL";"TAB5",#N/A,TRUE,"GENERAL"}</definedName>
    <definedName name="turu" hidden="1">{"TAB1",#N/A,TRUE,"GENERAL";"TAB2",#N/A,TRUE,"GENERAL";"TAB3",#N/A,TRUE,"GENERAL";"TAB4",#N/A,TRUE,"GENERAL";"TAB5",#N/A,TRUE,"GENERAL"}</definedName>
    <definedName name="twer" localSheetId="10" hidden="1">{"TAB1",#N/A,TRUE,"GENERAL";"TAB2",#N/A,TRUE,"GENERAL";"TAB3",#N/A,TRUE,"GENERAL";"TAB4",#N/A,TRUE,"GENERAL";"TAB5",#N/A,TRUE,"GENERAL"}</definedName>
    <definedName name="twer" localSheetId="8" hidden="1">{"TAB1",#N/A,TRUE,"GENERAL";"TAB2",#N/A,TRUE,"GENERAL";"TAB3",#N/A,TRUE,"GENERAL";"TAB4",#N/A,TRUE,"GENERAL";"TAB5",#N/A,TRUE,"GENERAL"}</definedName>
    <definedName name="twer" localSheetId="5" hidden="1">{"TAB1",#N/A,TRUE,"GENERAL";"TAB2",#N/A,TRUE,"GENERAL";"TAB3",#N/A,TRUE,"GENERAL";"TAB4",#N/A,TRUE,"GENERAL";"TAB5",#N/A,TRUE,"GENERAL"}</definedName>
    <definedName name="twer" hidden="1">{"TAB1",#N/A,TRUE,"GENERAL";"TAB2",#N/A,TRUE,"GENERAL";"TAB3",#N/A,TRUE,"GENERAL";"TAB4",#N/A,TRUE,"GENERAL";"TAB5",#N/A,TRUE,"GENERAL"}</definedName>
    <definedName name="twet" localSheetId="10" hidden="1">{"TAB1",#N/A,TRUE,"GENERAL";"TAB2",#N/A,TRUE,"GENERAL";"TAB3",#N/A,TRUE,"GENERAL";"TAB4",#N/A,TRUE,"GENERAL";"TAB5",#N/A,TRUE,"GENERAL"}</definedName>
    <definedName name="twet" localSheetId="8" hidden="1">{"TAB1",#N/A,TRUE,"GENERAL";"TAB2",#N/A,TRUE,"GENERAL";"TAB3",#N/A,TRUE,"GENERAL";"TAB4",#N/A,TRUE,"GENERAL";"TAB5",#N/A,TRUE,"GENERAL"}</definedName>
    <definedName name="twet" localSheetId="5" hidden="1">{"TAB1",#N/A,TRUE,"GENERAL";"TAB2",#N/A,TRUE,"GENERAL";"TAB3",#N/A,TRUE,"GENERAL";"TAB4",#N/A,TRUE,"GENERAL";"TAB5",#N/A,TRUE,"GENERAL"}</definedName>
    <definedName name="twet" hidden="1">{"TAB1",#N/A,TRUE,"GENERAL";"TAB2",#N/A,TRUE,"GENERAL";"TAB3",#N/A,TRUE,"GENERAL";"TAB4",#N/A,TRUE,"GENERAL";"TAB5",#N/A,TRUE,"GENERAL"}</definedName>
    <definedName name="ty" localSheetId="10" hidden="1">{"via1",#N/A,TRUE,"general";"via2",#N/A,TRUE,"general";"via3",#N/A,TRUE,"general"}</definedName>
    <definedName name="ty" localSheetId="8" hidden="1">{"via1",#N/A,TRUE,"general";"via2",#N/A,TRUE,"general";"via3",#N/A,TRUE,"general"}</definedName>
    <definedName name="ty" localSheetId="5" hidden="1">{"via1",#N/A,TRUE,"general";"via2",#N/A,TRUE,"general";"via3",#N/A,TRUE,"general"}</definedName>
    <definedName name="ty" hidden="1">{"via1",#N/A,TRUE,"general";"via2",#N/A,TRUE,"general";"via3",#N/A,TRUE,"general"}</definedName>
    <definedName name="tyery" localSheetId="10" hidden="1">{"via1",#N/A,TRUE,"general";"via2",#N/A,TRUE,"general";"via3",#N/A,TRUE,"general"}</definedName>
    <definedName name="tyery" localSheetId="8" hidden="1">{"via1",#N/A,TRUE,"general";"via2",#N/A,TRUE,"general";"via3",#N/A,TRUE,"general"}</definedName>
    <definedName name="tyery" localSheetId="5" hidden="1">{"via1",#N/A,TRUE,"general";"via2",#N/A,TRUE,"general";"via3",#N/A,TRUE,"general"}</definedName>
    <definedName name="tyery" hidden="1">{"via1",#N/A,TRUE,"general";"via2",#N/A,TRUE,"general";"via3",#N/A,TRUE,"general"}</definedName>
    <definedName name="tyj" localSheetId="10" hidden="1">{"TAB1",#N/A,TRUE,"GENERAL";"TAB2",#N/A,TRUE,"GENERAL";"TAB3",#N/A,TRUE,"GENERAL";"TAB4",#N/A,TRUE,"GENERAL";"TAB5",#N/A,TRUE,"GENERAL"}</definedName>
    <definedName name="tyj" localSheetId="8" hidden="1">{"TAB1",#N/A,TRUE,"GENERAL";"TAB2",#N/A,TRUE,"GENERAL";"TAB3",#N/A,TRUE,"GENERAL";"TAB4",#N/A,TRUE,"GENERAL";"TAB5",#N/A,TRUE,"GENERAL"}</definedName>
    <definedName name="tyj" localSheetId="5" hidden="1">{"TAB1",#N/A,TRUE,"GENERAL";"TAB2",#N/A,TRUE,"GENERAL";"TAB3",#N/A,TRUE,"GENERAL";"TAB4",#N/A,TRUE,"GENERAL";"TAB5",#N/A,TRUE,"GENERAL"}</definedName>
    <definedName name="tyj" hidden="1">{"TAB1",#N/A,TRUE,"GENERAL";"TAB2",#N/A,TRUE,"GENERAL";"TAB3",#N/A,TRUE,"GENERAL";"TAB4",#N/A,TRUE,"GENERAL";"TAB5",#N/A,TRUE,"GENERAL"}</definedName>
    <definedName name="tyjtyj" localSheetId="10" hidden="1">{"TAB1",#N/A,TRUE,"GENERAL";"TAB2",#N/A,TRUE,"GENERAL";"TAB3",#N/A,TRUE,"GENERAL";"TAB4",#N/A,TRUE,"GENERAL";"TAB5",#N/A,TRUE,"GENERAL"}</definedName>
    <definedName name="tyjtyj" localSheetId="8" hidden="1">{"TAB1",#N/A,TRUE,"GENERAL";"TAB2",#N/A,TRUE,"GENERAL";"TAB3",#N/A,TRUE,"GENERAL";"TAB4",#N/A,TRUE,"GENERAL";"TAB5",#N/A,TRUE,"GENERAL"}</definedName>
    <definedName name="tyjtyj" localSheetId="5" hidden="1">{"TAB1",#N/A,TRUE,"GENERAL";"TAB2",#N/A,TRUE,"GENERAL";"TAB3",#N/A,TRUE,"GENERAL";"TAB4",#N/A,TRUE,"GENERAL";"TAB5",#N/A,TRUE,"GENERAL"}</definedName>
    <definedName name="tyjtyj" hidden="1">{"TAB1",#N/A,TRUE,"GENERAL";"TAB2",#N/A,TRUE,"GENERAL";"TAB3",#N/A,TRUE,"GENERAL";"TAB4",#N/A,TRUE,"GENERAL";"TAB5",#N/A,TRUE,"GENERAL"}</definedName>
    <definedName name="tyjytjuyjuy" localSheetId="10" hidden="1">{"TAB1",#N/A,TRUE,"GENERAL";"TAB2",#N/A,TRUE,"GENERAL";"TAB3",#N/A,TRUE,"GENERAL";"TAB4",#N/A,TRUE,"GENERAL";"TAB5",#N/A,TRUE,"GENERAL"}</definedName>
    <definedName name="tyjytjuyjuy" localSheetId="8" hidden="1">{"TAB1",#N/A,TRUE,"GENERAL";"TAB2",#N/A,TRUE,"GENERAL";"TAB3",#N/A,TRUE,"GENERAL";"TAB4",#N/A,TRUE,"GENERAL";"TAB5",#N/A,TRUE,"GENERAL"}</definedName>
    <definedName name="tyjytjuyjuy" localSheetId="5" hidden="1">{"TAB1",#N/A,TRUE,"GENERAL";"TAB2",#N/A,TRUE,"GENERAL";"TAB3",#N/A,TRUE,"GENERAL";"TAB4",#N/A,TRUE,"GENERAL";"TAB5",#N/A,TRUE,"GENERAL"}</definedName>
    <definedName name="tyjytjuyjuy" hidden="1">{"TAB1",#N/A,TRUE,"GENERAL";"TAB2",#N/A,TRUE,"GENERAL";"TAB3",#N/A,TRUE,"GENERAL";"TAB4",#N/A,TRUE,"GENERAL";"TAB5",#N/A,TRUE,"GENERAL"}</definedName>
    <definedName name="tyk" localSheetId="10" hidden="1">{"via1",#N/A,TRUE,"general";"via2",#N/A,TRUE,"general";"via3",#N/A,TRUE,"general"}</definedName>
    <definedName name="tyk" localSheetId="8" hidden="1">{"via1",#N/A,TRUE,"general";"via2",#N/A,TRUE,"general";"via3",#N/A,TRUE,"general"}</definedName>
    <definedName name="tyk" localSheetId="5" hidden="1">{"via1",#N/A,TRUE,"general";"via2",#N/A,TRUE,"general";"via3",#N/A,TRUE,"general"}</definedName>
    <definedName name="tyk" hidden="1">{"via1",#N/A,TRUE,"general";"via2",#N/A,TRUE,"general";"via3",#N/A,TRUE,"general"}</definedName>
    <definedName name="tym" localSheetId="10" hidden="1">{"via1",#N/A,TRUE,"general";"via2",#N/A,TRUE,"general";"via3",#N/A,TRUE,"general"}</definedName>
    <definedName name="tym" localSheetId="8" hidden="1">{"via1",#N/A,TRUE,"general";"via2",#N/A,TRUE,"general";"via3",#N/A,TRUE,"general"}</definedName>
    <definedName name="tym" localSheetId="5" hidden="1">{"via1",#N/A,TRUE,"general";"via2",#N/A,TRUE,"general";"via3",#N/A,TRUE,"general"}</definedName>
    <definedName name="tym" hidden="1">{"via1",#N/A,TRUE,"general";"via2",#N/A,TRUE,"general";"via3",#N/A,TRUE,"general"}</definedName>
    <definedName name="tyr" localSheetId="10" hidden="1">{"via1",#N/A,TRUE,"general";"via2",#N/A,TRUE,"general";"via3",#N/A,TRUE,"general"}</definedName>
    <definedName name="tyr" localSheetId="8" hidden="1">{"via1",#N/A,TRUE,"general";"via2",#N/A,TRUE,"general";"via3",#N/A,TRUE,"general"}</definedName>
    <definedName name="tyr" localSheetId="5" hidden="1">{"via1",#N/A,TRUE,"general";"via2",#N/A,TRUE,"general";"via3",#N/A,TRUE,"general"}</definedName>
    <definedName name="tyr" hidden="1">{"via1",#N/A,TRUE,"general";"via2",#N/A,TRUE,"general";"via3",#N/A,TRUE,"general"}</definedName>
    <definedName name="tytgfhgfh" localSheetId="10" hidden="1">{"TAB1",#N/A,TRUE,"GENERAL";"TAB2",#N/A,TRUE,"GENERAL";"TAB3",#N/A,TRUE,"GENERAL";"TAB4",#N/A,TRUE,"GENERAL";"TAB5",#N/A,TRUE,"GENERAL"}</definedName>
    <definedName name="tytgfhgfh" localSheetId="8" hidden="1">{"TAB1",#N/A,TRUE,"GENERAL";"TAB2",#N/A,TRUE,"GENERAL";"TAB3",#N/A,TRUE,"GENERAL";"TAB4",#N/A,TRUE,"GENERAL";"TAB5",#N/A,TRUE,"GENERAL"}</definedName>
    <definedName name="tytgfhgfh" localSheetId="5" hidden="1">{"TAB1",#N/A,TRUE,"GENERAL";"TAB2",#N/A,TRUE,"GENERAL";"TAB3",#N/A,TRUE,"GENERAL";"TAB4",#N/A,TRUE,"GENERAL";"TAB5",#N/A,TRUE,"GENERAL"}</definedName>
    <definedName name="tytgfhgfh" hidden="1">{"TAB1",#N/A,TRUE,"GENERAL";"TAB2",#N/A,TRUE,"GENERAL";"TAB3",#N/A,TRUE,"GENERAL";"TAB4",#N/A,TRUE,"GENERAL";"TAB5",#N/A,TRUE,"GENERAL"}</definedName>
    <definedName name="tyty" localSheetId="10" hidden="1">{"TAB1",#N/A,TRUE,"GENERAL";"TAB2",#N/A,TRUE,"GENERAL";"TAB3",#N/A,TRUE,"GENERAL";"TAB4",#N/A,TRUE,"GENERAL";"TAB5",#N/A,TRUE,"GENERAL"}</definedName>
    <definedName name="tyty" localSheetId="8" hidden="1">{"TAB1",#N/A,TRUE,"GENERAL";"TAB2",#N/A,TRUE,"GENERAL";"TAB3",#N/A,TRUE,"GENERAL";"TAB4",#N/A,TRUE,"GENERAL";"TAB5",#N/A,TRUE,"GENERAL"}</definedName>
    <definedName name="tyty" localSheetId="5" hidden="1">{"TAB1",#N/A,TRUE,"GENERAL";"TAB2",#N/A,TRUE,"GENERAL";"TAB3",#N/A,TRUE,"GENERAL";"TAB4",#N/A,TRUE,"GENERAL";"TAB5",#N/A,TRUE,"GENERAL"}</definedName>
    <definedName name="tyty" hidden="1">{"TAB1",#N/A,TRUE,"GENERAL";"TAB2",#N/A,TRUE,"GENERAL";"TAB3",#N/A,TRUE,"GENERAL";"TAB4",#N/A,TRUE,"GENERAL";"TAB5",#N/A,TRUE,"GENERAL"}</definedName>
    <definedName name="TYUIYI" localSheetId="10" hidden="1">{"TAB1",#N/A,TRUE,"GENERAL";"TAB2",#N/A,TRUE,"GENERAL";"TAB3",#N/A,TRUE,"GENERAL";"TAB4",#N/A,TRUE,"GENERAL";"TAB5",#N/A,TRUE,"GENERAL"}</definedName>
    <definedName name="TYUIYI" localSheetId="8" hidden="1">{"TAB1",#N/A,TRUE,"GENERAL";"TAB2",#N/A,TRUE,"GENERAL";"TAB3",#N/A,TRUE,"GENERAL";"TAB4",#N/A,TRUE,"GENERAL";"TAB5",#N/A,TRUE,"GENERAL"}</definedName>
    <definedName name="TYUIYI" localSheetId="5" hidden="1">{"TAB1",#N/A,TRUE,"GENERAL";"TAB2",#N/A,TRUE,"GENERAL";"TAB3",#N/A,TRUE,"GENERAL";"TAB4",#N/A,TRUE,"GENERAL";"TAB5",#N/A,TRUE,"GENERAL"}</definedName>
    <definedName name="TYUIYI" hidden="1">{"TAB1",#N/A,TRUE,"GENERAL";"TAB2",#N/A,TRUE,"GENERAL";"TAB3",#N/A,TRUE,"GENERAL";"TAB4",#N/A,TRUE,"GENERAL";"TAB5",#N/A,TRUE,"GENERAL"}</definedName>
    <definedName name="tyujh" localSheetId="10" hidden="1">{"TAB1",#N/A,TRUE,"GENERAL";"TAB2",#N/A,TRUE,"GENERAL";"TAB3",#N/A,TRUE,"GENERAL";"TAB4",#N/A,TRUE,"GENERAL";"TAB5",#N/A,TRUE,"GENERAL"}</definedName>
    <definedName name="tyujh" localSheetId="8" hidden="1">{"TAB1",#N/A,TRUE,"GENERAL";"TAB2",#N/A,TRUE,"GENERAL";"TAB3",#N/A,TRUE,"GENERAL";"TAB4",#N/A,TRUE,"GENERAL";"TAB5",#N/A,TRUE,"GENERAL"}</definedName>
    <definedName name="tyujh" localSheetId="5" hidden="1">{"TAB1",#N/A,TRUE,"GENERAL";"TAB2",#N/A,TRUE,"GENERAL";"TAB3",#N/A,TRUE,"GENERAL";"TAB4",#N/A,TRUE,"GENERAL";"TAB5",#N/A,TRUE,"GENERAL"}</definedName>
    <definedName name="tyujh" hidden="1">{"TAB1",#N/A,TRUE,"GENERAL";"TAB2",#N/A,TRUE,"GENERAL";"TAB3",#N/A,TRUE,"GENERAL";"TAB4",#N/A,TRUE,"GENERAL";"TAB5",#N/A,TRUE,"GENERAL"}</definedName>
    <definedName name="tyuty" localSheetId="10" hidden="1">{"TAB1",#N/A,TRUE,"GENERAL";"TAB2",#N/A,TRUE,"GENERAL";"TAB3",#N/A,TRUE,"GENERAL";"TAB4",#N/A,TRUE,"GENERAL";"TAB5",#N/A,TRUE,"GENERAL"}</definedName>
    <definedName name="tyuty" localSheetId="8" hidden="1">{"TAB1",#N/A,TRUE,"GENERAL";"TAB2",#N/A,TRUE,"GENERAL";"TAB3",#N/A,TRUE,"GENERAL";"TAB4",#N/A,TRUE,"GENERAL";"TAB5",#N/A,TRUE,"GENERAL"}</definedName>
    <definedName name="tyuty" localSheetId="5" hidden="1">{"TAB1",#N/A,TRUE,"GENERAL";"TAB2",#N/A,TRUE,"GENERAL";"TAB3",#N/A,TRUE,"GENERAL";"TAB4",#N/A,TRUE,"GENERAL";"TAB5",#N/A,TRUE,"GENERAL"}</definedName>
    <definedName name="tyuty" hidden="1">{"TAB1",#N/A,TRUE,"GENERAL";"TAB2",#N/A,TRUE,"GENERAL";"TAB3",#N/A,TRUE,"GENERAL";"TAB4",#N/A,TRUE,"GENERAL";"TAB5",#N/A,TRUE,"GENERAL"}</definedName>
    <definedName name="tyutyu" localSheetId="10" hidden="1">{"via1",#N/A,TRUE,"general";"via2",#N/A,TRUE,"general";"via3",#N/A,TRUE,"general"}</definedName>
    <definedName name="tyutyu" localSheetId="8" hidden="1">{"via1",#N/A,TRUE,"general";"via2",#N/A,TRUE,"general";"via3",#N/A,TRUE,"general"}</definedName>
    <definedName name="tyutyu" localSheetId="5" hidden="1">{"via1",#N/A,TRUE,"general";"via2",#N/A,TRUE,"general";"via3",#N/A,TRUE,"general"}</definedName>
    <definedName name="tyutyu" hidden="1">{"via1",#N/A,TRUE,"general";"via2",#N/A,TRUE,"general";"via3",#N/A,TRUE,"general"}</definedName>
    <definedName name="tyxg" localSheetId="10" hidden="1">{"via1",#N/A,TRUE,"general";"via2",#N/A,TRUE,"general";"via3",#N/A,TRUE,"general"}</definedName>
    <definedName name="tyxg" localSheetId="8" hidden="1">{"via1",#N/A,TRUE,"general";"via2",#N/A,TRUE,"general";"via3",#N/A,TRUE,"general"}</definedName>
    <definedName name="tyxg" localSheetId="5" hidden="1">{"via1",#N/A,TRUE,"general";"via2",#N/A,TRUE,"general";"via3",#N/A,TRUE,"general"}</definedName>
    <definedName name="tyxg" hidden="1">{"via1",#N/A,TRUE,"general";"via2",#N/A,TRUE,"general";"via3",#N/A,TRUE,"general"}</definedName>
    <definedName name="U" localSheetId="5">#REF!</definedName>
    <definedName name="U">#REF!</definedName>
    <definedName name="u3u" localSheetId="10" hidden="1">{"TAB1",#N/A,TRUE,"GENERAL";"TAB2",#N/A,TRUE,"GENERAL";"TAB3",#N/A,TRUE,"GENERAL";"TAB4",#N/A,TRUE,"GENERAL";"TAB5",#N/A,TRUE,"GENERAL"}</definedName>
    <definedName name="u3u" localSheetId="8" hidden="1">{"TAB1",#N/A,TRUE,"GENERAL";"TAB2",#N/A,TRUE,"GENERAL";"TAB3",#N/A,TRUE,"GENERAL";"TAB4",#N/A,TRUE,"GENERAL";"TAB5",#N/A,TRUE,"GENERAL"}</definedName>
    <definedName name="u3u" localSheetId="5" hidden="1">{"TAB1",#N/A,TRUE,"GENERAL";"TAB2",#N/A,TRUE,"GENERAL";"TAB3",#N/A,TRUE,"GENERAL";"TAB4",#N/A,TRUE,"GENERAL";"TAB5",#N/A,TRUE,"GENERAL"}</definedName>
    <definedName name="u3u" hidden="1">{"TAB1",#N/A,TRUE,"GENERAL";"TAB2",#N/A,TRUE,"GENERAL";"TAB3",#N/A,TRUE,"GENERAL";"TAB4",#N/A,TRUE,"GENERAL";"TAB5",#N/A,TRUE,"GENERAL"}</definedName>
    <definedName name="u7u7" localSheetId="10" hidden="1">{"TAB1",#N/A,TRUE,"GENERAL";"TAB2",#N/A,TRUE,"GENERAL";"TAB3",#N/A,TRUE,"GENERAL";"TAB4",#N/A,TRUE,"GENERAL";"TAB5",#N/A,TRUE,"GENERAL"}</definedName>
    <definedName name="u7u7" localSheetId="8" hidden="1">{"TAB1",#N/A,TRUE,"GENERAL";"TAB2",#N/A,TRUE,"GENERAL";"TAB3",#N/A,TRUE,"GENERAL";"TAB4",#N/A,TRUE,"GENERAL";"TAB5",#N/A,TRUE,"GENERAL"}</definedName>
    <definedName name="u7u7" localSheetId="5" hidden="1">{"TAB1",#N/A,TRUE,"GENERAL";"TAB2",#N/A,TRUE,"GENERAL";"TAB3",#N/A,TRUE,"GENERAL";"TAB4",#N/A,TRUE,"GENERAL";"TAB5",#N/A,TRUE,"GENERAL"}</definedName>
    <definedName name="u7u7" hidden="1">{"TAB1",#N/A,TRUE,"GENERAL";"TAB2",#N/A,TRUE,"GENERAL";"TAB3",#N/A,TRUE,"GENERAL";"TAB4",#N/A,TRUE,"GENERAL";"TAB5",#N/A,TRUE,"GENERAL"}</definedName>
    <definedName name="Ubicación" localSheetId="5">#REF!</definedName>
    <definedName name="Ubicación">#REF!</definedName>
    <definedName name="UI" localSheetId="10" hidden="1">{"via1",#N/A,TRUE,"general";"via2",#N/A,TRUE,"general";"via3",#N/A,TRUE,"general"}</definedName>
    <definedName name="UI" localSheetId="8" hidden="1">{"via1",#N/A,TRUE,"general";"via2",#N/A,TRUE,"general";"via3",#N/A,TRUE,"general"}</definedName>
    <definedName name="UI" localSheetId="5" hidden="1">{"via1",#N/A,TRUE,"general";"via2",#N/A,TRUE,"general";"via3",#N/A,TRUE,"general"}</definedName>
    <definedName name="UI" hidden="1">{"via1",#N/A,TRUE,"general";"via2",#N/A,TRUE,"general";"via3",#N/A,TRUE,"general"}</definedName>
    <definedName name="uijhj" localSheetId="10" hidden="1">{"via1",#N/A,TRUE,"general";"via2",#N/A,TRUE,"general";"via3",#N/A,TRUE,"general"}</definedName>
    <definedName name="uijhj" localSheetId="8" hidden="1">{"via1",#N/A,TRUE,"general";"via2",#N/A,TRUE,"general";"via3",#N/A,TRUE,"general"}</definedName>
    <definedName name="uijhj" localSheetId="5" hidden="1">{"via1",#N/A,TRUE,"general";"via2",#N/A,TRUE,"general";"via3",#N/A,TRUE,"general"}</definedName>
    <definedName name="uijhj" hidden="1">{"via1",#N/A,TRUE,"general";"via2",#N/A,TRUE,"general";"via3",#N/A,TRUE,"general"}</definedName>
    <definedName name="uio" localSheetId="10" hidden="1">{"TAB1",#N/A,TRUE,"GENERAL";"TAB2",#N/A,TRUE,"GENERAL";"TAB3",#N/A,TRUE,"GENERAL";"TAB4",#N/A,TRUE,"GENERAL";"TAB5",#N/A,TRUE,"GENERAL"}</definedName>
    <definedName name="uio" localSheetId="8" hidden="1">{"TAB1",#N/A,TRUE,"GENERAL";"TAB2",#N/A,TRUE,"GENERAL";"TAB3",#N/A,TRUE,"GENERAL";"TAB4",#N/A,TRUE,"GENERAL";"TAB5",#N/A,TRUE,"GENERAL"}</definedName>
    <definedName name="uio" localSheetId="5" hidden="1">{"TAB1",#N/A,TRUE,"GENERAL";"TAB2",#N/A,TRUE,"GENERAL";"TAB3",#N/A,TRUE,"GENERAL";"TAB4",#N/A,TRUE,"GENERAL";"TAB5",#N/A,TRUE,"GENERAL"}</definedName>
    <definedName name="uio" hidden="1">{"TAB1",#N/A,TRUE,"GENERAL";"TAB2",#N/A,TRUE,"GENERAL";"TAB3",#N/A,TRUE,"GENERAL";"TAB4",#N/A,TRUE,"GENERAL";"TAB5",#N/A,TRUE,"GENERAL"}</definedName>
    <definedName name="uiou" localSheetId="10" hidden="1">{"TAB1",#N/A,TRUE,"GENERAL";"TAB2",#N/A,TRUE,"GENERAL";"TAB3",#N/A,TRUE,"GENERAL";"TAB4",#N/A,TRUE,"GENERAL";"TAB5",#N/A,TRUE,"GENERAL"}</definedName>
    <definedName name="uiou" localSheetId="8" hidden="1">{"TAB1",#N/A,TRUE,"GENERAL";"TAB2",#N/A,TRUE,"GENERAL";"TAB3",#N/A,TRUE,"GENERAL";"TAB4",#N/A,TRUE,"GENERAL";"TAB5",#N/A,TRUE,"GENERAL"}</definedName>
    <definedName name="uiou" localSheetId="5" hidden="1">{"TAB1",#N/A,TRUE,"GENERAL";"TAB2",#N/A,TRUE,"GENERAL";"TAB3",#N/A,TRUE,"GENERAL";"TAB4",#N/A,TRUE,"GENERAL";"TAB5",#N/A,TRUE,"GENERAL"}</definedName>
    <definedName name="uiou" hidden="1">{"TAB1",#N/A,TRUE,"GENERAL";"TAB2",#N/A,TRUE,"GENERAL";"TAB3",#N/A,TRUE,"GENERAL";"TAB4",#N/A,TRUE,"GENERAL";"TAB5",#N/A,TRUE,"GENERAL"}</definedName>
    <definedName name="uir" localSheetId="10" hidden="1">{"via1",#N/A,TRUE,"general";"via2",#N/A,TRUE,"general";"via3",#N/A,TRUE,"general"}</definedName>
    <definedName name="uir" localSheetId="8" hidden="1">{"via1",#N/A,TRUE,"general";"via2",#N/A,TRUE,"general";"via3",#N/A,TRUE,"general"}</definedName>
    <definedName name="uir" localSheetId="5" hidden="1">{"via1",#N/A,TRUE,"general";"via2",#N/A,TRUE,"general";"via3",#N/A,TRUE,"general"}</definedName>
    <definedName name="uir" hidden="1">{"via1",#N/A,TRUE,"general";"via2",#N/A,TRUE,"general";"via3",#N/A,TRUE,"general"}</definedName>
    <definedName name="uituii" localSheetId="10" hidden="1">{"TAB1",#N/A,TRUE,"GENERAL";"TAB2",#N/A,TRUE,"GENERAL";"TAB3",#N/A,TRUE,"GENERAL";"TAB4",#N/A,TRUE,"GENERAL";"TAB5",#N/A,TRUE,"GENERAL"}</definedName>
    <definedName name="uituii" localSheetId="8" hidden="1">{"TAB1",#N/A,TRUE,"GENERAL";"TAB2",#N/A,TRUE,"GENERAL";"TAB3",#N/A,TRUE,"GENERAL";"TAB4",#N/A,TRUE,"GENERAL";"TAB5",#N/A,TRUE,"GENERAL"}</definedName>
    <definedName name="uituii" localSheetId="5" hidden="1">{"TAB1",#N/A,TRUE,"GENERAL";"TAB2",#N/A,TRUE,"GENERAL";"TAB3",#N/A,TRUE,"GENERAL";"TAB4",#N/A,TRUE,"GENERAL";"TAB5",#N/A,TRUE,"GENERAL"}</definedName>
    <definedName name="uituii" hidden="1">{"TAB1",#N/A,TRUE,"GENERAL";"TAB2",#N/A,TRUE,"GENERAL";"TAB3",#N/A,TRUE,"GENERAL";"TAB4",#N/A,TRUE,"GENERAL";"TAB5",#N/A,TRUE,"GENERAL"}</definedName>
    <definedName name="uityjj" localSheetId="10" hidden="1">{"via1",#N/A,TRUE,"general";"via2",#N/A,TRUE,"general";"via3",#N/A,TRUE,"general"}</definedName>
    <definedName name="uityjj" localSheetId="8" hidden="1">{"via1",#N/A,TRUE,"general";"via2",#N/A,TRUE,"general";"via3",#N/A,TRUE,"general"}</definedName>
    <definedName name="uityjj" localSheetId="5" hidden="1">{"via1",#N/A,TRUE,"general";"via2",#N/A,TRUE,"general";"via3",#N/A,TRUE,"general"}</definedName>
    <definedName name="uityjj" hidden="1">{"via1",#N/A,TRUE,"general";"via2",#N/A,TRUE,"general";"via3",#N/A,TRUE,"general"}</definedName>
    <definedName name="uiufgj" localSheetId="10" hidden="1">{"TAB1",#N/A,TRUE,"GENERAL";"TAB2",#N/A,TRUE,"GENERAL";"TAB3",#N/A,TRUE,"GENERAL";"TAB4",#N/A,TRUE,"GENERAL";"TAB5",#N/A,TRUE,"GENERAL"}</definedName>
    <definedName name="uiufgj" localSheetId="8" hidden="1">{"TAB1",#N/A,TRUE,"GENERAL";"TAB2",#N/A,TRUE,"GENERAL";"TAB3",#N/A,TRUE,"GENERAL";"TAB4",#N/A,TRUE,"GENERAL";"TAB5",#N/A,TRUE,"GENERAL"}</definedName>
    <definedName name="uiufgj" localSheetId="5" hidden="1">{"TAB1",#N/A,TRUE,"GENERAL";"TAB2",#N/A,TRUE,"GENERAL";"TAB3",#N/A,TRUE,"GENERAL";"TAB4",#N/A,TRUE,"GENERAL";"TAB5",#N/A,TRUE,"GENERAL"}</definedName>
    <definedName name="uiufgj" hidden="1">{"TAB1",#N/A,TRUE,"GENERAL";"TAB2",#N/A,TRUE,"GENERAL";"TAB3",#N/A,TRUE,"GENERAL";"TAB4",#N/A,TRUE,"GENERAL";"TAB5",#N/A,TRUE,"GENERAL"}</definedName>
    <definedName name="UIUYI" localSheetId="10" hidden="1">{"TAB1",#N/A,TRUE,"GENERAL";"TAB2",#N/A,TRUE,"GENERAL";"TAB3",#N/A,TRUE,"GENERAL";"TAB4",#N/A,TRUE,"GENERAL";"TAB5",#N/A,TRUE,"GENERAL"}</definedName>
    <definedName name="UIUYI" localSheetId="8" hidden="1">{"TAB1",#N/A,TRUE,"GENERAL";"TAB2",#N/A,TRUE,"GENERAL";"TAB3",#N/A,TRUE,"GENERAL";"TAB4",#N/A,TRUE,"GENERAL";"TAB5",#N/A,TRUE,"GENERAL"}</definedName>
    <definedName name="UIUYI" localSheetId="5" hidden="1">{"TAB1",#N/A,TRUE,"GENERAL";"TAB2",#N/A,TRUE,"GENERAL";"TAB3",#N/A,TRUE,"GENERAL";"TAB4",#N/A,TRUE,"GENERAL";"TAB5",#N/A,TRUE,"GENERAL"}</definedName>
    <definedName name="UIUYI" hidden="1">{"TAB1",#N/A,TRUE,"GENERAL";"TAB2",#N/A,TRUE,"GENERAL";"TAB3",#N/A,TRUE,"GENERAL";"TAB4",#N/A,TRUE,"GENERAL";"TAB5",#N/A,TRUE,"GENERAL"}</definedName>
    <definedName name="UNITARIO">[31]Unitarios!$A$3:$D$13</definedName>
    <definedName name="Unitarios" localSheetId="5">#REF!</definedName>
    <definedName name="Unitarios">#REF!</definedName>
    <definedName name="uno">#N/A</definedName>
    <definedName name="UOUIV" localSheetId="10" hidden="1">{"TAB1",#N/A,TRUE,"GENERAL";"TAB2",#N/A,TRUE,"GENERAL";"TAB3",#N/A,TRUE,"GENERAL";"TAB4",#N/A,TRUE,"GENERAL";"TAB5",#N/A,TRUE,"GENERAL"}</definedName>
    <definedName name="UOUIV" localSheetId="8" hidden="1">{"TAB1",#N/A,TRUE,"GENERAL";"TAB2",#N/A,TRUE,"GENERAL";"TAB3",#N/A,TRUE,"GENERAL";"TAB4",#N/A,TRUE,"GENERAL";"TAB5",#N/A,TRUE,"GENERAL"}</definedName>
    <definedName name="UOUIV" localSheetId="5" hidden="1">{"TAB1",#N/A,TRUE,"GENERAL";"TAB2",#N/A,TRUE,"GENERAL";"TAB3",#N/A,TRUE,"GENERAL";"TAB4",#N/A,TRUE,"GENERAL";"TAB5",#N/A,TRUE,"GENERAL"}</definedName>
    <definedName name="UOUIV" hidden="1">{"TAB1",#N/A,TRUE,"GENERAL";"TAB2",#N/A,TRUE,"GENERAL";"TAB3",#N/A,TRUE,"GENERAL";"TAB4",#N/A,TRUE,"GENERAL";"TAB5",#N/A,TRUE,"GENERAL"}</definedName>
    <definedName name="uriel">#N/A</definedName>
    <definedName name="uryur" localSheetId="10" hidden="1">{"TAB1",#N/A,TRUE,"GENERAL";"TAB2",#N/A,TRUE,"GENERAL";"TAB3",#N/A,TRUE,"GENERAL";"TAB4",#N/A,TRUE,"GENERAL";"TAB5",#N/A,TRUE,"GENERAL"}</definedName>
    <definedName name="uryur" localSheetId="8" hidden="1">{"TAB1",#N/A,TRUE,"GENERAL";"TAB2",#N/A,TRUE,"GENERAL";"TAB3",#N/A,TRUE,"GENERAL";"TAB4",#N/A,TRUE,"GENERAL";"TAB5",#N/A,TRUE,"GENERAL"}</definedName>
    <definedName name="uryur" localSheetId="5" hidden="1">{"TAB1",#N/A,TRUE,"GENERAL";"TAB2",#N/A,TRUE,"GENERAL";"TAB3",#N/A,TRUE,"GENERAL";"TAB4",#N/A,TRUE,"GENERAL";"TAB5",#N/A,TRUE,"GENERAL"}</definedName>
    <definedName name="uryur" hidden="1">{"TAB1",#N/A,TRUE,"GENERAL";"TAB2",#N/A,TRUE,"GENERAL";"TAB3",#N/A,TRUE,"GENERAL";"TAB4",#N/A,TRUE,"GENERAL";"TAB5",#N/A,TRUE,"GENERAL"}</definedName>
    <definedName name="UTL">[5]otros!$C$4</definedName>
    <definedName name="uu" localSheetId="10" hidden="1">{"TAB1",#N/A,TRUE,"GENERAL";"TAB2",#N/A,TRUE,"GENERAL";"TAB3",#N/A,TRUE,"GENERAL";"TAB4",#N/A,TRUE,"GENERAL";"TAB5",#N/A,TRUE,"GENERAL"}</definedName>
    <definedName name="uu" localSheetId="8" hidden="1">{"TAB1",#N/A,TRUE,"GENERAL";"TAB2",#N/A,TRUE,"GENERAL";"TAB3",#N/A,TRUE,"GENERAL";"TAB4",#N/A,TRUE,"GENERAL";"TAB5",#N/A,TRUE,"GENERAL"}</definedName>
    <definedName name="uu" localSheetId="5" hidden="1">{"TAB1",#N/A,TRUE,"GENERAL";"TAB2",#N/A,TRUE,"GENERAL";"TAB3",#N/A,TRUE,"GENERAL";"TAB4",#N/A,TRUE,"GENERAL";"TAB5",#N/A,TRUE,"GENERAL"}</definedName>
    <definedName name="uu" hidden="1">{"TAB1",#N/A,TRUE,"GENERAL";"TAB2",#N/A,TRUE,"GENERAL";"TAB3",#N/A,TRUE,"GENERAL";"TAB4",#N/A,TRUE,"GENERAL";"TAB5",#N/A,TRUE,"GENERAL"}</definedName>
    <definedName name="uuu" localSheetId="10" hidden="1">{"TAB1",#N/A,TRUE,"GENERAL";"TAB2",#N/A,TRUE,"GENERAL";"TAB3",#N/A,TRUE,"GENERAL";"TAB4",#N/A,TRUE,"GENERAL";"TAB5",#N/A,TRUE,"GENERAL"}</definedName>
    <definedName name="uuu" localSheetId="8" hidden="1">{"TAB1",#N/A,TRUE,"GENERAL";"TAB2",#N/A,TRUE,"GENERAL";"TAB3",#N/A,TRUE,"GENERAL";"TAB4",#N/A,TRUE,"GENERAL";"TAB5",#N/A,TRUE,"GENERAL"}</definedName>
    <definedName name="uuu" localSheetId="5" hidden="1">{"TAB1",#N/A,TRUE,"GENERAL";"TAB2",#N/A,TRUE,"GENERAL";"TAB3",#N/A,TRUE,"GENERAL";"TAB4",#N/A,TRUE,"GENERAL";"TAB5",#N/A,TRUE,"GENERAL"}</definedName>
    <definedName name="uuu" hidden="1">{"TAB1",#N/A,TRUE,"GENERAL";"TAB2",#N/A,TRUE,"GENERAL";"TAB3",#N/A,TRUE,"GENERAL";"TAB4",#N/A,TRUE,"GENERAL";"TAB5",#N/A,TRUE,"GENERAL"}</definedName>
    <definedName name="uuuuo" localSheetId="10" hidden="1">{"TAB1",#N/A,TRUE,"GENERAL";"TAB2",#N/A,TRUE,"GENERAL";"TAB3",#N/A,TRUE,"GENERAL";"TAB4",#N/A,TRUE,"GENERAL";"TAB5",#N/A,TRUE,"GENERAL"}</definedName>
    <definedName name="uuuuo" localSheetId="8" hidden="1">{"TAB1",#N/A,TRUE,"GENERAL";"TAB2",#N/A,TRUE,"GENERAL";"TAB3",#N/A,TRUE,"GENERAL";"TAB4",#N/A,TRUE,"GENERAL";"TAB5",#N/A,TRUE,"GENERAL"}</definedName>
    <definedName name="uuuuo" localSheetId="5" hidden="1">{"TAB1",#N/A,TRUE,"GENERAL";"TAB2",#N/A,TRUE,"GENERAL";"TAB3",#N/A,TRUE,"GENERAL";"TAB4",#N/A,TRUE,"GENERAL";"TAB5",#N/A,TRUE,"GENERAL"}</definedName>
    <definedName name="uuuuo" hidden="1">{"TAB1",#N/A,TRUE,"GENERAL";"TAB2",#N/A,TRUE,"GENERAL";"TAB3",#N/A,TRUE,"GENERAL";"TAB4",#N/A,TRUE,"GENERAL";"TAB5",#N/A,TRUE,"GENERAL"}</definedName>
    <definedName name="uuuuuj" localSheetId="10" hidden="1">{"via1",#N/A,TRUE,"general";"via2",#N/A,TRUE,"general";"via3",#N/A,TRUE,"general"}</definedName>
    <definedName name="uuuuuj" localSheetId="8" hidden="1">{"via1",#N/A,TRUE,"general";"via2",#N/A,TRUE,"general";"via3",#N/A,TRUE,"general"}</definedName>
    <definedName name="uuuuuj" localSheetId="5" hidden="1">{"via1",#N/A,TRUE,"general";"via2",#N/A,TRUE,"general";"via3",#N/A,TRUE,"general"}</definedName>
    <definedName name="uuuuuj" hidden="1">{"via1",#N/A,TRUE,"general";"via2",#N/A,TRUE,"general";"via3",#N/A,TRUE,"general"}</definedName>
    <definedName name="uwkap" localSheetId="10" hidden="1">{"TAB1",#N/A,TRUE,"GENERAL";"TAB2",#N/A,TRUE,"GENERAL";"TAB3",#N/A,TRUE,"GENERAL";"TAB4",#N/A,TRUE,"GENERAL";"TAB5",#N/A,TRUE,"GENERAL"}</definedName>
    <definedName name="uwkap" localSheetId="8" hidden="1">{"TAB1",#N/A,TRUE,"GENERAL";"TAB2",#N/A,TRUE,"GENERAL";"TAB3",#N/A,TRUE,"GENERAL";"TAB4",#N/A,TRUE,"GENERAL";"TAB5",#N/A,TRUE,"GENERAL"}</definedName>
    <definedName name="uwkap" localSheetId="5" hidden="1">{"TAB1",#N/A,TRUE,"GENERAL";"TAB2",#N/A,TRUE,"GENERAL";"TAB3",#N/A,TRUE,"GENERAL";"TAB4",#N/A,TRUE,"GENERAL";"TAB5",#N/A,TRUE,"GENERAL"}</definedName>
    <definedName name="uwkap" hidden="1">{"TAB1",#N/A,TRUE,"GENERAL";"TAB2",#N/A,TRUE,"GENERAL";"TAB3",#N/A,TRUE,"GENERAL";"TAB4",#N/A,TRUE,"GENERAL";"TAB5",#N/A,TRUE,"GENERAL"}</definedName>
    <definedName name="uyiyiy" localSheetId="10" hidden="1">{"TAB1",#N/A,TRUE,"GENERAL";"TAB2",#N/A,TRUE,"GENERAL";"TAB3",#N/A,TRUE,"GENERAL";"TAB4",#N/A,TRUE,"GENERAL";"TAB5",#N/A,TRUE,"GENERAL"}</definedName>
    <definedName name="uyiyiy" localSheetId="8" hidden="1">{"TAB1",#N/A,TRUE,"GENERAL";"TAB2",#N/A,TRUE,"GENERAL";"TAB3",#N/A,TRUE,"GENERAL";"TAB4",#N/A,TRUE,"GENERAL";"TAB5",#N/A,TRUE,"GENERAL"}</definedName>
    <definedName name="uyiyiy" localSheetId="5" hidden="1">{"TAB1",#N/A,TRUE,"GENERAL";"TAB2",#N/A,TRUE,"GENERAL";"TAB3",#N/A,TRUE,"GENERAL";"TAB4",#N/A,TRUE,"GENERAL";"TAB5",#N/A,TRUE,"GENERAL"}</definedName>
    <definedName name="uyiyiy" hidden="1">{"TAB1",#N/A,TRUE,"GENERAL";"TAB2",#N/A,TRUE,"GENERAL";"TAB3",#N/A,TRUE,"GENERAL";"TAB4",#N/A,TRUE,"GENERAL";"TAB5",#N/A,TRUE,"GENERAL"}</definedName>
    <definedName name="uytu" localSheetId="10" hidden="1">{"TAB1",#N/A,TRUE,"GENERAL";"TAB2",#N/A,TRUE,"GENERAL";"TAB3",#N/A,TRUE,"GENERAL";"TAB4",#N/A,TRUE,"GENERAL";"TAB5",#N/A,TRUE,"GENERAL"}</definedName>
    <definedName name="uytu" localSheetId="8" hidden="1">{"TAB1",#N/A,TRUE,"GENERAL";"TAB2",#N/A,TRUE,"GENERAL";"TAB3",#N/A,TRUE,"GENERAL";"TAB4",#N/A,TRUE,"GENERAL";"TAB5",#N/A,TRUE,"GENERAL"}</definedName>
    <definedName name="uytu" localSheetId="5" hidden="1">{"TAB1",#N/A,TRUE,"GENERAL";"TAB2",#N/A,TRUE,"GENERAL";"TAB3",#N/A,TRUE,"GENERAL";"TAB4",#N/A,TRUE,"GENERAL";"TAB5",#N/A,TRUE,"GENERAL"}</definedName>
    <definedName name="uytu" hidden="1">{"TAB1",#N/A,TRUE,"GENERAL";"TAB2",#N/A,TRUE,"GENERAL";"TAB3",#N/A,TRUE,"GENERAL";"TAB4",#N/A,TRUE,"GENERAL";"TAB5",#N/A,TRUE,"GENERAL"}</definedName>
    <definedName name="uyur" localSheetId="10" hidden="1">{"via1",#N/A,TRUE,"general";"via2",#N/A,TRUE,"general";"via3",#N/A,TRUE,"general"}</definedName>
    <definedName name="uyur" localSheetId="8" hidden="1">{"via1",#N/A,TRUE,"general";"via2",#N/A,TRUE,"general";"via3",#N/A,TRUE,"general"}</definedName>
    <definedName name="uyur" localSheetId="5" hidden="1">{"via1",#N/A,TRUE,"general";"via2",#N/A,TRUE,"general";"via3",#N/A,TRUE,"general"}</definedName>
    <definedName name="uyur" hidden="1">{"via1",#N/A,TRUE,"general";"via2",#N/A,TRUE,"general";"via3",#N/A,TRUE,"general"}</definedName>
    <definedName name="v" localSheetId="10" hidden="1">{"TAB1",#N/A,TRUE,"GENERAL";"TAB2",#N/A,TRUE,"GENERAL";"TAB3",#N/A,TRUE,"GENERAL";"TAB4",#N/A,TRUE,"GENERAL";"TAB5",#N/A,TRUE,"GENERAL"}</definedName>
    <definedName name="v" localSheetId="8" hidden="1">{"TAB1",#N/A,TRUE,"GENERAL";"TAB2",#N/A,TRUE,"GENERAL";"TAB3",#N/A,TRUE,"GENERAL";"TAB4",#N/A,TRUE,"GENERAL";"TAB5",#N/A,TRUE,"GENERAL"}</definedName>
    <definedName name="v" localSheetId="5" hidden="1">{"TAB1",#N/A,TRUE,"GENERAL";"TAB2",#N/A,TRUE,"GENERAL";"TAB3",#N/A,TRUE,"GENERAL";"TAB4",#N/A,TRUE,"GENERAL";"TAB5",#N/A,TRUE,"GENERAL"}</definedName>
    <definedName name="v" hidden="1">{"TAB1",#N/A,TRUE,"GENERAL";"TAB2",#N/A,TRUE,"GENERAL";"TAB3",#N/A,TRUE,"GENERAL";"TAB4",#N/A,TRUE,"GENERAL";"TAB5",#N/A,TRUE,"GENERAL"}</definedName>
    <definedName name="VALDES" localSheetId="5">#REF!</definedName>
    <definedName name="VALDES">#REF!</definedName>
    <definedName name="valor1" localSheetId="5">#REF!</definedName>
    <definedName name="valor1">#REF!</definedName>
    <definedName name="valor2" localSheetId="5">#REF!</definedName>
    <definedName name="valor2">#REF!</definedName>
    <definedName name="VALOR3" localSheetId="5">#REF!</definedName>
    <definedName name="VALOR3">#REF!</definedName>
    <definedName name="vbvbvbvb" localSheetId="10" hidden="1">{"TAB1",#N/A,TRUE,"GENERAL";"TAB2",#N/A,TRUE,"GENERAL";"TAB3",#N/A,TRUE,"GENERAL";"TAB4",#N/A,TRUE,"GENERAL";"TAB5",#N/A,TRUE,"GENERAL"}</definedName>
    <definedName name="vbvbvbvb" localSheetId="8" hidden="1">{"TAB1",#N/A,TRUE,"GENERAL";"TAB2",#N/A,TRUE,"GENERAL";"TAB3",#N/A,TRUE,"GENERAL";"TAB4",#N/A,TRUE,"GENERAL";"TAB5",#N/A,TRUE,"GENERAL"}</definedName>
    <definedName name="vbvbvbvb" localSheetId="5" hidden="1">{"TAB1",#N/A,TRUE,"GENERAL";"TAB2",#N/A,TRUE,"GENERAL";"TAB3",#N/A,TRUE,"GENERAL";"TAB4",#N/A,TRUE,"GENERAL";"TAB5",#N/A,TRUE,"GENERAL"}</definedName>
    <definedName name="vbvbvbvb" hidden="1">{"TAB1",#N/A,TRUE,"GENERAL";"TAB2",#N/A,TRUE,"GENERAL";"TAB3",#N/A,TRUE,"GENERAL";"TAB4",#N/A,TRUE,"GENERAL";"TAB5",#N/A,TRUE,"GENERAL"}</definedName>
    <definedName name="vdfvuio" localSheetId="10" hidden="1">{"via1",#N/A,TRUE,"general";"via2",#N/A,TRUE,"general";"via3",#N/A,TRUE,"general"}</definedName>
    <definedName name="vdfvuio" localSheetId="8" hidden="1">{"via1",#N/A,TRUE,"general";"via2",#N/A,TRUE,"general";"via3",#N/A,TRUE,"general"}</definedName>
    <definedName name="vdfvuio" localSheetId="5" hidden="1">{"via1",#N/A,TRUE,"general";"via2",#N/A,TRUE,"general";"via3",#N/A,TRUE,"general"}</definedName>
    <definedName name="vdfvuio" hidden="1">{"via1",#N/A,TRUE,"general";"via2",#N/A,TRUE,"general";"via3",#N/A,TRUE,"general"}</definedName>
    <definedName name="vdsvnj" localSheetId="10" hidden="1">{"via1",#N/A,TRUE,"general";"via2",#N/A,TRUE,"general";"via3",#N/A,TRUE,"general"}</definedName>
    <definedName name="vdsvnj" localSheetId="8" hidden="1">{"via1",#N/A,TRUE,"general";"via2",#N/A,TRUE,"general";"via3",#N/A,TRUE,"general"}</definedName>
    <definedName name="vdsvnj" localSheetId="5" hidden="1">{"via1",#N/A,TRUE,"general";"via2",#N/A,TRUE,"general";"via3",#N/A,TRUE,"general"}</definedName>
    <definedName name="vdsvnj" hidden="1">{"via1",#N/A,TRUE,"general";"via2",#N/A,TRUE,"general";"via3",#N/A,TRUE,"general"}</definedName>
    <definedName name="VentaAiu" localSheetId="5">#REF!</definedName>
    <definedName name="VentaAiu">#REF!</definedName>
    <definedName name="vfbgnhyt" localSheetId="10" hidden="1">{"via1",#N/A,TRUE,"general";"via2",#N/A,TRUE,"general";"via3",#N/A,TRUE,"general"}</definedName>
    <definedName name="vfbgnhyt" localSheetId="8" hidden="1">{"via1",#N/A,TRUE,"general";"via2",#N/A,TRUE,"general";"via3",#N/A,TRUE,"general"}</definedName>
    <definedName name="vfbgnhyt" localSheetId="5" hidden="1">{"via1",#N/A,TRUE,"general";"via2",#N/A,TRUE,"general";"via3",#N/A,TRUE,"general"}</definedName>
    <definedName name="vfbgnhyt" hidden="1">{"via1",#N/A,TRUE,"general";"via2",#N/A,TRUE,"general";"via3",#N/A,TRUE,"general"}</definedName>
    <definedName name="vfvdv" localSheetId="10" hidden="1">{"TAB1",#N/A,TRUE,"GENERAL";"TAB2",#N/A,TRUE,"GENERAL";"TAB3",#N/A,TRUE,"GENERAL";"TAB4",#N/A,TRUE,"GENERAL";"TAB5",#N/A,TRUE,"GENERAL"}</definedName>
    <definedName name="vfvdv" localSheetId="8" hidden="1">{"TAB1",#N/A,TRUE,"GENERAL";"TAB2",#N/A,TRUE,"GENERAL";"TAB3",#N/A,TRUE,"GENERAL";"TAB4",#N/A,TRUE,"GENERAL";"TAB5",#N/A,TRUE,"GENERAL"}</definedName>
    <definedName name="vfvdv" localSheetId="5" hidden="1">{"TAB1",#N/A,TRUE,"GENERAL";"TAB2",#N/A,TRUE,"GENERAL";"TAB3",#N/A,TRUE,"GENERAL";"TAB4",#N/A,TRUE,"GENERAL";"TAB5",#N/A,TRUE,"GENERAL"}</definedName>
    <definedName name="vfvdv" hidden="1">{"TAB1",#N/A,TRUE,"GENERAL";"TAB2",#N/A,TRUE,"GENERAL";"TAB3",#N/A,TRUE,"GENERAL";"TAB4",#N/A,TRUE,"GENERAL";"TAB5",#N/A,TRUE,"GENERAL"}</definedName>
    <definedName name="vfvf" localSheetId="10" hidden="1">{"TAB1",#N/A,TRUE,"GENERAL";"TAB2",#N/A,TRUE,"GENERAL";"TAB3",#N/A,TRUE,"GENERAL";"TAB4",#N/A,TRUE,"GENERAL";"TAB5",#N/A,TRUE,"GENERAL"}</definedName>
    <definedName name="vfvf" localSheetId="8" hidden="1">{"TAB1",#N/A,TRUE,"GENERAL";"TAB2",#N/A,TRUE,"GENERAL";"TAB3",#N/A,TRUE,"GENERAL";"TAB4",#N/A,TRUE,"GENERAL";"TAB5",#N/A,TRUE,"GENERAL"}</definedName>
    <definedName name="vfvf" localSheetId="5" hidden="1">{"TAB1",#N/A,TRUE,"GENERAL";"TAB2",#N/A,TRUE,"GENERAL";"TAB3",#N/A,TRUE,"GENERAL";"TAB4",#N/A,TRUE,"GENERAL";"TAB5",#N/A,TRUE,"GENERAL"}</definedName>
    <definedName name="vfvf" hidden="1">{"TAB1",#N/A,TRUE,"GENERAL";"TAB2",#N/A,TRUE,"GENERAL";"TAB3",#N/A,TRUE,"GENERAL";"TAB4",#N/A,TRUE,"GENERAL";"TAB5",#N/A,TRUE,"GENERAL"}</definedName>
    <definedName name="vk" localSheetId="10" hidden="1">{"via1",#N/A,TRUE,"general";"via2",#N/A,TRUE,"general";"via3",#N/A,TRUE,"general"}</definedName>
    <definedName name="vk" localSheetId="8" hidden="1">{"via1",#N/A,TRUE,"general";"via2",#N/A,TRUE,"general";"via3",#N/A,TRUE,"general"}</definedName>
    <definedName name="vk" localSheetId="5" hidden="1">{"via1",#N/A,TRUE,"general";"via2",#N/A,TRUE,"general";"via3",#N/A,TRUE,"general"}</definedName>
    <definedName name="vk" hidden="1">{"via1",#N/A,TRUE,"general";"via2",#N/A,TRUE,"general";"via3",#N/A,TRUE,"general"}</definedName>
    <definedName name="vnbvxb" localSheetId="10" hidden="1">{"via1",#N/A,TRUE,"general";"via2",#N/A,TRUE,"general";"via3",#N/A,TRUE,"general"}</definedName>
    <definedName name="vnbvxb" localSheetId="8" hidden="1">{"via1",#N/A,TRUE,"general";"via2",#N/A,TRUE,"general";"via3",#N/A,TRUE,"general"}</definedName>
    <definedName name="vnbvxb" localSheetId="5" hidden="1">{"via1",#N/A,TRUE,"general";"via2",#N/A,TRUE,"general";"via3",#N/A,TRUE,"general"}</definedName>
    <definedName name="vnbvxb" hidden="1">{"via1",#N/A,TRUE,"general";"via2",#N/A,TRUE,"general";"via3",#N/A,TRUE,"general"}</definedName>
    <definedName name="VNVBN" localSheetId="10" hidden="1">{"TAB1",#N/A,TRUE,"GENERAL";"TAB2",#N/A,TRUE,"GENERAL";"TAB3",#N/A,TRUE,"GENERAL";"TAB4",#N/A,TRUE,"GENERAL";"TAB5",#N/A,TRUE,"GENERAL"}</definedName>
    <definedName name="VNVBN" localSheetId="8" hidden="1">{"TAB1",#N/A,TRUE,"GENERAL";"TAB2",#N/A,TRUE,"GENERAL";"TAB3",#N/A,TRUE,"GENERAL";"TAB4",#N/A,TRUE,"GENERAL";"TAB5",#N/A,TRUE,"GENERAL"}</definedName>
    <definedName name="VNVBN" localSheetId="5" hidden="1">{"TAB1",#N/A,TRUE,"GENERAL";"TAB2",#N/A,TRUE,"GENERAL";"TAB3",#N/A,TRUE,"GENERAL";"TAB4",#N/A,TRUE,"GENERAL";"TAB5",#N/A,TRUE,"GENERAL"}</definedName>
    <definedName name="VNVBN" hidden="1">{"TAB1",#N/A,TRUE,"GENERAL";"TAB2",#N/A,TRUE,"GENERAL";"TAB3",#N/A,TRUE,"GENERAL";"TAB4",#N/A,TRUE,"GENERAL";"TAB5",#N/A,TRUE,"GENERAL"}</definedName>
    <definedName name="vsdfj" localSheetId="10" hidden="1">{"via1",#N/A,TRUE,"general";"via2",#N/A,TRUE,"general";"via3",#N/A,TRUE,"general"}</definedName>
    <definedName name="vsdfj" localSheetId="8" hidden="1">{"via1",#N/A,TRUE,"general";"via2",#N/A,TRUE,"general";"via3",#N/A,TRUE,"general"}</definedName>
    <definedName name="vsdfj" localSheetId="5" hidden="1">{"via1",#N/A,TRUE,"general";"via2",#N/A,TRUE,"general";"via3",#N/A,TRUE,"general"}</definedName>
    <definedName name="vsdfj" hidden="1">{"via1",#N/A,TRUE,"general";"via2",#N/A,TRUE,"general";"via3",#N/A,TRUE,"general"}</definedName>
    <definedName name="vt" localSheetId="10" hidden="1">{"via1",#N/A,TRUE,"general";"via2",#N/A,TRUE,"general";"via3",#N/A,TRUE,"general"}</definedName>
    <definedName name="vt" localSheetId="8" hidden="1">{"via1",#N/A,TRUE,"general";"via2",#N/A,TRUE,"general";"via3",#N/A,TRUE,"general"}</definedName>
    <definedName name="vt" localSheetId="5" hidden="1">{"via1",#N/A,TRUE,"general";"via2",#N/A,TRUE,"general";"via3",#N/A,TRUE,"general"}</definedName>
    <definedName name="vt" hidden="1">{"via1",#N/A,TRUE,"general";"via2",#N/A,TRUE,"general";"via3",#N/A,TRUE,"general"}</definedName>
    <definedName name="vvcxv" localSheetId="10" hidden="1">{"TAB1",#N/A,TRUE,"GENERAL";"TAB2",#N/A,TRUE,"GENERAL";"TAB3",#N/A,TRUE,"GENERAL";"TAB4",#N/A,TRUE,"GENERAL";"TAB5",#N/A,TRUE,"GENERAL"}</definedName>
    <definedName name="vvcxv" localSheetId="8" hidden="1">{"TAB1",#N/A,TRUE,"GENERAL";"TAB2",#N/A,TRUE,"GENERAL";"TAB3",#N/A,TRUE,"GENERAL";"TAB4",#N/A,TRUE,"GENERAL";"TAB5",#N/A,TRUE,"GENERAL"}</definedName>
    <definedName name="vvcxv" localSheetId="5" hidden="1">{"TAB1",#N/A,TRUE,"GENERAL";"TAB2",#N/A,TRUE,"GENERAL";"TAB3",#N/A,TRUE,"GENERAL";"TAB4",#N/A,TRUE,"GENERAL";"TAB5",#N/A,TRUE,"GENERAL"}</definedName>
    <definedName name="vvcxv" hidden="1">{"TAB1",#N/A,TRUE,"GENERAL";"TAB2",#N/A,TRUE,"GENERAL";"TAB3",#N/A,TRUE,"GENERAL";"TAB4",#N/A,TRUE,"GENERAL";"TAB5",#N/A,TRUE,"GENERAL"}</definedName>
    <definedName name="VVV" localSheetId="5">#REF!</definedName>
    <definedName name="VVV">#REF!</definedName>
    <definedName name="vvvvt" localSheetId="10" hidden="1">{"via1",#N/A,TRUE,"general";"via2",#N/A,TRUE,"general";"via3",#N/A,TRUE,"general"}</definedName>
    <definedName name="vvvvt" localSheetId="8" hidden="1">{"via1",#N/A,TRUE,"general";"via2",#N/A,TRUE,"general";"via3",#N/A,TRUE,"general"}</definedName>
    <definedName name="vvvvt" localSheetId="5" hidden="1">{"via1",#N/A,TRUE,"general";"via2",#N/A,TRUE,"general";"via3",#N/A,TRUE,"general"}</definedName>
    <definedName name="vvvvt" hidden="1">{"via1",#N/A,TRUE,"general";"via2",#N/A,TRUE,"general";"via3",#N/A,TRUE,"general"}</definedName>
    <definedName name="vvvvvvf" localSheetId="10" hidden="1">{"via1",#N/A,TRUE,"general";"via2",#N/A,TRUE,"general";"via3",#N/A,TRUE,"general"}</definedName>
    <definedName name="vvvvvvf" localSheetId="8" hidden="1">{"via1",#N/A,TRUE,"general";"via2",#N/A,TRUE,"general";"via3",#N/A,TRUE,"general"}</definedName>
    <definedName name="vvvvvvf" localSheetId="5" hidden="1">{"via1",#N/A,TRUE,"general";"via2",#N/A,TRUE,"general";"via3",#N/A,TRUE,"general"}</definedName>
    <definedName name="vvvvvvf" hidden="1">{"via1",#N/A,TRUE,"general";"via2",#N/A,TRUE,"general";"via3",#N/A,TRUE,"general"}</definedName>
    <definedName name="vy" localSheetId="10" hidden="1">{"TAB1",#N/A,TRUE,"GENERAL";"TAB2",#N/A,TRUE,"GENERAL";"TAB3",#N/A,TRUE,"GENERAL";"TAB4",#N/A,TRUE,"GENERAL";"TAB5",#N/A,TRUE,"GENERAL"}</definedName>
    <definedName name="vy" localSheetId="8" hidden="1">{"TAB1",#N/A,TRUE,"GENERAL";"TAB2",#N/A,TRUE,"GENERAL";"TAB3",#N/A,TRUE,"GENERAL";"TAB4",#N/A,TRUE,"GENERAL";"TAB5",#N/A,TRUE,"GENERAL"}</definedName>
    <definedName name="vy" localSheetId="5" hidden="1">{"TAB1",#N/A,TRUE,"GENERAL";"TAB2",#N/A,TRUE,"GENERAL";"TAB3",#N/A,TRUE,"GENERAL";"TAB4",#N/A,TRUE,"GENERAL";"TAB5",#N/A,TRUE,"GENERAL"}</definedName>
    <definedName name="vy" hidden="1">{"TAB1",#N/A,TRUE,"GENERAL";"TAB2",#N/A,TRUE,"GENERAL";"TAB3",#N/A,TRUE,"GENERAL";"TAB4",#N/A,TRUE,"GENERAL";"TAB5",#N/A,TRUE,"GENERAL"}</definedName>
    <definedName name="w2w2w" localSheetId="10" hidden="1">{"via1",#N/A,TRUE,"general";"via2",#N/A,TRUE,"general";"via3",#N/A,TRUE,"general"}</definedName>
    <definedName name="w2w2w" localSheetId="8" hidden="1">{"via1",#N/A,TRUE,"general";"via2",#N/A,TRUE,"general";"via3",#N/A,TRUE,"general"}</definedName>
    <definedName name="w2w2w" localSheetId="5" hidden="1">{"via1",#N/A,TRUE,"general";"via2",#N/A,TRUE,"general";"via3",#N/A,TRUE,"general"}</definedName>
    <definedName name="w2w2w" hidden="1">{"via1",#N/A,TRUE,"general";"via2",#N/A,TRUE,"general";"via3",#N/A,TRUE,"general"}</definedName>
    <definedName name="WDFSDF" localSheetId="5">'[16]Res-Accide-10'!#REF!</definedName>
    <definedName name="WDFSDF">'[16]Res-Accide-10'!#REF!</definedName>
    <definedName name="WEFWE" localSheetId="5">'[16]Res-Accide-10'!#REF!</definedName>
    <definedName name="WEFWE">'[16]Res-Accide-10'!#REF!</definedName>
    <definedName name="WER">'[16]Res-Accide-10'!$S$2:$S$7</definedName>
    <definedName name="werew" localSheetId="10" hidden="1">{"TAB1",#N/A,TRUE,"GENERAL";"TAB2",#N/A,TRUE,"GENERAL";"TAB3",#N/A,TRUE,"GENERAL";"TAB4",#N/A,TRUE,"GENERAL";"TAB5",#N/A,TRUE,"GENERAL"}</definedName>
    <definedName name="werew" localSheetId="8" hidden="1">{"TAB1",#N/A,TRUE,"GENERAL";"TAB2",#N/A,TRUE,"GENERAL";"TAB3",#N/A,TRUE,"GENERAL";"TAB4",#N/A,TRUE,"GENERAL";"TAB5",#N/A,TRUE,"GENERAL"}</definedName>
    <definedName name="werew" localSheetId="5" hidden="1">{"TAB1",#N/A,TRUE,"GENERAL";"TAB2",#N/A,TRUE,"GENERAL";"TAB3",#N/A,TRUE,"GENERAL";"TAB4",#N/A,TRUE,"GENERAL";"TAB5",#N/A,TRUE,"GENERAL"}</definedName>
    <definedName name="werew" hidden="1">{"TAB1",#N/A,TRUE,"GENERAL";"TAB2",#N/A,TRUE,"GENERAL";"TAB3",#N/A,TRUE,"GENERAL";"TAB4",#N/A,TRUE,"GENERAL";"TAB5",#N/A,TRUE,"GENERAL"}</definedName>
    <definedName name="WEREWR" localSheetId="10" hidden="1">{"via1",#N/A,TRUE,"general";"via2",#N/A,TRUE,"general";"via3",#N/A,TRUE,"general"}</definedName>
    <definedName name="WEREWR" localSheetId="8" hidden="1">{"via1",#N/A,TRUE,"general";"via2",#N/A,TRUE,"general";"via3",#N/A,TRUE,"general"}</definedName>
    <definedName name="WEREWR" localSheetId="5" hidden="1">{"via1",#N/A,TRUE,"general";"via2",#N/A,TRUE,"general";"via3",#N/A,TRUE,"general"}</definedName>
    <definedName name="WEREWR" hidden="1">{"via1",#N/A,TRUE,"general";"via2",#N/A,TRUE,"general";"via3",#N/A,TRUE,"general"}</definedName>
    <definedName name="werfdsf" localSheetId="10" hidden="1">{"TAB1",#N/A,TRUE,"GENERAL";"TAB2",#N/A,TRUE,"GENERAL";"TAB3",#N/A,TRUE,"GENERAL";"TAB4",#N/A,TRUE,"GENERAL";"TAB5",#N/A,TRUE,"GENERAL"}</definedName>
    <definedName name="werfdsf" localSheetId="8" hidden="1">{"TAB1",#N/A,TRUE,"GENERAL";"TAB2",#N/A,TRUE,"GENERAL";"TAB3",#N/A,TRUE,"GENERAL";"TAB4",#N/A,TRUE,"GENERAL";"TAB5",#N/A,TRUE,"GENERAL"}</definedName>
    <definedName name="werfdsf" localSheetId="5" hidden="1">{"TAB1",#N/A,TRUE,"GENERAL";"TAB2",#N/A,TRUE,"GENERAL";"TAB3",#N/A,TRUE,"GENERAL";"TAB4",#N/A,TRUE,"GENERAL";"TAB5",#N/A,TRUE,"GENERAL"}</definedName>
    <definedName name="werfdsf" hidden="1">{"TAB1",#N/A,TRUE,"GENERAL";"TAB2",#N/A,TRUE,"GENERAL";"TAB3",#N/A,TRUE,"GENERAL";"TAB4",#N/A,TRUE,"GENERAL";"TAB5",#N/A,TRUE,"GENERAL"}</definedName>
    <definedName name="werh" localSheetId="10" hidden="1">{"via1",#N/A,TRUE,"general";"via2",#N/A,TRUE,"general";"via3",#N/A,TRUE,"general"}</definedName>
    <definedName name="werh" localSheetId="8" hidden="1">{"via1",#N/A,TRUE,"general";"via2",#N/A,TRUE,"general";"via3",#N/A,TRUE,"general"}</definedName>
    <definedName name="werh" localSheetId="5" hidden="1">{"via1",#N/A,TRUE,"general";"via2",#N/A,TRUE,"general";"via3",#N/A,TRUE,"general"}</definedName>
    <definedName name="werh" hidden="1">{"via1",#N/A,TRUE,"general";"via2",#N/A,TRUE,"general";"via3",#N/A,TRUE,"general"}</definedName>
    <definedName name="wersfdfrguyo" localSheetId="10" hidden="1">{"via1",#N/A,TRUE,"general";"via2",#N/A,TRUE,"general";"via3",#N/A,TRUE,"general"}</definedName>
    <definedName name="wersfdfrguyo" localSheetId="8" hidden="1">{"via1",#N/A,TRUE,"general";"via2",#N/A,TRUE,"general";"via3",#N/A,TRUE,"general"}</definedName>
    <definedName name="wersfdfrguyo" localSheetId="5" hidden="1">{"via1",#N/A,TRUE,"general";"via2",#N/A,TRUE,"general";"via3",#N/A,TRUE,"general"}</definedName>
    <definedName name="wersfdfrguyo" hidden="1">{"via1",#N/A,TRUE,"general";"via2",#N/A,TRUE,"general";"via3",#N/A,TRUE,"general"}</definedName>
    <definedName name="werwr" localSheetId="10" hidden="1">{"via1",#N/A,TRUE,"general";"via2",#N/A,TRUE,"general";"via3",#N/A,TRUE,"general"}</definedName>
    <definedName name="werwr" localSheetId="8" hidden="1">{"via1",#N/A,TRUE,"general";"via2",#N/A,TRUE,"general";"via3",#N/A,TRUE,"general"}</definedName>
    <definedName name="werwr" localSheetId="5" hidden="1">{"via1",#N/A,TRUE,"general";"via2",#N/A,TRUE,"general";"via3",#N/A,TRUE,"general"}</definedName>
    <definedName name="werwr" hidden="1">{"via1",#N/A,TRUE,"general";"via2",#N/A,TRUE,"general";"via3",#N/A,TRUE,"general"}</definedName>
    <definedName name="WERWVN" localSheetId="10" hidden="1">{"TAB1",#N/A,TRUE,"GENERAL";"TAB2",#N/A,TRUE,"GENERAL";"TAB3",#N/A,TRUE,"GENERAL";"TAB4",#N/A,TRUE,"GENERAL";"TAB5",#N/A,TRUE,"GENERAL"}</definedName>
    <definedName name="WERWVN" localSheetId="8" hidden="1">{"TAB1",#N/A,TRUE,"GENERAL";"TAB2",#N/A,TRUE,"GENERAL";"TAB3",#N/A,TRUE,"GENERAL";"TAB4",#N/A,TRUE,"GENERAL";"TAB5",#N/A,TRUE,"GENERAL"}</definedName>
    <definedName name="WERWVN" localSheetId="5" hidden="1">{"TAB1",#N/A,TRUE,"GENERAL";"TAB2",#N/A,TRUE,"GENERAL";"TAB3",#N/A,TRUE,"GENERAL";"TAB4",#N/A,TRUE,"GENERAL";"TAB5",#N/A,TRUE,"GENERAL"}</definedName>
    <definedName name="WERWVN" hidden="1">{"TAB1",#N/A,TRUE,"GENERAL";"TAB2",#N/A,TRUE,"GENERAL";"TAB3",#N/A,TRUE,"GENERAL";"TAB4",#N/A,TRUE,"GENERAL";"TAB5",#N/A,TRUE,"GENERAL"}</definedName>
    <definedName name="wetrew" localSheetId="10" hidden="1">{"via1",#N/A,TRUE,"general";"via2",#N/A,TRUE,"general";"via3",#N/A,TRUE,"general"}</definedName>
    <definedName name="wetrew" localSheetId="8" hidden="1">{"via1",#N/A,TRUE,"general";"via2",#N/A,TRUE,"general";"via3",#N/A,TRUE,"general"}</definedName>
    <definedName name="wetrew" localSheetId="5" hidden="1">{"via1",#N/A,TRUE,"general";"via2",#N/A,TRUE,"general";"via3",#N/A,TRUE,"general"}</definedName>
    <definedName name="wetrew" hidden="1">{"via1",#N/A,TRUE,"general";"via2",#N/A,TRUE,"general";"via3",#N/A,TRUE,"general"}</definedName>
    <definedName name="wettt" localSheetId="10" hidden="1">{"via1",#N/A,TRUE,"general";"via2",#N/A,TRUE,"general";"via3",#N/A,TRUE,"general"}</definedName>
    <definedName name="wettt" localSheetId="8" hidden="1">{"via1",#N/A,TRUE,"general";"via2",#N/A,TRUE,"general";"via3",#N/A,TRUE,"general"}</definedName>
    <definedName name="wettt" localSheetId="5" hidden="1">{"via1",#N/A,TRUE,"general";"via2",#N/A,TRUE,"general";"via3",#N/A,TRUE,"general"}</definedName>
    <definedName name="wettt" hidden="1">{"via1",#N/A,TRUE,"general";"via2",#N/A,TRUE,"general";"via3",#N/A,TRUE,"general"}</definedName>
    <definedName name="wetwretd" localSheetId="10" hidden="1">{"via1",#N/A,TRUE,"general";"via2",#N/A,TRUE,"general";"via3",#N/A,TRUE,"general"}</definedName>
    <definedName name="wetwretd" localSheetId="8" hidden="1">{"via1",#N/A,TRUE,"general";"via2",#N/A,TRUE,"general";"via3",#N/A,TRUE,"general"}</definedName>
    <definedName name="wetwretd" localSheetId="5" hidden="1">{"via1",#N/A,TRUE,"general";"via2",#N/A,TRUE,"general";"via3",#N/A,TRUE,"general"}</definedName>
    <definedName name="wetwretd" hidden="1">{"via1",#N/A,TRUE,"general";"via2",#N/A,TRUE,"general";"via3",#N/A,TRUE,"general"}</definedName>
    <definedName name="wew" localSheetId="10" hidden="1">{"via1",#N/A,TRUE,"general";"via2",#N/A,TRUE,"general";"via3",#N/A,TRUE,"general"}</definedName>
    <definedName name="wew" localSheetId="8" hidden="1">{"via1",#N/A,TRUE,"general";"via2",#N/A,TRUE,"general";"via3",#N/A,TRUE,"general"}</definedName>
    <definedName name="wew" localSheetId="5" hidden="1">{"via1",#N/A,TRUE,"general";"via2",#N/A,TRUE,"general";"via3",#N/A,TRUE,"general"}</definedName>
    <definedName name="wew" hidden="1">{"via1",#N/A,TRUE,"general";"via2",#N/A,TRUE,"general";"via3",#N/A,TRUE,"general"}</definedName>
    <definedName name="wffag" localSheetId="10" hidden="1">{"via1",#N/A,TRUE,"general";"via2",#N/A,TRUE,"general";"via3",#N/A,TRUE,"general"}</definedName>
    <definedName name="wffag" localSheetId="8" hidden="1">{"via1",#N/A,TRUE,"general";"via2",#N/A,TRUE,"general";"via3",#N/A,TRUE,"general"}</definedName>
    <definedName name="wffag" localSheetId="5" hidden="1">{"via1",#N/A,TRUE,"general";"via2",#N/A,TRUE,"general";"via3",#N/A,TRUE,"general"}</definedName>
    <definedName name="wffag" hidden="1">{"via1",#N/A,TRUE,"general";"via2",#N/A,TRUE,"general";"via3",#N/A,TRUE,"general"}</definedName>
    <definedName name="WILSON" localSheetId="5">'[16]Res-Accide-10'!#REF!</definedName>
    <definedName name="WILSON">'[16]Res-Accide-10'!#REF!</definedName>
    <definedName name="WQEEWQ" localSheetId="10" hidden="1">{"TAB1",#N/A,TRUE,"GENERAL";"TAB2",#N/A,TRUE,"GENERAL";"TAB3",#N/A,TRUE,"GENERAL";"TAB4",#N/A,TRUE,"GENERAL";"TAB5",#N/A,TRUE,"GENERAL"}</definedName>
    <definedName name="WQEEWQ" localSheetId="8" hidden="1">{"TAB1",#N/A,TRUE,"GENERAL";"TAB2",#N/A,TRUE,"GENERAL";"TAB3",#N/A,TRUE,"GENERAL";"TAB4",#N/A,TRUE,"GENERAL";"TAB5",#N/A,TRUE,"GENERAL"}</definedName>
    <definedName name="WQEEWQ" localSheetId="5" hidden="1">{"TAB1",#N/A,TRUE,"GENERAL";"TAB2",#N/A,TRUE,"GENERAL";"TAB3",#N/A,TRUE,"GENERAL";"TAB4",#N/A,TRUE,"GENERAL";"TAB5",#N/A,TRUE,"GENERAL"}</definedName>
    <definedName name="WQEEWQ" hidden="1">{"TAB1",#N/A,TRUE,"GENERAL";"TAB2",#N/A,TRUE,"GENERAL";"TAB3",#N/A,TRUE,"GENERAL";"TAB4",#N/A,TRUE,"GENERAL";"TAB5",#N/A,TRUE,"GENERAL"}</definedName>
    <definedName name="wrn.GENERAL." localSheetId="10" hidden="1">{"TAB1",#N/A,TRUE,"GENERAL";"TAB2",#N/A,TRUE,"GENERAL";"TAB3",#N/A,TRUE,"GENERAL";"TAB4",#N/A,TRUE,"GENERAL";"TAB5",#N/A,TRUE,"GENERAL"}</definedName>
    <definedName name="wrn.GENERAL." localSheetId="8" hidden="1">{"TAB1",#N/A,TRUE,"GENERAL";"TAB2",#N/A,TRUE,"GENERAL";"TAB3",#N/A,TRUE,"GENERAL";"TAB4",#N/A,TRUE,"GENERAL";"TAB5",#N/A,TRUE,"GENERAL"}</definedName>
    <definedName name="wrn.GENERAL." localSheetId="5" hidden="1">{"TAB1",#N/A,TRUE,"GENERAL";"TAB2",#N/A,TRUE,"GENERAL";"TAB3",#N/A,TRUE,"GENERAL";"TAB4",#N/A,TRUE,"GENERAL";"TAB5",#N/A,TRUE,"GENERAL"}</definedName>
    <definedName name="wrn.GENERAL." hidden="1">{"TAB1",#N/A,TRUE,"GENERAL";"TAB2",#N/A,TRUE,"GENERAL";"TAB3",#N/A,TRUE,"GENERAL";"TAB4",#N/A,TRUE,"GENERAL";"TAB5",#N/A,TRUE,"GENERAL"}</definedName>
    <definedName name="wrn.via." localSheetId="10" hidden="1">{"via1",#N/A,TRUE,"general";"via2",#N/A,TRUE,"general";"via3",#N/A,TRUE,"general"}</definedName>
    <definedName name="wrn.via." localSheetId="8" hidden="1">{"via1",#N/A,TRUE,"general";"via2",#N/A,TRUE,"general";"via3",#N/A,TRUE,"general"}</definedName>
    <definedName name="wrn.via." localSheetId="5" hidden="1">{"via1",#N/A,TRUE,"general";"via2",#N/A,TRUE,"general";"via3",#N/A,TRUE,"general"}</definedName>
    <definedName name="wrn.via." hidden="1">{"via1",#N/A,TRUE,"general";"via2",#N/A,TRUE,"general";"via3",#N/A,TRUE,"general"}</definedName>
    <definedName name="wsnhed" localSheetId="10" hidden="1">{"via1",#N/A,TRUE,"general";"via2",#N/A,TRUE,"general";"via3",#N/A,TRUE,"general"}</definedName>
    <definedName name="wsnhed" localSheetId="8" hidden="1">{"via1",#N/A,TRUE,"general";"via2",#N/A,TRUE,"general";"via3",#N/A,TRUE,"general"}</definedName>
    <definedName name="wsnhed" localSheetId="5" hidden="1">{"via1",#N/A,TRUE,"general";"via2",#N/A,TRUE,"general";"via3",#N/A,TRUE,"general"}</definedName>
    <definedName name="wsnhed" hidden="1">{"via1",#N/A,TRUE,"general";"via2",#N/A,TRUE,"general";"via3",#N/A,TRUE,"general"}</definedName>
    <definedName name="wswswsqa" localSheetId="10" hidden="1">{"via1",#N/A,TRUE,"general";"via2",#N/A,TRUE,"general";"via3",#N/A,TRUE,"general"}</definedName>
    <definedName name="wswswsqa" localSheetId="8" hidden="1">{"via1",#N/A,TRUE,"general";"via2",#N/A,TRUE,"general";"via3",#N/A,TRUE,"general"}</definedName>
    <definedName name="wswswsqa" localSheetId="5" hidden="1">{"via1",#N/A,TRUE,"general";"via2",#N/A,TRUE,"general";"via3",#N/A,TRUE,"general"}</definedName>
    <definedName name="wswswsqa" hidden="1">{"via1",#N/A,TRUE,"general";"via2",#N/A,TRUE,"general";"via3",#N/A,TRUE,"general"}</definedName>
    <definedName name="wtt" localSheetId="10" hidden="1">{"TAB1",#N/A,TRUE,"GENERAL";"TAB2",#N/A,TRUE,"GENERAL";"TAB3",#N/A,TRUE,"GENERAL";"TAB4",#N/A,TRUE,"GENERAL";"TAB5",#N/A,TRUE,"GENERAL"}</definedName>
    <definedName name="wtt" localSheetId="8" hidden="1">{"TAB1",#N/A,TRUE,"GENERAL";"TAB2",#N/A,TRUE,"GENERAL";"TAB3",#N/A,TRUE,"GENERAL";"TAB4",#N/A,TRUE,"GENERAL";"TAB5",#N/A,TRUE,"GENERAL"}</definedName>
    <definedName name="wtt" localSheetId="5" hidden="1">{"TAB1",#N/A,TRUE,"GENERAL";"TAB2",#N/A,TRUE,"GENERAL";"TAB3",#N/A,TRUE,"GENERAL";"TAB4",#N/A,TRUE,"GENERAL";"TAB5",#N/A,TRUE,"GENERAL"}</definedName>
    <definedName name="wtt" hidden="1">{"TAB1",#N/A,TRUE,"GENERAL";"TAB2",#N/A,TRUE,"GENERAL";"TAB3",#N/A,TRUE,"GENERAL";"TAB4",#N/A,TRUE,"GENERAL";"TAB5",#N/A,TRUE,"GENERAL"}</definedName>
    <definedName name="wwded3" localSheetId="10" hidden="1">{"via1",#N/A,TRUE,"general";"via2",#N/A,TRUE,"general";"via3",#N/A,TRUE,"general"}</definedName>
    <definedName name="wwded3" localSheetId="8" hidden="1">{"via1",#N/A,TRUE,"general";"via2",#N/A,TRUE,"general";"via3",#N/A,TRUE,"general"}</definedName>
    <definedName name="wwded3" localSheetId="5" hidden="1">{"via1",#N/A,TRUE,"general";"via2",#N/A,TRUE,"general";"via3",#N/A,TRUE,"general"}</definedName>
    <definedName name="wwded3" hidden="1">{"via1",#N/A,TRUE,"general";"via2",#N/A,TRUE,"general";"via3",#N/A,TRUE,"general"}</definedName>
    <definedName name="wwwwe" localSheetId="10" hidden="1">{"TAB1",#N/A,TRUE,"GENERAL";"TAB2",#N/A,TRUE,"GENERAL";"TAB3",#N/A,TRUE,"GENERAL";"TAB4",#N/A,TRUE,"GENERAL";"TAB5",#N/A,TRUE,"GENERAL"}</definedName>
    <definedName name="wwwwe" localSheetId="8" hidden="1">{"TAB1",#N/A,TRUE,"GENERAL";"TAB2",#N/A,TRUE,"GENERAL";"TAB3",#N/A,TRUE,"GENERAL";"TAB4",#N/A,TRUE,"GENERAL";"TAB5",#N/A,TRUE,"GENERAL"}</definedName>
    <definedName name="wwwwe" localSheetId="5" hidden="1">{"TAB1",#N/A,TRUE,"GENERAL";"TAB2",#N/A,TRUE,"GENERAL";"TAB3",#N/A,TRUE,"GENERAL";"TAB4",#N/A,TRUE,"GENERAL";"TAB5",#N/A,TRUE,"GENERAL"}</definedName>
    <definedName name="wwwwe" hidden="1">{"TAB1",#N/A,TRUE,"GENERAL";"TAB2",#N/A,TRUE,"GENERAL";"TAB3",#N/A,TRUE,"GENERAL";"TAB4",#N/A,TRUE,"GENERAL";"TAB5",#N/A,TRUE,"GENERAL"}</definedName>
    <definedName name="wyty" localSheetId="10" hidden="1">{"via1",#N/A,TRUE,"general";"via2",#N/A,TRUE,"general";"via3",#N/A,TRUE,"general"}</definedName>
    <definedName name="wyty" localSheetId="8" hidden="1">{"via1",#N/A,TRUE,"general";"via2",#N/A,TRUE,"general";"via3",#N/A,TRUE,"general"}</definedName>
    <definedName name="wyty" localSheetId="5" hidden="1">{"via1",#N/A,TRUE,"general";"via2",#N/A,TRUE,"general";"via3",#N/A,TRUE,"general"}</definedName>
    <definedName name="wyty" hidden="1">{"via1",#N/A,TRUE,"general";"via2",#N/A,TRUE,"general";"via3",#N/A,TRUE,"general"}</definedName>
    <definedName name="xcbvbs" localSheetId="10" hidden="1">{"TAB1",#N/A,TRUE,"GENERAL";"TAB2",#N/A,TRUE,"GENERAL";"TAB3",#N/A,TRUE,"GENERAL";"TAB4",#N/A,TRUE,"GENERAL";"TAB5",#N/A,TRUE,"GENERAL"}</definedName>
    <definedName name="xcbvbs" localSheetId="8" hidden="1">{"TAB1",#N/A,TRUE,"GENERAL";"TAB2",#N/A,TRUE,"GENERAL";"TAB3",#N/A,TRUE,"GENERAL";"TAB4",#N/A,TRUE,"GENERAL";"TAB5",#N/A,TRUE,"GENERAL"}</definedName>
    <definedName name="xcbvbs" localSheetId="5" hidden="1">{"TAB1",#N/A,TRUE,"GENERAL";"TAB2",#N/A,TRUE,"GENERAL";"TAB3",#N/A,TRUE,"GENERAL";"TAB4",#N/A,TRUE,"GENERAL";"TAB5",#N/A,TRUE,"GENERAL"}</definedName>
    <definedName name="xcbvbs" hidden="1">{"TAB1",#N/A,TRUE,"GENERAL";"TAB2",#N/A,TRUE,"GENERAL";"TAB3",#N/A,TRUE,"GENERAL";"TAB4",#N/A,TRUE,"GENERAL";"TAB5",#N/A,TRUE,"GENERAL"}</definedName>
    <definedName name="xsxs" localSheetId="10" hidden="1">{"TAB1",#N/A,TRUE,"GENERAL";"TAB2",#N/A,TRUE,"GENERAL";"TAB3",#N/A,TRUE,"GENERAL";"TAB4",#N/A,TRUE,"GENERAL";"TAB5",#N/A,TRUE,"GENERAL"}</definedName>
    <definedName name="xsxs" localSheetId="8" hidden="1">{"TAB1",#N/A,TRUE,"GENERAL";"TAB2",#N/A,TRUE,"GENERAL";"TAB3",#N/A,TRUE,"GENERAL";"TAB4",#N/A,TRUE,"GENERAL";"TAB5",#N/A,TRUE,"GENERAL"}</definedName>
    <definedName name="xsxs" localSheetId="5" hidden="1">{"TAB1",#N/A,TRUE,"GENERAL";"TAB2",#N/A,TRUE,"GENERAL";"TAB3",#N/A,TRUE,"GENERAL";"TAB4",#N/A,TRUE,"GENERAL";"TAB5",#N/A,TRUE,"GENERAL"}</definedName>
    <definedName name="xsxs" hidden="1">{"TAB1",#N/A,TRUE,"GENERAL";"TAB2",#N/A,TRUE,"GENERAL";"TAB3",#N/A,TRUE,"GENERAL";"TAB4",#N/A,TRUE,"GENERAL";"TAB5",#N/A,TRUE,"GENERAL"}</definedName>
    <definedName name="XX" localSheetId="5">#REF!</definedName>
    <definedName name="XX">#REF!</definedName>
    <definedName name="xxfg" localSheetId="10" hidden="1">{"via1",#N/A,TRUE,"general";"via2",#N/A,TRUE,"general";"via3",#N/A,TRUE,"general"}</definedName>
    <definedName name="xxfg" localSheetId="8" hidden="1">{"via1",#N/A,TRUE,"general";"via2",#N/A,TRUE,"general";"via3",#N/A,TRUE,"general"}</definedName>
    <definedName name="xxfg" localSheetId="5" hidden="1">{"via1",#N/A,TRUE,"general";"via2",#N/A,TRUE,"general";"via3",#N/A,TRUE,"general"}</definedName>
    <definedName name="xxfg" hidden="1">{"via1",#N/A,TRUE,"general";"via2",#N/A,TRUE,"general";"via3",#N/A,TRUE,"general"}</definedName>
    <definedName name="xxxxx" localSheetId="5">[32]!absc</definedName>
    <definedName name="xxxxx">[32]!absc</definedName>
    <definedName name="xxxxxds" localSheetId="10" hidden="1">{"via1",#N/A,TRUE,"general";"via2",#N/A,TRUE,"general";"via3",#N/A,TRUE,"general"}</definedName>
    <definedName name="xxxxxds" localSheetId="8" hidden="1">{"via1",#N/A,TRUE,"general";"via2",#N/A,TRUE,"general";"via3",#N/A,TRUE,"general"}</definedName>
    <definedName name="xxxxxds" localSheetId="5" hidden="1">{"via1",#N/A,TRUE,"general";"via2",#N/A,TRUE,"general";"via3",#N/A,TRUE,"general"}</definedName>
    <definedName name="xxxxxds" hidden="1">{"via1",#N/A,TRUE,"general";"via2",#N/A,TRUE,"general";"via3",#N/A,TRUE,"general"}</definedName>
    <definedName name="XXXXXXXXXX" localSheetId="5">#REF!</definedName>
    <definedName name="XXXXXXXXXX">#REF!</definedName>
    <definedName name="xxxxxxxxxx29" localSheetId="10" hidden="1">{"via1",#N/A,TRUE,"general";"via2",#N/A,TRUE,"general";"via3",#N/A,TRUE,"general"}</definedName>
    <definedName name="xxxxxxxxxx29" localSheetId="8" hidden="1">{"via1",#N/A,TRUE,"general";"via2",#N/A,TRUE,"general";"via3",#N/A,TRUE,"general"}</definedName>
    <definedName name="xxxxxxxxxx29" localSheetId="5" hidden="1">{"via1",#N/A,TRUE,"general";"via2",#N/A,TRUE,"general";"via3",#N/A,TRUE,"general"}</definedName>
    <definedName name="xxxxxxxxxx29" hidden="1">{"via1",#N/A,TRUE,"general";"via2",#N/A,TRUE,"general";"via3",#N/A,TRUE,"general"}</definedName>
    <definedName name="XXXXXXXXXXXX" localSheetId="5">#REF!</definedName>
    <definedName name="XXXXXXXXXXXX">#REF!</definedName>
    <definedName name="XZXZV" localSheetId="10" hidden="1">{"via1",#N/A,TRUE,"general";"via2",#N/A,TRUE,"general";"via3",#N/A,TRUE,"general"}</definedName>
    <definedName name="XZXZV" localSheetId="8" hidden="1">{"via1",#N/A,TRUE,"general";"via2",#N/A,TRUE,"general";"via3",#N/A,TRUE,"general"}</definedName>
    <definedName name="XZXZV" localSheetId="5" hidden="1">{"via1",#N/A,TRUE,"general";"via2",#N/A,TRUE,"general";"via3",#N/A,TRUE,"general"}</definedName>
    <definedName name="XZXZV" hidden="1">{"via1",#N/A,TRUE,"general";"via2",#N/A,TRUE,"general";"via3",#N/A,TRUE,"general"}</definedName>
    <definedName name="Y" localSheetId="5">[8]!absc</definedName>
    <definedName name="Y">[8]!absc</definedName>
    <definedName name="y6y6" localSheetId="10" hidden="1">{"via1",#N/A,TRUE,"general";"via2",#N/A,TRUE,"general";"via3",#N/A,TRUE,"general"}</definedName>
    <definedName name="y6y6" localSheetId="8" hidden="1">{"via1",#N/A,TRUE,"general";"via2",#N/A,TRUE,"general";"via3",#N/A,TRUE,"general"}</definedName>
    <definedName name="y6y6" localSheetId="5" hidden="1">{"via1",#N/A,TRUE,"general";"via2",#N/A,TRUE,"general";"via3",#N/A,TRUE,"general"}</definedName>
    <definedName name="y6y6" hidden="1">{"via1",#N/A,TRUE,"general";"via2",#N/A,TRUE,"general";"via3",#N/A,TRUE,"general"}</definedName>
    <definedName name="YA" localSheetId="5">#REF!</definedName>
    <definedName name="YA">#REF!</definedName>
    <definedName name="yery" localSheetId="10" hidden="1">{"via1",#N/A,TRUE,"general";"via2",#N/A,TRUE,"general";"via3",#N/A,TRUE,"general"}</definedName>
    <definedName name="yery" localSheetId="8" hidden="1">{"via1",#N/A,TRUE,"general";"via2",#N/A,TRUE,"general";"via3",#N/A,TRUE,"general"}</definedName>
    <definedName name="yery" localSheetId="5" hidden="1">{"via1",#N/A,TRUE,"general";"via2",#N/A,TRUE,"general";"via3",#N/A,TRUE,"general"}</definedName>
    <definedName name="yery" hidden="1">{"via1",#N/A,TRUE,"general";"via2",#N/A,TRUE,"general";"via3",#N/A,TRUE,"general"}</definedName>
    <definedName name="yhy" localSheetId="10" hidden="1">{"TAB1",#N/A,TRUE,"GENERAL";"TAB2",#N/A,TRUE,"GENERAL";"TAB3",#N/A,TRUE,"GENERAL";"TAB4",#N/A,TRUE,"GENERAL";"TAB5",#N/A,TRUE,"GENERAL"}</definedName>
    <definedName name="yhy" localSheetId="8" hidden="1">{"TAB1",#N/A,TRUE,"GENERAL";"TAB2",#N/A,TRUE,"GENERAL";"TAB3",#N/A,TRUE,"GENERAL";"TAB4",#N/A,TRUE,"GENERAL";"TAB5",#N/A,TRUE,"GENERAL"}</definedName>
    <definedName name="yhy" localSheetId="5" hidden="1">{"TAB1",#N/A,TRUE,"GENERAL";"TAB2",#N/A,TRUE,"GENERAL";"TAB3",#N/A,TRUE,"GENERAL";"TAB4",#N/A,TRUE,"GENERAL";"TAB5",#N/A,TRUE,"GENERAL"}</definedName>
    <definedName name="yhy" hidden="1">{"TAB1",#N/A,TRUE,"GENERAL";"TAB2",#N/A,TRUE,"GENERAL";"TAB3",#N/A,TRUE,"GENERAL";"TAB4",#N/A,TRUE,"GENERAL";"TAB5",#N/A,TRUE,"GENERAL"}</definedName>
    <definedName name="yjyj" localSheetId="10" hidden="1">{"TAB1",#N/A,TRUE,"GENERAL";"TAB2",#N/A,TRUE,"GENERAL";"TAB3",#N/A,TRUE,"GENERAL";"TAB4",#N/A,TRUE,"GENERAL";"TAB5",#N/A,TRUE,"GENERAL"}</definedName>
    <definedName name="yjyj" localSheetId="8" hidden="1">{"TAB1",#N/A,TRUE,"GENERAL";"TAB2",#N/A,TRUE,"GENERAL";"TAB3",#N/A,TRUE,"GENERAL";"TAB4",#N/A,TRUE,"GENERAL";"TAB5",#N/A,TRUE,"GENERAL"}</definedName>
    <definedName name="yjyj" localSheetId="5" hidden="1">{"TAB1",#N/A,TRUE,"GENERAL";"TAB2",#N/A,TRUE,"GENERAL";"TAB3",#N/A,TRUE,"GENERAL";"TAB4",#N/A,TRUE,"GENERAL";"TAB5",#N/A,TRUE,"GENERAL"}</definedName>
    <definedName name="yjyj" hidden="1">{"TAB1",#N/A,TRUE,"GENERAL";"TAB2",#N/A,TRUE,"GENERAL";"TAB3",#N/A,TRUE,"GENERAL";"TAB4",#N/A,TRUE,"GENERAL";"TAB5",#N/A,TRUE,"GENERAL"}</definedName>
    <definedName name="yrey" localSheetId="10" hidden="1">{"via1",#N/A,TRUE,"general";"via2",#N/A,TRUE,"general";"via3",#N/A,TRUE,"general"}</definedName>
    <definedName name="yrey" localSheetId="8" hidden="1">{"via1",#N/A,TRUE,"general";"via2",#N/A,TRUE,"general";"via3",#N/A,TRUE,"general"}</definedName>
    <definedName name="yrey" localSheetId="5" hidden="1">{"via1",#N/A,TRUE,"general";"via2",#N/A,TRUE,"general";"via3",#N/A,TRUE,"general"}</definedName>
    <definedName name="yrey" hidden="1">{"via1",#N/A,TRUE,"general";"via2",#N/A,TRUE,"general";"via3",#N/A,TRUE,"general"}</definedName>
    <definedName name="yry" localSheetId="10" hidden="1">{"via1",#N/A,TRUE,"general";"via2",#N/A,TRUE,"general";"via3",#N/A,TRUE,"general"}</definedName>
    <definedName name="yry" localSheetId="8" hidden="1">{"via1",#N/A,TRUE,"general";"via2",#N/A,TRUE,"general";"via3",#N/A,TRUE,"general"}</definedName>
    <definedName name="yry" localSheetId="5" hidden="1">{"via1",#N/A,TRUE,"general";"via2",#N/A,TRUE,"general";"via3",#N/A,TRUE,"general"}</definedName>
    <definedName name="yry" hidden="1">{"via1",#N/A,TRUE,"general";"via2",#N/A,TRUE,"general";"via3",#N/A,TRUE,"general"}</definedName>
    <definedName name="ytj" localSheetId="10" hidden="1">{"TAB1",#N/A,TRUE,"GENERAL";"TAB2",#N/A,TRUE,"GENERAL";"TAB3",#N/A,TRUE,"GENERAL";"TAB4",#N/A,TRUE,"GENERAL";"TAB5",#N/A,TRUE,"GENERAL"}</definedName>
    <definedName name="ytj" localSheetId="8" hidden="1">{"TAB1",#N/A,TRUE,"GENERAL";"TAB2",#N/A,TRUE,"GENERAL";"TAB3",#N/A,TRUE,"GENERAL";"TAB4",#N/A,TRUE,"GENERAL";"TAB5",#N/A,TRUE,"GENERAL"}</definedName>
    <definedName name="ytj" localSheetId="5" hidden="1">{"TAB1",#N/A,TRUE,"GENERAL";"TAB2",#N/A,TRUE,"GENERAL";"TAB3",#N/A,TRUE,"GENERAL";"TAB4",#N/A,TRUE,"GENERAL";"TAB5",#N/A,TRUE,"GENERAL"}</definedName>
    <definedName name="ytj" hidden="1">{"TAB1",#N/A,TRUE,"GENERAL";"TAB2",#N/A,TRUE,"GENERAL";"TAB3",#N/A,TRUE,"GENERAL";"TAB4",#N/A,TRUE,"GENERAL";"TAB5",#N/A,TRUE,"GENERAL"}</definedName>
    <definedName name="ytjt6" localSheetId="10" hidden="1">{"via1",#N/A,TRUE,"general";"via2",#N/A,TRUE,"general";"via3",#N/A,TRUE,"general"}</definedName>
    <definedName name="ytjt6" localSheetId="8" hidden="1">{"via1",#N/A,TRUE,"general";"via2",#N/A,TRUE,"general";"via3",#N/A,TRUE,"general"}</definedName>
    <definedName name="ytjt6" localSheetId="5" hidden="1">{"via1",#N/A,TRUE,"general";"via2",#N/A,TRUE,"general";"via3",#N/A,TRUE,"general"}</definedName>
    <definedName name="ytjt6" hidden="1">{"via1",#N/A,TRUE,"general";"via2",#N/A,TRUE,"general";"via3",#N/A,TRUE,"general"}</definedName>
    <definedName name="ytrwyr" localSheetId="10" hidden="1">{"TAB1",#N/A,TRUE,"GENERAL";"TAB2",#N/A,TRUE,"GENERAL";"TAB3",#N/A,TRUE,"GENERAL";"TAB4",#N/A,TRUE,"GENERAL";"TAB5",#N/A,TRUE,"GENERAL"}</definedName>
    <definedName name="ytrwyr" localSheetId="8" hidden="1">{"TAB1",#N/A,TRUE,"GENERAL";"TAB2",#N/A,TRUE,"GENERAL";"TAB3",#N/A,TRUE,"GENERAL";"TAB4",#N/A,TRUE,"GENERAL";"TAB5",#N/A,TRUE,"GENERAL"}</definedName>
    <definedName name="ytrwyr" localSheetId="5" hidden="1">{"TAB1",#N/A,TRUE,"GENERAL";"TAB2",#N/A,TRUE,"GENERAL";"TAB3",#N/A,TRUE,"GENERAL";"TAB4",#N/A,TRUE,"GENERAL";"TAB5",#N/A,TRUE,"GENERAL"}</definedName>
    <definedName name="ytrwyr" hidden="1">{"TAB1",#N/A,TRUE,"GENERAL";"TAB2",#N/A,TRUE,"GENERAL";"TAB3",#N/A,TRUE,"GENERAL";"TAB4",#N/A,TRUE,"GENERAL";"TAB5",#N/A,TRUE,"GENERAL"}</definedName>
    <definedName name="ytry" localSheetId="10" hidden="1">{"via1",#N/A,TRUE,"general";"via2",#N/A,TRUE,"general";"via3",#N/A,TRUE,"general"}</definedName>
    <definedName name="ytry" localSheetId="8" hidden="1">{"via1",#N/A,TRUE,"general";"via2",#N/A,TRUE,"general";"via3",#N/A,TRUE,"general"}</definedName>
    <definedName name="ytry" localSheetId="5" hidden="1">{"via1",#N/A,TRUE,"general";"via2",#N/A,TRUE,"general";"via3",#N/A,TRUE,"general"}</definedName>
    <definedName name="ytry" hidden="1">{"via1",#N/A,TRUE,"general";"via2",#N/A,TRUE,"general";"via3",#N/A,TRUE,"general"}</definedName>
    <definedName name="ytryrty" localSheetId="10" hidden="1">{"via1",#N/A,TRUE,"general";"via2",#N/A,TRUE,"general";"via3",#N/A,TRUE,"general"}</definedName>
    <definedName name="ytryrty" localSheetId="8" hidden="1">{"via1",#N/A,TRUE,"general";"via2",#N/A,TRUE,"general";"via3",#N/A,TRUE,"general"}</definedName>
    <definedName name="ytryrty" localSheetId="5" hidden="1">{"via1",#N/A,TRUE,"general";"via2",#N/A,TRUE,"general";"via3",#N/A,TRUE,"general"}</definedName>
    <definedName name="ytryrty" hidden="1">{"via1",#N/A,TRUE,"general";"via2",#N/A,TRUE,"general";"via3",#N/A,TRUE,"general"}</definedName>
    <definedName name="YTRYUYT" localSheetId="10" hidden="1">{"TAB1",#N/A,TRUE,"GENERAL";"TAB2",#N/A,TRUE,"GENERAL";"TAB3",#N/A,TRUE,"GENERAL";"TAB4",#N/A,TRUE,"GENERAL";"TAB5",#N/A,TRUE,"GENERAL"}</definedName>
    <definedName name="YTRYUYT" localSheetId="8" hidden="1">{"TAB1",#N/A,TRUE,"GENERAL";"TAB2",#N/A,TRUE,"GENERAL";"TAB3",#N/A,TRUE,"GENERAL";"TAB4",#N/A,TRUE,"GENERAL";"TAB5",#N/A,TRUE,"GENERAL"}</definedName>
    <definedName name="YTRYUYT" localSheetId="5" hidden="1">{"TAB1",#N/A,TRUE,"GENERAL";"TAB2",#N/A,TRUE,"GENERAL";"TAB3",#N/A,TRUE,"GENERAL";"TAB4",#N/A,TRUE,"GENERAL";"TAB5",#N/A,TRUE,"GENERAL"}</definedName>
    <definedName name="YTRYUYT" hidden="1">{"TAB1",#N/A,TRUE,"GENERAL";"TAB2",#N/A,TRUE,"GENERAL";"TAB3",#N/A,TRUE,"GENERAL";"TAB4",#N/A,TRUE,"GENERAL";"TAB5",#N/A,TRUE,"GENERAL"}</definedName>
    <definedName name="ytudfgd" localSheetId="10" hidden="1">{"TAB1",#N/A,TRUE,"GENERAL";"TAB2",#N/A,TRUE,"GENERAL";"TAB3",#N/A,TRUE,"GENERAL";"TAB4",#N/A,TRUE,"GENERAL";"TAB5",#N/A,TRUE,"GENERAL"}</definedName>
    <definedName name="ytudfgd" localSheetId="8" hidden="1">{"TAB1",#N/A,TRUE,"GENERAL";"TAB2",#N/A,TRUE,"GENERAL";"TAB3",#N/A,TRUE,"GENERAL";"TAB4",#N/A,TRUE,"GENERAL";"TAB5",#N/A,TRUE,"GENERAL"}</definedName>
    <definedName name="ytudfgd" localSheetId="5" hidden="1">{"TAB1",#N/A,TRUE,"GENERAL";"TAB2",#N/A,TRUE,"GENERAL";"TAB3",#N/A,TRUE,"GENERAL";"TAB4",#N/A,TRUE,"GENERAL";"TAB5",#N/A,TRUE,"GENERAL"}</definedName>
    <definedName name="ytudfgd" hidden="1">{"TAB1",#N/A,TRUE,"GENERAL";"TAB2",#N/A,TRUE,"GENERAL";"TAB3",#N/A,TRUE,"GENERAL";"TAB4",#N/A,TRUE,"GENERAL";"TAB5",#N/A,TRUE,"GENERAL"}</definedName>
    <definedName name="yturtu7" localSheetId="10" hidden="1">{"TAB1",#N/A,TRUE,"GENERAL";"TAB2",#N/A,TRUE,"GENERAL";"TAB3",#N/A,TRUE,"GENERAL";"TAB4",#N/A,TRUE,"GENERAL";"TAB5",#N/A,TRUE,"GENERAL"}</definedName>
    <definedName name="yturtu7" localSheetId="8" hidden="1">{"TAB1",#N/A,TRUE,"GENERAL";"TAB2",#N/A,TRUE,"GENERAL";"TAB3",#N/A,TRUE,"GENERAL";"TAB4",#N/A,TRUE,"GENERAL";"TAB5",#N/A,TRUE,"GENERAL"}</definedName>
    <definedName name="yturtu7" localSheetId="5" hidden="1">{"TAB1",#N/A,TRUE,"GENERAL";"TAB2",#N/A,TRUE,"GENERAL";"TAB3",#N/A,TRUE,"GENERAL";"TAB4",#N/A,TRUE,"GENERAL";"TAB5",#N/A,TRUE,"GENERAL"}</definedName>
    <definedName name="yturtu7" hidden="1">{"TAB1",#N/A,TRUE,"GENERAL";"TAB2",#N/A,TRUE,"GENERAL";"TAB3",#N/A,TRUE,"GENERAL";"TAB4",#N/A,TRUE,"GENERAL";"TAB5",#N/A,TRUE,"GENERAL"}</definedName>
    <definedName name="yturu" localSheetId="10" hidden="1">{"TAB1",#N/A,TRUE,"GENERAL";"TAB2",#N/A,TRUE,"GENERAL";"TAB3",#N/A,TRUE,"GENERAL";"TAB4",#N/A,TRUE,"GENERAL";"TAB5",#N/A,TRUE,"GENERAL"}</definedName>
    <definedName name="yturu" localSheetId="8" hidden="1">{"TAB1",#N/A,TRUE,"GENERAL";"TAB2",#N/A,TRUE,"GENERAL";"TAB3",#N/A,TRUE,"GENERAL";"TAB4",#N/A,TRUE,"GENERAL";"TAB5",#N/A,TRUE,"GENERAL"}</definedName>
    <definedName name="yturu" localSheetId="5" hidden="1">{"TAB1",#N/A,TRUE,"GENERAL";"TAB2",#N/A,TRUE,"GENERAL";"TAB3",#N/A,TRUE,"GENERAL";"TAB4",#N/A,TRUE,"GENERAL";"TAB5",#N/A,TRUE,"GENERAL"}</definedName>
    <definedName name="yturu" hidden="1">{"TAB1",#N/A,TRUE,"GENERAL";"TAB2",#N/A,TRUE,"GENERAL";"TAB3",#N/A,TRUE,"GENERAL";"TAB4",#N/A,TRUE,"GENERAL";"TAB5",#N/A,TRUE,"GENERAL"}</definedName>
    <definedName name="ytuytfgh" localSheetId="10" hidden="1">{"via1",#N/A,TRUE,"general";"via2",#N/A,TRUE,"general";"via3",#N/A,TRUE,"general"}</definedName>
    <definedName name="ytuytfgh" localSheetId="8" hidden="1">{"via1",#N/A,TRUE,"general";"via2",#N/A,TRUE,"general";"via3",#N/A,TRUE,"general"}</definedName>
    <definedName name="ytuytfgh" localSheetId="5" hidden="1">{"via1",#N/A,TRUE,"general";"via2",#N/A,TRUE,"general";"via3",#N/A,TRUE,"general"}</definedName>
    <definedName name="ytuytfgh" hidden="1">{"via1",#N/A,TRUE,"general";"via2",#N/A,TRUE,"general";"via3",#N/A,TRUE,"general"}</definedName>
    <definedName name="yty" localSheetId="10" hidden="1">{"TAB1",#N/A,TRUE,"GENERAL";"TAB2",#N/A,TRUE,"GENERAL";"TAB3",#N/A,TRUE,"GENERAL";"TAB4",#N/A,TRUE,"GENERAL";"TAB5",#N/A,TRUE,"GENERAL"}</definedName>
    <definedName name="yty" localSheetId="8" hidden="1">{"TAB1",#N/A,TRUE,"GENERAL";"TAB2",#N/A,TRUE,"GENERAL";"TAB3",#N/A,TRUE,"GENERAL";"TAB4",#N/A,TRUE,"GENERAL";"TAB5",#N/A,TRUE,"GENERAL"}</definedName>
    <definedName name="yty" localSheetId="5" hidden="1">{"TAB1",#N/A,TRUE,"GENERAL";"TAB2",#N/A,TRUE,"GENERAL";"TAB3",#N/A,TRUE,"GENERAL";"TAB4",#N/A,TRUE,"GENERAL";"TAB5",#N/A,TRUE,"GENERAL"}</definedName>
    <definedName name="yty" hidden="1">{"TAB1",#N/A,TRUE,"GENERAL";"TAB2",#N/A,TRUE,"GENERAL";"TAB3",#N/A,TRUE,"GENERAL";"TAB4",#N/A,TRUE,"GENERAL";"TAB5",#N/A,TRUE,"GENERAL"}</definedName>
    <definedName name="ytyyh" localSheetId="10" hidden="1">{"via1",#N/A,TRUE,"general";"via2",#N/A,TRUE,"general";"via3",#N/A,TRUE,"general"}</definedName>
    <definedName name="ytyyh" localSheetId="8" hidden="1">{"via1",#N/A,TRUE,"general";"via2",#N/A,TRUE,"general";"via3",#N/A,TRUE,"general"}</definedName>
    <definedName name="ytyyh" localSheetId="5" hidden="1">{"via1",#N/A,TRUE,"general";"via2",#N/A,TRUE,"general";"via3",#N/A,TRUE,"general"}</definedName>
    <definedName name="ytyyh" hidden="1">{"via1",#N/A,TRUE,"general";"via2",#N/A,TRUE,"general";"via3",#N/A,TRUE,"general"}</definedName>
    <definedName name="ytzacdfg" localSheetId="10" hidden="1">{"TAB1",#N/A,TRUE,"GENERAL";"TAB2",#N/A,TRUE,"GENERAL";"TAB3",#N/A,TRUE,"GENERAL";"TAB4",#N/A,TRUE,"GENERAL";"TAB5",#N/A,TRUE,"GENERAL"}</definedName>
    <definedName name="ytzacdfg" localSheetId="8" hidden="1">{"TAB1",#N/A,TRUE,"GENERAL";"TAB2",#N/A,TRUE,"GENERAL";"TAB3",#N/A,TRUE,"GENERAL";"TAB4",#N/A,TRUE,"GENERAL";"TAB5",#N/A,TRUE,"GENERAL"}</definedName>
    <definedName name="ytzacdfg" localSheetId="5" hidden="1">{"TAB1",#N/A,TRUE,"GENERAL";"TAB2",#N/A,TRUE,"GENERAL";"TAB3",#N/A,TRUE,"GENERAL";"TAB4",#N/A,TRUE,"GENERAL";"TAB5",#N/A,TRUE,"GENERAL"}</definedName>
    <definedName name="ytzacdfg" hidden="1">{"TAB1",#N/A,TRUE,"GENERAL";"TAB2",#N/A,TRUE,"GENERAL";"TAB3",#N/A,TRUE,"GENERAL";"TAB4",#N/A,TRUE,"GENERAL";"TAB5",#N/A,TRUE,"GENERAL"}</definedName>
    <definedName name="yu" localSheetId="10" hidden="1">{"TAB1",#N/A,TRUE,"GENERAL";"TAB2",#N/A,TRUE,"GENERAL";"TAB3",#N/A,TRUE,"GENERAL";"TAB4",#N/A,TRUE,"GENERAL";"TAB5",#N/A,TRUE,"GENERAL"}</definedName>
    <definedName name="yu" localSheetId="8" hidden="1">{"TAB1",#N/A,TRUE,"GENERAL";"TAB2",#N/A,TRUE,"GENERAL";"TAB3",#N/A,TRUE,"GENERAL";"TAB4",#N/A,TRUE,"GENERAL";"TAB5",#N/A,TRUE,"GENERAL"}</definedName>
    <definedName name="yu" localSheetId="5" hidden="1">{"TAB1",#N/A,TRUE,"GENERAL";"TAB2",#N/A,TRUE,"GENERAL";"TAB3",#N/A,TRUE,"GENERAL";"TAB4",#N/A,TRUE,"GENERAL";"TAB5",#N/A,TRUE,"GENERAL"}</definedName>
    <definedName name="yu" hidden="1">{"TAB1",#N/A,TRUE,"GENERAL";"TAB2",#N/A,TRUE,"GENERAL";"TAB3",#N/A,TRUE,"GENERAL";"TAB4",#N/A,TRUE,"GENERAL";"TAB5",#N/A,TRUE,"GENERAL"}</definedName>
    <definedName name="yudre54" localSheetId="10" hidden="1">{"TAB1",#N/A,TRUE,"GENERAL";"TAB2",#N/A,TRUE,"GENERAL";"TAB3",#N/A,TRUE,"GENERAL";"TAB4",#N/A,TRUE,"GENERAL";"TAB5",#N/A,TRUE,"GENERAL"}</definedName>
    <definedName name="yudre54" localSheetId="8" hidden="1">{"TAB1",#N/A,TRUE,"GENERAL";"TAB2",#N/A,TRUE,"GENERAL";"TAB3",#N/A,TRUE,"GENERAL";"TAB4",#N/A,TRUE,"GENERAL";"TAB5",#N/A,TRUE,"GENERAL"}</definedName>
    <definedName name="yudre54" localSheetId="5" hidden="1">{"TAB1",#N/A,TRUE,"GENERAL";"TAB2",#N/A,TRUE,"GENERAL";"TAB3",#N/A,TRUE,"GENERAL";"TAB4",#N/A,TRUE,"GENERAL";"TAB5",#N/A,TRUE,"GENERAL"}</definedName>
    <definedName name="yudre54" hidden="1">{"TAB1",#N/A,TRUE,"GENERAL";"TAB2",#N/A,TRUE,"GENERAL";"TAB3",#N/A,TRUE,"GENERAL";"TAB4",#N/A,TRUE,"GENERAL";"TAB5",#N/A,TRUE,"GENERAL"}</definedName>
    <definedName name="yuhgh" localSheetId="10" hidden="1">{"TAB1",#N/A,TRUE,"GENERAL";"TAB2",#N/A,TRUE,"GENERAL";"TAB3",#N/A,TRUE,"GENERAL";"TAB4",#N/A,TRUE,"GENERAL";"TAB5",#N/A,TRUE,"GENERAL"}</definedName>
    <definedName name="yuhgh" localSheetId="8" hidden="1">{"TAB1",#N/A,TRUE,"GENERAL";"TAB2",#N/A,TRUE,"GENERAL";"TAB3",#N/A,TRUE,"GENERAL";"TAB4",#N/A,TRUE,"GENERAL";"TAB5",#N/A,TRUE,"GENERAL"}</definedName>
    <definedName name="yuhgh" localSheetId="5" hidden="1">{"TAB1",#N/A,TRUE,"GENERAL";"TAB2",#N/A,TRUE,"GENERAL";"TAB3",#N/A,TRUE,"GENERAL";"TAB4",#N/A,TRUE,"GENERAL";"TAB5",#N/A,TRUE,"GENERAL"}</definedName>
    <definedName name="yuhgh" hidden="1">{"TAB1",#N/A,TRUE,"GENERAL";"TAB2",#N/A,TRUE,"GENERAL";"TAB3",#N/A,TRUE,"GENERAL";"TAB4",#N/A,TRUE,"GENERAL";"TAB5",#N/A,TRUE,"GENERAL"}</definedName>
    <definedName name="yutu" localSheetId="10" hidden="1">{"via1",#N/A,TRUE,"general";"via2",#N/A,TRUE,"general";"via3",#N/A,TRUE,"general"}</definedName>
    <definedName name="yutu" localSheetId="8" hidden="1">{"via1",#N/A,TRUE,"general";"via2",#N/A,TRUE,"general";"via3",#N/A,TRUE,"general"}</definedName>
    <definedName name="yutu" localSheetId="5" hidden="1">{"via1",#N/A,TRUE,"general";"via2",#N/A,TRUE,"general";"via3",#N/A,TRUE,"general"}</definedName>
    <definedName name="yutu" hidden="1">{"via1",#N/A,TRUE,"general";"via2",#N/A,TRUE,"general";"via3",#N/A,TRUE,"general"}</definedName>
    <definedName name="yuuiiy" localSheetId="10" hidden="1">{"via1",#N/A,TRUE,"general";"via2",#N/A,TRUE,"general";"via3",#N/A,TRUE,"general"}</definedName>
    <definedName name="yuuiiy" localSheetId="8" hidden="1">{"via1",#N/A,TRUE,"general";"via2",#N/A,TRUE,"general";"via3",#N/A,TRUE,"general"}</definedName>
    <definedName name="yuuiiy" localSheetId="5" hidden="1">{"via1",#N/A,TRUE,"general";"via2",#N/A,TRUE,"general";"via3",#N/A,TRUE,"general"}</definedName>
    <definedName name="yuuiiy" hidden="1">{"via1",#N/A,TRUE,"general";"via2",#N/A,TRUE,"general";"via3",#N/A,TRUE,"general"}</definedName>
    <definedName name="yuuuuuu" localSheetId="10" hidden="1">{"via1",#N/A,TRUE,"general";"via2",#N/A,TRUE,"general";"via3",#N/A,TRUE,"general"}</definedName>
    <definedName name="yuuuuuu" localSheetId="8" hidden="1">{"via1",#N/A,TRUE,"general";"via2",#N/A,TRUE,"general";"via3",#N/A,TRUE,"general"}</definedName>
    <definedName name="yuuuuuu" localSheetId="5" hidden="1">{"via1",#N/A,TRUE,"general";"via2",#N/A,TRUE,"general";"via3",#N/A,TRUE,"general"}</definedName>
    <definedName name="yuuuuuu" hidden="1">{"via1",#N/A,TRUE,"general";"via2",#N/A,TRUE,"general";"via3",#N/A,TRUE,"general"}</definedName>
    <definedName name="yy" localSheetId="10" hidden="1">{"via1",#N/A,TRUE,"general";"via2",#N/A,TRUE,"general";"via3",#N/A,TRUE,"general"}</definedName>
    <definedName name="yy" localSheetId="8" hidden="1">{"via1",#N/A,TRUE,"general";"via2",#N/A,TRUE,"general";"via3",#N/A,TRUE,"general"}</definedName>
    <definedName name="yy" localSheetId="5" hidden="1">{"via1",#N/A,TRUE,"general";"via2",#N/A,TRUE,"general";"via3",#N/A,TRUE,"general"}</definedName>
    <definedName name="yy" hidden="1">{"via1",#N/A,TRUE,"general";"via2",#N/A,TRUE,"general";"via3",#N/A,TRUE,"general"}</definedName>
    <definedName name="yyy" localSheetId="10" hidden="1">{"TAB1",#N/A,TRUE,"GENERAL";"TAB2",#N/A,TRUE,"GENERAL";"TAB3",#N/A,TRUE,"GENERAL";"TAB4",#N/A,TRUE,"GENERAL";"TAB5",#N/A,TRUE,"GENERAL"}</definedName>
    <definedName name="yyy" localSheetId="8" hidden="1">{"TAB1",#N/A,TRUE,"GENERAL";"TAB2",#N/A,TRUE,"GENERAL";"TAB3",#N/A,TRUE,"GENERAL";"TAB4",#N/A,TRUE,"GENERAL";"TAB5",#N/A,TRUE,"GENERAL"}</definedName>
    <definedName name="yyy" localSheetId="5" hidden="1">{"TAB1",#N/A,TRUE,"GENERAL";"TAB2",#N/A,TRUE,"GENERAL";"TAB3",#N/A,TRUE,"GENERAL";"TAB4",#N/A,TRUE,"GENERAL";"TAB5",#N/A,TRUE,"GENERAL"}</definedName>
    <definedName name="yyy" hidden="1">{"TAB1",#N/A,TRUE,"GENERAL";"TAB2",#N/A,TRUE,"GENERAL";"TAB3",#N/A,TRUE,"GENERAL";"TAB4",#N/A,TRUE,"GENERAL";"TAB5",#N/A,TRUE,"GENERAL"}</definedName>
    <definedName name="yyyuh" localSheetId="10" hidden="1">{"TAB1",#N/A,TRUE,"GENERAL";"TAB2",#N/A,TRUE,"GENERAL";"TAB3",#N/A,TRUE,"GENERAL";"TAB4",#N/A,TRUE,"GENERAL";"TAB5",#N/A,TRUE,"GENERAL"}</definedName>
    <definedName name="yyyuh" localSheetId="8" hidden="1">{"TAB1",#N/A,TRUE,"GENERAL";"TAB2",#N/A,TRUE,"GENERAL";"TAB3",#N/A,TRUE,"GENERAL";"TAB4",#N/A,TRUE,"GENERAL";"TAB5",#N/A,TRUE,"GENERAL"}</definedName>
    <definedName name="yyyuh" localSheetId="5" hidden="1">{"TAB1",#N/A,TRUE,"GENERAL";"TAB2",#N/A,TRUE,"GENERAL";"TAB3",#N/A,TRUE,"GENERAL";"TAB4",#N/A,TRUE,"GENERAL";"TAB5",#N/A,TRUE,"GENERAL"}</definedName>
    <definedName name="yyyuh" hidden="1">{"TAB1",#N/A,TRUE,"GENERAL";"TAB2",#N/A,TRUE,"GENERAL";"TAB3",#N/A,TRUE,"GENERAL";"TAB4",#N/A,TRUE,"GENERAL";"TAB5",#N/A,TRUE,"GENERAL"}</definedName>
    <definedName name="yyyyhhh" localSheetId="10" hidden="1">{"TAB1",#N/A,TRUE,"GENERAL";"TAB2",#N/A,TRUE,"GENERAL";"TAB3",#N/A,TRUE,"GENERAL";"TAB4",#N/A,TRUE,"GENERAL";"TAB5",#N/A,TRUE,"GENERAL"}</definedName>
    <definedName name="yyyyhhh" localSheetId="8" hidden="1">{"TAB1",#N/A,TRUE,"GENERAL";"TAB2",#N/A,TRUE,"GENERAL";"TAB3",#N/A,TRUE,"GENERAL";"TAB4",#N/A,TRUE,"GENERAL";"TAB5",#N/A,TRUE,"GENERAL"}</definedName>
    <definedName name="yyyyhhh" localSheetId="5" hidden="1">{"TAB1",#N/A,TRUE,"GENERAL";"TAB2",#N/A,TRUE,"GENERAL";"TAB3",#N/A,TRUE,"GENERAL";"TAB4",#N/A,TRUE,"GENERAL";"TAB5",#N/A,TRUE,"GENERAL"}</definedName>
    <definedName name="yyyyhhh" hidden="1">{"TAB1",#N/A,TRUE,"GENERAL";"TAB2",#N/A,TRUE,"GENERAL";"TAB3",#N/A,TRUE,"GENERAL";"TAB4",#N/A,TRUE,"GENERAL";"TAB5",#N/A,TRUE,"GENERAL"}</definedName>
    <definedName name="yyyyyf" localSheetId="10" hidden="1">{"via1",#N/A,TRUE,"general";"via2",#N/A,TRUE,"general";"via3",#N/A,TRUE,"general"}</definedName>
    <definedName name="yyyyyf" localSheetId="8" hidden="1">{"via1",#N/A,TRUE,"general";"via2",#N/A,TRUE,"general";"via3",#N/A,TRUE,"general"}</definedName>
    <definedName name="yyyyyf" localSheetId="5" hidden="1">{"via1",#N/A,TRUE,"general";"via2",#N/A,TRUE,"general";"via3",#N/A,TRUE,"general"}</definedName>
    <definedName name="yyyyyf" hidden="1">{"via1",#N/A,TRUE,"general";"via2",#N/A,TRUE,"general";"via3",#N/A,TRUE,"general"}</definedName>
    <definedName name="zdervr" localSheetId="10" hidden="1">{"via1",#N/A,TRUE,"general";"via2",#N/A,TRUE,"general";"via3",#N/A,TRUE,"general"}</definedName>
    <definedName name="zdervr" localSheetId="8" hidden="1">{"via1",#N/A,TRUE,"general";"via2",#N/A,TRUE,"general";"via3",#N/A,TRUE,"general"}</definedName>
    <definedName name="zdervr" localSheetId="5" hidden="1">{"via1",#N/A,TRUE,"general";"via2",#N/A,TRUE,"general";"via3",#N/A,TRUE,"general"}</definedName>
    <definedName name="zdervr" hidden="1">{"via1",#N/A,TRUE,"general";"via2",#N/A,TRUE,"general";"via3",#N/A,TRUE,"general"}</definedName>
    <definedName name="ZDF" localSheetId="5">#REF!</definedName>
    <definedName name="ZDF">#REF!</definedName>
    <definedName name="zx">#N/A</definedName>
    <definedName name="zxczds" localSheetId="10" hidden="1">{"TAB1",#N/A,TRUE,"GENERAL";"TAB2",#N/A,TRUE,"GENERAL";"TAB3",#N/A,TRUE,"GENERAL";"TAB4",#N/A,TRUE,"GENERAL";"TAB5",#N/A,TRUE,"GENERAL"}</definedName>
    <definedName name="zxczds" localSheetId="8" hidden="1">{"TAB1",#N/A,TRUE,"GENERAL";"TAB2",#N/A,TRUE,"GENERAL";"TAB3",#N/A,TRUE,"GENERAL";"TAB4",#N/A,TRUE,"GENERAL";"TAB5",#N/A,TRUE,"GENERAL"}</definedName>
    <definedName name="zxczds" localSheetId="5" hidden="1">{"TAB1",#N/A,TRUE,"GENERAL";"TAB2",#N/A,TRUE,"GENERAL";"TAB3",#N/A,TRUE,"GENERAL";"TAB4",#N/A,TRUE,"GENERAL";"TAB5",#N/A,TRUE,"GENERAL"}</definedName>
    <definedName name="zxczds" hidden="1">{"TAB1",#N/A,TRUE,"GENERAL";"TAB2",#N/A,TRUE,"GENERAL";"TAB3",#N/A,TRUE,"GENERAL";"TAB4",#N/A,TRUE,"GENERAL";"TAB5",#N/A,TRUE,"GENERAL"}</definedName>
    <definedName name="zxsdftyu" localSheetId="10" hidden="1">{"via1",#N/A,TRUE,"general";"via2",#N/A,TRUE,"general";"via3",#N/A,TRUE,"general"}</definedName>
    <definedName name="zxsdftyu" localSheetId="8" hidden="1">{"via1",#N/A,TRUE,"general";"via2",#N/A,TRUE,"general";"via3",#N/A,TRUE,"general"}</definedName>
    <definedName name="zxsdftyu" localSheetId="5" hidden="1">{"via1",#N/A,TRUE,"general";"via2",#N/A,TRUE,"general";"via3",#N/A,TRUE,"general"}</definedName>
    <definedName name="zxsdftyu" hidden="1">{"via1",#N/A,TRUE,"general";"via2",#N/A,TRUE,"general";"via3",#N/A,TRUE,"general"}</definedName>
    <definedName name="zxvxczv" localSheetId="10" hidden="1">{"via1",#N/A,TRUE,"general";"via2",#N/A,TRUE,"general";"via3",#N/A,TRUE,"general"}</definedName>
    <definedName name="zxvxczv" localSheetId="8" hidden="1">{"via1",#N/A,TRUE,"general";"via2",#N/A,TRUE,"general";"via3",#N/A,TRUE,"general"}</definedName>
    <definedName name="zxvxczv" localSheetId="5" hidden="1">{"via1",#N/A,TRUE,"general";"via2",#N/A,TRUE,"general";"via3",#N/A,TRUE,"general"}</definedName>
    <definedName name="zxvxczv" hidden="1">{"via1",#N/A,TRUE,"general";"via2",#N/A,TRUE,"general";"via3",#N/A,TRUE,"general"}</definedName>
    <definedName name="ZZZZZZZZZZZ" localSheetId="5">'[18]A. P. U.'!#REF!</definedName>
    <definedName name="ZZZZZZZZZZZ">'[18]A.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4" i="46" l="1"/>
  <c r="J14" i="46"/>
  <c r="K13" i="46" l="1"/>
  <c r="BU23" i="15" l="1"/>
  <c r="BI45" i="15"/>
  <c r="BC23" i="15"/>
  <c r="AQ23" i="15"/>
  <c r="AE45" i="15"/>
  <c r="Y23" i="15"/>
  <c r="M34" i="15"/>
  <c r="G45" i="15"/>
  <c r="G23" i="15"/>
  <c r="A34" i="15"/>
  <c r="I11" i="36" l="1"/>
  <c r="B851" i="13"/>
  <c r="B852" i="13"/>
  <c r="E1152" i="13" l="1"/>
  <c r="E1151" i="13"/>
  <c r="E1150" i="13"/>
  <c r="E1144" i="13"/>
  <c r="E1143" i="13"/>
  <c r="E1142" i="13"/>
  <c r="E1141" i="13"/>
  <c r="D1152" i="13"/>
  <c r="D1151" i="13"/>
  <c r="D1150" i="13"/>
  <c r="D1144" i="13"/>
  <c r="D1143" i="13"/>
  <c r="D1142" i="13"/>
  <c r="D1141" i="13"/>
  <c r="G1168" i="13"/>
  <c r="G1127" i="13"/>
  <c r="G1125" i="13"/>
  <c r="G1089" i="13"/>
  <c r="G1088" i="13"/>
  <c r="G1078" i="13"/>
  <c r="G1077" i="13"/>
  <c r="E1133" i="13"/>
  <c r="E1128" i="13"/>
  <c r="E1127" i="13"/>
  <c r="E1126" i="13"/>
  <c r="E1125" i="13"/>
  <c r="E1124" i="13"/>
  <c r="E1123" i="13"/>
  <c r="E1122" i="13"/>
  <c r="E1121" i="13"/>
  <c r="E1120" i="13"/>
  <c r="E1119" i="13"/>
  <c r="E1113" i="13"/>
  <c r="E1112" i="13"/>
  <c r="E1111" i="13"/>
  <c r="E1105" i="13"/>
  <c r="E1104" i="13"/>
  <c r="E1103" i="13"/>
  <c r="E1091" i="13"/>
  <c r="E1090" i="13"/>
  <c r="E1089" i="13"/>
  <c r="E1088" i="13"/>
  <c r="E1087" i="13"/>
  <c r="E1086" i="13"/>
  <c r="E1085" i="13"/>
  <c r="E1079" i="13"/>
  <c r="E1078" i="13"/>
  <c r="E1077" i="13"/>
  <c r="E1076" i="13"/>
  <c r="E1075" i="13"/>
  <c r="E1074" i="13"/>
  <c r="E1073" i="13"/>
  <c r="E1072" i="13"/>
  <c r="D1133" i="13"/>
  <c r="D1128" i="13"/>
  <c r="D1127" i="13"/>
  <c r="D1126" i="13"/>
  <c r="D1125" i="13"/>
  <c r="D1124" i="13"/>
  <c r="D1123" i="13"/>
  <c r="D1122" i="13"/>
  <c r="D1121" i="13"/>
  <c r="D1120" i="13"/>
  <c r="D1119" i="13"/>
  <c r="D1113" i="13"/>
  <c r="D1112" i="13"/>
  <c r="D1111" i="13"/>
  <c r="D1105" i="13"/>
  <c r="D1104" i="13"/>
  <c r="D1103" i="13"/>
  <c r="D1091" i="13"/>
  <c r="D1090" i="13"/>
  <c r="D1089" i="13"/>
  <c r="D1088" i="13"/>
  <c r="D1087" i="13"/>
  <c r="D1086" i="13"/>
  <c r="D1085" i="13"/>
  <c r="D1079" i="13"/>
  <c r="D1078" i="13"/>
  <c r="D1077" i="13"/>
  <c r="D1076" i="13"/>
  <c r="D1075" i="13"/>
  <c r="D1074" i="13"/>
  <c r="D1073" i="13"/>
  <c r="D1072" i="13"/>
  <c r="G1065" i="13"/>
  <c r="G1064" i="13"/>
  <c r="G1063" i="13"/>
  <c r="G1062" i="13"/>
  <c r="G1061" i="13"/>
  <c r="G1060" i="13"/>
  <c r="G1059" i="13"/>
  <c r="G1058" i="13"/>
  <c r="E1065" i="13"/>
  <c r="E1064" i="13"/>
  <c r="E1063" i="13"/>
  <c r="E1062" i="13"/>
  <c r="E1061" i="13"/>
  <c r="E1060" i="13"/>
  <c r="E1059" i="13"/>
  <c r="E1058" i="13"/>
  <c r="D1065" i="13"/>
  <c r="D1064" i="13"/>
  <c r="D1063" i="13"/>
  <c r="D1062" i="13"/>
  <c r="D1061" i="13"/>
  <c r="D1060" i="13"/>
  <c r="D1059" i="13"/>
  <c r="D1058" i="13"/>
  <c r="B1061" i="13" l="1"/>
  <c r="B1062" i="13"/>
  <c r="B1063" i="13"/>
  <c r="B1064" i="13"/>
  <c r="B1065" i="13"/>
  <c r="E1044" i="13"/>
  <c r="E1043" i="13"/>
  <c r="E1042" i="13"/>
  <c r="E1041" i="13"/>
  <c r="E1032" i="13"/>
  <c r="E1026" i="13"/>
  <c r="E1025" i="13"/>
  <c r="E1024" i="13"/>
  <c r="E1023" i="13"/>
  <c r="E1022" i="13"/>
  <c r="E1021" i="13"/>
  <c r="E1011" i="13"/>
  <c r="E1010" i="13"/>
  <c r="E1002" i="13"/>
  <c r="E1001" i="13"/>
  <c r="E1000" i="13"/>
  <c r="E999" i="13"/>
  <c r="E998" i="13"/>
  <c r="E992" i="13"/>
  <c r="E991" i="13"/>
  <c r="E990" i="13"/>
  <c r="E989" i="13"/>
  <c r="E988" i="13"/>
  <c r="E987" i="13"/>
  <c r="E986" i="13"/>
  <c r="E985" i="13"/>
  <c r="E984" i="13"/>
  <c r="E983" i="13"/>
  <c r="E977" i="13"/>
  <c r="E976" i="13"/>
  <c r="E975" i="13"/>
  <c r="E974" i="13"/>
  <c r="E967" i="13"/>
  <c r="E966" i="13"/>
  <c r="E965" i="13"/>
  <c r="E964" i="13"/>
  <c r="E958" i="13"/>
  <c r="E957" i="13"/>
  <c r="E956" i="13"/>
  <c r="E955" i="13"/>
  <c r="E949" i="13"/>
  <c r="E948" i="13"/>
  <c r="E947" i="13"/>
  <c r="E946" i="13"/>
  <c r="E945" i="13"/>
  <c r="E944" i="13"/>
  <c r="E943" i="13"/>
  <c r="E935" i="13"/>
  <c r="E934" i="13"/>
  <c r="E928" i="13"/>
  <c r="E927" i="13"/>
  <c r="E926" i="13"/>
  <c r="E925" i="13"/>
  <c r="E924" i="13"/>
  <c r="E923" i="13"/>
  <c r="E922" i="13"/>
  <c r="E921" i="13"/>
  <c r="E915" i="13"/>
  <c r="E914" i="13"/>
  <c r="E913" i="13"/>
  <c r="E912" i="13"/>
  <c r="E911" i="13"/>
  <c r="E910" i="13"/>
  <c r="E909" i="13"/>
  <c r="E908" i="13"/>
  <c r="E907" i="13"/>
  <c r="E906" i="13"/>
  <c r="E905" i="13"/>
  <c r="E898" i="13"/>
  <c r="E897" i="13"/>
  <c r="E896" i="13"/>
  <c r="E895" i="13"/>
  <c r="E894" i="13"/>
  <c r="E893" i="13"/>
  <c r="E892" i="13"/>
  <c r="E891" i="13"/>
  <c r="E885" i="13"/>
  <c r="E884" i="13"/>
  <c r="E883" i="13"/>
  <c r="E882" i="13"/>
  <c r="E881" i="13"/>
  <c r="E880" i="13"/>
  <c r="E879" i="13"/>
  <c r="E878" i="13"/>
  <c r="E869" i="13"/>
  <c r="E871" i="13"/>
  <c r="E870" i="13"/>
  <c r="E868" i="13"/>
  <c r="E867" i="13"/>
  <c r="E866" i="13"/>
  <c r="E865" i="13"/>
  <c r="E864" i="13"/>
  <c r="E863" i="13"/>
  <c r="E862" i="13"/>
  <c r="E861" i="13"/>
  <c r="E860" i="13"/>
  <c r="E859" i="13"/>
  <c r="E853" i="13"/>
  <c r="E852" i="13"/>
  <c r="E851" i="13"/>
  <c r="E850" i="13"/>
  <c r="E849" i="13"/>
  <c r="E848" i="13"/>
  <c r="E847" i="13"/>
  <c r="E846" i="13"/>
  <c r="E845" i="13"/>
  <c r="E844" i="13"/>
  <c r="E843" i="13"/>
  <c r="E842" i="13"/>
  <c r="E841" i="13"/>
  <c r="E840" i="13"/>
  <c r="E839" i="13"/>
  <c r="E833" i="13"/>
  <c r="E832" i="13"/>
  <c r="E831" i="13"/>
  <c r="E830" i="13"/>
  <c r="E829" i="13"/>
  <c r="E828" i="13"/>
  <c r="E827" i="13"/>
  <c r="E826" i="13"/>
  <c r="E825" i="13"/>
  <c r="E824" i="13"/>
  <c r="E823" i="13"/>
  <c r="E817" i="13"/>
  <c r="E816" i="13"/>
  <c r="E815" i="13"/>
  <c r="E814" i="13"/>
  <c r="E813" i="13"/>
  <c r="E812" i="13"/>
  <c r="E811" i="13"/>
  <c r="E810" i="13"/>
  <c r="E804" i="13"/>
  <c r="E803" i="13"/>
  <c r="E802" i="13"/>
  <c r="E801" i="13"/>
  <c r="E800" i="13"/>
  <c r="E799" i="13"/>
  <c r="E798" i="13"/>
  <c r="E790" i="13"/>
  <c r="E789" i="13"/>
  <c r="E788" i="13"/>
  <c r="E787" i="13"/>
  <c r="E786" i="13"/>
  <c r="E785" i="13"/>
  <c r="E784" i="13"/>
  <c r="E783" i="13"/>
  <c r="E782" i="13"/>
  <c r="E781" i="13"/>
  <c r="E780" i="13"/>
  <c r="E779" i="13"/>
  <c r="E772" i="13"/>
  <c r="E771" i="13"/>
  <c r="E770" i="13"/>
  <c r="E769" i="13"/>
  <c r="E768" i="13"/>
  <c r="E767" i="13"/>
  <c r="E766" i="13"/>
  <c r="E765" i="13"/>
  <c r="E758" i="13"/>
  <c r="E757" i="13"/>
  <c r="E756" i="13"/>
  <c r="E755" i="13"/>
  <c r="E754" i="13"/>
  <c r="E753" i="13"/>
  <c r="E752" i="13"/>
  <c r="E745" i="13"/>
  <c r="E744" i="13"/>
  <c r="E743" i="13"/>
  <c r="E742" i="13"/>
  <c r="E741" i="13"/>
  <c r="E740" i="13"/>
  <c r="E739" i="13"/>
  <c r="E738" i="13"/>
  <c r="E737" i="13"/>
  <c r="E736" i="13"/>
  <c r="E735" i="13"/>
  <c r="E734" i="13"/>
  <c r="E727" i="13"/>
  <c r="E726" i="13"/>
  <c r="E725" i="13"/>
  <c r="E724" i="13"/>
  <c r="E723" i="13"/>
  <c r="E722" i="13"/>
  <c r="E721" i="13"/>
  <c r="E720" i="13"/>
  <c r="E719" i="13"/>
  <c r="E718" i="13"/>
  <c r="E717" i="13"/>
  <c r="E711" i="13"/>
  <c r="E710" i="13"/>
  <c r="E709" i="13"/>
  <c r="E708" i="13"/>
  <c r="E707" i="13"/>
  <c r="E706" i="13"/>
  <c r="E700" i="13"/>
  <c r="E699" i="13"/>
  <c r="E698" i="13"/>
  <c r="E697" i="13"/>
  <c r="E696" i="13"/>
  <c r="E695" i="13"/>
  <c r="E694" i="13"/>
  <c r="E688" i="13"/>
  <c r="E687" i="13"/>
  <c r="E686" i="13"/>
  <c r="E685" i="13"/>
  <c r="E684" i="13"/>
  <c r="E683" i="13"/>
  <c r="E682" i="13"/>
  <c r="E681" i="13"/>
  <c r="E680" i="13"/>
  <c r="E679" i="13"/>
  <c r="E678" i="13"/>
  <c r="E672" i="13"/>
  <c r="E671" i="13"/>
  <c r="E665" i="13"/>
  <c r="E664" i="13"/>
  <c r="E663" i="13"/>
  <c r="E662" i="13"/>
  <c r="E661" i="13"/>
  <c r="E660" i="13"/>
  <c r="E659" i="13"/>
  <c r="E658" i="13"/>
  <c r="E657" i="13"/>
  <c r="E656" i="13"/>
  <c r="E655" i="13"/>
  <c r="E654" i="13"/>
  <c r="E653" i="13"/>
  <c r="E647" i="13"/>
  <c r="E646" i="13"/>
  <c r="E645" i="13"/>
  <c r="E644" i="13"/>
  <c r="E643" i="13"/>
  <c r="E642" i="13"/>
  <c r="E636" i="13" l="1"/>
  <c r="E635" i="13"/>
  <c r="E634" i="13"/>
  <c r="E633" i="13"/>
  <c r="E632" i="13"/>
  <c r="E631" i="13"/>
  <c r="E630" i="13"/>
  <c r="E629" i="13"/>
  <c r="E628" i="13"/>
  <c r="E627" i="13"/>
  <c r="E626" i="13"/>
  <c r="E620" i="13"/>
  <c r="E619" i="13"/>
  <c r="E618" i="13"/>
  <c r="E617" i="13"/>
  <c r="E616" i="13"/>
  <c r="E615" i="13"/>
  <c r="E614" i="13"/>
  <c r="E613" i="13"/>
  <c r="E612" i="13"/>
  <c r="E611" i="13"/>
  <c r="E610" i="13"/>
  <c r="E604" i="13"/>
  <c r="E603" i="13"/>
  <c r="E602" i="13"/>
  <c r="E601" i="13"/>
  <c r="E600" i="13"/>
  <c r="E599" i="13"/>
  <c r="E598" i="13"/>
  <c r="E597" i="13"/>
  <c r="E596" i="13"/>
  <c r="E595" i="13"/>
  <c r="E594" i="13"/>
  <c r="E585" i="13"/>
  <c r="E584" i="13"/>
  <c r="E583" i="13"/>
  <c r="E582" i="13"/>
  <c r="E581" i="13"/>
  <c r="E580" i="13"/>
  <c r="E579" i="13"/>
  <c r="E578" i="13"/>
  <c r="E577" i="13"/>
  <c r="E576" i="13"/>
  <c r="E575" i="13"/>
  <c r="E569" i="13"/>
  <c r="E568" i="13"/>
  <c r="E567" i="13"/>
  <c r="E566" i="13"/>
  <c r="E565" i="13"/>
  <c r="E564" i="13"/>
  <c r="E563" i="13"/>
  <c r="E557" i="13"/>
  <c r="E556" i="13"/>
  <c r="E555" i="13"/>
  <c r="E554" i="13"/>
  <c r="E553" i="13"/>
  <c r="E552" i="13"/>
  <c r="E546" i="13"/>
  <c r="E545" i="13"/>
  <c r="E544" i="13"/>
  <c r="E543" i="13"/>
  <c r="E542" i="13"/>
  <c r="E536" i="13" l="1"/>
  <c r="E535" i="13"/>
  <c r="E534" i="13"/>
  <c r="E533" i="13"/>
  <c r="E532" i="13"/>
  <c r="E531" i="13"/>
  <c r="E530" i="13"/>
  <c r="E529" i="13"/>
  <c r="E528" i="13"/>
  <c r="E527" i="13"/>
  <c r="E526" i="13"/>
  <c r="E525" i="13"/>
  <c r="E518" i="13"/>
  <c r="E517" i="13"/>
  <c r="E511" i="13"/>
  <c r="E510" i="13"/>
  <c r="E509" i="13"/>
  <c r="E508" i="13"/>
  <c r="E507" i="13"/>
  <c r="E506" i="13"/>
  <c r="E505" i="13"/>
  <c r="E504" i="13"/>
  <c r="E503" i="13"/>
  <c r="E502" i="13"/>
  <c r="E501" i="13"/>
  <c r="E500" i="13"/>
  <c r="E499" i="13"/>
  <c r="E498" i="13"/>
  <c r="E497" i="13"/>
  <c r="E496" i="13"/>
  <c r="E488" i="13"/>
  <c r="E487" i="13"/>
  <c r="E486" i="13"/>
  <c r="E485" i="13"/>
  <c r="E484" i="13"/>
  <c r="E483" i="13"/>
  <c r="E477" i="13"/>
  <c r="E476" i="13"/>
  <c r="E475" i="13"/>
  <c r="E474" i="13"/>
  <c r="E473" i="13"/>
  <c r="E472" i="13"/>
  <c r="E471" i="13"/>
  <c r="E470" i="13"/>
  <c r="E469" i="13"/>
  <c r="E468" i="13"/>
  <c r="E462" i="13"/>
  <c r="E461" i="13"/>
  <c r="E460" i="13"/>
  <c r="E459" i="13"/>
  <c r="E458" i="13"/>
  <c r="E457" i="13"/>
  <c r="E456" i="13"/>
  <c r="E455" i="13"/>
  <c r="E454" i="13"/>
  <c r="E453" i="13"/>
  <c r="E452" i="13"/>
  <c r="E451" i="13"/>
  <c r="E450" i="13"/>
  <c r="E444" i="13"/>
  <c r="E443" i="13"/>
  <c r="E442" i="13"/>
  <c r="E441" i="13"/>
  <c r="E440" i="13"/>
  <c r="E439" i="13"/>
  <c r="E438" i="13"/>
  <c r="E437" i="13"/>
  <c r="E436" i="13"/>
  <c r="E435" i="13"/>
  <c r="E434" i="13"/>
  <c r="E433" i="13"/>
  <c r="E432" i="13"/>
  <c r="E426" i="13"/>
  <c r="E425" i="13"/>
  <c r="E424" i="13"/>
  <c r="E423" i="13"/>
  <c r="E422" i="13"/>
  <c r="E421" i="13"/>
  <c r="E420" i="13"/>
  <c r="E419" i="13"/>
  <c r="E418" i="13"/>
  <c r="E417" i="13"/>
  <c r="E411" i="13"/>
  <c r="E410" i="13"/>
  <c r="E409" i="13"/>
  <c r="E408" i="13"/>
  <c r="E407" i="13"/>
  <c r="E406" i="13"/>
  <c r="E405" i="13"/>
  <c r="E404" i="13"/>
  <c r="E398" i="13"/>
  <c r="E397" i="13"/>
  <c r="E396" i="13"/>
  <c r="E395" i="13"/>
  <c r="E394" i="13"/>
  <c r="E393" i="13"/>
  <c r="E392" i="13"/>
  <c r="E391" i="13"/>
  <c r="E390" i="13"/>
  <c r="E389" i="13"/>
  <c r="E388" i="13"/>
  <c r="E387" i="13"/>
  <c r="E386" i="13"/>
  <c r="E385" i="13"/>
  <c r="E384" i="13"/>
  <c r="E383" i="13"/>
  <c r="E376" i="13"/>
  <c r="E375" i="13"/>
  <c r="E374" i="13"/>
  <c r="E373" i="13"/>
  <c r="E372" i="13"/>
  <c r="E364" i="13"/>
  <c r="E363" i="13"/>
  <c r="E362" i="13"/>
  <c r="E361" i="13"/>
  <c r="E360" i="13"/>
  <c r="E359" i="13"/>
  <c r="E358" i="13"/>
  <c r="E352" i="13"/>
  <c r="E351" i="13"/>
  <c r="E350" i="13"/>
  <c r="E349" i="13"/>
  <c r="E348" i="13"/>
  <c r="E342" i="13"/>
  <c r="E341" i="13"/>
  <c r="E340" i="13"/>
  <c r="E339" i="13"/>
  <c r="E338" i="13"/>
  <c r="E337" i="13"/>
  <c r="E331" i="13"/>
  <c r="E330" i="13"/>
  <c r="E329" i="13"/>
  <c r="E328" i="13"/>
  <c r="E327" i="13"/>
  <c r="E326" i="13"/>
  <c r="E325" i="13"/>
  <c r="E324" i="13"/>
  <c r="E318" i="13"/>
  <c r="E317" i="13"/>
  <c r="E316" i="13"/>
  <c r="E315" i="13"/>
  <c r="E314" i="13"/>
  <c r="E313" i="13"/>
  <c r="E312" i="13"/>
  <c r="E311" i="13"/>
  <c r="E305" i="13"/>
  <c r="E304" i="13"/>
  <c r="E303" i="13"/>
  <c r="E302" i="13"/>
  <c r="E301" i="13"/>
  <c r="E300" i="13"/>
  <c r="E299" i="13"/>
  <c r="E298" i="13"/>
  <c r="E297" i="13"/>
  <c r="E296" i="13"/>
  <c r="E289" i="13"/>
  <c r="E288" i="13"/>
  <c r="E287" i="13"/>
  <c r="E286" i="13"/>
  <c r="E285" i="13"/>
  <c r="E284" i="13"/>
  <c r="E283" i="13"/>
  <c r="E282" i="13"/>
  <c r="E276" i="13"/>
  <c r="E275" i="13"/>
  <c r="E274" i="13"/>
  <c r="E273" i="13"/>
  <c r="E267" i="13"/>
  <c r="E266" i="13"/>
  <c r="E265" i="13"/>
  <c r="E259" i="13"/>
  <c r="E258" i="13"/>
  <c r="E257" i="13"/>
  <c r="E256" i="13"/>
  <c r="E255" i="13"/>
  <c r="E249" i="13"/>
  <c r="E248" i="13"/>
  <c r="E247" i="13"/>
  <c r="E246" i="13"/>
  <c r="E245" i="13"/>
  <c r="E244" i="13"/>
  <c r="E243" i="13"/>
  <c r="E237" i="13"/>
  <c r="E236" i="13"/>
  <c r="E235" i="13"/>
  <c r="E234" i="13"/>
  <c r="E233" i="13"/>
  <c r="E232" i="13"/>
  <c r="E231" i="13"/>
  <c r="E230" i="13"/>
  <c r="E229" i="13"/>
  <c r="E222" i="13"/>
  <c r="E221" i="13"/>
  <c r="E220" i="13"/>
  <c r="E219" i="13"/>
  <c r="E218" i="13"/>
  <c r="E217" i="13"/>
  <c r="E216" i="13"/>
  <c r="E215" i="13"/>
  <c r="E214" i="13"/>
  <c r="E213" i="13"/>
  <c r="E207" i="13"/>
  <c r="E206" i="13"/>
  <c r="E205" i="13"/>
  <c r="E204" i="13"/>
  <c r="E203" i="13"/>
  <c r="E197" i="13"/>
  <c r="E196" i="13"/>
  <c r="E195" i="13"/>
  <c r="E188" i="13"/>
  <c r="E187" i="13"/>
  <c r="E186" i="13"/>
  <c r="E185" i="13"/>
  <c r="E184" i="13"/>
  <c r="E183" i="13"/>
  <c r="E182" i="13"/>
  <c r="E176" i="13"/>
  <c r="E175" i="13"/>
  <c r="E174" i="13"/>
  <c r="E173" i="13"/>
  <c r="E172" i="13"/>
  <c r="E171" i="13"/>
  <c r="E165" i="13"/>
  <c r="E164" i="13"/>
  <c r="E163" i="13"/>
  <c r="E162" i="13"/>
  <c r="E161" i="13"/>
  <c r="E160" i="13"/>
  <c r="E159" i="13"/>
  <c r="E158" i="13"/>
  <c r="E152" i="13" l="1"/>
  <c r="E151" i="13"/>
  <c r="E150" i="13"/>
  <c r="E149" i="13"/>
  <c r="E148" i="13"/>
  <c r="E147" i="13"/>
  <c r="E146" i="13"/>
  <c r="E145" i="13"/>
  <c r="E144" i="13"/>
  <c r="E143" i="13"/>
  <c r="E142" i="13"/>
  <c r="E141" i="13"/>
  <c r="E134" i="13"/>
  <c r="E133" i="13"/>
  <c r="E132" i="13"/>
  <c r="E131" i="13"/>
  <c r="E130" i="13"/>
  <c r="E129" i="13"/>
  <c r="E128" i="13"/>
  <c r="E122" i="13"/>
  <c r="E121" i="13"/>
  <c r="E120" i="13"/>
  <c r="E119" i="13"/>
  <c r="E118" i="13"/>
  <c r="E117" i="13"/>
  <c r="E116" i="13"/>
  <c r="E115" i="13"/>
  <c r="E114" i="13"/>
  <c r="E107" i="13"/>
  <c r="E106" i="13"/>
  <c r="E105" i="13"/>
  <c r="E104" i="13"/>
  <c r="E103" i="13"/>
  <c r="E102" i="13"/>
  <c r="E101" i="13"/>
  <c r="E100" i="13"/>
  <c r="E99" i="13"/>
  <c r="E93" i="13"/>
  <c r="E92" i="13"/>
  <c r="E91" i="13"/>
  <c r="E90" i="13"/>
  <c r="E89" i="13"/>
  <c r="E88" i="13"/>
  <c r="E87" i="13"/>
  <c r="E80" i="13"/>
  <c r="E79" i="13"/>
  <c r="E78" i="13"/>
  <c r="E77" i="13"/>
  <c r="E76" i="13"/>
  <c r="E75" i="13"/>
  <c r="E68" i="13"/>
  <c r="E67" i="13"/>
  <c r="E66" i="13"/>
  <c r="E65" i="13"/>
  <c r="E64" i="13"/>
  <c r="E55" i="13"/>
  <c r="E54" i="13"/>
  <c r="E53" i="13"/>
  <c r="E52" i="13"/>
  <c r="E51" i="13"/>
  <c r="E50" i="13"/>
  <c r="E49" i="13"/>
  <c r="E42" i="13"/>
  <c r="E41" i="13"/>
  <c r="E40" i="13"/>
  <c r="E39" i="13"/>
  <c r="E38" i="13"/>
  <c r="E37" i="13"/>
  <c r="E36" i="13"/>
  <c r="E29" i="13"/>
  <c r="E28" i="13"/>
  <c r="E27" i="13"/>
  <c r="E26" i="13"/>
  <c r="E25" i="13"/>
  <c r="E24" i="13"/>
  <c r="E23" i="13"/>
  <c r="E22" i="13"/>
  <c r="E16" i="13"/>
  <c r="G19" i="40" l="1"/>
  <c r="F14" i="40"/>
  <c r="F19" i="40" s="1"/>
  <c r="D14" i="40"/>
  <c r="D19" i="40" s="1"/>
  <c r="CM45" i="15" l="1"/>
  <c r="CA34" i="15"/>
  <c r="CA45" i="15" s="1"/>
  <c r="CG23" i="15" s="1"/>
  <c r="AQ34" i="15" l="1"/>
  <c r="Y45" i="15"/>
  <c r="AE23" i="15" s="1"/>
  <c r="F13" i="46" l="1"/>
  <c r="W13" i="39" l="1"/>
  <c r="D13" i="39"/>
  <c r="M1152" i="13" l="1"/>
  <c r="B1152" i="13"/>
  <c r="B1151" i="13"/>
  <c r="B1150" i="13"/>
  <c r="CS23" i="15" l="1"/>
  <c r="CS34" i="15" s="1"/>
  <c r="BI23" i="15"/>
  <c r="AK34" i="15"/>
  <c r="H1065" i="13" l="1"/>
  <c r="H1064" i="13"/>
  <c r="H1063" i="13"/>
  <c r="H1062" i="13"/>
  <c r="H1061" i="13"/>
  <c r="B27" i="13" l="1"/>
  <c r="CG34" i="15" l="1"/>
  <c r="CG45" i="15" s="1"/>
  <c r="CM23" i="15" s="1"/>
  <c r="BU34" i="15"/>
  <c r="H19" i="5" l="1"/>
  <c r="S34" i="15" l="1"/>
  <c r="F569" i="13"/>
  <c r="F567" i="13"/>
  <c r="F568" i="13" s="1"/>
  <c r="F566" i="13"/>
  <c r="H10" i="14" l="1"/>
  <c r="A53" i="32"/>
  <c r="E9" i="32"/>
  <c r="P9" i="32" s="1"/>
  <c r="G11" i="15"/>
  <c r="M11" i="15" s="1"/>
  <c r="S11" i="15" s="1"/>
  <c r="Y11" i="15" s="1"/>
  <c r="AE11" i="15" s="1"/>
  <c r="AK11" i="15" s="1"/>
  <c r="AQ11" i="15" s="1"/>
  <c r="AW11" i="15" s="1"/>
  <c r="BC11" i="15" s="1"/>
  <c r="BI11" i="15" s="1"/>
  <c r="BO11" i="15" s="1"/>
  <c r="BU11" i="15" s="1"/>
  <c r="CA11" i="15" s="1"/>
  <c r="CG11" i="15" s="1"/>
  <c r="CM11" i="15" s="1"/>
  <c r="CS11" i="15" s="1"/>
  <c r="J26" i="36"/>
  <c r="I26" i="36"/>
  <c r="H26" i="36"/>
  <c r="F26" i="36"/>
  <c r="E26" i="36"/>
  <c r="D26" i="36"/>
  <c r="C26" i="36"/>
  <c r="G11" i="36"/>
  <c r="G26" i="36" s="1"/>
  <c r="O19" i="40"/>
  <c r="M19" i="40"/>
  <c r="L19" i="40"/>
  <c r="K19" i="40"/>
  <c r="J19" i="40"/>
  <c r="I19" i="40"/>
  <c r="H19" i="40"/>
  <c r="C19" i="40"/>
  <c r="P14" i="40"/>
  <c r="P19" i="40" s="1"/>
  <c r="N14" i="40"/>
  <c r="N19" i="40" s="1"/>
  <c r="E14" i="40"/>
  <c r="E19" i="40" s="1"/>
  <c r="S13" i="39"/>
  <c r="I1185" i="13"/>
  <c r="I1184" i="13"/>
  <c r="I1182" i="13"/>
  <c r="I1180" i="13"/>
  <c r="E1169" i="13"/>
  <c r="E1168" i="13"/>
  <c r="B1144" i="13"/>
  <c r="F1143" i="13"/>
  <c r="B1143" i="13"/>
  <c r="B1142" i="13"/>
  <c r="B1141" i="13"/>
  <c r="F1133" i="13"/>
  <c r="B1133" i="13"/>
  <c r="F1128" i="13"/>
  <c r="B1128" i="13"/>
  <c r="F1127" i="13"/>
  <c r="B1127" i="13"/>
  <c r="B1126" i="13"/>
  <c r="F1125" i="13"/>
  <c r="B1125" i="13"/>
  <c r="F1124" i="13"/>
  <c r="B1124" i="13"/>
  <c r="F1123" i="13"/>
  <c r="B1123" i="13"/>
  <c r="F1122" i="13"/>
  <c r="B1122" i="13"/>
  <c r="B1121" i="13"/>
  <c r="B1120" i="13"/>
  <c r="F1119" i="13"/>
  <c r="B1119" i="13"/>
  <c r="B1113" i="13"/>
  <c r="F1112" i="13"/>
  <c r="B1112" i="13"/>
  <c r="F1111" i="13"/>
  <c r="B1111" i="13"/>
  <c r="B1105" i="13"/>
  <c r="F1104" i="13"/>
  <c r="B1104" i="13"/>
  <c r="F1103" i="13"/>
  <c r="B1103" i="13"/>
  <c r="H1097" i="13"/>
  <c r="H1098" i="13" s="1"/>
  <c r="H1099" i="13" s="1"/>
  <c r="F1091" i="13"/>
  <c r="B1091" i="13"/>
  <c r="F1090" i="13"/>
  <c r="B1090" i="13"/>
  <c r="J1089" i="13"/>
  <c r="H1089" i="13"/>
  <c r="B1089" i="13"/>
  <c r="F1088" i="13"/>
  <c r="B1088" i="13"/>
  <c r="F1087" i="13"/>
  <c r="B1087" i="13"/>
  <c r="B1086" i="13"/>
  <c r="F1085" i="13"/>
  <c r="F1086" i="13" s="1"/>
  <c r="B1085" i="13"/>
  <c r="F1079" i="13"/>
  <c r="B1079" i="13"/>
  <c r="F1078" i="13"/>
  <c r="B1078" i="13"/>
  <c r="H1077" i="13"/>
  <c r="B1077" i="13"/>
  <c r="B1076" i="13"/>
  <c r="F1075" i="13"/>
  <c r="B1075" i="13"/>
  <c r="F1074" i="13"/>
  <c r="B1074" i="13"/>
  <c r="B1073" i="13"/>
  <c r="F1072" i="13"/>
  <c r="B1072" i="13"/>
  <c r="L1061" i="13"/>
  <c r="M1061" i="13" s="1"/>
  <c r="F1060" i="13"/>
  <c r="H1060" i="13" s="1"/>
  <c r="B1060" i="13"/>
  <c r="H1059" i="13"/>
  <c r="B1059" i="13"/>
  <c r="F1058" i="13"/>
  <c r="B1058" i="13"/>
  <c r="F1051" i="13"/>
  <c r="H1051" i="13" s="1"/>
  <c r="H1052" i="13" s="1"/>
  <c r="B1044" i="13"/>
  <c r="B1043" i="13"/>
  <c r="F1042" i="13"/>
  <c r="B1042" i="13"/>
  <c r="B1041" i="13"/>
  <c r="F1032" i="13"/>
  <c r="B1032" i="13"/>
  <c r="B1026" i="13"/>
  <c r="B1025" i="13"/>
  <c r="F1024" i="13"/>
  <c r="B1024" i="13"/>
  <c r="F1023" i="13"/>
  <c r="B1023" i="13"/>
  <c r="B1022" i="13"/>
  <c r="F1021" i="13"/>
  <c r="B1021" i="13"/>
  <c r="B1011" i="13"/>
  <c r="B1010" i="13"/>
  <c r="B1002" i="13"/>
  <c r="F1001" i="13"/>
  <c r="B1001" i="13"/>
  <c r="F1000" i="13"/>
  <c r="F999" i="13" s="1"/>
  <c r="B1000" i="13"/>
  <c r="B999" i="13"/>
  <c r="F998" i="13"/>
  <c r="B998" i="13"/>
  <c r="B992" i="13"/>
  <c r="B991" i="13"/>
  <c r="F990" i="13"/>
  <c r="B990" i="13"/>
  <c r="B989" i="13"/>
  <c r="B988" i="13"/>
  <c r="B987" i="13"/>
  <c r="F986" i="13"/>
  <c r="F988" i="13" s="1"/>
  <c r="B986" i="13"/>
  <c r="F985" i="13"/>
  <c r="B985" i="13"/>
  <c r="F984" i="13"/>
  <c r="B984" i="13"/>
  <c r="B983" i="13"/>
  <c r="F977" i="13"/>
  <c r="B977" i="13"/>
  <c r="F976" i="13"/>
  <c r="B976" i="13"/>
  <c r="F975" i="13"/>
  <c r="B975" i="13"/>
  <c r="F974" i="13"/>
  <c r="B974" i="13"/>
  <c r="F967" i="13"/>
  <c r="B967" i="13"/>
  <c r="B966" i="13"/>
  <c r="B965" i="13"/>
  <c r="F964" i="13"/>
  <c r="B964" i="13"/>
  <c r="F958" i="13"/>
  <c r="B958" i="13"/>
  <c r="B957" i="13"/>
  <c r="B956" i="13"/>
  <c r="F955" i="13"/>
  <c r="B955" i="13"/>
  <c r="F949" i="13"/>
  <c r="B949" i="13"/>
  <c r="F948" i="13"/>
  <c r="B948" i="13"/>
  <c r="F947" i="13"/>
  <c r="B947" i="13"/>
  <c r="B946" i="13"/>
  <c r="F945" i="13"/>
  <c r="B945" i="13"/>
  <c r="F944" i="13"/>
  <c r="B944" i="13"/>
  <c r="F943" i="13"/>
  <c r="B943" i="13"/>
  <c r="B935" i="13"/>
  <c r="F934" i="13"/>
  <c r="B934" i="13"/>
  <c r="B928" i="13"/>
  <c r="B927" i="13"/>
  <c r="B926" i="13"/>
  <c r="B925" i="13"/>
  <c r="F924" i="13"/>
  <c r="F926" i="13" s="1"/>
  <c r="B924" i="13"/>
  <c r="F923" i="13"/>
  <c r="B923" i="13"/>
  <c r="F922" i="13"/>
  <c r="B922" i="13"/>
  <c r="B921" i="13"/>
  <c r="F915" i="13"/>
  <c r="B915" i="13"/>
  <c r="B914" i="13"/>
  <c r="B913" i="13"/>
  <c r="F912" i="13"/>
  <c r="B912" i="13"/>
  <c r="F911" i="13"/>
  <c r="F913" i="13" s="1"/>
  <c r="B911" i="13"/>
  <c r="F910" i="13"/>
  <c r="B910" i="13"/>
  <c r="F909" i="13"/>
  <c r="B909" i="13"/>
  <c r="F908" i="13"/>
  <c r="B908" i="13"/>
  <c r="F907" i="13"/>
  <c r="B907" i="13"/>
  <c r="F906" i="13"/>
  <c r="B906" i="13"/>
  <c r="F905" i="13"/>
  <c r="B905" i="13"/>
  <c r="B898" i="13"/>
  <c r="B897" i="13"/>
  <c r="B896" i="13"/>
  <c r="B895" i="13"/>
  <c r="F894" i="13"/>
  <c r="B894" i="13"/>
  <c r="F893" i="13"/>
  <c r="B893" i="13"/>
  <c r="F892" i="13"/>
  <c r="B892" i="13"/>
  <c r="B891" i="13"/>
  <c r="B885" i="13"/>
  <c r="B884" i="13"/>
  <c r="B883" i="13"/>
  <c r="B882" i="13"/>
  <c r="F881" i="13"/>
  <c r="F883" i="13" s="1"/>
  <c r="B881" i="13"/>
  <c r="F880" i="13"/>
  <c r="B880" i="13"/>
  <c r="F879" i="13"/>
  <c r="B879" i="13"/>
  <c r="B878" i="13"/>
  <c r="B871" i="13"/>
  <c r="F870" i="13"/>
  <c r="B870" i="13"/>
  <c r="F869" i="13"/>
  <c r="B869" i="13"/>
  <c r="F868" i="13"/>
  <c r="B868" i="13"/>
  <c r="B867" i="13"/>
  <c r="F866" i="13"/>
  <c r="F867" i="13" s="1"/>
  <c r="B866" i="13"/>
  <c r="B865" i="13"/>
  <c r="F864" i="13"/>
  <c r="F865" i="13" s="1"/>
  <c r="B864" i="13"/>
  <c r="F863" i="13"/>
  <c r="B863" i="13"/>
  <c r="B862" i="13"/>
  <c r="F861" i="13"/>
  <c r="B861" i="13"/>
  <c r="F860" i="13"/>
  <c r="B860" i="13"/>
  <c r="B859" i="13"/>
  <c r="F853" i="13"/>
  <c r="B853" i="13"/>
  <c r="B850" i="13"/>
  <c r="B849" i="13"/>
  <c r="B848" i="13"/>
  <c r="B847" i="13"/>
  <c r="B845" i="13"/>
  <c r="B844" i="13"/>
  <c r="B843" i="13"/>
  <c r="B841" i="13"/>
  <c r="B840" i="13"/>
  <c r="F839" i="13"/>
  <c r="B839" i="13"/>
  <c r="B833" i="13"/>
  <c r="F832" i="13"/>
  <c r="B832" i="13"/>
  <c r="B831" i="13"/>
  <c r="F830" i="13"/>
  <c r="B830" i="13"/>
  <c r="B829" i="13"/>
  <c r="F828" i="13"/>
  <c r="B828" i="13"/>
  <c r="B827" i="13"/>
  <c r="F826" i="13"/>
  <c r="B826" i="13"/>
  <c r="B825" i="13"/>
  <c r="B824" i="13"/>
  <c r="B823" i="13"/>
  <c r="B817" i="13"/>
  <c r="B816" i="13"/>
  <c r="B815" i="13"/>
  <c r="B814" i="13"/>
  <c r="F813" i="13"/>
  <c r="F815" i="13" s="1"/>
  <c r="B813" i="13"/>
  <c r="F812" i="13"/>
  <c r="B812" i="13"/>
  <c r="F811" i="13"/>
  <c r="B811" i="13"/>
  <c r="F810" i="13"/>
  <c r="B810" i="13"/>
  <c r="B804" i="13"/>
  <c r="B803" i="13"/>
  <c r="B802" i="13"/>
  <c r="B801" i="13"/>
  <c r="F800" i="13"/>
  <c r="F802" i="13" s="1"/>
  <c r="B800" i="13"/>
  <c r="F799" i="13"/>
  <c r="B799" i="13"/>
  <c r="F798" i="13"/>
  <c r="B798" i="13"/>
  <c r="B790" i="13"/>
  <c r="F789" i="13"/>
  <c r="B789" i="13"/>
  <c r="F788" i="13"/>
  <c r="B788" i="13"/>
  <c r="F787" i="13"/>
  <c r="B787" i="13"/>
  <c r="B786" i="13"/>
  <c r="F785" i="13"/>
  <c r="F786" i="13" s="1"/>
  <c r="B785" i="13"/>
  <c r="B784" i="13"/>
  <c r="B783" i="13"/>
  <c r="F782" i="13"/>
  <c r="F783" i="13" s="1"/>
  <c r="B782" i="13"/>
  <c r="F781" i="13"/>
  <c r="F784" i="13" s="1"/>
  <c r="B781" i="13"/>
  <c r="F780" i="13"/>
  <c r="B780" i="13"/>
  <c r="F779" i="13"/>
  <c r="B779" i="13"/>
  <c r="B772" i="13"/>
  <c r="B771" i="13"/>
  <c r="B770" i="13"/>
  <c r="B769" i="13"/>
  <c r="F768" i="13"/>
  <c r="F770" i="13" s="1"/>
  <c r="B768" i="13"/>
  <c r="F767" i="13"/>
  <c r="B767" i="13"/>
  <c r="F766" i="13"/>
  <c r="B766" i="13"/>
  <c r="B765" i="13"/>
  <c r="B758" i="13"/>
  <c r="B757" i="13"/>
  <c r="F756" i="13"/>
  <c r="B756" i="13"/>
  <c r="B755" i="13"/>
  <c r="B754" i="13"/>
  <c r="F753" i="13"/>
  <c r="B753" i="13"/>
  <c r="F752" i="13"/>
  <c r="B752" i="13"/>
  <c r="B745" i="13"/>
  <c r="F744" i="13"/>
  <c r="B744" i="13"/>
  <c r="F743" i="13"/>
  <c r="B743" i="13"/>
  <c r="B742" i="13"/>
  <c r="F741" i="13"/>
  <c r="B741" i="13"/>
  <c r="B740" i="13"/>
  <c r="F739" i="13"/>
  <c r="B739" i="13"/>
  <c r="B738" i="13"/>
  <c r="F737" i="13"/>
  <c r="B737" i="13"/>
  <c r="B736" i="13"/>
  <c r="B735" i="13"/>
  <c r="B734" i="13"/>
  <c r="F727" i="13"/>
  <c r="B727" i="13"/>
  <c r="B726" i="13"/>
  <c r="B725" i="13"/>
  <c r="F724" i="13"/>
  <c r="B724" i="13"/>
  <c r="F723" i="13"/>
  <c r="F725" i="13" s="1"/>
  <c r="B723" i="13"/>
  <c r="F722" i="13"/>
  <c r="B722" i="13"/>
  <c r="F721" i="13"/>
  <c r="B721" i="13"/>
  <c r="F720" i="13"/>
  <c r="B720" i="13"/>
  <c r="F719" i="13"/>
  <c r="B719" i="13"/>
  <c r="F718" i="13"/>
  <c r="B718" i="13"/>
  <c r="F717" i="13"/>
  <c r="B717" i="13"/>
  <c r="F711" i="13"/>
  <c r="B711" i="13"/>
  <c r="B710" i="13"/>
  <c r="B709" i="13"/>
  <c r="F708" i="13"/>
  <c r="F710" i="13" s="1"/>
  <c r="B708" i="13"/>
  <c r="B707" i="13"/>
  <c r="B706" i="13"/>
  <c r="B700" i="13"/>
  <c r="B699" i="13"/>
  <c r="B698" i="13"/>
  <c r="B697" i="13"/>
  <c r="F696" i="13"/>
  <c r="F698" i="13" s="1"/>
  <c r="B696" i="13"/>
  <c r="F695" i="13"/>
  <c r="B695" i="13"/>
  <c r="F694" i="13"/>
  <c r="B694" i="13"/>
  <c r="F688" i="13"/>
  <c r="B688" i="13"/>
  <c r="B687" i="13"/>
  <c r="B686" i="13"/>
  <c r="F685" i="13"/>
  <c r="B685" i="13"/>
  <c r="F684" i="13"/>
  <c r="F686" i="13" s="1"/>
  <c r="B684" i="13"/>
  <c r="F683" i="13"/>
  <c r="B683" i="13"/>
  <c r="F682" i="13"/>
  <c r="B682" i="13"/>
  <c r="F681" i="13"/>
  <c r="B681" i="13"/>
  <c r="F680" i="13"/>
  <c r="B680" i="13"/>
  <c r="F679" i="13"/>
  <c r="B679" i="13"/>
  <c r="F678" i="13"/>
  <c r="B678" i="13"/>
  <c r="B672" i="13"/>
  <c r="F671" i="13"/>
  <c r="B671" i="13"/>
  <c r="B665" i="13"/>
  <c r="B664" i="13"/>
  <c r="F663" i="13"/>
  <c r="B663" i="13"/>
  <c r="B662" i="13"/>
  <c r="B661" i="13"/>
  <c r="F660" i="13"/>
  <c r="B660" i="13"/>
  <c r="F659" i="13"/>
  <c r="F661" i="13" s="1"/>
  <c r="B659" i="13"/>
  <c r="F658" i="13"/>
  <c r="B658" i="13"/>
  <c r="F657" i="13"/>
  <c r="B657" i="13"/>
  <c r="F656" i="13"/>
  <c r="B656" i="13"/>
  <c r="F655" i="13"/>
  <c r="B655" i="13"/>
  <c r="F654" i="13"/>
  <c r="B654" i="13"/>
  <c r="F653" i="13"/>
  <c r="B653" i="13"/>
  <c r="B647" i="13"/>
  <c r="B646" i="13"/>
  <c r="F645" i="13"/>
  <c r="F647" i="13" s="1"/>
  <c r="B645" i="13"/>
  <c r="F644" i="13"/>
  <c r="B644" i="13"/>
  <c r="F643" i="13"/>
  <c r="B643" i="13"/>
  <c r="B642" i="13"/>
  <c r="F636" i="13"/>
  <c r="B636" i="13"/>
  <c r="B635" i="13"/>
  <c r="B634" i="13"/>
  <c r="F633" i="13"/>
  <c r="B633" i="13"/>
  <c r="F632" i="13"/>
  <c r="F634" i="13" s="1"/>
  <c r="B632" i="13"/>
  <c r="F631" i="13"/>
  <c r="B631" i="13"/>
  <c r="F630" i="13"/>
  <c r="B630" i="13"/>
  <c r="F629" i="13"/>
  <c r="B629" i="13"/>
  <c r="F628" i="13"/>
  <c r="B628" i="13"/>
  <c r="F627" i="13"/>
  <c r="B627" i="13"/>
  <c r="F626" i="13"/>
  <c r="B626" i="13"/>
  <c r="F620" i="13"/>
  <c r="B620" i="13"/>
  <c r="B619" i="13"/>
  <c r="B618" i="13"/>
  <c r="F617" i="13"/>
  <c r="B617" i="13"/>
  <c r="F616" i="13"/>
  <c r="F618" i="13" s="1"/>
  <c r="B616" i="13"/>
  <c r="F615" i="13"/>
  <c r="B615" i="13"/>
  <c r="F614" i="13"/>
  <c r="B614" i="13"/>
  <c r="F613" i="13"/>
  <c r="B613" i="13"/>
  <c r="F612" i="13"/>
  <c r="B612" i="13"/>
  <c r="F611" i="13"/>
  <c r="B611" i="13"/>
  <c r="F610" i="13"/>
  <c r="B610" i="13"/>
  <c r="F604" i="13"/>
  <c r="B604" i="13"/>
  <c r="B603" i="13"/>
  <c r="B602" i="13"/>
  <c r="F601" i="13"/>
  <c r="B601" i="13"/>
  <c r="F600" i="13"/>
  <c r="F602" i="13" s="1"/>
  <c r="B600" i="13"/>
  <c r="F599" i="13"/>
  <c r="B599" i="13"/>
  <c r="F598" i="13"/>
  <c r="B598" i="13"/>
  <c r="F597" i="13"/>
  <c r="B597" i="13"/>
  <c r="F596" i="13"/>
  <c r="B596" i="13"/>
  <c r="F595" i="13"/>
  <c r="B595" i="13"/>
  <c r="F594" i="13"/>
  <c r="B594" i="13"/>
  <c r="B585" i="13"/>
  <c r="F584" i="13"/>
  <c r="B584" i="13"/>
  <c r="B583" i="13"/>
  <c r="B582" i="13"/>
  <c r="F581" i="13"/>
  <c r="B581" i="13"/>
  <c r="F580" i="13"/>
  <c r="B580" i="13"/>
  <c r="F579" i="13"/>
  <c r="B579" i="13"/>
  <c r="F578" i="13"/>
  <c r="B578" i="13"/>
  <c r="B577" i="13"/>
  <c r="B576" i="13"/>
  <c r="B575" i="13"/>
  <c r="B569" i="13"/>
  <c r="B568" i="13"/>
  <c r="B567" i="13"/>
  <c r="F565" i="13"/>
  <c r="B565" i="13"/>
  <c r="B564" i="13"/>
  <c r="B563" i="13"/>
  <c r="F557" i="13"/>
  <c r="B557" i="13"/>
  <c r="F556" i="13"/>
  <c r="B556" i="13"/>
  <c r="F555" i="13"/>
  <c r="B555" i="13"/>
  <c r="F554" i="13"/>
  <c r="B554" i="13"/>
  <c r="B553" i="13"/>
  <c r="F552" i="13"/>
  <c r="B552" i="13"/>
  <c r="F546" i="13"/>
  <c r="B546" i="13"/>
  <c r="F545" i="13"/>
  <c r="B545" i="13"/>
  <c r="F544" i="13"/>
  <c r="B544" i="13"/>
  <c r="F543" i="13"/>
  <c r="B543" i="13"/>
  <c r="F542" i="13"/>
  <c r="B542" i="13"/>
  <c r="B536" i="13"/>
  <c r="B535" i="13"/>
  <c r="B534" i="13"/>
  <c r="B533" i="13"/>
  <c r="F532" i="13"/>
  <c r="B532" i="13"/>
  <c r="B531" i="13"/>
  <c r="F530" i="13"/>
  <c r="B530" i="13"/>
  <c r="B529" i="13"/>
  <c r="B528" i="13"/>
  <c r="F527" i="13"/>
  <c r="B527" i="13"/>
  <c r="B526" i="13"/>
  <c r="B525" i="13"/>
  <c r="J518" i="13"/>
  <c r="F517" i="13" s="1"/>
  <c r="B518" i="13"/>
  <c r="B517" i="13"/>
  <c r="B511" i="13"/>
  <c r="B510" i="13"/>
  <c r="B509" i="13"/>
  <c r="F508" i="13"/>
  <c r="F504" i="13" s="1"/>
  <c r="B508" i="13"/>
  <c r="B507" i="13"/>
  <c r="B506" i="13"/>
  <c r="F505" i="13"/>
  <c r="B505" i="13"/>
  <c r="B504" i="13"/>
  <c r="F503" i="13"/>
  <c r="B503" i="13"/>
  <c r="F502" i="13"/>
  <c r="B502" i="13"/>
  <c r="B501" i="13"/>
  <c r="B500" i="13"/>
  <c r="F499" i="13"/>
  <c r="F500" i="13" s="1"/>
  <c r="B499" i="13"/>
  <c r="J498" i="13"/>
  <c r="F507" i="13" s="1"/>
  <c r="B498" i="13"/>
  <c r="F497" i="13"/>
  <c r="F511" i="13" s="1"/>
  <c r="B497" i="13"/>
  <c r="B496" i="13"/>
  <c r="B477" i="13"/>
  <c r="F476" i="13"/>
  <c r="B476" i="13"/>
  <c r="B475" i="13"/>
  <c r="F474" i="13"/>
  <c r="B474" i="13"/>
  <c r="B473" i="13"/>
  <c r="F472" i="13"/>
  <c r="B472" i="13"/>
  <c r="F471" i="13"/>
  <c r="B471" i="13"/>
  <c r="B470" i="13"/>
  <c r="B469" i="13"/>
  <c r="B468" i="13"/>
  <c r="B462" i="13"/>
  <c r="F461" i="13"/>
  <c r="B461" i="13"/>
  <c r="F460" i="13"/>
  <c r="B460" i="13"/>
  <c r="B459" i="13"/>
  <c r="F458" i="13"/>
  <c r="B458" i="13"/>
  <c r="B457" i="13"/>
  <c r="B456" i="13"/>
  <c r="B455" i="13"/>
  <c r="F454" i="13"/>
  <c r="F455" i="13" s="1"/>
  <c r="B454" i="13"/>
  <c r="F453" i="13"/>
  <c r="B453" i="13"/>
  <c r="B452" i="13"/>
  <c r="B451" i="13"/>
  <c r="F450" i="13"/>
  <c r="B450" i="13"/>
  <c r="B444" i="13"/>
  <c r="F443" i="13"/>
  <c r="B443" i="13"/>
  <c r="F442" i="13"/>
  <c r="B442" i="13"/>
  <c r="F441" i="13"/>
  <c r="B441" i="13"/>
  <c r="B440" i="13"/>
  <c r="B439" i="13"/>
  <c r="F438" i="13"/>
  <c r="F440" i="13" s="1"/>
  <c r="B438" i="13"/>
  <c r="B437" i="13"/>
  <c r="F436" i="13"/>
  <c r="B436" i="13"/>
  <c r="B435" i="13"/>
  <c r="F434" i="13"/>
  <c r="F435" i="13" s="1"/>
  <c r="B434" i="13"/>
  <c r="F433" i="13"/>
  <c r="B433" i="13"/>
  <c r="B432" i="13"/>
  <c r="F426" i="13"/>
  <c r="B426" i="13"/>
  <c r="F425" i="13"/>
  <c r="B425" i="13"/>
  <c r="F424" i="13"/>
  <c r="B424" i="13"/>
  <c r="F423" i="13"/>
  <c r="B423" i="13"/>
  <c r="B422" i="13"/>
  <c r="B421" i="13"/>
  <c r="F420" i="13"/>
  <c r="B420" i="13"/>
  <c r="F419" i="13"/>
  <c r="B419" i="13"/>
  <c r="F418" i="13"/>
  <c r="B418" i="13"/>
  <c r="B417" i="13"/>
  <c r="F411" i="13"/>
  <c r="B411" i="13"/>
  <c r="F410" i="13"/>
  <c r="B410" i="13"/>
  <c r="B409" i="13"/>
  <c r="F408" i="13"/>
  <c r="B408" i="13"/>
  <c r="F407" i="13"/>
  <c r="B407" i="13"/>
  <c r="F406" i="13"/>
  <c r="B406" i="13"/>
  <c r="F405" i="13"/>
  <c r="B405" i="13"/>
  <c r="F404" i="13"/>
  <c r="B404" i="13"/>
  <c r="B398" i="13"/>
  <c r="F397" i="13"/>
  <c r="B397" i="13"/>
  <c r="F396" i="13"/>
  <c r="B396" i="13"/>
  <c r="B395" i="13"/>
  <c r="B394" i="13"/>
  <c r="B393" i="13"/>
  <c r="B392" i="13"/>
  <c r="F391" i="13"/>
  <c r="B391" i="13"/>
  <c r="B390" i="13"/>
  <c r="B389" i="13"/>
  <c r="F388" i="13"/>
  <c r="B388" i="13"/>
  <c r="B387" i="13"/>
  <c r="B386" i="13"/>
  <c r="B385" i="13"/>
  <c r="B384" i="13"/>
  <c r="B383" i="13"/>
  <c r="B376" i="13"/>
  <c r="B375" i="13"/>
  <c r="B374" i="13"/>
  <c r="F373" i="13"/>
  <c r="B373" i="13"/>
  <c r="B372" i="13"/>
  <c r="B364" i="13"/>
  <c r="B363" i="13"/>
  <c r="B362" i="13"/>
  <c r="B361" i="13"/>
  <c r="B360" i="13"/>
  <c r="B359" i="13"/>
  <c r="B358" i="13"/>
  <c r="B352" i="13"/>
  <c r="B351" i="13"/>
  <c r="B350" i="13"/>
  <c r="B349" i="13"/>
  <c r="B348" i="13"/>
  <c r="F342" i="13"/>
  <c r="B342" i="13"/>
  <c r="B341" i="13"/>
  <c r="F340" i="13"/>
  <c r="B340" i="13"/>
  <c r="B339" i="13"/>
  <c r="F338" i="13"/>
  <c r="F339" i="13" s="1"/>
  <c r="B338" i="13"/>
  <c r="F337" i="13"/>
  <c r="B337" i="13"/>
  <c r="B331" i="13"/>
  <c r="F330" i="13"/>
  <c r="B330" i="13"/>
  <c r="F329" i="13"/>
  <c r="B329" i="13"/>
  <c r="B328" i="13"/>
  <c r="F327" i="13"/>
  <c r="B327" i="13"/>
  <c r="B326" i="13"/>
  <c r="F325" i="13"/>
  <c r="F326" i="13" s="1"/>
  <c r="B325" i="13"/>
  <c r="B324" i="13"/>
  <c r="B318" i="13"/>
  <c r="B317" i="13"/>
  <c r="B316" i="13"/>
  <c r="B315" i="13"/>
  <c r="B314" i="13"/>
  <c r="B313" i="13"/>
  <c r="B312" i="13"/>
  <c r="B311" i="13"/>
  <c r="B305" i="13"/>
  <c r="B304" i="13"/>
  <c r="F303" i="13"/>
  <c r="B303" i="13"/>
  <c r="B302" i="13"/>
  <c r="B301" i="13"/>
  <c r="F300" i="13"/>
  <c r="F301" i="13" s="1"/>
  <c r="B300" i="13"/>
  <c r="F299" i="13"/>
  <c r="B299" i="13"/>
  <c r="B298" i="13"/>
  <c r="B297" i="13"/>
  <c r="B296" i="13"/>
  <c r="F289" i="13"/>
  <c r="B289" i="13"/>
  <c r="F288" i="13"/>
  <c r="B288" i="13"/>
  <c r="F287" i="13"/>
  <c r="B287" i="13"/>
  <c r="B286" i="13"/>
  <c r="B285" i="13"/>
  <c r="F284" i="13"/>
  <c r="B284" i="13"/>
  <c r="B283" i="13"/>
  <c r="B282" i="13"/>
  <c r="B276" i="13"/>
  <c r="B275" i="13"/>
  <c r="B274" i="13"/>
  <c r="B273" i="13"/>
  <c r="F267" i="13"/>
  <c r="B267" i="13"/>
  <c r="B266" i="13"/>
  <c r="F265" i="13"/>
  <c r="F266" i="13" s="1"/>
  <c r="B265" i="13"/>
  <c r="B259" i="13"/>
  <c r="B258" i="13"/>
  <c r="B257" i="13"/>
  <c r="B256" i="13"/>
  <c r="B255" i="13"/>
  <c r="B249" i="13"/>
  <c r="B248" i="13"/>
  <c r="B247" i="13"/>
  <c r="B246" i="13"/>
  <c r="B245" i="13"/>
  <c r="B244" i="13"/>
  <c r="B243" i="13"/>
  <c r="F237" i="13"/>
  <c r="B237" i="13"/>
  <c r="F236" i="13"/>
  <c r="B236" i="13"/>
  <c r="B235" i="13"/>
  <c r="F234" i="13"/>
  <c r="B234" i="13"/>
  <c r="B233" i="13"/>
  <c r="B232" i="13"/>
  <c r="B231" i="13"/>
  <c r="F230" i="13"/>
  <c r="B230" i="13"/>
  <c r="B229" i="13"/>
  <c r="B222" i="13"/>
  <c r="F221" i="13"/>
  <c r="B221" i="13"/>
  <c r="B220" i="13"/>
  <c r="B219" i="13"/>
  <c r="B218" i="13"/>
  <c r="B217" i="13"/>
  <c r="B216" i="13"/>
  <c r="F215" i="13"/>
  <c r="B215" i="13"/>
  <c r="B214" i="13"/>
  <c r="B213" i="13"/>
  <c r="B207" i="13"/>
  <c r="B206" i="13"/>
  <c r="B205" i="13"/>
  <c r="B204" i="13"/>
  <c r="B203" i="13"/>
  <c r="B197" i="13"/>
  <c r="B196" i="13"/>
  <c r="B195" i="13"/>
  <c r="B188" i="13"/>
  <c r="B187" i="13"/>
  <c r="B186" i="13"/>
  <c r="B185" i="13"/>
  <c r="B184" i="13"/>
  <c r="B183" i="13"/>
  <c r="B182" i="13"/>
  <c r="B176" i="13"/>
  <c r="B175" i="13"/>
  <c r="B174" i="13"/>
  <c r="B173" i="13"/>
  <c r="B172" i="13"/>
  <c r="B171" i="13"/>
  <c r="F165" i="13"/>
  <c r="B165" i="13"/>
  <c r="F164" i="13"/>
  <c r="B164" i="13"/>
  <c r="F163" i="13"/>
  <c r="B163" i="13"/>
  <c r="B162" i="13"/>
  <c r="B161" i="13"/>
  <c r="F160" i="13"/>
  <c r="B160" i="13"/>
  <c r="B159" i="13"/>
  <c r="B158" i="13"/>
  <c r="B152" i="13"/>
  <c r="F151" i="13"/>
  <c r="B151" i="13"/>
  <c r="F150" i="13"/>
  <c r="B150" i="13"/>
  <c r="F149" i="13"/>
  <c r="B149" i="13"/>
  <c r="F148" i="13"/>
  <c r="B148" i="13"/>
  <c r="F146" i="13"/>
  <c r="B146" i="13"/>
  <c r="F145" i="13"/>
  <c r="B145" i="13"/>
  <c r="F144" i="13"/>
  <c r="B144" i="13"/>
  <c r="F143" i="13"/>
  <c r="B143" i="13"/>
  <c r="F142" i="13"/>
  <c r="B142" i="13"/>
  <c r="F141" i="13"/>
  <c r="B141" i="13"/>
  <c r="F134" i="13"/>
  <c r="B134" i="13"/>
  <c r="B133" i="13"/>
  <c r="B132" i="13"/>
  <c r="B131" i="13"/>
  <c r="F130" i="13"/>
  <c r="F132" i="13" s="1"/>
  <c r="B130" i="13"/>
  <c r="F129" i="13"/>
  <c r="B129" i="13"/>
  <c r="F128" i="13"/>
  <c r="B128" i="13"/>
  <c r="B122" i="13"/>
  <c r="F121" i="13"/>
  <c r="B121" i="13"/>
  <c r="B120" i="13"/>
  <c r="B119" i="13"/>
  <c r="B118" i="13"/>
  <c r="B117" i="13"/>
  <c r="F116" i="13"/>
  <c r="B116" i="13"/>
  <c r="F115" i="13"/>
  <c r="B115" i="13"/>
  <c r="B114" i="13"/>
  <c r="B107" i="13"/>
  <c r="B106" i="13"/>
  <c r="B105" i="13"/>
  <c r="B104" i="13"/>
  <c r="B103" i="13"/>
  <c r="B102" i="13"/>
  <c r="F101" i="13"/>
  <c r="B101" i="13"/>
  <c r="B100" i="13"/>
  <c r="B99" i="13"/>
  <c r="F93" i="13"/>
  <c r="B93" i="13"/>
  <c r="B92" i="13"/>
  <c r="F91" i="13"/>
  <c r="B91" i="13"/>
  <c r="B90" i="13"/>
  <c r="B89" i="13"/>
  <c r="B88" i="13"/>
  <c r="F87" i="13"/>
  <c r="B87" i="13"/>
  <c r="B80" i="13"/>
  <c r="B79" i="13"/>
  <c r="B78" i="13"/>
  <c r="B77" i="13"/>
  <c r="B76" i="13"/>
  <c r="B75" i="13"/>
  <c r="F68" i="13"/>
  <c r="B68" i="13"/>
  <c r="F67" i="13"/>
  <c r="B67" i="13"/>
  <c r="B66" i="13"/>
  <c r="F65" i="13"/>
  <c r="B65" i="13"/>
  <c r="F64" i="13"/>
  <c r="B64" i="13"/>
  <c r="B55" i="13"/>
  <c r="B54" i="13"/>
  <c r="B53" i="13"/>
  <c r="B52" i="13"/>
  <c r="B51" i="13"/>
  <c r="B50" i="13"/>
  <c r="B49" i="13"/>
  <c r="F42" i="13"/>
  <c r="B42" i="13"/>
  <c r="F41" i="13"/>
  <c r="B41" i="13"/>
  <c r="B40" i="13"/>
  <c r="F39" i="13"/>
  <c r="B39" i="13"/>
  <c r="B38" i="13"/>
  <c r="B37" i="13"/>
  <c r="F36" i="13"/>
  <c r="F38" i="13" s="1"/>
  <c r="B36" i="13"/>
  <c r="B29" i="13"/>
  <c r="F28" i="13"/>
  <c r="B28" i="13"/>
  <c r="B26" i="13"/>
  <c r="F25" i="13"/>
  <c r="B25" i="13"/>
  <c r="B24" i="13"/>
  <c r="B23" i="13"/>
  <c r="F22" i="13"/>
  <c r="B22" i="13"/>
  <c r="B16" i="13"/>
  <c r="B24" i="28"/>
  <c r="A23" i="28"/>
  <c r="A24" i="28" s="1"/>
  <c r="A25" i="28" s="1"/>
  <c r="A26" i="28" s="1"/>
  <c r="BL61" i="53"/>
  <c r="BM61" i="53" s="1"/>
  <c r="BJ61" i="53"/>
  <c r="BK61" i="53" s="1"/>
  <c r="BH61" i="53"/>
  <c r="BI61" i="53" s="1"/>
  <c r="BF61" i="53"/>
  <c r="BG61" i="53" s="1"/>
  <c r="BD61" i="53"/>
  <c r="BE61" i="53" s="1"/>
  <c r="BL59" i="53"/>
  <c r="BM59" i="53" s="1"/>
  <c r="BJ59" i="53"/>
  <c r="BK59" i="53" s="1"/>
  <c r="BH59" i="53"/>
  <c r="BI59" i="53" s="1"/>
  <c r="BF59" i="53"/>
  <c r="BG59" i="53" s="1"/>
  <c r="BD59" i="53"/>
  <c r="BE59" i="53" s="1"/>
  <c r="BL57" i="53"/>
  <c r="BM57" i="53" s="1"/>
  <c r="BJ57" i="53"/>
  <c r="BK57" i="53" s="1"/>
  <c r="BH57" i="53"/>
  <c r="BI57" i="53" s="1"/>
  <c r="BF57" i="53"/>
  <c r="BG57" i="53" s="1"/>
  <c r="BD57" i="53"/>
  <c r="BE57" i="53" s="1"/>
  <c r="BL55" i="53"/>
  <c r="BM55" i="53" s="1"/>
  <c r="BJ55" i="53"/>
  <c r="BK55" i="53" s="1"/>
  <c r="BH55" i="53"/>
  <c r="BI55" i="53" s="1"/>
  <c r="BF55" i="53"/>
  <c r="BG55" i="53" s="1"/>
  <c r="BD55" i="53"/>
  <c r="BE55" i="53" s="1"/>
  <c r="BL53" i="53"/>
  <c r="BM53" i="53" s="1"/>
  <c r="BJ53" i="53"/>
  <c r="BK53" i="53" s="1"/>
  <c r="BH53" i="53"/>
  <c r="BI53" i="53" s="1"/>
  <c r="BF53" i="53"/>
  <c r="BG53" i="53" s="1"/>
  <c r="BD53" i="53"/>
  <c r="BE53" i="53" s="1"/>
  <c r="BN53" i="53" s="1"/>
  <c r="BL51" i="53"/>
  <c r="BM51" i="53" s="1"/>
  <c r="BJ51" i="53"/>
  <c r="BK51" i="53" s="1"/>
  <c r="BH51" i="53"/>
  <c r="BI51" i="53" s="1"/>
  <c r="BF51" i="53"/>
  <c r="BG51" i="53" s="1"/>
  <c r="BD51" i="53"/>
  <c r="BE51" i="53" s="1"/>
  <c r="BL49" i="53"/>
  <c r="BM49" i="53" s="1"/>
  <c r="BJ49" i="53"/>
  <c r="BK49" i="53" s="1"/>
  <c r="BH49" i="53"/>
  <c r="BI49" i="53" s="1"/>
  <c r="BF49" i="53"/>
  <c r="BG49" i="53" s="1"/>
  <c r="BD49" i="53"/>
  <c r="BE49" i="53" s="1"/>
  <c r="BL47" i="53"/>
  <c r="BM47" i="53" s="1"/>
  <c r="BJ47" i="53"/>
  <c r="BK47" i="53" s="1"/>
  <c r="BH47" i="53"/>
  <c r="BI47" i="53" s="1"/>
  <c r="BF47" i="53"/>
  <c r="BG47" i="53" s="1"/>
  <c r="BD47" i="53"/>
  <c r="BE47" i="53" s="1"/>
  <c r="E77" i="43"/>
  <c r="B76" i="43"/>
  <c r="B75" i="43"/>
  <c r="B74" i="43"/>
  <c r="B73" i="43"/>
  <c r="B72" i="43"/>
  <c r="B71" i="43"/>
  <c r="B70" i="43"/>
  <c r="B69" i="43"/>
  <c r="B68" i="43"/>
  <c r="B67" i="43"/>
  <c r="B66" i="43"/>
  <c r="B65" i="43"/>
  <c r="B64" i="43"/>
  <c r="B63" i="43"/>
  <c r="B62" i="43"/>
  <c r="B61" i="43"/>
  <c r="B60" i="43"/>
  <c r="B59" i="43"/>
  <c r="B58" i="43"/>
  <c r="B57" i="43"/>
  <c r="B56" i="43"/>
  <c r="B55" i="43"/>
  <c r="B54" i="43"/>
  <c r="B53" i="43"/>
  <c r="B52" i="43"/>
  <c r="B51" i="43"/>
  <c r="B50" i="43"/>
  <c r="B49" i="43"/>
  <c r="B48" i="43"/>
  <c r="B47" i="43"/>
  <c r="B46" i="43"/>
  <c r="B45" i="43"/>
  <c r="B44" i="43"/>
  <c r="B43" i="43"/>
  <c r="B42" i="43"/>
  <c r="B41" i="43"/>
  <c r="B40" i="43"/>
  <c r="B39" i="43"/>
  <c r="B38" i="43"/>
  <c r="B37" i="43"/>
  <c r="B36" i="43"/>
  <c r="B35" i="43"/>
  <c r="B34" i="43"/>
  <c r="B33" i="43"/>
  <c r="B32" i="43"/>
  <c r="B31" i="43"/>
  <c r="B30" i="43"/>
  <c r="B29" i="43"/>
  <c r="B28" i="43"/>
  <c r="B27" i="43"/>
  <c r="B26" i="43"/>
  <c r="B25" i="43"/>
  <c r="B24" i="43"/>
  <c r="B23" i="43"/>
  <c r="B22" i="43"/>
  <c r="B21" i="43"/>
  <c r="B20" i="43"/>
  <c r="B19" i="43"/>
  <c r="B18" i="43"/>
  <c r="B17" i="43"/>
  <c r="K16" i="43"/>
  <c r="BL45" i="53" s="1"/>
  <c r="K15" i="43"/>
  <c r="BJ45" i="53" s="1"/>
  <c r="K14" i="43"/>
  <c r="BH45" i="53" s="1"/>
  <c r="C14" i="43"/>
  <c r="B15" i="43" s="1"/>
  <c r="B14" i="43"/>
  <c r="K13" i="43"/>
  <c r="BF45" i="53" s="1"/>
  <c r="B13" i="43"/>
  <c r="A13" i="43"/>
  <c r="A14" i="43" s="1"/>
  <c r="A15" i="43" s="1"/>
  <c r="A16" i="43" s="1"/>
  <c r="A17" i="43" s="1"/>
  <c r="A18" i="43" s="1"/>
  <c r="A19" i="43" s="1"/>
  <c r="A20" i="43" s="1"/>
  <c r="A21" i="43" s="1"/>
  <c r="A22" i="43" s="1"/>
  <c r="A23" i="43" s="1"/>
  <c r="A24" i="43" s="1"/>
  <c r="A25" i="43" s="1"/>
  <c r="A26" i="43" s="1"/>
  <c r="A27" i="43" s="1"/>
  <c r="A28" i="43" s="1"/>
  <c r="A29" i="43" s="1"/>
  <c r="A30" i="43" s="1"/>
  <c r="A31" i="43" s="1"/>
  <c r="A32" i="43" s="1"/>
  <c r="A33" i="43" s="1"/>
  <c r="A34" i="43" s="1"/>
  <c r="A35" i="43" s="1"/>
  <c r="A36" i="43" s="1"/>
  <c r="A37" i="43" s="1"/>
  <c r="A38" i="43" s="1"/>
  <c r="A39" i="43" s="1"/>
  <c r="A40" i="43" s="1"/>
  <c r="A41" i="43" s="1"/>
  <c r="A42" i="43" s="1"/>
  <c r="A43" i="43" s="1"/>
  <c r="A44" i="43" s="1"/>
  <c r="A45" i="43" s="1"/>
  <c r="A46" i="43" s="1"/>
  <c r="A47" i="43" s="1"/>
  <c r="A48" i="43" s="1"/>
  <c r="A49" i="43" s="1"/>
  <c r="A50" i="43" s="1"/>
  <c r="A51" i="43" s="1"/>
  <c r="A52" i="43" s="1"/>
  <c r="A53" i="43" s="1"/>
  <c r="A54" i="43" s="1"/>
  <c r="A55" i="43" s="1"/>
  <c r="A56" i="43" s="1"/>
  <c r="A57" i="43" s="1"/>
  <c r="A58" i="43" s="1"/>
  <c r="A59" i="43" s="1"/>
  <c r="A60" i="43" s="1"/>
  <c r="A61" i="43" s="1"/>
  <c r="A62" i="43" s="1"/>
  <c r="A63" i="43" s="1"/>
  <c r="A64" i="43" s="1"/>
  <c r="A65" i="43" s="1"/>
  <c r="A66" i="43" s="1"/>
  <c r="A67" i="43" s="1"/>
  <c r="A68" i="43" s="1"/>
  <c r="A69" i="43" s="1"/>
  <c r="A70" i="43" s="1"/>
  <c r="A71" i="43" s="1"/>
  <c r="A72" i="43" s="1"/>
  <c r="A73" i="43" s="1"/>
  <c r="A74" i="43" s="1"/>
  <c r="A75" i="43" s="1"/>
  <c r="A76" i="43" s="1"/>
  <c r="K12" i="43"/>
  <c r="BD45" i="53" s="1"/>
  <c r="BI62" i="50"/>
  <c r="BJ62" i="50" s="1"/>
  <c r="BG62" i="50"/>
  <c r="BH62" i="50" s="1"/>
  <c r="BE62" i="50"/>
  <c r="BF62" i="50" s="1"/>
  <c r="BI60" i="50"/>
  <c r="BJ60" i="50" s="1"/>
  <c r="BG60" i="50"/>
  <c r="BH60" i="50" s="1"/>
  <c r="BE60" i="50"/>
  <c r="BF60" i="50" s="1"/>
  <c r="BI58" i="50"/>
  <c r="BJ58" i="50" s="1"/>
  <c r="BG58" i="50"/>
  <c r="BH58" i="50" s="1"/>
  <c r="BE58" i="50"/>
  <c r="BF58" i="50" s="1"/>
  <c r="BI56" i="50"/>
  <c r="BJ56" i="50" s="1"/>
  <c r="BG56" i="50"/>
  <c r="BH56" i="50" s="1"/>
  <c r="BE56" i="50"/>
  <c r="BF56" i="50" s="1"/>
  <c r="BI54" i="50"/>
  <c r="BJ54" i="50" s="1"/>
  <c r="BG54" i="50"/>
  <c r="BH54" i="50" s="1"/>
  <c r="BE54" i="50"/>
  <c r="BF54" i="50" s="1"/>
  <c r="BI52" i="50"/>
  <c r="BJ52" i="50" s="1"/>
  <c r="BG52" i="50"/>
  <c r="BH52" i="50" s="1"/>
  <c r="BE52" i="50"/>
  <c r="BF52" i="50" s="1"/>
  <c r="BI50" i="50"/>
  <c r="BJ50" i="50" s="1"/>
  <c r="BG50" i="50"/>
  <c r="BH50" i="50" s="1"/>
  <c r="BE50" i="50"/>
  <c r="BF50" i="50" s="1"/>
  <c r="BI48" i="50"/>
  <c r="BJ48" i="50" s="1"/>
  <c r="BG48" i="50"/>
  <c r="BH48" i="50" s="1"/>
  <c r="BE48" i="50"/>
  <c r="BF48" i="50" s="1"/>
  <c r="BG12" i="50"/>
  <c r="E37" i="27"/>
  <c r="B37" i="27"/>
  <c r="E35" i="27"/>
  <c r="E33" i="27"/>
  <c r="D33" i="27"/>
  <c r="E31" i="27"/>
  <c r="B31" i="27"/>
  <c r="E29" i="27"/>
  <c r="B29" i="27"/>
  <c r="E27" i="27"/>
  <c r="B27" i="27"/>
  <c r="E25" i="27"/>
  <c r="H23" i="27"/>
  <c r="E23" i="27"/>
  <c r="B23" i="27"/>
  <c r="H21" i="27"/>
  <c r="E21" i="27"/>
  <c r="B21" i="27"/>
  <c r="H19" i="27"/>
  <c r="E19" i="27"/>
  <c r="B19" i="27"/>
  <c r="H17" i="27"/>
  <c r="E17" i="27"/>
  <c r="B17" i="27"/>
  <c r="H15" i="27"/>
  <c r="E15" i="27"/>
  <c r="B15" i="27"/>
  <c r="H13" i="27"/>
  <c r="E13" i="27"/>
  <c r="D25" i="3"/>
  <c r="F20" i="3"/>
  <c r="F25" i="3" s="1"/>
  <c r="BN47" i="53" l="1"/>
  <c r="F518" i="13"/>
  <c r="J14" i="27"/>
  <c r="BE46" i="50" s="1"/>
  <c r="BF46" i="50" s="1"/>
  <c r="BN51" i="53"/>
  <c r="BN61" i="53"/>
  <c r="BM60" i="50"/>
  <c r="BN57" i="53"/>
  <c r="E38" i="27"/>
  <c r="J16" i="27"/>
  <c r="BI46" i="50" s="1"/>
  <c r="BJ46" i="50" s="1"/>
  <c r="BM54" i="50"/>
  <c r="U14" i="40"/>
  <c r="Q14" i="40"/>
  <c r="Q19" i="40" s="1"/>
  <c r="BM48" i="50"/>
  <c r="BM52" i="50"/>
  <c r="J15" i="27"/>
  <c r="BG46" i="50" s="1"/>
  <c r="BH46" i="50" s="1"/>
  <c r="BM46" i="50" s="1"/>
  <c r="BM62" i="50"/>
  <c r="BM58" i="50"/>
  <c r="BN49" i="53"/>
  <c r="BN59" i="53"/>
  <c r="B16" i="43"/>
  <c r="F506" i="13"/>
  <c r="H1088" i="13"/>
  <c r="E53" i="32"/>
  <c r="P53" i="32" s="1"/>
  <c r="BN55" i="53"/>
  <c r="G19" i="41"/>
  <c r="G15" i="41"/>
  <c r="G18" i="41"/>
  <c r="G17" i="41"/>
  <c r="K17" i="43"/>
  <c r="BK45" i="53" s="1"/>
  <c r="G16" i="41"/>
  <c r="BM50" i="50"/>
  <c r="BM56" i="50"/>
  <c r="J9" i="32"/>
  <c r="F1126" i="13"/>
  <c r="I1186" i="13"/>
  <c r="I1187" i="13" s="1"/>
  <c r="I1188" i="13" s="1"/>
  <c r="I1189" i="13" s="1"/>
  <c r="M17" i="18" s="1"/>
  <c r="M23" i="18" s="1"/>
  <c r="H1053" i="13"/>
  <c r="H1054" i="13" s="1"/>
  <c r="F451" i="13"/>
  <c r="F452" i="13"/>
  <c r="H1100" i="13"/>
  <c r="F498" i="13"/>
  <c r="F509" i="13" s="1"/>
  <c r="F501" i="13"/>
  <c r="H1058" i="13"/>
  <c r="H1078" i="13"/>
  <c r="H1127" i="13"/>
  <c r="H1125" i="13"/>
  <c r="F37" i="13"/>
  <c r="F510" i="13"/>
  <c r="F738" i="13"/>
  <c r="F896" i="13"/>
  <c r="F1025" i="13"/>
  <c r="F1022" i="13"/>
  <c r="F862" i="13"/>
  <c r="F17" i="12" l="1"/>
  <c r="F19" i="12"/>
  <c r="F18" i="12"/>
  <c r="J53" i="32"/>
  <c r="J17" i="27"/>
  <c r="H1066" i="13"/>
  <c r="H1067" i="13" s="1"/>
  <c r="H1068" i="13" s="1"/>
  <c r="G20" i="41"/>
  <c r="H19" i="41" s="1"/>
  <c r="BI45" i="53"/>
  <c r="BG45" i="53"/>
  <c r="BE45" i="53"/>
  <c r="BM45" i="53"/>
  <c r="F20" i="12"/>
  <c r="G18" i="12" s="1"/>
  <c r="H16" i="41" l="1"/>
  <c r="H17" i="41"/>
  <c r="H15" i="41"/>
  <c r="H18" i="41"/>
  <c r="BN45" i="53"/>
  <c r="G17" i="12"/>
  <c r="G19" i="12"/>
  <c r="H20" i="41" l="1"/>
  <c r="G20" i="12"/>
  <c r="D147" i="13" l="1"/>
  <c r="D27" i="13"/>
  <c r="D928" i="13" l="1"/>
  <c r="D850" i="13"/>
  <c r="D566" i="13"/>
  <c r="D1032" i="13"/>
  <c r="D842" i="13"/>
  <c r="D860" i="13"/>
  <c r="D1010" i="13"/>
  <c r="D497" i="13"/>
  <c r="D496" i="13"/>
  <c r="D411" i="13"/>
  <c r="D510" i="13"/>
  <c r="D511" i="13"/>
  <c r="D1011" i="13"/>
  <c r="D1041" i="13" l="1"/>
  <c r="D974" i="13"/>
  <c r="D654" i="13"/>
  <c r="D679" i="13"/>
  <c r="D611" i="13"/>
  <c r="D594" i="13"/>
  <c r="D627" i="13"/>
  <c r="D1042" i="13"/>
  <c r="D975" i="13"/>
  <c r="D906" i="13"/>
  <c r="D840" i="13"/>
  <c r="D718" i="13"/>
  <c r="D680" i="13"/>
  <c r="D655" i="13"/>
  <c r="D628" i="13"/>
  <c r="D596" i="13"/>
  <c r="D612" i="13"/>
  <c r="D214" i="13"/>
  <c r="D142" i="13"/>
  <c r="D115" i="13"/>
  <c r="D100" i="13"/>
  <c r="D998" i="13"/>
  <c r="D1021" i="13"/>
  <c r="D861" i="13"/>
  <c r="D823" i="13"/>
  <c r="D780" i="13"/>
  <c r="D735" i="13"/>
  <c r="D575" i="13"/>
  <c r="D468" i="13"/>
  <c r="D451" i="13"/>
  <c r="D433" i="13"/>
  <c r="D384" i="13"/>
  <c r="D1024" i="13"/>
  <c r="D1000" i="13"/>
  <c r="D1023" i="13"/>
  <c r="D907" i="13"/>
  <c r="D862" i="13"/>
  <c r="D841" i="13"/>
  <c r="D824" i="13"/>
  <c r="D784" i="13"/>
  <c r="D739" i="13"/>
  <c r="D719" i="13"/>
  <c r="D576" i="13"/>
  <c r="D434" i="13"/>
  <c r="D385" i="13"/>
  <c r="D469" i="13"/>
  <c r="D452" i="13"/>
  <c r="D418" i="13"/>
  <c r="D143" i="13"/>
  <c r="D944" i="13"/>
  <c r="D1044" i="13"/>
  <c r="D984" i="13"/>
  <c r="D977" i="13"/>
  <c r="D965" i="13"/>
  <c r="D956" i="13"/>
  <c r="D922" i="13"/>
  <c r="D909" i="13"/>
  <c r="D864" i="13"/>
  <c r="D826" i="13"/>
  <c r="D811" i="13"/>
  <c r="D798" i="13"/>
  <c r="D892" i="13"/>
  <c r="D879" i="13"/>
  <c r="D844" i="13"/>
  <c r="D694" i="13"/>
  <c r="D682" i="13"/>
  <c r="D643" i="13"/>
  <c r="D657" i="13"/>
  <c r="D782" i="13"/>
  <c r="D766" i="13"/>
  <c r="D752" i="13"/>
  <c r="D737" i="13"/>
  <c r="D721" i="13"/>
  <c r="D706" i="13"/>
  <c r="D630" i="13"/>
  <c r="D598" i="13"/>
  <c r="D578" i="13"/>
  <c r="D614" i="13"/>
  <c r="D564" i="13"/>
  <c r="D553" i="13"/>
  <c r="D542" i="13"/>
  <c r="D436" i="13"/>
  <c r="D419" i="13"/>
  <c r="D404" i="13"/>
  <c r="D387" i="13"/>
  <c r="D358" i="13"/>
  <c r="D338" i="13"/>
  <c r="D325" i="13"/>
  <c r="D297" i="13"/>
  <c r="D526" i="13"/>
  <c r="D499" i="13"/>
  <c r="D484" i="13"/>
  <c r="D471" i="13"/>
  <c r="D454" i="13"/>
  <c r="D372" i="13"/>
  <c r="D348" i="13"/>
  <c r="D311" i="13"/>
  <c r="D273" i="13"/>
  <c r="D255" i="13"/>
  <c r="D215" i="13"/>
  <c r="D159" i="13"/>
  <c r="D283" i="13"/>
  <c r="D265" i="13"/>
  <c r="D243" i="13"/>
  <c r="D230" i="13"/>
  <c r="D203" i="13"/>
  <c r="D182" i="13"/>
  <c r="D144" i="13"/>
  <c r="D128" i="13"/>
  <c r="D101" i="13"/>
  <c r="D64" i="13"/>
  <c r="D36" i="13"/>
  <c r="D22" i="13"/>
  <c r="D116" i="13"/>
  <c r="D87" i="13"/>
  <c r="D75" i="13"/>
  <c r="D49" i="13"/>
  <c r="D266" i="13"/>
  <c r="D23" i="13"/>
  <c r="D37" i="13"/>
  <c r="D501" i="13"/>
  <c r="D16" i="13"/>
  <c r="D866" i="13"/>
  <c r="D785" i="13"/>
  <c r="D846" i="13"/>
  <c r="D829" i="13"/>
  <c r="D740" i="13"/>
  <c r="D567" i="13"/>
  <c r="D581" i="13"/>
  <c r="D457" i="13"/>
  <c r="D438" i="13"/>
  <c r="D421" i="13"/>
  <c r="D406" i="13"/>
  <c r="D389" i="13"/>
  <c r="D360" i="13"/>
  <c r="D528" i="13"/>
  <c r="D473" i="13"/>
  <c r="D350" i="13"/>
  <c r="D313" i="13"/>
  <c r="D300" i="13"/>
  <c r="D257" i="13"/>
  <c r="D217" i="13"/>
  <c r="D197" i="13"/>
  <c r="D267" i="13"/>
  <c r="D245" i="13"/>
  <c r="D184" i="13"/>
  <c r="D146" i="13"/>
  <c r="D103" i="13"/>
  <c r="D118" i="13"/>
  <c r="D51" i="13"/>
  <c r="D39" i="13"/>
  <c r="D986" i="13"/>
  <c r="D935" i="13"/>
  <c r="D924" i="13"/>
  <c r="D911" i="13"/>
  <c r="D894" i="13"/>
  <c r="D881" i="13"/>
  <c r="D847" i="13"/>
  <c r="D813" i="13"/>
  <c r="D800" i="13"/>
  <c r="D696" i="13"/>
  <c r="D684" i="13"/>
  <c r="D645" i="13"/>
  <c r="D672" i="13"/>
  <c r="D659" i="13"/>
  <c r="D768" i="13"/>
  <c r="D754" i="13"/>
  <c r="D723" i="13"/>
  <c r="D708" i="13"/>
  <c r="D632" i="13"/>
  <c r="D600" i="13"/>
  <c r="D616" i="13"/>
  <c r="D529" i="13"/>
  <c r="D502" i="13"/>
  <c r="D408" i="13"/>
  <c r="D327" i="13"/>
  <c r="D439" i="13"/>
  <c r="D422" i="13"/>
  <c r="D390" i="13"/>
  <c r="D285" i="13"/>
  <c r="D258" i="13"/>
  <c r="D232" i="13"/>
  <c r="D161" i="13"/>
  <c r="D130" i="13"/>
  <c r="D89" i="13"/>
  <c r="D25" i="13"/>
  <c r="D987" i="13"/>
  <c r="D895" i="13"/>
  <c r="D882" i="13"/>
  <c r="D925" i="13"/>
  <c r="D912" i="13"/>
  <c r="D769" i="13"/>
  <c r="D848" i="13"/>
  <c r="D814" i="13"/>
  <c r="D755" i="13"/>
  <c r="D724" i="13"/>
  <c r="D709" i="13"/>
  <c r="D660" i="13"/>
  <c r="D801" i="13"/>
  <c r="D697" i="13"/>
  <c r="D685" i="13"/>
  <c r="D646" i="13"/>
  <c r="D617" i="13"/>
  <c r="D633" i="13"/>
  <c r="D601" i="13"/>
  <c r="D340" i="13"/>
  <c r="D486" i="13"/>
  <c r="D407" i="13"/>
  <c r="D374" i="13"/>
  <c r="D328" i="13"/>
  <c r="D286" i="13"/>
  <c r="D233" i="13"/>
  <c r="D162" i="13"/>
  <c r="D90" i="13"/>
  <c r="D66" i="13"/>
  <c r="D40" i="13"/>
  <c r="D26" i="13"/>
  <c r="D131" i="13"/>
  <c r="D989" i="13"/>
  <c r="D914" i="13"/>
  <c r="D726" i="13"/>
  <c r="D662" i="13"/>
  <c r="D687" i="13"/>
  <c r="D619" i="13"/>
  <c r="D635" i="13"/>
  <c r="D603" i="13"/>
  <c r="D392" i="13"/>
  <c r="D991" i="13"/>
  <c r="D948" i="13"/>
  <c r="D897" i="13"/>
  <c r="D884" i="13"/>
  <c r="D851" i="13"/>
  <c r="D832" i="13"/>
  <c r="D771" i="13"/>
  <c r="D927" i="13"/>
  <c r="D869" i="13"/>
  <c r="D816" i="13"/>
  <c r="D803" i="13"/>
  <c r="D788" i="13"/>
  <c r="D757" i="13"/>
  <c r="D664" i="13"/>
  <c r="D743" i="13"/>
  <c r="D699" i="13"/>
  <c r="D584" i="13"/>
  <c r="D569" i="13"/>
  <c r="D504" i="13"/>
  <c r="D487" i="13"/>
  <c r="D476" i="13"/>
  <c r="D442" i="13"/>
  <c r="D410" i="13"/>
  <c r="D375" i="13"/>
  <c r="D303" i="13"/>
  <c r="D556" i="13"/>
  <c r="D545" i="13"/>
  <c r="D532" i="13"/>
  <c r="D460" i="13"/>
  <c r="D424" i="13"/>
  <c r="D394" i="13"/>
  <c r="D363" i="13"/>
  <c r="D341" i="13"/>
  <c r="D330" i="13"/>
  <c r="D317" i="13"/>
  <c r="D288" i="13"/>
  <c r="D275" i="13"/>
  <c r="D248" i="13"/>
  <c r="D206" i="13"/>
  <c r="D236" i="13"/>
  <c r="D220" i="13"/>
  <c r="D186" i="13"/>
  <c r="D175" i="13"/>
  <c r="D164" i="13"/>
  <c r="D150" i="13"/>
  <c r="D121" i="13"/>
  <c r="D92" i="13"/>
  <c r="D54" i="13"/>
  <c r="D28" i="13"/>
  <c r="D133" i="13"/>
  <c r="D106" i="13"/>
  <c r="D79" i="13"/>
  <c r="D67" i="13"/>
  <c r="D41" i="13"/>
  <c r="D535" i="13"/>
  <c r="D397" i="13"/>
  <c r="D507" i="13"/>
  <c r="D992" i="13"/>
  <c r="D898" i="13"/>
  <c r="D885" i="13"/>
  <c r="D817" i="13"/>
  <c r="D804" i="13"/>
  <c r="D871" i="13"/>
  <c r="D852" i="13"/>
  <c r="D700" i="13"/>
  <c r="D790" i="13"/>
  <c r="D772" i="13"/>
  <c r="D758" i="13"/>
  <c r="D745" i="13"/>
  <c r="D665" i="13"/>
  <c r="D557" i="13"/>
  <c r="D546" i="13"/>
  <c r="D508" i="13"/>
  <c r="D444" i="13"/>
  <c r="D342" i="13"/>
  <c r="D331" i="13"/>
  <c r="D305" i="13"/>
  <c r="D536" i="13"/>
  <c r="D488" i="13"/>
  <c r="D462" i="13"/>
  <c r="D426" i="13"/>
  <c r="D398" i="13"/>
  <c r="D376" i="13"/>
  <c r="D289" i="13"/>
  <c r="D237" i="13"/>
  <c r="D165" i="13"/>
  <c r="D222" i="13"/>
  <c r="D152" i="13"/>
  <c r="D134" i="13"/>
  <c r="D68" i="13"/>
  <c r="D42" i="13"/>
  <c r="D29" i="13"/>
  <c r="D364" i="13"/>
  <c r="D318" i="13"/>
  <c r="D176" i="13"/>
  <c r="D276" i="13"/>
  <c r="D249" i="13"/>
  <c r="D207" i="13"/>
  <c r="D188" i="13"/>
  <c r="D80" i="13"/>
  <c r="D55" i="13"/>
  <c r="D983" i="13"/>
  <c r="D964" i="13"/>
  <c r="D955" i="13"/>
  <c r="D943" i="13"/>
  <c r="D905" i="13"/>
  <c r="D891" i="13"/>
  <c r="D878" i="13"/>
  <c r="D934" i="13"/>
  <c r="D921" i="13"/>
  <c r="D839" i="13"/>
  <c r="D779" i="13"/>
  <c r="D859" i="13"/>
  <c r="D810" i="13"/>
  <c r="D765" i="13"/>
  <c r="D734" i="13"/>
  <c r="D678" i="13"/>
  <c r="D671" i="13"/>
  <c r="D717" i="13"/>
  <c r="D653" i="13"/>
  <c r="D642" i="13"/>
  <c r="D626" i="13"/>
  <c r="D563" i="13"/>
  <c r="D610" i="13"/>
  <c r="D595" i="13"/>
  <c r="D525" i="13"/>
  <c r="D483" i="13"/>
  <c r="D432" i="13"/>
  <c r="D417" i="13"/>
  <c r="D383" i="13"/>
  <c r="D552" i="13"/>
  <c r="D450" i="13"/>
  <c r="D337" i="13"/>
  <c r="D324" i="13"/>
  <c r="D296" i="13"/>
  <c r="D282" i="13"/>
  <c r="D229" i="13"/>
  <c r="D213" i="13"/>
  <c r="D195" i="13"/>
  <c r="D171" i="13"/>
  <c r="D158" i="13"/>
  <c r="D99" i="13"/>
  <c r="D141" i="13"/>
  <c r="D114" i="13"/>
  <c r="D518" i="13"/>
  <c r="D509" i="13"/>
  <c r="D517" i="13"/>
  <c r="D498" i="13"/>
  <c r="D1022" i="13"/>
  <c r="D999" i="13"/>
  <c r="D1025" i="13"/>
  <c r="D1001" i="13"/>
  <c r="D1026" i="13"/>
  <c r="D1002" i="13"/>
  <c r="D908" i="13"/>
  <c r="D843" i="13"/>
  <c r="D781" i="13"/>
  <c r="D863" i="13"/>
  <c r="D825" i="13"/>
  <c r="D736" i="13"/>
  <c r="D720" i="13"/>
  <c r="D577" i="13"/>
  <c r="D470" i="13"/>
  <c r="D453" i="13"/>
  <c r="D435" i="13"/>
  <c r="D386" i="13"/>
  <c r="D1043" i="13"/>
  <c r="D976" i="13"/>
  <c r="D656" i="13"/>
  <c r="D681" i="13"/>
  <c r="D613" i="13"/>
  <c r="D629" i="13"/>
  <c r="D597" i="13"/>
  <c r="D985" i="13"/>
  <c r="D966" i="13"/>
  <c r="D957" i="13"/>
  <c r="D945" i="13"/>
  <c r="D893" i="13"/>
  <c r="D880" i="13"/>
  <c r="D845" i="13"/>
  <c r="D783" i="13"/>
  <c r="D923" i="13"/>
  <c r="D910" i="13"/>
  <c r="D865" i="13"/>
  <c r="D827" i="13"/>
  <c r="D812" i="13"/>
  <c r="D799" i="13"/>
  <c r="D767" i="13"/>
  <c r="D753" i="13"/>
  <c r="D738" i="13"/>
  <c r="D722" i="13"/>
  <c r="D707" i="13"/>
  <c r="D658" i="13"/>
  <c r="D644" i="13"/>
  <c r="D695" i="13"/>
  <c r="D683" i="13"/>
  <c r="D615" i="13"/>
  <c r="D565" i="13"/>
  <c r="D579" i="13"/>
  <c r="D631" i="13"/>
  <c r="D599" i="13"/>
  <c r="D527" i="13"/>
  <c r="D500" i="13"/>
  <c r="D485" i="13"/>
  <c r="D472" i="13"/>
  <c r="D455" i="13"/>
  <c r="D373" i="13"/>
  <c r="D349" i="13"/>
  <c r="D312" i="13"/>
  <c r="D554" i="13"/>
  <c r="D543" i="13"/>
  <c r="D437" i="13"/>
  <c r="D420" i="13"/>
  <c r="D405" i="13"/>
  <c r="D388" i="13"/>
  <c r="D359" i="13"/>
  <c r="D339" i="13"/>
  <c r="D326" i="13"/>
  <c r="D298" i="13"/>
  <c r="D284" i="13"/>
  <c r="D244" i="13"/>
  <c r="D231" i="13"/>
  <c r="D204" i="13"/>
  <c r="D183" i="13"/>
  <c r="D172" i="13"/>
  <c r="D274" i="13"/>
  <c r="D256" i="13"/>
  <c r="D216" i="13"/>
  <c r="D196" i="13"/>
  <c r="D160" i="13"/>
  <c r="D117" i="13"/>
  <c r="D88" i="13"/>
  <c r="D76" i="13"/>
  <c r="D50" i="13"/>
  <c r="D38" i="13"/>
  <c r="D24" i="13"/>
  <c r="D145" i="13"/>
  <c r="D129" i="13"/>
  <c r="D102" i="13"/>
  <c r="D65" i="13"/>
  <c r="D828" i="13"/>
  <c r="D580" i="13"/>
  <c r="D299" i="13"/>
  <c r="D456" i="13"/>
  <c r="D314" i="13"/>
  <c r="D361" i="13"/>
  <c r="D246" i="13"/>
  <c r="D185" i="13"/>
  <c r="D205" i="13"/>
  <c r="D173" i="13"/>
  <c r="D52" i="13"/>
  <c r="D77" i="13"/>
  <c r="D988" i="13"/>
  <c r="D926" i="13"/>
  <c r="D913" i="13"/>
  <c r="D849" i="13"/>
  <c r="D830" i="13"/>
  <c r="D815" i="13"/>
  <c r="D802" i="13"/>
  <c r="D896" i="13"/>
  <c r="D883" i="13"/>
  <c r="D867" i="13"/>
  <c r="D770" i="13"/>
  <c r="D698" i="13"/>
  <c r="D686" i="13"/>
  <c r="D647" i="13"/>
  <c r="D786" i="13"/>
  <c r="D756" i="13"/>
  <c r="D741" i="13"/>
  <c r="D725" i="13"/>
  <c r="D710" i="13"/>
  <c r="D661" i="13"/>
  <c r="D634" i="13"/>
  <c r="D602" i="13"/>
  <c r="D582" i="13"/>
  <c r="D568" i="13"/>
  <c r="D618" i="13"/>
  <c r="D474" i="13"/>
  <c r="D440" i="13"/>
  <c r="D391" i="13"/>
  <c r="D362" i="13"/>
  <c r="D351" i="13"/>
  <c r="D301" i="13"/>
  <c r="D530" i="13"/>
  <c r="D503" i="13"/>
  <c r="D458" i="13"/>
  <c r="D409" i="13"/>
  <c r="D315" i="13"/>
  <c r="D259" i="13"/>
  <c r="D187" i="13"/>
  <c r="D247" i="13"/>
  <c r="D234" i="13"/>
  <c r="D218" i="13"/>
  <c r="D148" i="13"/>
  <c r="D132" i="13"/>
  <c r="D119" i="13"/>
  <c r="D104" i="13"/>
  <c r="D91" i="13"/>
  <c r="D53" i="13"/>
  <c r="D990" i="13"/>
  <c r="D967" i="13"/>
  <c r="D958" i="13"/>
  <c r="D947" i="13"/>
  <c r="D915" i="13"/>
  <c r="D868" i="13"/>
  <c r="D853" i="13"/>
  <c r="D787" i="13"/>
  <c r="D831" i="13"/>
  <c r="D742" i="13"/>
  <c r="D711" i="13"/>
  <c r="D688" i="13"/>
  <c r="D663" i="13"/>
  <c r="D727" i="13"/>
  <c r="D636" i="13"/>
  <c r="D604" i="13"/>
  <c r="D620" i="13"/>
  <c r="D583" i="13"/>
  <c r="D555" i="13"/>
  <c r="D544" i="13"/>
  <c r="D531" i="13"/>
  <c r="D459" i="13"/>
  <c r="D423" i="13"/>
  <c r="D393" i="13"/>
  <c r="D329" i="13"/>
  <c r="D316" i="13"/>
  <c r="D475" i="13"/>
  <c r="D441" i="13"/>
  <c r="D352" i="13"/>
  <c r="D302" i="13"/>
  <c r="D235" i="13"/>
  <c r="D219" i="13"/>
  <c r="D174" i="13"/>
  <c r="D287" i="13"/>
  <c r="D163" i="13"/>
  <c r="D105" i="13"/>
  <c r="D78" i="13"/>
  <c r="D149" i="13"/>
  <c r="D120" i="13"/>
  <c r="D949" i="13"/>
  <c r="D870" i="13"/>
  <c r="D789" i="13"/>
  <c r="D833" i="13"/>
  <c r="D744" i="13"/>
  <c r="D585" i="13"/>
  <c r="D533" i="13"/>
  <c r="D461" i="13"/>
  <c r="D425" i="13"/>
  <c r="D395" i="13"/>
  <c r="D505" i="13"/>
  <c r="D477" i="13"/>
  <c r="D443" i="13"/>
  <c r="D304" i="13"/>
  <c r="D221" i="13"/>
  <c r="D107" i="13"/>
  <c r="D151" i="13"/>
  <c r="D122" i="13"/>
  <c r="D93" i="13"/>
  <c r="D506" i="13"/>
  <c r="D534" i="13"/>
  <c r="D396" i="13"/>
  <c r="G511" i="13" l="1"/>
  <c r="H511" i="13" s="1"/>
  <c r="G510" i="13" l="1"/>
  <c r="H510" i="13" s="1"/>
  <c r="G1011" i="13"/>
  <c r="H1011" i="13" s="1"/>
  <c r="G860" i="13" l="1"/>
  <c r="H860" i="13" s="1"/>
  <c r="G496" i="13" l="1"/>
  <c r="H496" i="13" s="1"/>
  <c r="G842" i="13"/>
  <c r="H842" i="13" s="1"/>
  <c r="G928" i="13"/>
  <c r="H928" i="13" s="1"/>
  <c r="G497" i="13"/>
  <c r="H497" i="13" s="1"/>
  <c r="G147" i="13" l="1"/>
  <c r="H147" i="13" s="1"/>
  <c r="G27" i="13"/>
  <c r="H27" i="13" s="1"/>
  <c r="G517" i="13"/>
  <c r="H517" i="13" s="1"/>
  <c r="G498" i="13"/>
  <c r="H498" i="13" s="1"/>
  <c r="G991" i="13"/>
  <c r="H991" i="13" s="1"/>
  <c r="G948" i="13"/>
  <c r="H948" i="13" s="1"/>
  <c r="G897" i="13"/>
  <c r="H897" i="13" s="1"/>
  <c r="G884" i="13"/>
  <c r="H884" i="13" s="1"/>
  <c r="G927" i="13"/>
  <c r="H927" i="13" s="1"/>
  <c r="G869" i="13"/>
  <c r="H869" i="13" s="1"/>
  <c r="G816" i="13"/>
  <c r="H816" i="13" s="1"/>
  <c r="G771" i="13"/>
  <c r="H771" i="13" s="1"/>
  <c r="G757" i="13"/>
  <c r="H757" i="13" s="1"/>
  <c r="G851" i="13"/>
  <c r="G832" i="13"/>
  <c r="H832" i="13" s="1"/>
  <c r="G803" i="13"/>
  <c r="H803" i="13" s="1"/>
  <c r="G788" i="13"/>
  <c r="H788" i="13" s="1"/>
  <c r="G743" i="13"/>
  <c r="H743" i="13" s="1"/>
  <c r="G699" i="13"/>
  <c r="H699" i="13" s="1"/>
  <c r="G664" i="13"/>
  <c r="H664" i="13" s="1"/>
  <c r="G584" i="13"/>
  <c r="H584" i="13" s="1"/>
  <c r="G569" i="13"/>
  <c r="H569" i="13" s="1"/>
  <c r="G556" i="13"/>
  <c r="H556" i="13" s="1"/>
  <c r="G545" i="13"/>
  <c r="H545" i="13" s="1"/>
  <c r="G504" i="13"/>
  <c r="H504" i="13" s="1"/>
  <c r="G487" i="13"/>
  <c r="H487" i="13" s="1"/>
  <c r="G476" i="13"/>
  <c r="H476" i="13" s="1"/>
  <c r="G442" i="13"/>
  <c r="H442" i="13" s="1"/>
  <c r="G410" i="13"/>
  <c r="H410" i="13" s="1"/>
  <c r="G375" i="13"/>
  <c r="H375" i="13" s="1"/>
  <c r="G303" i="13"/>
  <c r="H303" i="13" s="1"/>
  <c r="G532" i="13"/>
  <c r="H532" i="13" s="1"/>
  <c r="G460" i="13"/>
  <c r="H460" i="13" s="1"/>
  <c r="G424" i="13"/>
  <c r="H424" i="13" s="1"/>
  <c r="G394" i="13"/>
  <c r="H394" i="13" s="1"/>
  <c r="G363" i="13"/>
  <c r="H363" i="13" s="1"/>
  <c r="G341" i="13"/>
  <c r="H341" i="13" s="1"/>
  <c r="G330" i="13"/>
  <c r="H330" i="13" s="1"/>
  <c r="G317" i="13"/>
  <c r="H317" i="13" s="1"/>
  <c r="G288" i="13"/>
  <c r="H288" i="13" s="1"/>
  <c r="G275" i="13"/>
  <c r="H275" i="13" s="1"/>
  <c r="G248" i="13"/>
  <c r="H248" i="13" s="1"/>
  <c r="G206" i="13"/>
  <c r="H206" i="13" s="1"/>
  <c r="G236" i="13"/>
  <c r="H236" i="13" s="1"/>
  <c r="G220" i="13"/>
  <c r="H220" i="13" s="1"/>
  <c r="G186" i="13"/>
  <c r="H186" i="13" s="1"/>
  <c r="G175" i="13"/>
  <c r="H175" i="13" s="1"/>
  <c r="G164" i="13"/>
  <c r="H164" i="13" s="1"/>
  <c r="G150" i="13"/>
  <c r="H150" i="13" s="1"/>
  <c r="G121" i="13"/>
  <c r="H121" i="13" s="1"/>
  <c r="G92" i="13"/>
  <c r="H92" i="13" s="1"/>
  <c r="G54" i="13"/>
  <c r="H54" i="13" s="1"/>
  <c r="G28" i="13"/>
  <c r="H28" i="13" s="1"/>
  <c r="G133" i="13"/>
  <c r="H133" i="13" s="1"/>
  <c r="G106" i="13"/>
  <c r="H106" i="13" s="1"/>
  <c r="G79" i="13"/>
  <c r="H79" i="13" s="1"/>
  <c r="G67" i="13"/>
  <c r="H67" i="13" s="1"/>
  <c r="G41" i="13"/>
  <c r="H41" i="13" s="1"/>
  <c r="G1032" i="13"/>
  <c r="H1032" i="13" s="1"/>
  <c r="H1033" i="13" s="1"/>
  <c r="H1034" i="13" s="1"/>
  <c r="H1035" i="13" s="1"/>
  <c r="F33" i="7" s="1"/>
  <c r="G411" i="13"/>
  <c r="H411" i="13" s="1"/>
  <c r="G566" i="13"/>
  <c r="H566" i="13" s="1"/>
  <c r="G535" i="13" l="1"/>
  <c r="H535" i="13" s="1"/>
  <c r="G397" i="13"/>
  <c r="H397" i="13" s="1"/>
  <c r="G507" i="13"/>
  <c r="H507" i="13" s="1"/>
  <c r="G501" i="13"/>
  <c r="H501" i="13" s="1"/>
  <c r="G16" i="13"/>
  <c r="H16" i="13" s="1"/>
  <c r="H17" i="13" s="1"/>
  <c r="H18" i="13" s="1"/>
  <c r="H19" i="13" s="1"/>
  <c r="F13" i="28" s="1"/>
  <c r="G518" i="13"/>
  <c r="H518" i="13" s="1"/>
  <c r="H519" i="13" s="1"/>
  <c r="H520" i="13" s="1"/>
  <c r="H521" i="13" s="1"/>
  <c r="F36" i="28" s="1"/>
  <c r="G509" i="13"/>
  <c r="H509" i="13" s="1"/>
  <c r="G1041" i="13"/>
  <c r="H1041" i="13" s="1"/>
  <c r="G974" i="13"/>
  <c r="H974" i="13" s="1"/>
  <c r="G654" i="13"/>
  <c r="H654" i="13" s="1"/>
  <c r="G679" i="13"/>
  <c r="H679" i="13" s="1"/>
  <c r="G611" i="13"/>
  <c r="H611" i="13" s="1"/>
  <c r="G594" i="13"/>
  <c r="H594" i="13" s="1"/>
  <c r="G627" i="13"/>
  <c r="H627" i="13" s="1"/>
  <c r="G1043" i="13"/>
  <c r="H1043" i="13" s="1"/>
  <c r="G976" i="13"/>
  <c r="H976" i="13" s="1"/>
  <c r="G656" i="13"/>
  <c r="H656" i="13" s="1"/>
  <c r="G681" i="13"/>
  <c r="H681" i="13" s="1"/>
  <c r="G613" i="13"/>
  <c r="H613" i="13" s="1"/>
  <c r="G629" i="13"/>
  <c r="H629" i="13" s="1"/>
  <c r="G597" i="13"/>
  <c r="H597" i="13" s="1"/>
  <c r="G1025" i="13"/>
  <c r="H1025" i="13" s="1"/>
  <c r="G1001" i="13"/>
  <c r="H1001" i="13" s="1"/>
  <c r="G1022" i="13"/>
  <c r="H1022" i="13" s="1"/>
  <c r="G999" i="13"/>
  <c r="H999" i="13" s="1"/>
  <c r="G506" i="13"/>
  <c r="H506" i="13" s="1"/>
  <c r="G534" i="13"/>
  <c r="H534" i="13" s="1"/>
  <c r="G396" i="13"/>
  <c r="H396" i="13" s="1"/>
  <c r="G1010" i="13"/>
  <c r="H1010" i="13" s="1"/>
  <c r="H1012" i="13" s="1"/>
  <c r="H1013" i="13" s="1"/>
  <c r="H1014" i="13" s="1"/>
  <c r="F35" i="7" s="1"/>
  <c r="G828" i="13" l="1"/>
  <c r="H828" i="13" s="1"/>
  <c r="G580" i="13"/>
  <c r="H580" i="13" s="1"/>
  <c r="G299" i="13"/>
  <c r="H299" i="13" s="1"/>
  <c r="G456" i="13"/>
  <c r="H456" i="13" s="1"/>
  <c r="G989" i="13" l="1"/>
  <c r="H989" i="13" s="1"/>
  <c r="G687" i="13"/>
  <c r="H687" i="13" s="1"/>
  <c r="G726" i="13"/>
  <c r="H726" i="13" s="1"/>
  <c r="G635" i="13"/>
  <c r="H635" i="13" s="1"/>
  <c r="G914" i="13"/>
  <c r="H914" i="13" s="1"/>
  <c r="G662" i="13"/>
  <c r="H662" i="13" s="1"/>
  <c r="G619" i="13"/>
  <c r="H619" i="13" s="1"/>
  <c r="G603" i="13"/>
  <c r="H603" i="13" s="1"/>
  <c r="G998" i="13"/>
  <c r="H998" i="13" s="1"/>
  <c r="G861" i="13"/>
  <c r="H861" i="13" s="1"/>
  <c r="G780" i="13"/>
  <c r="H780" i="13" s="1"/>
  <c r="G575" i="13"/>
  <c r="H575" i="13" s="1"/>
  <c r="G451" i="13"/>
  <c r="H451" i="13" s="1"/>
  <c r="G384" i="13"/>
  <c r="H384" i="13" s="1"/>
  <c r="G1021" i="13"/>
  <c r="H1021" i="13" s="1"/>
  <c r="G823" i="13"/>
  <c r="H823" i="13" s="1"/>
  <c r="G735" i="13"/>
  <c r="H735" i="13" s="1"/>
  <c r="G468" i="13"/>
  <c r="H468" i="13" s="1"/>
  <c r="G433" i="13"/>
  <c r="H433" i="13" s="1"/>
  <c r="G1042" i="13"/>
  <c r="H1042" i="13" s="1"/>
  <c r="G906" i="13"/>
  <c r="H906" i="13" s="1"/>
  <c r="G680" i="13"/>
  <c r="H680" i="13" s="1"/>
  <c r="G655" i="13"/>
  <c r="H655" i="13" s="1"/>
  <c r="G596" i="13"/>
  <c r="H596" i="13" s="1"/>
  <c r="G214" i="13"/>
  <c r="H214" i="13" s="1"/>
  <c r="G115" i="13"/>
  <c r="H115" i="13" s="1"/>
  <c r="G975" i="13"/>
  <c r="H975" i="13" s="1"/>
  <c r="G840" i="13"/>
  <c r="H840" i="13" s="1"/>
  <c r="G718" i="13"/>
  <c r="H718" i="13" s="1"/>
  <c r="G628" i="13"/>
  <c r="H628" i="13" s="1"/>
  <c r="G612" i="13"/>
  <c r="H612" i="13" s="1"/>
  <c r="G142" i="13"/>
  <c r="H142" i="13" s="1"/>
  <c r="G100" i="13"/>
  <c r="H100" i="13" s="1"/>
  <c r="G364" i="13"/>
  <c r="H364" i="13" s="1"/>
  <c r="G276" i="13"/>
  <c r="H276" i="13" s="1"/>
  <c r="G249" i="13"/>
  <c r="H249" i="13" s="1"/>
  <c r="G188" i="13"/>
  <c r="H188" i="13" s="1"/>
  <c r="G55" i="13"/>
  <c r="H55" i="13" s="1"/>
  <c r="G318" i="13"/>
  <c r="H318" i="13" s="1"/>
  <c r="G176" i="13"/>
  <c r="H176" i="13" s="1"/>
  <c r="G207" i="13"/>
  <c r="H207" i="13" s="1"/>
  <c r="G80" i="13"/>
  <c r="H80" i="13" s="1"/>
  <c r="G1128" i="13"/>
  <c r="H1128" i="13" s="1"/>
  <c r="G1091" i="13"/>
  <c r="H1091" i="13" s="1"/>
  <c r="G1079" i="13"/>
  <c r="H1079" i="13" s="1"/>
  <c r="G898" i="13"/>
  <c r="H898" i="13" s="1"/>
  <c r="G871" i="13"/>
  <c r="H871" i="13" s="1"/>
  <c r="G804" i="13"/>
  <c r="H804" i="13" s="1"/>
  <c r="G790" i="13"/>
  <c r="H790" i="13" s="1"/>
  <c r="G758" i="13"/>
  <c r="H758" i="13" s="1"/>
  <c r="G700" i="13"/>
  <c r="H700" i="13" s="1"/>
  <c r="G557" i="13"/>
  <c r="H557" i="13" s="1"/>
  <c r="G508" i="13"/>
  <c r="H508" i="13" s="1"/>
  <c r="G342" i="13"/>
  <c r="H342" i="13" s="1"/>
  <c r="G305" i="13"/>
  <c r="H305" i="13" s="1"/>
  <c r="G536" i="13"/>
  <c r="H536" i="13" s="1"/>
  <c r="G462" i="13"/>
  <c r="H462" i="13" s="1"/>
  <c r="G398" i="13"/>
  <c r="H398" i="13" s="1"/>
  <c r="G237" i="13"/>
  <c r="H237" i="13" s="1"/>
  <c r="G222" i="13"/>
  <c r="H222" i="13" s="1"/>
  <c r="G134" i="13"/>
  <c r="H134" i="13" s="1"/>
  <c r="G42" i="13"/>
  <c r="H42" i="13" s="1"/>
  <c r="G992" i="13"/>
  <c r="H992" i="13" s="1"/>
  <c r="G885" i="13"/>
  <c r="H885" i="13" s="1"/>
  <c r="G852" i="13"/>
  <c r="G817" i="13"/>
  <c r="H817" i="13" s="1"/>
  <c r="G772" i="13"/>
  <c r="H772" i="13" s="1"/>
  <c r="G745" i="13"/>
  <c r="H745" i="13" s="1"/>
  <c r="G665" i="13"/>
  <c r="H665" i="13" s="1"/>
  <c r="G546" i="13"/>
  <c r="H546" i="13" s="1"/>
  <c r="G444" i="13"/>
  <c r="H444" i="13" s="1"/>
  <c r="G331" i="13"/>
  <c r="H331" i="13" s="1"/>
  <c r="G289" i="13"/>
  <c r="H289" i="13" s="1"/>
  <c r="G488" i="13"/>
  <c r="H488" i="13" s="1"/>
  <c r="G426" i="13"/>
  <c r="H426" i="13" s="1"/>
  <c r="G376" i="13"/>
  <c r="H376" i="13" s="1"/>
  <c r="G165" i="13"/>
  <c r="H165" i="13" s="1"/>
  <c r="G152" i="13"/>
  <c r="H152" i="13" s="1"/>
  <c r="G68" i="13"/>
  <c r="H68" i="13" s="1"/>
  <c r="G29" i="13"/>
  <c r="H29" i="13" s="1"/>
  <c r="G1002" i="13" l="1"/>
  <c r="H1002" i="13" s="1"/>
  <c r="G863" i="13"/>
  <c r="H863" i="13" s="1"/>
  <c r="G781" i="13"/>
  <c r="H781" i="13" s="1"/>
  <c r="G736" i="13"/>
  <c r="H736" i="13" s="1"/>
  <c r="G577" i="13"/>
  <c r="H577" i="13" s="1"/>
  <c r="G453" i="13"/>
  <c r="H453" i="13" s="1"/>
  <c r="G386" i="13"/>
  <c r="H386" i="13" s="1"/>
  <c r="G1026" i="13"/>
  <c r="H1026" i="13" s="1"/>
  <c r="G908" i="13"/>
  <c r="H908" i="13" s="1"/>
  <c r="G825" i="13"/>
  <c r="H825" i="13" s="1"/>
  <c r="G843" i="13"/>
  <c r="H843" i="13" s="1"/>
  <c r="G720" i="13"/>
  <c r="H720" i="13" s="1"/>
  <c r="G470" i="13"/>
  <c r="H470" i="13" s="1"/>
  <c r="G435" i="13"/>
  <c r="H435" i="13" s="1"/>
  <c r="G1133" i="13"/>
  <c r="H1133" i="13" s="1"/>
  <c r="H1134" i="13" s="1"/>
  <c r="H1135" i="13" s="1"/>
  <c r="H1136" i="13" s="1"/>
  <c r="N18" i="18" s="1"/>
  <c r="G1000" i="13"/>
  <c r="H1000" i="13" s="1"/>
  <c r="H1003" i="13" s="1"/>
  <c r="H1004" i="13" s="1"/>
  <c r="H1005" i="13" s="1"/>
  <c r="F36" i="7" s="1"/>
  <c r="G1023" i="13"/>
  <c r="H1023" i="13" s="1"/>
  <c r="G841" i="13"/>
  <c r="H841" i="13" s="1"/>
  <c r="G784" i="13"/>
  <c r="H784" i="13" s="1"/>
  <c r="G719" i="13"/>
  <c r="H719" i="13" s="1"/>
  <c r="G434" i="13"/>
  <c r="H434" i="13" s="1"/>
  <c r="G469" i="13"/>
  <c r="H469" i="13" s="1"/>
  <c r="G418" i="13"/>
  <c r="H418" i="13" s="1"/>
  <c r="G739" i="13"/>
  <c r="H739" i="13" s="1"/>
  <c r="G385" i="13"/>
  <c r="H385" i="13" s="1"/>
  <c r="G143" i="13"/>
  <c r="H143" i="13" s="1"/>
  <c r="G1024" i="13"/>
  <c r="H1024" i="13" s="1"/>
  <c r="G907" i="13"/>
  <c r="H907" i="13" s="1"/>
  <c r="G862" i="13"/>
  <c r="H862" i="13" s="1"/>
  <c r="G824" i="13"/>
  <c r="H824" i="13" s="1"/>
  <c r="G576" i="13"/>
  <c r="H576" i="13" s="1"/>
  <c r="G452" i="13"/>
  <c r="H452" i="13" s="1"/>
  <c r="G1119" i="13"/>
  <c r="H1119" i="13" s="1"/>
  <c r="G983" i="13"/>
  <c r="H983" i="13" s="1"/>
  <c r="G955" i="13"/>
  <c r="H955" i="13" s="1"/>
  <c r="G891" i="13"/>
  <c r="H891" i="13" s="1"/>
  <c r="G943" i="13"/>
  <c r="H943" i="13" s="1"/>
  <c r="G921" i="13"/>
  <c r="H921" i="13" s="1"/>
  <c r="G810" i="13"/>
  <c r="H810" i="13" s="1"/>
  <c r="G765" i="13"/>
  <c r="H765" i="13" s="1"/>
  <c r="G717" i="13"/>
  <c r="H717" i="13" s="1"/>
  <c r="G671" i="13"/>
  <c r="H671" i="13" s="1"/>
  <c r="G653" i="13"/>
  <c r="H653" i="13" s="1"/>
  <c r="G626" i="13"/>
  <c r="H626" i="13" s="1"/>
  <c r="G552" i="13"/>
  <c r="H552" i="13" s="1"/>
  <c r="G595" i="13"/>
  <c r="H595" i="13" s="1"/>
  <c r="G483" i="13"/>
  <c r="H483" i="13" s="1"/>
  <c r="G417" i="13"/>
  <c r="H417" i="13" s="1"/>
  <c r="G450" i="13"/>
  <c r="H450" i="13" s="1"/>
  <c r="G324" i="13"/>
  <c r="H324" i="13" s="1"/>
  <c r="G282" i="13"/>
  <c r="H282" i="13" s="1"/>
  <c r="G213" i="13"/>
  <c r="H213" i="13" s="1"/>
  <c r="G171" i="13"/>
  <c r="H171" i="13" s="1"/>
  <c r="G99" i="13"/>
  <c r="H99" i="13" s="1"/>
  <c r="G114" i="13"/>
  <c r="H114" i="13" s="1"/>
  <c r="G964" i="13"/>
  <c r="H964" i="13" s="1"/>
  <c r="G905" i="13"/>
  <c r="H905" i="13" s="1"/>
  <c r="G878" i="13"/>
  <c r="H878" i="13" s="1"/>
  <c r="G934" i="13"/>
  <c r="H934" i="13" s="1"/>
  <c r="G859" i="13"/>
  <c r="H859" i="13" s="1"/>
  <c r="G779" i="13"/>
  <c r="H779" i="13" s="1"/>
  <c r="G839" i="13"/>
  <c r="H839" i="13" s="1"/>
  <c r="G678" i="13"/>
  <c r="H678" i="13" s="1"/>
  <c r="G734" i="13"/>
  <c r="H734" i="13" s="1"/>
  <c r="G642" i="13"/>
  <c r="H642" i="13" s="1"/>
  <c r="G563" i="13"/>
  <c r="H563" i="13" s="1"/>
  <c r="G610" i="13"/>
  <c r="H610" i="13" s="1"/>
  <c r="G525" i="13"/>
  <c r="H525" i="13" s="1"/>
  <c r="G432" i="13"/>
  <c r="H432" i="13" s="1"/>
  <c r="G383" i="13"/>
  <c r="H383" i="13" s="1"/>
  <c r="G337" i="13"/>
  <c r="H337" i="13" s="1"/>
  <c r="G296" i="13"/>
  <c r="H296" i="13" s="1"/>
  <c r="G229" i="13"/>
  <c r="H229" i="13" s="1"/>
  <c r="G195" i="13"/>
  <c r="H195" i="13" s="1"/>
  <c r="G158" i="13"/>
  <c r="H158" i="13" s="1"/>
  <c r="G141" i="13"/>
  <c r="H141" i="13" s="1"/>
  <c r="G1090" i="13"/>
  <c r="H1090" i="13" s="1"/>
  <c r="G949" i="13"/>
  <c r="H949" i="13" s="1"/>
  <c r="G789" i="13"/>
  <c r="H789" i="13" s="1"/>
  <c r="G744" i="13"/>
  <c r="H744" i="13" s="1"/>
  <c r="G533" i="13"/>
  <c r="H533" i="13" s="1"/>
  <c r="G425" i="13"/>
  <c r="H425" i="13" s="1"/>
  <c r="G505" i="13"/>
  <c r="H505" i="13" s="1"/>
  <c r="G443" i="13"/>
  <c r="H443" i="13" s="1"/>
  <c r="G221" i="13"/>
  <c r="H221" i="13" s="1"/>
  <c r="G151" i="13"/>
  <c r="H151" i="13" s="1"/>
  <c r="G93" i="13"/>
  <c r="H93" i="13" s="1"/>
  <c r="G833" i="13"/>
  <c r="H833" i="13" s="1"/>
  <c r="G870" i="13"/>
  <c r="H870" i="13" s="1"/>
  <c r="G585" i="13"/>
  <c r="H585" i="13" s="1"/>
  <c r="G461" i="13"/>
  <c r="H461" i="13" s="1"/>
  <c r="G395" i="13"/>
  <c r="H395" i="13" s="1"/>
  <c r="G477" i="13"/>
  <c r="H477" i="13" s="1"/>
  <c r="G304" i="13"/>
  <c r="H304" i="13" s="1"/>
  <c r="G107" i="13"/>
  <c r="H107" i="13" s="1"/>
  <c r="G122" i="13"/>
  <c r="H122" i="13" s="1"/>
  <c r="G915" i="13"/>
  <c r="H915" i="13" s="1"/>
  <c r="G967" i="13"/>
  <c r="H967" i="13" s="1"/>
  <c r="G947" i="13"/>
  <c r="H947" i="13" s="1"/>
  <c r="G787" i="13"/>
  <c r="H787" i="13" s="1"/>
  <c r="G853" i="13"/>
  <c r="H853" i="13" s="1"/>
  <c r="G742" i="13"/>
  <c r="H742" i="13" s="1"/>
  <c r="G688" i="13"/>
  <c r="H688" i="13" s="1"/>
  <c r="G636" i="13"/>
  <c r="H636" i="13" s="1"/>
  <c r="G531" i="13"/>
  <c r="H531" i="13" s="1"/>
  <c r="G329" i="13"/>
  <c r="H329" i="13" s="1"/>
  <c r="G441" i="13"/>
  <c r="H441" i="13" s="1"/>
  <c r="G219" i="13"/>
  <c r="H219" i="13" s="1"/>
  <c r="G78" i="13"/>
  <c r="H78" i="13" s="1"/>
  <c r="G990" i="13"/>
  <c r="H990" i="13" s="1"/>
  <c r="G958" i="13"/>
  <c r="H958" i="13" s="1"/>
  <c r="G831" i="13"/>
  <c r="H831" i="13" s="1"/>
  <c r="G868" i="13"/>
  <c r="H868" i="13" s="1"/>
  <c r="G727" i="13"/>
  <c r="H727" i="13" s="1"/>
  <c r="G711" i="13"/>
  <c r="H711" i="13" s="1"/>
  <c r="G663" i="13"/>
  <c r="H663" i="13" s="1"/>
  <c r="G604" i="13"/>
  <c r="H604" i="13" s="1"/>
  <c r="G583" i="13"/>
  <c r="H583" i="13" s="1"/>
  <c r="G544" i="13"/>
  <c r="H544" i="13" s="1"/>
  <c r="G459" i="13"/>
  <c r="H459" i="13" s="1"/>
  <c r="G393" i="13"/>
  <c r="H393" i="13" s="1"/>
  <c r="G316" i="13"/>
  <c r="H316" i="13" s="1"/>
  <c r="G475" i="13"/>
  <c r="H475" i="13" s="1"/>
  <c r="G352" i="13"/>
  <c r="H352" i="13" s="1"/>
  <c r="G235" i="13"/>
  <c r="H235" i="13" s="1"/>
  <c r="G174" i="13"/>
  <c r="H174" i="13" s="1"/>
  <c r="G105" i="13"/>
  <c r="H105" i="13" s="1"/>
  <c r="G149" i="13"/>
  <c r="H149" i="13" s="1"/>
  <c r="G620" i="13"/>
  <c r="H620" i="13" s="1"/>
  <c r="G555" i="13"/>
  <c r="H555" i="13" s="1"/>
  <c r="G423" i="13"/>
  <c r="H423" i="13" s="1"/>
  <c r="G287" i="13"/>
  <c r="H287" i="13" s="1"/>
  <c r="G302" i="13"/>
  <c r="H302" i="13" s="1"/>
  <c r="G163" i="13"/>
  <c r="H163" i="13" s="1"/>
  <c r="G120" i="13"/>
  <c r="H120" i="13" s="1"/>
  <c r="G1126" i="13"/>
  <c r="H1126" i="13" s="1"/>
  <c r="G926" i="13"/>
  <c r="H926" i="13" s="1"/>
  <c r="G883" i="13"/>
  <c r="H883" i="13" s="1"/>
  <c r="G830" i="13"/>
  <c r="H830" i="13" s="1"/>
  <c r="G756" i="13"/>
  <c r="H756" i="13" s="1"/>
  <c r="G686" i="13"/>
  <c r="H686" i="13" s="1"/>
  <c r="G634" i="13"/>
  <c r="H634" i="13" s="1"/>
  <c r="G568" i="13"/>
  <c r="H568" i="13" s="1"/>
  <c r="G362" i="13"/>
  <c r="H362" i="13" s="1"/>
  <c r="G503" i="13"/>
  <c r="H503" i="13" s="1"/>
  <c r="G259" i="13"/>
  <c r="H259" i="13" s="1"/>
  <c r="G218" i="13"/>
  <c r="H218" i="13" s="1"/>
  <c r="G104" i="13"/>
  <c r="H104" i="13" s="1"/>
  <c r="G913" i="13"/>
  <c r="H913" i="13" s="1"/>
  <c r="G896" i="13"/>
  <c r="H896" i="13" s="1"/>
  <c r="G867" i="13"/>
  <c r="H867" i="13" s="1"/>
  <c r="G849" i="13"/>
  <c r="H849" i="13" s="1"/>
  <c r="G815" i="13"/>
  <c r="H815" i="13" s="1"/>
  <c r="G770" i="13"/>
  <c r="H770" i="13" s="1"/>
  <c r="G741" i="13"/>
  <c r="H741" i="13" s="1"/>
  <c r="G710" i="13"/>
  <c r="H710" i="13" s="1"/>
  <c r="G647" i="13"/>
  <c r="H647" i="13" s="1"/>
  <c r="G661" i="13"/>
  <c r="H661" i="13" s="1"/>
  <c r="G602" i="13"/>
  <c r="H602" i="13" s="1"/>
  <c r="G618" i="13"/>
  <c r="H618" i="13" s="1"/>
  <c r="G474" i="13"/>
  <c r="H474" i="13" s="1"/>
  <c r="G391" i="13"/>
  <c r="H391" i="13" s="1"/>
  <c r="G351" i="13"/>
  <c r="H351" i="13" s="1"/>
  <c r="G530" i="13"/>
  <c r="H530" i="13" s="1"/>
  <c r="G458" i="13"/>
  <c r="H458" i="13" s="1"/>
  <c r="G315" i="13"/>
  <c r="H315" i="13" s="1"/>
  <c r="G187" i="13"/>
  <c r="H187" i="13" s="1"/>
  <c r="G234" i="13"/>
  <c r="H234" i="13" s="1"/>
  <c r="G148" i="13"/>
  <c r="H148" i="13" s="1"/>
  <c r="G119" i="13"/>
  <c r="H119" i="13" s="1"/>
  <c r="G91" i="13"/>
  <c r="H91" i="13" s="1"/>
  <c r="G988" i="13"/>
  <c r="H988" i="13" s="1"/>
  <c r="G802" i="13"/>
  <c r="H802" i="13" s="1"/>
  <c r="G786" i="13"/>
  <c r="H786" i="13" s="1"/>
  <c r="G725" i="13"/>
  <c r="H725" i="13" s="1"/>
  <c r="G698" i="13"/>
  <c r="H698" i="13" s="1"/>
  <c r="G582" i="13"/>
  <c r="H582" i="13" s="1"/>
  <c r="G440" i="13"/>
  <c r="H440" i="13" s="1"/>
  <c r="G301" i="13"/>
  <c r="H301" i="13" s="1"/>
  <c r="G409" i="13"/>
  <c r="H409" i="13" s="1"/>
  <c r="G247" i="13"/>
  <c r="H247" i="13" s="1"/>
  <c r="G132" i="13"/>
  <c r="H132" i="13" s="1"/>
  <c r="G53" i="13"/>
  <c r="H53" i="13" s="1"/>
  <c r="G361" i="13"/>
  <c r="H361" i="13" s="1"/>
  <c r="G185" i="13"/>
  <c r="H185" i="13" s="1"/>
  <c r="G77" i="13"/>
  <c r="H77" i="13" s="1"/>
  <c r="G314" i="13"/>
  <c r="H314" i="13" s="1"/>
  <c r="G246" i="13"/>
  <c r="H246" i="13" s="1"/>
  <c r="G205" i="13"/>
  <c r="H205" i="13" s="1"/>
  <c r="G52" i="13"/>
  <c r="H52" i="13" s="1"/>
  <c r="G173" i="13"/>
  <c r="H173" i="13" s="1"/>
  <c r="G1152" i="13"/>
  <c r="H1152" i="13" s="1"/>
  <c r="G1113" i="13"/>
  <c r="H1113" i="13" s="1"/>
  <c r="G1144" i="13"/>
  <c r="H1144" i="13" s="1"/>
  <c r="G1105" i="13"/>
  <c r="H1105" i="13" s="1"/>
  <c r="G1076" i="13"/>
  <c r="H1076" i="13" s="1"/>
  <c r="G987" i="13"/>
  <c r="H987" i="13" s="1"/>
  <c r="G882" i="13"/>
  <c r="H882" i="13" s="1"/>
  <c r="G912" i="13"/>
  <c r="H912" i="13" s="1"/>
  <c r="G814" i="13"/>
  <c r="H814" i="13" s="1"/>
  <c r="G755" i="13"/>
  <c r="H755" i="13" s="1"/>
  <c r="G697" i="13"/>
  <c r="H697" i="13" s="1"/>
  <c r="G724" i="13"/>
  <c r="H724" i="13" s="1"/>
  <c r="G685" i="13"/>
  <c r="H685" i="13" s="1"/>
  <c r="G617" i="13"/>
  <c r="H617" i="13" s="1"/>
  <c r="G601" i="13"/>
  <c r="H601" i="13" s="1"/>
  <c r="G486" i="13"/>
  <c r="H486" i="13" s="1"/>
  <c r="G374" i="13"/>
  <c r="H374" i="13" s="1"/>
  <c r="G286" i="13"/>
  <c r="H286" i="13" s="1"/>
  <c r="G162" i="13"/>
  <c r="H162" i="13" s="1"/>
  <c r="G66" i="13"/>
  <c r="H66" i="13" s="1"/>
  <c r="G26" i="13"/>
  <c r="H26" i="13" s="1"/>
  <c r="G895" i="13"/>
  <c r="H895" i="13" s="1"/>
  <c r="G925" i="13"/>
  <c r="H925" i="13" s="1"/>
  <c r="G848" i="13"/>
  <c r="H848" i="13" s="1"/>
  <c r="G769" i="13"/>
  <c r="H769" i="13" s="1"/>
  <c r="G801" i="13"/>
  <c r="H801" i="13" s="1"/>
  <c r="G660" i="13"/>
  <c r="H660" i="13" s="1"/>
  <c r="G709" i="13"/>
  <c r="H709" i="13" s="1"/>
  <c r="G646" i="13"/>
  <c r="H646" i="13" s="1"/>
  <c r="G633" i="13"/>
  <c r="H633" i="13" s="1"/>
  <c r="G340" i="13"/>
  <c r="H340" i="13" s="1"/>
  <c r="G407" i="13"/>
  <c r="H407" i="13" s="1"/>
  <c r="G328" i="13"/>
  <c r="H328" i="13" s="1"/>
  <c r="G233" i="13"/>
  <c r="H233" i="13" s="1"/>
  <c r="G90" i="13"/>
  <c r="H90" i="13" s="1"/>
  <c r="G40" i="13"/>
  <c r="H40" i="13" s="1"/>
  <c r="G131" i="13"/>
  <c r="H131" i="13" s="1"/>
  <c r="G1124" i="13"/>
  <c r="H1124" i="13" s="1"/>
  <c r="G1112" i="13"/>
  <c r="H1112" i="13" s="1"/>
  <c r="G1104" i="13"/>
  <c r="H1104" i="13" s="1"/>
  <c r="G1075" i="13"/>
  <c r="H1075" i="13" s="1"/>
  <c r="G1151" i="13"/>
  <c r="H1151" i="13" s="1"/>
  <c r="G1143" i="13"/>
  <c r="H1143" i="13" s="1"/>
  <c r="G1087" i="13"/>
  <c r="H1087" i="13" s="1"/>
  <c r="G924" i="13"/>
  <c r="H924" i="13" s="1"/>
  <c r="G986" i="13"/>
  <c r="H986" i="13" s="1"/>
  <c r="G881" i="13"/>
  <c r="H881" i="13" s="1"/>
  <c r="G847" i="13"/>
  <c r="H847" i="13" s="1"/>
  <c r="G768" i="13"/>
  <c r="H768" i="13" s="1"/>
  <c r="G723" i="13"/>
  <c r="H723" i="13" s="1"/>
  <c r="G684" i="13"/>
  <c r="H684" i="13" s="1"/>
  <c r="G696" i="13"/>
  <c r="H696" i="13" s="1"/>
  <c r="G659" i="13"/>
  <c r="H659" i="13" s="1"/>
  <c r="G600" i="13"/>
  <c r="H600" i="13" s="1"/>
  <c r="G529" i="13"/>
  <c r="H529" i="13" s="1"/>
  <c r="G408" i="13"/>
  <c r="H408" i="13" s="1"/>
  <c r="G285" i="13"/>
  <c r="H285" i="13" s="1"/>
  <c r="G422" i="13"/>
  <c r="H422" i="13" s="1"/>
  <c r="G161" i="13"/>
  <c r="H161" i="13" s="1"/>
  <c r="G232" i="13"/>
  <c r="H232" i="13" s="1"/>
  <c r="G25" i="13"/>
  <c r="H25" i="13" s="1"/>
  <c r="G935" i="13"/>
  <c r="H935" i="13" s="1"/>
  <c r="H936" i="13" s="1"/>
  <c r="H937" i="13" s="1"/>
  <c r="H938" i="13" s="1"/>
  <c r="G911" i="13"/>
  <c r="H911" i="13" s="1"/>
  <c r="G894" i="13"/>
  <c r="H894" i="13" s="1"/>
  <c r="G800" i="13"/>
  <c r="H800" i="13" s="1"/>
  <c r="G813" i="13"/>
  <c r="H813" i="13" s="1"/>
  <c r="G754" i="13"/>
  <c r="H754" i="13" s="1"/>
  <c r="G708" i="13"/>
  <c r="H708" i="13" s="1"/>
  <c r="G645" i="13"/>
  <c r="H645" i="13" s="1"/>
  <c r="G672" i="13"/>
  <c r="H672" i="13" s="1"/>
  <c r="H673" i="13" s="1"/>
  <c r="H674" i="13" s="1"/>
  <c r="H675" i="13" s="1"/>
  <c r="F20" i="7" s="1"/>
  <c r="G632" i="13"/>
  <c r="H632" i="13" s="1"/>
  <c r="G616" i="13"/>
  <c r="H616" i="13" s="1"/>
  <c r="G502" i="13"/>
  <c r="H502" i="13" s="1"/>
  <c r="G327" i="13"/>
  <c r="H327" i="13" s="1"/>
  <c r="G439" i="13"/>
  <c r="H439" i="13" s="1"/>
  <c r="G390" i="13"/>
  <c r="H390" i="13" s="1"/>
  <c r="G258" i="13"/>
  <c r="H258" i="13" s="1"/>
  <c r="G130" i="13"/>
  <c r="H130" i="13" s="1"/>
  <c r="G89" i="13"/>
  <c r="H89" i="13" s="1"/>
  <c r="G1122" i="13"/>
  <c r="H1122" i="13" s="1"/>
  <c r="G1086" i="13"/>
  <c r="H1086" i="13" s="1"/>
  <c r="G1074" i="13"/>
  <c r="H1074" i="13" s="1"/>
  <c r="G985" i="13"/>
  <c r="H985" i="13" s="1"/>
  <c r="G957" i="13"/>
  <c r="H957" i="13" s="1"/>
  <c r="G880" i="13"/>
  <c r="H880" i="13" s="1"/>
  <c r="G923" i="13"/>
  <c r="H923" i="13" s="1"/>
  <c r="G865" i="13"/>
  <c r="H865" i="13" s="1"/>
  <c r="G812" i="13"/>
  <c r="H812" i="13" s="1"/>
  <c r="G767" i="13"/>
  <c r="H767" i="13" s="1"/>
  <c r="G845" i="13"/>
  <c r="H845" i="13" s="1"/>
  <c r="G695" i="13"/>
  <c r="H695" i="13" s="1"/>
  <c r="G738" i="13"/>
  <c r="H738" i="13" s="1"/>
  <c r="G707" i="13"/>
  <c r="H707" i="13" s="1"/>
  <c r="G644" i="13"/>
  <c r="H644" i="13" s="1"/>
  <c r="G565" i="13"/>
  <c r="H565" i="13" s="1"/>
  <c r="G543" i="13"/>
  <c r="H543" i="13" s="1"/>
  <c r="G599" i="13"/>
  <c r="H599" i="13" s="1"/>
  <c r="G527" i="13"/>
  <c r="H527" i="13" s="1"/>
  <c r="G485" i="13"/>
  <c r="H485" i="13" s="1"/>
  <c r="G455" i="13"/>
  <c r="H455" i="13" s="1"/>
  <c r="G349" i="13"/>
  <c r="H349" i="13" s="1"/>
  <c r="G437" i="13"/>
  <c r="H437" i="13" s="1"/>
  <c r="G405" i="13"/>
  <c r="H405" i="13" s="1"/>
  <c r="G359" i="13"/>
  <c r="H359" i="13" s="1"/>
  <c r="G326" i="13"/>
  <c r="H326" i="13" s="1"/>
  <c r="G284" i="13"/>
  <c r="H284" i="13" s="1"/>
  <c r="G231" i="13"/>
  <c r="H231" i="13" s="1"/>
  <c r="G183" i="13"/>
  <c r="H183" i="13" s="1"/>
  <c r="G274" i="13"/>
  <c r="H274" i="13" s="1"/>
  <c r="G216" i="13"/>
  <c r="H216" i="13" s="1"/>
  <c r="G160" i="13"/>
  <c r="H160" i="13" s="1"/>
  <c r="G88" i="13"/>
  <c r="H88" i="13" s="1"/>
  <c r="G50" i="13"/>
  <c r="H50" i="13" s="1"/>
  <c r="G24" i="13"/>
  <c r="H24" i="13" s="1"/>
  <c r="G129" i="13"/>
  <c r="H129" i="13" s="1"/>
  <c r="G65" i="13"/>
  <c r="H65" i="13" s="1"/>
  <c r="G966" i="13"/>
  <c r="H966" i="13" s="1"/>
  <c r="G893" i="13"/>
  <c r="H893" i="13" s="1"/>
  <c r="G945" i="13"/>
  <c r="H945" i="13" s="1"/>
  <c r="G910" i="13"/>
  <c r="H910" i="13" s="1"/>
  <c r="G827" i="13"/>
  <c r="H827" i="13" s="1"/>
  <c r="G783" i="13"/>
  <c r="H783" i="13" s="1"/>
  <c r="G753" i="13"/>
  <c r="H753" i="13" s="1"/>
  <c r="G799" i="13"/>
  <c r="H799" i="13" s="1"/>
  <c r="G658" i="13"/>
  <c r="H658" i="13" s="1"/>
  <c r="G722" i="13"/>
  <c r="H722" i="13" s="1"/>
  <c r="G683" i="13"/>
  <c r="H683" i="13" s="1"/>
  <c r="G615" i="13"/>
  <c r="H615" i="13" s="1"/>
  <c r="G554" i="13"/>
  <c r="H554" i="13" s="1"/>
  <c r="G631" i="13"/>
  <c r="H631" i="13" s="1"/>
  <c r="G579" i="13"/>
  <c r="H579" i="13" s="1"/>
  <c r="G500" i="13"/>
  <c r="H500" i="13" s="1"/>
  <c r="G472" i="13"/>
  <c r="H472" i="13" s="1"/>
  <c r="G373" i="13"/>
  <c r="H373" i="13" s="1"/>
  <c r="G312" i="13"/>
  <c r="H312" i="13" s="1"/>
  <c r="G420" i="13"/>
  <c r="H420" i="13" s="1"/>
  <c r="G388" i="13"/>
  <c r="H388" i="13" s="1"/>
  <c r="G339" i="13"/>
  <c r="H339" i="13" s="1"/>
  <c r="G298" i="13"/>
  <c r="H298" i="13" s="1"/>
  <c r="G244" i="13"/>
  <c r="H244" i="13" s="1"/>
  <c r="G204" i="13"/>
  <c r="H204" i="13" s="1"/>
  <c r="G172" i="13"/>
  <c r="H172" i="13" s="1"/>
  <c r="H177" i="13" s="1"/>
  <c r="H178" i="13" s="1"/>
  <c r="H179" i="13" s="1"/>
  <c r="F23" i="28" s="1"/>
  <c r="G256" i="13"/>
  <c r="H256" i="13" s="1"/>
  <c r="G196" i="13"/>
  <c r="H196" i="13" s="1"/>
  <c r="G117" i="13"/>
  <c r="H117" i="13" s="1"/>
  <c r="G76" i="13"/>
  <c r="H76" i="13" s="1"/>
  <c r="G38" i="13"/>
  <c r="H38" i="13" s="1"/>
  <c r="G145" i="13"/>
  <c r="H145" i="13" s="1"/>
  <c r="G102" i="13"/>
  <c r="H102" i="13" s="1"/>
  <c r="G1150" i="13"/>
  <c r="H1150" i="13" s="1"/>
  <c r="G1103" i="13"/>
  <c r="H1103" i="13" s="1"/>
  <c r="G1142" i="13"/>
  <c r="H1142" i="13" s="1"/>
  <c r="G1121" i="13"/>
  <c r="H1121" i="13" s="1"/>
  <c r="G1111" i="13"/>
  <c r="H1111" i="13" s="1"/>
  <c r="G1073" i="13"/>
  <c r="H1073" i="13" s="1"/>
  <c r="G23" i="13"/>
  <c r="H23" i="13" s="1"/>
  <c r="G266" i="13"/>
  <c r="H266" i="13" s="1"/>
  <c r="G37" i="13"/>
  <c r="H37" i="13" s="1"/>
  <c r="G1141" i="13"/>
  <c r="H1141" i="13" s="1"/>
  <c r="G1120" i="13"/>
  <c r="H1120" i="13" s="1"/>
  <c r="G1085" i="13"/>
  <c r="H1085" i="13" s="1"/>
  <c r="G1072" i="13"/>
  <c r="H1072" i="13" s="1"/>
  <c r="G944" i="13"/>
  <c r="H944" i="13" s="1"/>
  <c r="G909" i="13"/>
  <c r="H909" i="13" s="1"/>
  <c r="G984" i="13"/>
  <c r="H984" i="13" s="1"/>
  <c r="G965" i="13"/>
  <c r="H965" i="13" s="1"/>
  <c r="G892" i="13"/>
  <c r="H892" i="13" s="1"/>
  <c r="G844" i="13"/>
  <c r="H844" i="13" s="1"/>
  <c r="G864" i="13"/>
  <c r="H864" i="13" s="1"/>
  <c r="G811" i="13"/>
  <c r="H811" i="13" s="1"/>
  <c r="G766" i="13"/>
  <c r="H766" i="13" s="1"/>
  <c r="H773" i="13" s="1"/>
  <c r="H774" i="13" s="1"/>
  <c r="H775" i="13" s="1"/>
  <c r="F32" i="28" s="1"/>
  <c r="G737" i="13"/>
  <c r="H737" i="13" s="1"/>
  <c r="G706" i="13"/>
  <c r="H706" i="13" s="1"/>
  <c r="G643" i="13"/>
  <c r="H643" i="13" s="1"/>
  <c r="G657" i="13"/>
  <c r="H657" i="13" s="1"/>
  <c r="H666" i="13" s="1"/>
  <c r="H667" i="13" s="1"/>
  <c r="H668" i="13" s="1"/>
  <c r="F16" i="7" s="1"/>
  <c r="G598" i="13"/>
  <c r="H598" i="13" s="1"/>
  <c r="G614" i="13"/>
  <c r="H614" i="13" s="1"/>
  <c r="G553" i="13"/>
  <c r="H553" i="13" s="1"/>
  <c r="G436" i="13"/>
  <c r="H436" i="13" s="1"/>
  <c r="G404" i="13"/>
  <c r="H404" i="13" s="1"/>
  <c r="G358" i="13"/>
  <c r="H358" i="13" s="1"/>
  <c r="G325" i="13"/>
  <c r="H325" i="13" s="1"/>
  <c r="G283" i="13"/>
  <c r="H283" i="13" s="1"/>
  <c r="G499" i="13"/>
  <c r="H499" i="13" s="1"/>
  <c r="G471" i="13"/>
  <c r="H471" i="13" s="1"/>
  <c r="G372" i="13"/>
  <c r="H372" i="13" s="1"/>
  <c r="G311" i="13"/>
  <c r="H311" i="13" s="1"/>
  <c r="G255" i="13"/>
  <c r="H255" i="13" s="1"/>
  <c r="G159" i="13"/>
  <c r="H159" i="13" s="1"/>
  <c r="H166" i="13" s="1"/>
  <c r="H167" i="13" s="1"/>
  <c r="H168" i="13" s="1"/>
  <c r="F22" i="28" s="1"/>
  <c r="G243" i="13"/>
  <c r="H243" i="13" s="1"/>
  <c r="G203" i="13"/>
  <c r="H203" i="13" s="1"/>
  <c r="G144" i="13"/>
  <c r="H144" i="13" s="1"/>
  <c r="G101" i="13"/>
  <c r="H101" i="13" s="1"/>
  <c r="G36" i="13"/>
  <c r="H36" i="13" s="1"/>
  <c r="G116" i="13"/>
  <c r="H116" i="13" s="1"/>
  <c r="G75" i="13"/>
  <c r="H75" i="13" s="1"/>
  <c r="H81" i="13" s="1"/>
  <c r="H82" i="13" s="1"/>
  <c r="H83" i="13" s="1"/>
  <c r="F15" i="28" s="1"/>
  <c r="G922" i="13"/>
  <c r="H922" i="13" s="1"/>
  <c r="G1044" i="13"/>
  <c r="H1044" i="13" s="1"/>
  <c r="H1045" i="13" s="1"/>
  <c r="H1046" i="13" s="1"/>
  <c r="H1047" i="13" s="1"/>
  <c r="F34" i="7" s="1"/>
  <c r="G977" i="13"/>
  <c r="H977" i="13" s="1"/>
  <c r="H978" i="13" s="1"/>
  <c r="H979" i="13" s="1"/>
  <c r="H980" i="13" s="1"/>
  <c r="F21" i="7" s="1"/>
  <c r="G956" i="13"/>
  <c r="H956" i="13" s="1"/>
  <c r="H959" i="13" s="1"/>
  <c r="H960" i="13" s="1"/>
  <c r="H961" i="13" s="1"/>
  <c r="F17" i="7" s="1"/>
  <c r="G879" i="13"/>
  <c r="H879" i="13" s="1"/>
  <c r="H886" i="13" s="1"/>
  <c r="H887" i="13" s="1"/>
  <c r="H888" i="13" s="1"/>
  <c r="G798" i="13"/>
  <c r="H798" i="13" s="1"/>
  <c r="G826" i="13"/>
  <c r="H826" i="13" s="1"/>
  <c r="G782" i="13"/>
  <c r="H782" i="13" s="1"/>
  <c r="G752" i="13"/>
  <c r="H752" i="13" s="1"/>
  <c r="G721" i="13"/>
  <c r="H721" i="13" s="1"/>
  <c r="H728" i="13" s="1"/>
  <c r="H729" i="13" s="1"/>
  <c r="H730" i="13" s="1"/>
  <c r="F26" i="7" s="1"/>
  <c r="G682" i="13"/>
  <c r="H682" i="13" s="1"/>
  <c r="H689" i="13" s="1"/>
  <c r="H690" i="13" s="1"/>
  <c r="H691" i="13" s="1"/>
  <c r="F22" i="7" s="1"/>
  <c r="G694" i="13"/>
  <c r="H694" i="13" s="1"/>
  <c r="G630" i="13"/>
  <c r="H630" i="13" s="1"/>
  <c r="G578" i="13"/>
  <c r="H578" i="13" s="1"/>
  <c r="G564" i="13"/>
  <c r="H564" i="13" s="1"/>
  <c r="G542" i="13"/>
  <c r="H542" i="13" s="1"/>
  <c r="H547" i="13" s="1"/>
  <c r="H548" i="13" s="1"/>
  <c r="H549" i="13" s="1"/>
  <c r="F38" i="28" s="1"/>
  <c r="G419" i="13"/>
  <c r="H419" i="13" s="1"/>
  <c r="G387" i="13"/>
  <c r="H387" i="13" s="1"/>
  <c r="G338" i="13"/>
  <c r="H338" i="13" s="1"/>
  <c r="G297" i="13"/>
  <c r="H297" i="13" s="1"/>
  <c r="G526" i="13"/>
  <c r="H526" i="13" s="1"/>
  <c r="G484" i="13"/>
  <c r="H484" i="13" s="1"/>
  <c r="G454" i="13"/>
  <c r="H454" i="13" s="1"/>
  <c r="G348" i="13"/>
  <c r="H348" i="13" s="1"/>
  <c r="G273" i="13"/>
  <c r="H273" i="13" s="1"/>
  <c r="H277" i="13" s="1"/>
  <c r="H278" i="13" s="1"/>
  <c r="H279" i="13" s="1"/>
  <c r="G215" i="13"/>
  <c r="H215" i="13" s="1"/>
  <c r="G265" i="13"/>
  <c r="H265" i="13" s="1"/>
  <c r="G230" i="13"/>
  <c r="H230" i="13" s="1"/>
  <c r="G182" i="13"/>
  <c r="H182" i="13" s="1"/>
  <c r="G128" i="13"/>
  <c r="H128" i="13" s="1"/>
  <c r="G64" i="13"/>
  <c r="H64" i="13" s="1"/>
  <c r="G22" i="13"/>
  <c r="H22" i="13" s="1"/>
  <c r="G87" i="13"/>
  <c r="H87" i="13" s="1"/>
  <c r="G49" i="13"/>
  <c r="H49" i="13" s="1"/>
  <c r="H1027" i="13" l="1"/>
  <c r="H1028" i="13" s="1"/>
  <c r="H1029" i="13" s="1"/>
  <c r="F37" i="7" s="1"/>
  <c r="H759" i="13"/>
  <c r="H760" i="13" s="1"/>
  <c r="H761" i="13" s="1"/>
  <c r="F31" i="28" s="1"/>
  <c r="H929" i="13"/>
  <c r="H930" i="13" s="1"/>
  <c r="H931" i="13" s="1"/>
  <c r="F32" i="7" s="1"/>
  <c r="H208" i="13"/>
  <c r="H209" i="13" s="1"/>
  <c r="H210" i="13" s="1"/>
  <c r="F26" i="28" s="1"/>
  <c r="H712" i="13"/>
  <c r="H713" i="13" s="1"/>
  <c r="H714" i="13" s="1"/>
  <c r="F25" i="7" s="1"/>
  <c r="H993" i="13"/>
  <c r="H994" i="13" s="1"/>
  <c r="H995" i="13" s="1"/>
  <c r="F21" i="28" s="1"/>
  <c r="H1092" i="13"/>
  <c r="H1106" i="13"/>
  <c r="H1107" i="13" s="1"/>
  <c r="H1108" i="13" s="1"/>
  <c r="N15" i="18" s="1"/>
  <c r="H30" i="13"/>
  <c r="H31" i="13" s="1"/>
  <c r="H32" i="13" s="1"/>
  <c r="F14" i="28" s="1"/>
  <c r="H135" i="13"/>
  <c r="H136" i="13" s="1"/>
  <c r="H137" i="13" s="1"/>
  <c r="F19" i="28" s="1"/>
  <c r="H238" i="13"/>
  <c r="H239" i="13" s="1"/>
  <c r="H240" i="13" s="1"/>
  <c r="F28" i="28" s="1"/>
  <c r="H489" i="13"/>
  <c r="H490" i="13" s="1"/>
  <c r="H491" i="13" s="1"/>
  <c r="F31" i="7" s="1"/>
  <c r="H701" i="13"/>
  <c r="H702" i="13" s="1"/>
  <c r="H703" i="13" s="1"/>
  <c r="F24" i="7" s="1"/>
  <c r="H805" i="13"/>
  <c r="H806" i="13" s="1"/>
  <c r="H807" i="13" s="1"/>
  <c r="F44" i="28" s="1"/>
  <c r="H377" i="13"/>
  <c r="H378" i="13" s="1"/>
  <c r="H379" i="13" s="1"/>
  <c r="F30" i="7" s="1"/>
  <c r="H512" i="13"/>
  <c r="H513" i="13" s="1"/>
  <c r="H514" i="13" s="1"/>
  <c r="F58" i="28" s="1"/>
  <c r="H332" i="13"/>
  <c r="H333" i="13" s="1"/>
  <c r="H334" i="13" s="1"/>
  <c r="F28" i="7" s="1"/>
  <c r="H558" i="13"/>
  <c r="H559" i="13" s="1"/>
  <c r="H560" i="13" s="1"/>
  <c r="F39" i="28" s="1"/>
  <c r="H605" i="13"/>
  <c r="H606" i="13" s="1"/>
  <c r="H607" i="13" s="1"/>
  <c r="F12" i="7" s="1"/>
  <c r="H648" i="13"/>
  <c r="H649" i="13" s="1"/>
  <c r="H650" i="13" s="1"/>
  <c r="F15" i="7" s="1"/>
  <c r="H818" i="13"/>
  <c r="H819" i="13" s="1"/>
  <c r="H820" i="13" s="1"/>
  <c r="F45" i="28" s="1"/>
  <c r="H968" i="13"/>
  <c r="H969" i="13" s="1"/>
  <c r="H970" i="13" s="1"/>
  <c r="F18" i="7" s="1"/>
  <c r="H916" i="13"/>
  <c r="H917" i="13" s="1"/>
  <c r="H918" i="13" s="1"/>
  <c r="F55" i="28" s="1"/>
  <c r="H1114" i="13"/>
  <c r="H1115" i="13" s="1"/>
  <c r="H1116" i="13" s="1"/>
  <c r="N16" i="18" s="1"/>
  <c r="H1153" i="13"/>
  <c r="H1154" i="13" s="1"/>
  <c r="H1155" i="13" s="1"/>
  <c r="F13" i="29" s="1"/>
  <c r="H290" i="13"/>
  <c r="H291" i="13" s="1"/>
  <c r="H292" i="13" s="1"/>
  <c r="F27" i="7" s="1"/>
  <c r="H94" i="13"/>
  <c r="H95" i="13" s="1"/>
  <c r="H96" i="13" s="1"/>
  <c r="F16" i="28" s="1"/>
  <c r="H69" i="13"/>
  <c r="H70" i="13" s="1"/>
  <c r="H71" i="13" s="1"/>
  <c r="F23" i="7" s="1"/>
  <c r="H343" i="13"/>
  <c r="H344" i="13" s="1"/>
  <c r="H345" i="13" s="1"/>
  <c r="F49" i="28" s="1"/>
  <c r="H637" i="13"/>
  <c r="H638" i="13" s="1"/>
  <c r="H639" i="13" s="1"/>
  <c r="F14" i="7" s="1"/>
  <c r="H621" i="13"/>
  <c r="H622" i="13" s="1"/>
  <c r="H623" i="13" s="1"/>
  <c r="F13" i="7" s="1"/>
  <c r="H899" i="13"/>
  <c r="H900" i="13" s="1"/>
  <c r="H901" i="13" s="1"/>
  <c r="G1123" i="13"/>
  <c r="H1123" i="13" s="1"/>
  <c r="H1129" i="13" s="1"/>
  <c r="H1130" i="13" s="1"/>
  <c r="H1131" i="13" s="1"/>
  <c r="N17" i="18" s="1"/>
  <c r="G829" i="13"/>
  <c r="H829" i="13" s="1"/>
  <c r="H834" i="13" s="1"/>
  <c r="H835" i="13" s="1"/>
  <c r="H836" i="13" s="1"/>
  <c r="F43" i="28" s="1"/>
  <c r="G866" i="13"/>
  <c r="H866" i="13" s="1"/>
  <c r="H872" i="13" s="1"/>
  <c r="H873" i="13" s="1"/>
  <c r="H874" i="13" s="1"/>
  <c r="F47" i="28" s="1"/>
  <c r="G567" i="13"/>
  <c r="H567" i="13" s="1"/>
  <c r="H570" i="13" s="1"/>
  <c r="H571" i="13" s="1"/>
  <c r="H572" i="13" s="1"/>
  <c r="F41" i="28" s="1"/>
  <c r="G457" i="13"/>
  <c r="H457" i="13" s="1"/>
  <c r="H463" i="13" s="1"/>
  <c r="H464" i="13" s="1"/>
  <c r="H465" i="13" s="1"/>
  <c r="F56" i="28" s="1"/>
  <c r="G421" i="13"/>
  <c r="H421" i="13" s="1"/>
  <c r="H427" i="13" s="1"/>
  <c r="H428" i="13" s="1"/>
  <c r="H429" i="13" s="1"/>
  <c r="F53" i="28" s="1"/>
  <c r="G389" i="13"/>
  <c r="H389" i="13" s="1"/>
  <c r="G528" i="13"/>
  <c r="H528" i="13" s="1"/>
  <c r="H537" i="13" s="1"/>
  <c r="H538" i="13" s="1"/>
  <c r="H539" i="13" s="1"/>
  <c r="F37" i="28" s="1"/>
  <c r="G350" i="13"/>
  <c r="H350" i="13" s="1"/>
  <c r="G300" i="13"/>
  <c r="H300" i="13" s="1"/>
  <c r="H306" i="13" s="1"/>
  <c r="H307" i="13" s="1"/>
  <c r="H308" i="13" s="1"/>
  <c r="F40" i="28" s="1"/>
  <c r="G217" i="13"/>
  <c r="H217" i="13" s="1"/>
  <c r="H223" i="13" s="1"/>
  <c r="H224" i="13" s="1"/>
  <c r="H225" i="13" s="1"/>
  <c r="F27" i="28" s="1"/>
  <c r="G267" i="13"/>
  <c r="H267" i="13" s="1"/>
  <c r="G184" i="13"/>
  <c r="H184" i="13" s="1"/>
  <c r="H189" i="13" s="1"/>
  <c r="H190" i="13" s="1"/>
  <c r="H191" i="13" s="1"/>
  <c r="F24" i="28" s="1"/>
  <c r="G103" i="13"/>
  <c r="H103" i="13" s="1"/>
  <c r="H108" i="13" s="1"/>
  <c r="H109" i="13" s="1"/>
  <c r="H110" i="13" s="1"/>
  <c r="F17" i="28" s="1"/>
  <c r="G51" i="13"/>
  <c r="H51" i="13" s="1"/>
  <c r="G846" i="13"/>
  <c r="H846" i="13" s="1"/>
  <c r="G785" i="13"/>
  <c r="H785" i="13" s="1"/>
  <c r="G740" i="13"/>
  <c r="H740" i="13" s="1"/>
  <c r="H746" i="13" s="1"/>
  <c r="H747" i="13" s="1"/>
  <c r="H748" i="13" s="1"/>
  <c r="F29" i="28" s="1"/>
  <c r="G581" i="13"/>
  <c r="H581" i="13" s="1"/>
  <c r="H586" i="13" s="1"/>
  <c r="H587" i="13" s="1"/>
  <c r="H588" i="13" s="1"/>
  <c r="F42" i="28" s="1"/>
  <c r="G438" i="13"/>
  <c r="H438" i="13" s="1"/>
  <c r="H445" i="13" s="1"/>
  <c r="H446" i="13" s="1"/>
  <c r="H447" i="13" s="1"/>
  <c r="F54" i="28" s="1"/>
  <c r="G406" i="13"/>
  <c r="H406" i="13" s="1"/>
  <c r="H412" i="13" s="1"/>
  <c r="H413" i="13" s="1"/>
  <c r="H414" i="13" s="1"/>
  <c r="F50" i="28" s="1"/>
  <c r="G360" i="13"/>
  <c r="H360" i="13" s="1"/>
  <c r="H365" i="13" s="1"/>
  <c r="H366" i="13" s="1"/>
  <c r="H367" i="13" s="1"/>
  <c r="F52" i="28" s="1"/>
  <c r="G473" i="13"/>
  <c r="H473" i="13" s="1"/>
  <c r="H478" i="13" s="1"/>
  <c r="H479" i="13" s="1"/>
  <c r="H480" i="13" s="1"/>
  <c r="F57" i="28" s="1"/>
  <c r="G313" i="13"/>
  <c r="H313" i="13" s="1"/>
  <c r="H319" i="13" s="1"/>
  <c r="H320" i="13" s="1"/>
  <c r="H321" i="13" s="1"/>
  <c r="F48" i="28" s="1"/>
  <c r="G257" i="13"/>
  <c r="H257" i="13" s="1"/>
  <c r="H260" i="13" s="1"/>
  <c r="H261" i="13" s="1"/>
  <c r="H262" i="13" s="1"/>
  <c r="F33" i="28" s="1"/>
  <c r="G197" i="13"/>
  <c r="H197" i="13" s="1"/>
  <c r="H198" i="13" s="1"/>
  <c r="H199" i="13" s="1"/>
  <c r="H200" i="13" s="1"/>
  <c r="F25" i="28" s="1"/>
  <c r="G245" i="13"/>
  <c r="H245" i="13" s="1"/>
  <c r="H250" i="13" s="1"/>
  <c r="H251" i="13" s="1"/>
  <c r="H252" i="13" s="1"/>
  <c r="F30" i="28" s="1"/>
  <c r="G146" i="13"/>
  <c r="H146" i="13" s="1"/>
  <c r="H153" i="13" s="1"/>
  <c r="H154" i="13" s="1"/>
  <c r="H155" i="13" s="1"/>
  <c r="F20" i="28" s="1"/>
  <c r="G118" i="13"/>
  <c r="H118" i="13" s="1"/>
  <c r="H123" i="13" s="1"/>
  <c r="H124" i="13" s="1"/>
  <c r="H125" i="13" s="1"/>
  <c r="F18" i="28" s="1"/>
  <c r="G39" i="13"/>
  <c r="H39" i="13" s="1"/>
  <c r="H43" i="13" s="1"/>
  <c r="H44" i="13" s="1"/>
  <c r="H45" i="13" s="1"/>
  <c r="F19" i="7" s="1"/>
  <c r="H56" i="13"/>
  <c r="H57" i="13" s="1"/>
  <c r="H58" i="13" s="1"/>
  <c r="H353" i="13"/>
  <c r="H354" i="13" s="1"/>
  <c r="H355" i="13" s="1"/>
  <c r="F51" i="28" s="1"/>
  <c r="H791" i="13"/>
  <c r="H792" i="13" s="1"/>
  <c r="H793" i="13" s="1"/>
  <c r="F35" i="28" s="1"/>
  <c r="H268" i="13"/>
  <c r="H269" i="13" s="1"/>
  <c r="H270" i="13" s="1"/>
  <c r="F34" i="28" s="1"/>
  <c r="H1145" i="13"/>
  <c r="H1146" i="13" s="1"/>
  <c r="H1147" i="13" s="1"/>
  <c r="F12" i="29" s="1"/>
  <c r="H1080" i="13"/>
  <c r="H1081" i="13" s="1"/>
  <c r="H1082" i="13" s="1"/>
  <c r="N13" i="18" s="1"/>
  <c r="H1093" i="13"/>
  <c r="H1094" i="13" s="1"/>
  <c r="N14" i="18" s="1"/>
  <c r="N23" i="18" l="1"/>
  <c r="N25" i="18" s="1"/>
  <c r="N27" i="18" s="1"/>
  <c r="D946" i="13" l="1"/>
  <c r="G850" i="13" l="1"/>
  <c r="H850" i="13" s="1"/>
  <c r="H854" i="13" s="1"/>
  <c r="H855" i="13" s="1"/>
  <c r="H856" i="13" s="1"/>
  <c r="F29" i="7" s="1"/>
  <c r="G392" i="13" l="1"/>
  <c r="H392" i="13" s="1"/>
  <c r="H399" i="13" s="1"/>
  <c r="H400" i="13" s="1"/>
  <c r="H401" i="13" s="1"/>
  <c r="F46" i="28" s="1"/>
  <c r="G946" i="13"/>
  <c r="H946" i="13" s="1"/>
  <c r="H950" i="13" s="1"/>
  <c r="H951" i="13" s="1"/>
  <c r="H952" i="13" s="1"/>
  <c r="F38" i="7" s="1"/>
  <c r="F39" i="7" s="1"/>
</calcChain>
</file>

<file path=xl/sharedStrings.xml><?xml version="1.0" encoding="utf-8"?>
<sst xmlns="http://schemas.openxmlformats.org/spreadsheetml/2006/main" count="4579" uniqueCount="1294">
  <si>
    <t>MINISTERIO DE TRANSPORTE</t>
  </si>
  <si>
    <t>INSTITUTO NACIONAL DE VIAS</t>
  </si>
  <si>
    <t>SUBDIRECCION RED NACIONAL DE CARRETERAS</t>
  </si>
  <si>
    <t>INFORME TRIMESTRAL</t>
  </si>
  <si>
    <r>
      <t>DEL ADMINISTRADOR VIAL GRUPO No.__</t>
    </r>
    <r>
      <rPr>
        <b/>
        <u/>
        <sz val="16"/>
        <rFont val="Arial"/>
        <family val="2"/>
      </rPr>
      <t>02</t>
    </r>
    <r>
      <rPr>
        <b/>
        <sz val="16"/>
        <rFont val="Arial"/>
        <family val="2"/>
      </rPr>
      <t>_____</t>
    </r>
  </si>
  <si>
    <r>
      <t>VERSIÓN No. _</t>
    </r>
    <r>
      <rPr>
        <b/>
        <u/>
        <sz val="12"/>
        <rFont val="Arial"/>
        <family val="2"/>
      </rPr>
      <t>01</t>
    </r>
    <r>
      <rPr>
        <b/>
        <sz val="12"/>
        <rFont val="Arial"/>
        <family val="2"/>
      </rPr>
      <t>__ DE FECHA: 01</t>
    </r>
    <r>
      <rPr>
        <b/>
        <u/>
        <sz val="12"/>
        <rFont val="Arial"/>
        <family val="2"/>
      </rPr>
      <t>/04/2023</t>
    </r>
  </si>
  <si>
    <t>ARA INGENIERIA S.A.S</t>
  </si>
  <si>
    <t>TERRITORIAL ANTIOQUIA</t>
  </si>
  <si>
    <t>CARRETERAS:</t>
  </si>
  <si>
    <t xml:space="preserve">TRAMO 5601 </t>
  </si>
  <si>
    <t>PR49+0000 AL PR103+0000</t>
  </si>
  <si>
    <r>
      <t xml:space="preserve">TRIMESTRE: (ENERO - MARZO </t>
    </r>
    <r>
      <rPr>
        <b/>
        <u/>
        <sz val="12"/>
        <rFont val="Arial"/>
        <family val="2"/>
      </rPr>
      <t xml:space="preserve"> / 2023)</t>
    </r>
  </si>
  <si>
    <t>LA UNION, ABRIL 2023</t>
  </si>
  <si>
    <t>“La movilidad es de todos”</t>
  </si>
  <si>
    <r>
      <t>INFORME TRIMESTRAL PERIODO     ENERO - MARZO</t>
    </r>
    <r>
      <rPr>
        <b/>
        <i/>
        <sz val="11"/>
        <rFont val="Arial"/>
        <family val="2"/>
      </rPr>
      <t xml:space="preserve"> de 2023</t>
    </r>
  </si>
  <si>
    <t xml:space="preserve">            ADMINISTRACION VIAL GRUPO _02__ TERRITORIAL __ANTIOQUIA___________</t>
  </si>
  <si>
    <t>TABLA DE CONTENIDO</t>
  </si>
  <si>
    <t>ITEM</t>
  </si>
  <si>
    <t>DESCRIPCION</t>
  </si>
  <si>
    <t>Cuadro No. 1</t>
  </si>
  <si>
    <t>Generalidades</t>
  </si>
  <si>
    <t>Cuadro No. 2</t>
  </si>
  <si>
    <t>Cumplimiento indicadores de mantenimiento rutinario</t>
  </si>
  <si>
    <t>Cuadro No. 3</t>
  </si>
  <si>
    <t>Relación estado de la red criterio de transitabilidad (visual)</t>
  </si>
  <si>
    <t>Gráfico No. 1</t>
  </si>
  <si>
    <t>Estado de la red criterio de transitabilidad - visual (Semáforo)</t>
  </si>
  <si>
    <t>Gráfico No. 2</t>
  </si>
  <si>
    <t>Estado de la red en torta-criterio de transitabilidad (visual)</t>
  </si>
  <si>
    <t>Cuadro No. 4</t>
  </si>
  <si>
    <t>Relación estado de la red criterio Técnico</t>
  </si>
  <si>
    <t>Gráfico No. 3</t>
  </si>
  <si>
    <t>Estado de la red criterio Técnico</t>
  </si>
  <si>
    <t>Grafico No. 4</t>
  </si>
  <si>
    <t>Estado de la red en torta criterio Técnico</t>
  </si>
  <si>
    <t>Mapa  No.  1</t>
  </si>
  <si>
    <t>Estado de la red y sitios críticos de inestabilidad</t>
  </si>
  <si>
    <t>Cuadro No. 5</t>
  </si>
  <si>
    <t>Necesidades preventivas de las vías</t>
  </si>
  <si>
    <t>Cuadro No. 6</t>
  </si>
  <si>
    <t>Necesidades críticas de las vías</t>
  </si>
  <si>
    <t>Cuadro No. 7</t>
  </si>
  <si>
    <t>Cálculo de cantidades y costos estimados para las necesidades de las vías</t>
  </si>
  <si>
    <t>Cuadro No. 8</t>
  </si>
  <si>
    <t>Información sobre emergencias</t>
  </si>
  <si>
    <t>Cuadro No. 9</t>
  </si>
  <si>
    <t>Estado general de los puentes</t>
  </si>
  <si>
    <t>Cuadro No. 10</t>
  </si>
  <si>
    <t>Priorización de puentes que requieren atención - rehabilitación y conservación</t>
  </si>
  <si>
    <t>Cuadro No. 11</t>
  </si>
  <si>
    <t>Estado general de los pontones</t>
  </si>
  <si>
    <t>Cuadro No. 12</t>
  </si>
  <si>
    <t>Necesidades de los pontones</t>
  </si>
  <si>
    <t>Cuadro No. 13</t>
  </si>
  <si>
    <t>Estado General de los Túneles</t>
  </si>
  <si>
    <t>Cuadro No. 14</t>
  </si>
  <si>
    <t>Necesidades en los Túneles</t>
  </si>
  <si>
    <t>Cuadro No. 15</t>
  </si>
  <si>
    <t>Estado de la señalización vertical y señalización vertical faltante</t>
  </si>
  <si>
    <t>Cuadro No. 16</t>
  </si>
  <si>
    <t>Estado de la señalización horizontal y señalización horizontal faltante</t>
  </si>
  <si>
    <t>Cuadro No. 17</t>
  </si>
  <si>
    <t>Informe de accidentalidad</t>
  </si>
  <si>
    <t>Cuadro No. 18</t>
  </si>
  <si>
    <t>Resumen de actividades para el buen uso y defensa de las vías</t>
  </si>
  <si>
    <t>Cuadro No. 19</t>
  </si>
  <si>
    <t>Seguimiento de funciones técnicas y administrativas 2020 - 2023</t>
  </si>
  <si>
    <t>Cuadro No. 20</t>
  </si>
  <si>
    <t>Ficha cuantitativa Administradores de Mantenimiento Vial</t>
  </si>
  <si>
    <t>Cuadro No. 21</t>
  </si>
  <si>
    <t>Ficha cualitativa Administradores de Mantenimiento Vial</t>
  </si>
  <si>
    <t>Cuadro No. 22</t>
  </si>
  <si>
    <t>Ficha cuantitativa Microempresas</t>
  </si>
  <si>
    <t>Cuadro No. 23</t>
  </si>
  <si>
    <t>Ficha cualitativa Microempresas</t>
  </si>
  <si>
    <t>Cuadro No. 24</t>
  </si>
  <si>
    <t>Información de interventorías a contratos de obra</t>
  </si>
  <si>
    <t>Reseña 1</t>
  </si>
  <si>
    <t>Fotográfica</t>
  </si>
  <si>
    <t>Reseña 2</t>
  </si>
  <si>
    <t>De prensa</t>
  </si>
  <si>
    <t>Comentarios</t>
  </si>
  <si>
    <t>Comentarios generales</t>
  </si>
  <si>
    <t>Capacitación Microempresas</t>
  </si>
  <si>
    <t>DIRECCION TERRITORIAL ANTIOQUIA</t>
  </si>
  <si>
    <t>CUADRO No. 1</t>
  </si>
  <si>
    <t>GENERALIDADES</t>
  </si>
  <si>
    <t>NOMBRE DEL INGENIERO RESIDENTE:</t>
  </si>
  <si>
    <t>CARLOS MARIO MORENO IDÁRRAGA</t>
  </si>
  <si>
    <t>NOMBRE DEL INGENIERO AUXILIAR:</t>
  </si>
  <si>
    <t>N/A</t>
  </si>
  <si>
    <t>SECTOR ADMINISTRADO:</t>
  </si>
  <si>
    <t>LA UNION - LA FRONTERA - SONSÓN, CÓDIGO 5601</t>
  </si>
  <si>
    <t>DIRECCION OFICINA:</t>
  </si>
  <si>
    <t>CALLE 7 No 10-46</t>
  </si>
  <si>
    <t>TELEFONOS :</t>
  </si>
  <si>
    <t>OFICINA:</t>
  </si>
  <si>
    <t>(4) 556 22 90</t>
  </si>
  <si>
    <t>FAX:</t>
  </si>
  <si>
    <t>CELULARES:</t>
  </si>
  <si>
    <t>311 210 04 53</t>
  </si>
  <si>
    <t>CORREO ELECTRONICO:</t>
  </si>
  <si>
    <t>amvantioquia02@gmail.com</t>
  </si>
  <si>
    <t>323 285 74 09</t>
  </si>
  <si>
    <r>
      <t>VERSIÓN No. _</t>
    </r>
    <r>
      <rPr>
        <b/>
        <u/>
        <sz val="12"/>
        <rFont val="Arial"/>
        <family val="2"/>
      </rPr>
      <t>01</t>
    </r>
    <r>
      <rPr>
        <b/>
        <sz val="12"/>
        <rFont val="Arial"/>
        <family val="2"/>
      </rPr>
      <t>__ DE FECHA: 01</t>
    </r>
    <r>
      <rPr>
        <b/>
        <u/>
        <sz val="12"/>
        <rFont val="Arial"/>
        <family val="2"/>
      </rPr>
      <t>/01/2021</t>
    </r>
  </si>
  <si>
    <t>CARRETERAS A CARGO</t>
  </si>
  <si>
    <t>CARRETERA</t>
  </si>
  <si>
    <t>CODIGO</t>
  </si>
  <si>
    <t>LONGITUD (km)</t>
  </si>
  <si>
    <t>PRi</t>
  </si>
  <si>
    <t>PRf</t>
  </si>
  <si>
    <t>No. DE PUENTES</t>
  </si>
  <si>
    <t>MICROEMPRESA</t>
  </si>
  <si>
    <t>OBSERVACIONES</t>
  </si>
  <si>
    <t>P</t>
  </si>
  <si>
    <t>A</t>
  </si>
  <si>
    <t>T</t>
  </si>
  <si>
    <t>La Unión - Sonsón</t>
  </si>
  <si>
    <t>49+0000</t>
  </si>
  <si>
    <t>103+0000</t>
  </si>
  <si>
    <t>8</t>
  </si>
  <si>
    <t>VIAS DE ORIENTE S.A.S</t>
  </si>
  <si>
    <t>TOTALES</t>
  </si>
  <si>
    <t xml:space="preserve">   P: Pavimento</t>
  </si>
  <si>
    <t>A: Afirmado</t>
  </si>
  <si>
    <t>T. Total</t>
  </si>
  <si>
    <t>VOLVER A TABLA DE CONTENIDO</t>
  </si>
  <si>
    <t>NOTA:  CUALQUIER CAMBIO DE DIRECCION, CORREO ELECTRONICO O TELEFONO SE DEBE INFORMAR</t>
  </si>
  <si>
    <t>CUADRO No. 2</t>
  </si>
  <si>
    <t>CUMPLIMIENTO INDICADORES  DE MANTENIMIENTO RUTINARIO</t>
  </si>
  <si>
    <t>INGENIERO RESIDENTE:</t>
  </si>
  <si>
    <t>FECHA: ENE - MAR 2023</t>
  </si>
  <si>
    <t xml:space="preserve">              MICROEMPRESA</t>
  </si>
  <si>
    <t>VIAS DE ORIENTE</t>
  </si>
  <si>
    <t>INDICADOR</t>
  </si>
  <si>
    <t>%</t>
  </si>
  <si>
    <t>ROCERIA Y DESM. MANUAL</t>
  </si>
  <si>
    <t>LIMPIEZA MANUAL CUNETAS</t>
  </si>
  <si>
    <t>LIMPIEZA ENCOLES Y DESCOLES</t>
  </si>
  <si>
    <t>LIMPIEZA OBRAS DE ARTE</t>
  </si>
  <si>
    <t>MANTENIMIENTO PUENTES</t>
  </si>
  <si>
    <t>LIMPIEZA SEÑALES Y MOJONES</t>
  </si>
  <si>
    <t>DESPEJE DE DERRUMBES</t>
  </si>
  <si>
    <t>PINTURA, RENOVACIÓN DE INDICACIONES EN EL MOJON</t>
  </si>
  <si>
    <t>BACHEO CARRETERA PAV.</t>
  </si>
  <si>
    <t>PARCHEO CARRETERA PAV.</t>
  </si>
  <si>
    <t>LIMPIEZA DE LA CALZADA</t>
  </si>
  <si>
    <t>ARBORIZACION (SIEMBRA)</t>
  </si>
  <si>
    <t>PODA, CORTE Y RETIRO DE ARBOLES</t>
  </si>
  <si>
    <t>ATENCION DE EMERGENCIAS</t>
  </si>
  <si>
    <t xml:space="preserve">    BUENO</t>
  </si>
  <si>
    <t xml:space="preserve">        REGULAR</t>
  </si>
  <si>
    <t xml:space="preserve">    MALO</t>
  </si>
  <si>
    <t xml:space="preserve">      NO HUBO</t>
  </si>
  <si>
    <r>
      <t xml:space="preserve">OBSERVACIONES : </t>
    </r>
    <r>
      <rPr>
        <sz val="9"/>
        <rFont val="Arial"/>
        <family val="2"/>
      </rPr>
      <t>SE REALIZOINSTALACIÓN DE PROHIBIDOS PARQUEAR CON PINTURA ACRILICA ENTRE EL PR50+0000 AL PR50+0250 PASO NACIONAL POR LA UNIÓN, TAMBIEN SE INSTALO LINEA DE DEMARCACION ENTRE EL PR61+0000 AL PR 68+0600  CD, INSTALACIÓN DE LINEAS LOGARITMICAS EN EL PR97+0300(FALLO GEOLOGICO)</t>
    </r>
  </si>
  <si>
    <r>
      <t>*</t>
    </r>
    <r>
      <rPr>
        <sz val="9"/>
        <rFont val="Arial"/>
        <family val="2"/>
      </rPr>
      <t xml:space="preserve">  Indicar nombre de cada microempresa a la que se le aplica el indicador. Resolución N°</t>
    </r>
  </si>
  <si>
    <t>En caso de no cumplir totalmente con el indicador, informar la razón.</t>
  </si>
  <si>
    <t>Indicar el Porcentaje de cumplimiento mensual para cada microempresa</t>
  </si>
  <si>
    <t>CUADRO No 3</t>
  </si>
  <si>
    <t>RELACION ESTADO DE LA RED CRITERIO DE TRANSITABILIDAD (VISUAL)</t>
  </si>
  <si>
    <t>TRIMESTRE EVALUADO:</t>
  </si>
  <si>
    <t>ENE - MAR / 2023</t>
  </si>
  <si>
    <t>CODIGO VIA</t>
  </si>
  <si>
    <t>PR INICIAL</t>
  </si>
  <si>
    <t>PR FINAL</t>
  </si>
  <si>
    <t>Kms.</t>
  </si>
  <si>
    <t>TIPO DE</t>
  </si>
  <si>
    <t>ESTADO</t>
  </si>
  <si>
    <t>SUPERFICIE</t>
  </si>
  <si>
    <t>LA UNIÓN  -  SONSÓN</t>
  </si>
  <si>
    <t>M</t>
  </si>
  <si>
    <t>BUENO</t>
  </si>
  <si>
    <t>B</t>
  </si>
  <si>
    <t>REGULAR</t>
  </si>
  <si>
    <t>MALO</t>
  </si>
  <si>
    <t>TOTAL</t>
  </si>
  <si>
    <t>R</t>
  </si>
  <si>
    <t>101+0900</t>
  </si>
  <si>
    <t>Nota: La información contenida es un ejemplo sobre la forma de diligenciar este cuadro.Debe presentarse a color.</t>
  </si>
  <si>
    <t>CONVENCIONES</t>
  </si>
  <si>
    <t>INSTITUTO  NACIONAL DE VÍAS</t>
  </si>
  <si>
    <t>DIRECCIÓN TERRITORIAL ANTIOQUIA</t>
  </si>
  <si>
    <t>GRAFICO No. 1</t>
  </si>
  <si>
    <t>ESTADO DE LAS VÍAS CRITERIO DE TRANSITABILIDAD (VISUAL)</t>
  </si>
  <si>
    <t>NOMBRE DE LA VIA:</t>
  </si>
  <si>
    <t>LA UNION - LA FRONTERA - SONSÓN</t>
  </si>
  <si>
    <t>Codigo de la vía:</t>
  </si>
  <si>
    <t>SECTOR</t>
  </si>
  <si>
    <t>01</t>
  </si>
  <si>
    <t>LA UNIÓN - LA FRONTERA</t>
  </si>
  <si>
    <t>PR49+0000   A    PR67+0700</t>
  </si>
  <si>
    <t>02</t>
  </si>
  <si>
    <t>LA FRONTERA - SONSÓN</t>
  </si>
  <si>
    <t>PR67+0700   A    PR103+0000</t>
  </si>
  <si>
    <t>CARLOS MARIO MORENO IDARRAGA</t>
  </si>
  <si>
    <t>PERÍODO  EVALUADO:</t>
  </si>
  <si>
    <t>CÓDIGO</t>
  </si>
  <si>
    <t xml:space="preserve">  Longitud y  Porcentaje</t>
  </si>
  <si>
    <t xml:space="preserve">sobre el total de la vía </t>
  </si>
  <si>
    <t xml:space="preserve">               PR</t>
  </si>
  <si>
    <t>o del ítem</t>
  </si>
  <si>
    <t xml:space="preserve">    ÍTEM</t>
  </si>
  <si>
    <t>km</t>
  </si>
  <si>
    <t>Pavimento</t>
  </si>
  <si>
    <t>b</t>
  </si>
  <si>
    <t>m</t>
  </si>
  <si>
    <t>r</t>
  </si>
  <si>
    <t>Afirmado</t>
  </si>
  <si>
    <t>NO APLICA</t>
  </si>
  <si>
    <t xml:space="preserve">Puentes (Son:  8 ) </t>
  </si>
  <si>
    <t>Cunetas</t>
  </si>
  <si>
    <t>Señalización Vertical</t>
  </si>
  <si>
    <t>Señalización horizontal</t>
  </si>
  <si>
    <t>Rocería</t>
  </si>
  <si>
    <t>Alcantarillas</t>
  </si>
  <si>
    <t>Limpiezas de bermas</t>
  </si>
  <si>
    <t>NOTA: Indicar en el mapa los PRs de cada uno de los sitios importantes</t>
  </si>
  <si>
    <t>GRAFICO No. 2</t>
  </si>
  <si>
    <t>ESTADO DE LAS VIAS EN TORTA-CRITERIO DE TRANSITABILIDAD (VISUAL)</t>
  </si>
  <si>
    <t>ENE - MAR  / 2023</t>
  </si>
  <si>
    <t>TRIMESTRE ANTERIOR</t>
  </si>
  <si>
    <t>TRIMESTRE  EVALUADO</t>
  </si>
  <si>
    <t xml:space="preserve">TRAMO </t>
  </si>
  <si>
    <t>LA UNION-LA FRONTERA-SONSON</t>
  </si>
  <si>
    <t>CUADRO No 4</t>
  </si>
  <si>
    <t>RELACION ESTADO DE LA RED CRITERIO TECNICO</t>
  </si>
  <si>
    <t>PERIODO EVALUADO:</t>
  </si>
  <si>
    <t>JULIO - DICIEMBRE/2022</t>
  </si>
  <si>
    <t>49+0885</t>
  </si>
  <si>
    <t>P-1</t>
  </si>
  <si>
    <t>MB</t>
  </si>
  <si>
    <t>50+0040</t>
  </si>
  <si>
    <t>P-6</t>
  </si>
  <si>
    <t>50+0240</t>
  </si>
  <si>
    <t>MM</t>
  </si>
  <si>
    <t>51+0000</t>
  </si>
  <si>
    <t>52+0000</t>
  </si>
  <si>
    <t>53+0000</t>
  </si>
  <si>
    <t>54+0000</t>
  </si>
  <si>
    <t>55+0000</t>
  </si>
  <si>
    <t>56+0000</t>
  </si>
  <si>
    <t>57+0000</t>
  </si>
  <si>
    <t>58+0000</t>
  </si>
  <si>
    <t>59+0000</t>
  </si>
  <si>
    <t>60+0000</t>
  </si>
  <si>
    <t>61+0000</t>
  </si>
  <si>
    <t>62+0000</t>
  </si>
  <si>
    <t>63+0000</t>
  </si>
  <si>
    <t>64+0000</t>
  </si>
  <si>
    <t>65+0000</t>
  </si>
  <si>
    <t>66+0000</t>
  </si>
  <si>
    <t>67+0000</t>
  </si>
  <si>
    <t>68+0000</t>
  </si>
  <si>
    <t>68+0601</t>
  </si>
  <si>
    <t>69+0000</t>
  </si>
  <si>
    <t>70+0000</t>
  </si>
  <si>
    <t>71+0000</t>
  </si>
  <si>
    <t>71+0318</t>
  </si>
  <si>
    <t>72+0000</t>
  </si>
  <si>
    <t>72+0688</t>
  </si>
  <si>
    <t>73+0000</t>
  </si>
  <si>
    <t>74+0000</t>
  </si>
  <si>
    <t>75+0000</t>
  </si>
  <si>
    <t>76+0000</t>
  </si>
  <si>
    <t>77+0000</t>
  </si>
  <si>
    <t>78+0000</t>
  </si>
  <si>
    <t>79+0000</t>
  </si>
  <si>
    <t>80+0000</t>
  </si>
  <si>
    <t>81+0000</t>
  </si>
  <si>
    <t>82+0000</t>
  </si>
  <si>
    <t>83+0000</t>
  </si>
  <si>
    <t>84+0000</t>
  </si>
  <si>
    <t>85+0000</t>
  </si>
  <si>
    <t>86+0000</t>
  </si>
  <si>
    <t>87+0000</t>
  </si>
  <si>
    <t>88+0000</t>
  </si>
  <si>
    <t>89+0000</t>
  </si>
  <si>
    <t>90+0000</t>
  </si>
  <si>
    <t>91+0000</t>
  </si>
  <si>
    <t>92+0000</t>
  </si>
  <si>
    <t>93+0000</t>
  </si>
  <si>
    <t>94+0000</t>
  </si>
  <si>
    <t>95+0000</t>
  </si>
  <si>
    <t>96+0000</t>
  </si>
  <si>
    <t>97+0000</t>
  </si>
  <si>
    <t>98+0000</t>
  </si>
  <si>
    <t>99+0000</t>
  </si>
  <si>
    <t>100+0000</t>
  </si>
  <si>
    <t>101+0000</t>
  </si>
  <si>
    <t>101+0910</t>
  </si>
  <si>
    <t>102+0000</t>
  </si>
  <si>
    <t>102+0950</t>
  </si>
  <si>
    <t>MUY BUENO</t>
  </si>
  <si>
    <t>MUY MALO</t>
  </si>
  <si>
    <t>GRAFICO No. 3</t>
  </si>
  <si>
    <t>ESTADO DE LA RED CRITERIO TÉCNICO</t>
  </si>
  <si>
    <t>NOMBRE DE LA VÍA:</t>
  </si>
  <si>
    <t>LA UNIÓN - LA FRONTERA - SONSÓN</t>
  </si>
  <si>
    <t>Código de la vía:</t>
  </si>
  <si>
    <t>LA UNIÓN - SONSÓN</t>
  </si>
  <si>
    <t>PR 49+0000   A    PR 103+0000</t>
  </si>
  <si>
    <t>CARLOS MARIO MORENO I.</t>
  </si>
  <si>
    <t>PERIODO  EVALUADO:</t>
  </si>
  <si>
    <t>JULIO - DICIEMBRE / 2022</t>
  </si>
  <si>
    <t>Hacer montaje del mapa de la red vial sobre cartografía o mapas aerofotogramétricos</t>
  </si>
  <si>
    <t>OBSERVACIONES:</t>
  </si>
  <si>
    <t>GRAFICO No. 4</t>
  </si>
  <si>
    <t>ESTADO DE LA RED EN TORTA - CRITERIO TECNICO</t>
  </si>
  <si>
    <t>SEMESTRE ANTERIOR</t>
  </si>
  <si>
    <t>SEMESTRE  EVALUADO</t>
  </si>
  <si>
    <t>SEMESTRE EVALUADO</t>
  </si>
  <si>
    <t>LA UNION - SONSON</t>
  </si>
  <si>
    <t>RUTA 5601</t>
  </si>
  <si>
    <t>INSTITUTO NACIONAL DE VÍAS</t>
  </si>
  <si>
    <t>MAPA No. 1</t>
  </si>
  <si>
    <t>ESTADO DE LA RED Y SITIOS CRÍTICOS DE INESTABILIDAD</t>
  </si>
  <si>
    <t xml:space="preserve">INCLUIR AQUÍ EL MAPA CON EL ESTADO GENERAL DE LA RED VIAL A CARGO (CON COLORES </t>
  </si>
  <si>
    <t>DEL CRITERIO TÉCNICO) Y LA UBICACIÓN CON PR DE LOS SITIOS CRÍTICOS DE INESTABILIDAD</t>
  </si>
  <si>
    <t xml:space="preserve">NOTA: </t>
  </si>
  <si>
    <t xml:space="preserve">Ubicar en el mapa municipios,  PRs de sitios importantes y lugares donde hay </t>
  </si>
  <si>
    <t>cambios en el estado de la red y sitios críticos de inestabilidad.</t>
  </si>
  <si>
    <t>RELACIÓN SITIOS CRÍTICOS DE INESTABILIDAD</t>
  </si>
  <si>
    <t>No</t>
  </si>
  <si>
    <t>CÓDIGO VÍA</t>
  </si>
  <si>
    <t>PR</t>
  </si>
  <si>
    <t>DESCRIPCIÓN DEL PROBLEMA</t>
  </si>
  <si>
    <t>EL CARDAL</t>
  </si>
  <si>
    <t>70+0080</t>
  </si>
  <si>
    <t>Socavación y erosión pata del talud inferior.</t>
  </si>
  <si>
    <t>19+500</t>
  </si>
  <si>
    <t>AURES</t>
  </si>
  <si>
    <t>80+0460</t>
  </si>
  <si>
    <t>Erosión en descole de obra de drenaje, formación de gran cárcava en talud inferior</t>
  </si>
  <si>
    <t>24+700</t>
  </si>
  <si>
    <t>81+0820</t>
  </si>
  <si>
    <t>Reactivación inestabilidad talud superior, con caídas de suelo e invasión de calzada.</t>
  </si>
  <si>
    <t>81+0200</t>
  </si>
  <si>
    <t>Fallo de muro en gaviones, por malla deteriorada</t>
  </si>
  <si>
    <t>81+0250</t>
  </si>
  <si>
    <t>Fallo de cuneta y de talud inferioren el costado izquierdo, se presentan grietas en el talud. Lugar en constante chequeo</t>
  </si>
  <si>
    <t>AURES CARTAGENA</t>
  </si>
  <si>
    <t>83+0012</t>
  </si>
  <si>
    <t>Daño en losa de puente "Cartagena", fisuras en vigas, socavación en estribos y aletas y disipador de energía.</t>
  </si>
  <si>
    <t>LA MORELIA</t>
  </si>
  <si>
    <t>84+0750</t>
  </si>
  <si>
    <t>Fallo de Bordillo en talud Inferior</t>
  </si>
  <si>
    <t>85+0660</t>
  </si>
  <si>
    <t>Asentamiento carril derecho. Talud  inferior inestable lado derecho.</t>
  </si>
  <si>
    <t>61+100 a 61+600</t>
  </si>
  <si>
    <t>MANANTIALES</t>
  </si>
  <si>
    <t>92+0087</t>
  </si>
  <si>
    <t>Daño serevo en obra, encole y decole, se requiere cambio y mejoramiento.</t>
  </si>
  <si>
    <t>91+0840 - 92+0010</t>
  </si>
  <si>
    <t>Deformación de la calzada, deslizamiento lento masivo.</t>
  </si>
  <si>
    <t>TASAJO</t>
  </si>
  <si>
    <t>93+0750</t>
  </si>
  <si>
    <t>Desprendimiento del talud inferior, lado izquierdo de la vía por acción erosiva del río "Tasajo".</t>
  </si>
  <si>
    <t>18+000</t>
  </si>
  <si>
    <t>94+0260</t>
  </si>
  <si>
    <t>Fuerte Erosion en descole causado por incremento de caudal de quebrada.</t>
  </si>
  <si>
    <t>94+0450</t>
  </si>
  <si>
    <t>Carcava descole obra y desconfinamiento de banca.</t>
  </si>
  <si>
    <t>94+0820 - 94+0875</t>
  </si>
  <si>
    <t>Hundimiento de banca en longitud de 65 metros.  Ya es notorio el desnivel tanto a la entrada como a la salida de sector afectado.</t>
  </si>
  <si>
    <t>44+500 a 45+500</t>
  </si>
  <si>
    <t>95+0750 - 95+0840</t>
  </si>
  <si>
    <t>Hundimiento de banca en longitud de 100 metros.  El paso continua estable luego de  aplicación en 2013 de capa de renivelación de MSC-1, como medida de mitigación.</t>
  </si>
  <si>
    <t>LA HONDA</t>
  </si>
  <si>
    <t>97+0300</t>
  </si>
  <si>
    <t>VOLVER A LA TABLA DE CONTENIDO</t>
  </si>
  <si>
    <t>CUADRO No. 5</t>
  </si>
  <si>
    <t>NECESIDADES PREVENTIVAS DE LA VIA</t>
  </si>
  <si>
    <t>MANTENIMIENTO PERIODICO</t>
  </si>
  <si>
    <t>TRIMESTRE EVALUADO: ENE - MAR/2023</t>
  </si>
  <si>
    <t>PR inicial</t>
  </si>
  <si>
    <t>PR final</t>
  </si>
  <si>
    <t>DESCRIPCION DE LA NECESIDAD</t>
  </si>
  <si>
    <t>COSTO ESTIMADO ($)</t>
  </si>
  <si>
    <t>52+200</t>
  </si>
  <si>
    <t>REEMPLAZO DE OBRA DE DRENAJE INSUFICIENTE HIDRÁULICAMENTE</t>
  </si>
  <si>
    <t>52+530</t>
  </si>
  <si>
    <t>REEMPLAZO DE OBRA DE DRENAJE COLAPSADA</t>
  </si>
  <si>
    <t>53+475</t>
  </si>
  <si>
    <t>55+850</t>
  </si>
  <si>
    <t>CONSTRUCCIÓN DE DISIPADOR DE CUNETAS PARA EVITAR EROSIÓN EN DESCOLE</t>
  </si>
  <si>
    <t>56+0210</t>
  </si>
  <si>
    <t xml:space="preserve">REEMPLAZO DE ALCANTARILLA, ENCAUCE DE AGUAS DE ENCOLE HACIA OBRA DE DRENAJE Y PROTECCIÓN DEL MISMO </t>
  </si>
  <si>
    <t>56+0563</t>
  </si>
  <si>
    <t>RECONSTRUCCIÓN DE CUNETAS DETERIORADAS</t>
  </si>
  <si>
    <t>57+0784</t>
  </si>
  <si>
    <t>58+0790</t>
  </si>
  <si>
    <t>PROTECCIÓN BANCA DE ACCIÓN EROSIVA DE QUEBRADA</t>
  </si>
  <si>
    <t>60+0125</t>
  </si>
  <si>
    <t>DEMOLICIÓN DE CABEZOTE VOLCADO QUE OBSTRUYE SALIDA DE OBRA DE DRENAJE</t>
  </si>
  <si>
    <t>60+0820</t>
  </si>
  <si>
    <t>DEMOLICIÓN Y RECONSTRUCCIÓN DE PLACAS DE PAVIMENTO DE CONCRETO</t>
  </si>
  <si>
    <t>61+0585</t>
  </si>
  <si>
    <t>63+0110</t>
  </si>
  <si>
    <t>CONSTRUCCIÓN DE MURO EN GAVIONES PARA ESTABILIZACIÓN BANCA, MARGEN DERECHA VÍA</t>
  </si>
  <si>
    <t>68+0812</t>
  </si>
  <si>
    <t>CONSTRUCCIÓN DE DISIPADOR DE OBRA DE DRENAJE PARA EVITAR MAYOR EROSIÓN DE DESCOLE</t>
  </si>
  <si>
    <t>68+0910</t>
  </si>
  <si>
    <t>CONSTRUCCIÓN DE ALETA DE OBRA DE DRENAJE</t>
  </si>
  <si>
    <t>68+0980</t>
  </si>
  <si>
    <t>REEMPLAZO DE OBRA DE DRENAJE INSUFICIENTE</t>
  </si>
  <si>
    <t>82+0904</t>
  </si>
  <si>
    <t>RECONSTRUCCIÓN DE MURO EN GAVIONES</t>
  </si>
  <si>
    <t>89+0890</t>
  </si>
  <si>
    <t>REEMPLAZO DE OBRA DE DRENAJE DETERIORADA</t>
  </si>
  <si>
    <t>96+0015</t>
  </si>
  <si>
    <t>CONSTRUCCIÓN DE GAVIONES PARA ESTABILIZACIÓN DE BANCA</t>
  </si>
  <si>
    <t>97+0720</t>
  </si>
  <si>
    <t>98+0790</t>
  </si>
  <si>
    <t>CONSTRUCCIÓN DE DISIPADOR DE CUNETA</t>
  </si>
  <si>
    <t>72+0700 - 85+0130 y 101+0905 - 103+0000</t>
  </si>
  <si>
    <t>SELLO DE FISURAS PAVIMENTO FLEXIBLE</t>
  </si>
  <si>
    <t>72+688</t>
  </si>
  <si>
    <t>REPARACIÓN DE PLACAS DE PAVIMENTO RÍGIDO</t>
  </si>
  <si>
    <t>REMOCIÓN DE DERRUMBES TRAMO 5601</t>
  </si>
  <si>
    <t>85+0160</t>
  </si>
  <si>
    <t>101+906</t>
  </si>
  <si>
    <t>PARCHEO CON MEZCLA ASFÁLTICA PR´S 85+0150 AL PR 101+0906</t>
  </si>
  <si>
    <t>49+0000-49+0885, 68+0601-71+0318, 85+0103-101+0900</t>
  </si>
  <si>
    <t>PARCHEO CON MEZCLA ASFÁLTICA Y REFORZAMIENTO DE LA ESTRUCTURA DEL PAVIMENTO PR´S 49+000-49+885, 68+601-71+318, 85+103-101+900</t>
  </si>
  <si>
    <t>RECONSTRUCCIÓN DE CUNETAS Y FILTROS TRAMO 5601</t>
  </si>
  <si>
    <t>LOS VALORES REGISTRADOS EN LA COLUMNA COSTO ESTIMADO, DEBEN ESTAR ENLAZADOS CON EL HIPERVINCULO DEL CUADRO No. 7 "CALCULO DE CANTIDADES Y COSTOS ESTIMADOS DE NECESIDADES DE LAS VIAS", RESPECTIVO.</t>
  </si>
  <si>
    <t>NOTA (1): El costo debe incluir AIU e IVA (16% sobre utilidades)</t>
  </si>
  <si>
    <t>CUADRO No. 6</t>
  </si>
  <si>
    <t>NECESIDADES CRITICAS DE LAS VIAS</t>
  </si>
  <si>
    <t>ADMINISTRADOR (ING. RESIDENTE):</t>
  </si>
  <si>
    <t xml:space="preserve">ENE-MAR/2023  </t>
  </si>
  <si>
    <t>57+0950</t>
  </si>
  <si>
    <t>CONSTRUCCIÓN DE MURO SOBRE CAISSONS Y REPARACIÓN DE CUNETAS</t>
  </si>
  <si>
    <t>58+0045</t>
  </si>
  <si>
    <t>PROTECCIÓN BANCA Y ESTRUCTURA DE CONTENCIÓN DE ACCIÓN EROSIVA DE QUEBRADA</t>
  </si>
  <si>
    <t>65+0970</t>
  </si>
  <si>
    <t>CONSTRUCCIÓN DE MURO DE PATA EN GAVIONES Y DE DISIPADOR DE ENERGÍA</t>
  </si>
  <si>
    <t>67+0990</t>
  </si>
  <si>
    <t>68+030</t>
  </si>
  <si>
    <t>CONSTRUCCIÓN DE BORDILLO (INCLUYE CONTRAFUERTES PARA EVITAR VOLCAMIENTO), PARA EVITAR EROSIÓN EN TALUD INFERIOR</t>
  </si>
  <si>
    <t>68+0500</t>
  </si>
  <si>
    <t>CONSTRUCCIÓN DE MURO EN CONCRETO (CIMENTACIÓN SUPERFICIAL), H=3,5 M, L=35 M</t>
  </si>
  <si>
    <t>68+0600</t>
  </si>
  <si>
    <t>CONSTRUCCIÓN DE MURO EN CONCRETO (CIMENTACIÓN SUPERFICIAL), H=3,5 M, L=20M</t>
  </si>
  <si>
    <t>68+0773</t>
  </si>
  <si>
    <t>REEMPLAZO DE MURO EN GAVIONES DETERIORADOS Y CONSTRUCCIÓN DE DISIPADOR DE OBRA DE DRENAJE PARA EVITAR MAYOR EROSIÓN DE DESCOLE</t>
  </si>
  <si>
    <t>CONSTRUCCIÓN DE MURO EN CONCRETO (CIMENTACIÓN SUPERFICIAL) Y PROTECCIÓN DE CAUCE QUEBRADA</t>
  </si>
  <si>
    <t>70+0775</t>
  </si>
  <si>
    <t>72+0900</t>
  </si>
  <si>
    <t>76+0400</t>
  </si>
  <si>
    <t>REPARACIÓN DE CUNETA Y CONSTRUCCIÓN MURO EN GAVIONES</t>
  </si>
  <si>
    <t>76+0515</t>
  </si>
  <si>
    <t>CONSTRUCCIÓN DE MURO EN GAVIONES</t>
  </si>
  <si>
    <t>76+0880</t>
  </si>
  <si>
    <t>RECONSTRUCCIÓN DE BORDILLO</t>
  </si>
  <si>
    <t>76+0900</t>
  </si>
  <si>
    <t>CONSTRUCCIÓN DE MURO PATERO</t>
  </si>
  <si>
    <t>77+0010</t>
  </si>
  <si>
    <t>CONSTRUCCIÓN DE MURO EN CONCRETO (CIMENTACIÓN SUPERFICIAL), H=3,5 M, L=25 M</t>
  </si>
  <si>
    <t>77+0930</t>
  </si>
  <si>
    <t>78+0030</t>
  </si>
  <si>
    <t>REEMPLAZO DE CAJA DE DRENAJE INSUFICIENTE POR BOX COULVERT DE 2X2</t>
  </si>
  <si>
    <t>78+0540</t>
  </si>
  <si>
    <t>CONSTRUCCIÓN DE GAVIONES Y DISIPADOR DE OBRA DE DRENAJE PARA RECUPERAR ESTABILIDAD BANCA</t>
  </si>
  <si>
    <t>78+0580</t>
  </si>
  <si>
    <t>CONSTRUCCIÓN DE DISIPADOR DE OBRA DE DRENAJE PARA RECUPERACIÓN CÁRCAVA</t>
  </si>
  <si>
    <t>80+0060</t>
  </si>
  <si>
    <t>CONSTRUCCIÓN DE DISIPADOR DE OBRA DE DRENAJE Y RECUPERACIÓN CÁRCAVA</t>
  </si>
  <si>
    <t xml:space="preserve">CONSTRUCCIÓN DE DISIPADOR DE OBRA DE DRENAJE </t>
  </si>
  <si>
    <t>80+0640</t>
  </si>
  <si>
    <t>PROTECCIÓN TALUD INFERIOR Y CAUCE QUEBRADA DE ACCIÓN EROSIVA</t>
  </si>
  <si>
    <t>80+0720</t>
  </si>
  <si>
    <t>80+0750</t>
  </si>
  <si>
    <t>PROTECCIÓN DE TALUD CON REVEGETALIZACIÓN Y MANTO DE REFUERZO</t>
  </si>
  <si>
    <t>OBRAS DE ESTABILIZACIÓN TALUD SUPERIOR (MURO CIMENTACIÓN SUPERFICIAL PARA CONTENER MASA, H=2,0 M., L=30 M.), DRENAJE Y SUBDRENAJE</t>
  </si>
  <si>
    <t>RECONSTRUCCION DE MURO DE GAVIONES L=30M</t>
  </si>
  <si>
    <t>RECUPERACION Y CONSTRUCCION DE CUNETA L=20M</t>
  </si>
  <si>
    <t>83+0440</t>
  </si>
  <si>
    <t>CONSTRUCCIÓN MURO CONCRETO SOBRE CAISSONS PARA ESTABILIZACIÓN DE LA BANCA, L=25,0 m.</t>
  </si>
  <si>
    <t>CONSTRUCCIÓN DE BORDILLO MICROPILOTESDO DE 15 M DE LONGITUD.</t>
  </si>
  <si>
    <t>ESTABILIZACIÓN DE TERRENO CON CAISSONS, VIGA CABEZAL Y OBRAS COMPLEMENTARIAS</t>
  </si>
  <si>
    <t>87+0220</t>
  </si>
  <si>
    <t>CONSTRUCCIÓN DE MURO DE CONCRETO REFORZADO DE CIMENTACIÓN SUPERFICIAL, H=3,5 M., L=15,0 M.</t>
  </si>
  <si>
    <t>87+0396</t>
  </si>
  <si>
    <t>88+0190</t>
  </si>
  <si>
    <t>RECONSTRUCCIÓN ALETAS DE SALIDA OBRA DRENAJE Y CONSTRUCCIÓN DE DISIPADOR PARA EVITAR EROSIÓN EN DESCOLE Y FORMACIÓN DE CÁRCAVA</t>
  </si>
  <si>
    <t>91+0840</t>
  </si>
  <si>
    <t>OBRAS DE ESTABILIZACIÓN DE TERRENO Y BANCA PARA MANTENER EL TRÁNSITO POR EL SECTOR</t>
  </si>
  <si>
    <t>92+0360</t>
  </si>
  <si>
    <t>RECONSTRUCCIÓN TERRAPLÉN Y REEMPLAZO DE CAJA DE DRENAJE INSUFICIENTE POR BOX COULVERT DE 2X2</t>
  </si>
  <si>
    <t>93+0770</t>
  </si>
  <si>
    <t>OBRAS DE PROTECCIÓN DEL TALUD INFERIOR POR ACCIÓN EROSIVA DEL RÍO "TASAJO" MARGEN IZQUIERDA</t>
  </si>
  <si>
    <t>94+0015</t>
  </si>
  <si>
    <t>CONSTRUCCIÓN DE MURO EN GAVIONES PARA EVITAR INESTABILIDAD EN BANCA Y RECUPERAR BORDE VÍA, MARGEN IZQUIERDA VÍA</t>
  </si>
  <si>
    <t>CONSTRUCCION DE DESCOLE, HIDROSIEMBRA Y MUERTO EN ROCA DE GRAN TAMAÑO</t>
  </si>
  <si>
    <t>94+0380</t>
  </si>
  <si>
    <t>CONSTRUCCIÓN DE DISIPADOR DE DESCOLE DE CUNETAS PARA PROTECCIÓN DE MURO EXISTENTE Y ESTABILIZAR BANCA</t>
  </si>
  <si>
    <t>94+0820</t>
  </si>
  <si>
    <t>OBRAS DE ESTABILIZACIÓN DE TERRENO Y BANCA (MURO CONFINAMIENTO EN GAVIONES TALUD INFERIOR, DRENAJE, SUBDRENAJE)</t>
  </si>
  <si>
    <t>95+0750</t>
  </si>
  <si>
    <t>95+840</t>
  </si>
  <si>
    <t>OBRAS DE ESTABILIZACIÓN DE TERRENO Y BANCA</t>
  </si>
  <si>
    <t>95+0870</t>
  </si>
  <si>
    <t>96+0125</t>
  </si>
  <si>
    <t>CONSTRUCCIÓN DE MURO EN CONCRETO SOBRE CAISSONS Y DISIPADOR OBRA DE DRENAJE PARA ESTABILIZACIÓN DE LA BANCA</t>
  </si>
  <si>
    <t>CONSTRUCCIÓN DE MURO DE CONCRETO REFORZADO DE CIMENTACIÓN SUPERFICIAL, H=3,5 M., L=25,0 M.</t>
  </si>
  <si>
    <t>ESTABILIZACIÓN Y PROTECCIÓN DE TALUDES A LO LARGO DEL TRAMO 5601</t>
  </si>
  <si>
    <t>CUADRO No. 7</t>
  </si>
  <si>
    <t>CALCULO DE CANTIDADES Y COSTOS ESTIMADOS DE  NECESIDADES</t>
  </si>
  <si>
    <t>DE LAS VIAS (PREVENTIVAS Ó CRITICAS Ó PUENTES Ó PONTONES)</t>
  </si>
  <si>
    <t xml:space="preserve">CARRETERA: </t>
  </si>
  <si>
    <t>LA UNION - LA FRONTERA - SONSÓN (PR49+0000 - PR103+0000)</t>
  </si>
  <si>
    <t>SECTOR:</t>
  </si>
  <si>
    <t>ITEM DE PAGO</t>
  </si>
  <si>
    <t>ESPECIFICACIONES</t>
  </si>
  <si>
    <t>GENERAL</t>
  </si>
  <si>
    <t>PARTICULAR</t>
  </si>
  <si>
    <t>UND.</t>
  </si>
  <si>
    <t>CANTIDAD</t>
  </si>
  <si>
    <t>VALOR UNITARIO           ( $ )</t>
  </si>
  <si>
    <t>VALOR TOTAL         ( $ )</t>
  </si>
  <si>
    <t>1.  Descripción de la actividad : OBRAS DE PROTECCIÓN Y RECUPERACIÓN DE BANCA</t>
  </si>
  <si>
    <t>PR57+0950 CONSTRUCCIÓN DE MURO SOBRE CAISSONS Y REPARACIÓN DE CUNETAS l=23,60 ML</t>
  </si>
  <si>
    <t>623.1</t>
  </si>
  <si>
    <t>VALOR BÁSICO</t>
  </si>
  <si>
    <t>VALOR IVA (19% SOBRE UTILIDADES)</t>
  </si>
  <si>
    <t>VALOR TOTAL DE LA OBRA</t>
  </si>
  <si>
    <t>PR 58+0045 PROTECCIÓN BANCA Y ESTRUCTURA DE CONTENCIÓN DE ACCIÓN EROSIVA DE QUEBRADA</t>
  </si>
  <si>
    <t>600.1.1</t>
  </si>
  <si>
    <t>600.2.4</t>
  </si>
  <si>
    <t>610.1</t>
  </si>
  <si>
    <t>630.1.5</t>
  </si>
  <si>
    <t>630.1.7</t>
  </si>
  <si>
    <t>630.P</t>
  </si>
  <si>
    <t>673.1.2</t>
  </si>
  <si>
    <t>681.1</t>
  </si>
  <si>
    <t>PR 58+0790 PROTECCIÓN BANCA DE ACCIÓN EROSIVA DE QUEBRADA</t>
  </si>
  <si>
    <t>630.1.4.1</t>
  </si>
  <si>
    <t>PR 62+0260 EROSIÓN SEVERO POR DESCOLE</t>
  </si>
  <si>
    <t>630.1.6</t>
  </si>
  <si>
    <t xml:space="preserve"> </t>
  </si>
  <si>
    <t>640.1</t>
  </si>
  <si>
    <t>681.3</t>
  </si>
  <si>
    <t>PR 63+0110 CONSTRUCCIÓN DE MURO EN GAVIONES PARA ESTABILIZACIÓN BANCA, MARGEN DERECHA VÍA, L=15m</t>
  </si>
  <si>
    <t>PR 65+0970 CONSTRUCCIÓN DE MURO DE PATA EN GAVIONES Y CUNETA</t>
  </si>
  <si>
    <t>671.3</t>
  </si>
  <si>
    <t>PR 67+0990 AL PR 68+0030 CONSTRUCCIÓN DE BORDILLO (INCLUYE CONTRAFUERTES PARA EVITAR VOLCAMIENTO), PARA EVITAR EROSIÓN EN TALUD INFERIOR</t>
  </si>
  <si>
    <t>673.2</t>
  </si>
  <si>
    <t>PR 68+0500 CONSTRUCCIÓN DE MURO EN CONCRETO (CIMENTACIÓN SUPERFICIAL), H=3,5 M, L=35 M</t>
  </si>
  <si>
    <t>201.7</t>
  </si>
  <si>
    <t>330.1.1</t>
  </si>
  <si>
    <t>PR 68+0600 CONSTRUCCIÓN DE MURO EN CONCRETO (CIMENTACIÓN SUPERFICIAL), H=3,5 M, L=20M</t>
  </si>
  <si>
    <t>PR 68+0773 REEMPLAZO DE MURO EN GAVIONES DETERIORADOS Y CONSTRUCCIÓN DE DISIPADOR DE OBRA DE DRENAJE PARA EVITAR MAYOR EROSIÓN DE DESCOLE 60 ML</t>
  </si>
  <si>
    <t>PR 70+0080 CONSTRUCCIÓN DE MURO EN CONCRETO (CIMENTACIÓN SUPERFICIAL) Y PROTECCIÓN DE CAUCE QUEBRADA 20 ML</t>
  </si>
  <si>
    <t>450.2P</t>
  </si>
  <si>
    <t>SEGÚN DISEÑO CTO 597 DE 2012 L=17 M.</t>
  </si>
  <si>
    <t>PR 72+0900 RECONSTRUCCIÓN DE MURO EN GAVIONES, 25 ML</t>
  </si>
  <si>
    <t>PR76+0400. EROSION POR DAÑO EN CUNETA</t>
  </si>
  <si>
    <t>PR76+0515 EROSION POR AGUAS DE DESCOLE SIN RECUBRIMIENTO</t>
  </si>
  <si>
    <t>PR76+0880. DAÑO EN BORDILLO</t>
  </si>
  <si>
    <t>PR 76+0900. EROSIÓN DE TALUD INFERIOR CAUSADO POR QUEBRADA ALEDAÑA</t>
  </si>
  <si>
    <t>PR 77+0010 CONSTRUCCIÓN DE MURO EN CONCRETO (CIMENTACIÓN SUPERFICIAL), H=3,5 M, L=25 M</t>
  </si>
  <si>
    <t>PR 77+0930 RECONSTRUCCIÓN DE MURO EN GAVIONES 8 ML</t>
  </si>
  <si>
    <t>PR 78+0540 EROSIÓN EN TALUD INFERIOR</t>
  </si>
  <si>
    <t>PR80+0460 EROSION DE DESCOLE</t>
  </si>
  <si>
    <t>PR 80+0640 PROTECCIÓN TALUD INFERIOR Y CAUCE QUEBRADA DE ACCIÓN EROSIVA 20 ML</t>
  </si>
  <si>
    <t>PR81+085 RESTAURACIÓN DE MURO DE GAVIONES</t>
  </si>
  <si>
    <t>PR 82+0904 RECONSTRUCCIÓN DE MURO EN GAVIONES, 26 ML</t>
  </si>
  <si>
    <t>PR 83+0440 CONSTRUCCIÓN MURO CONCRETO SOBRE CAISSONS PARA ESTABILIZACIÓN DE LA BANCA, L=25,0 m.</t>
  </si>
  <si>
    <t>621.1.1</t>
  </si>
  <si>
    <t>PR93+0770. EROSION CAUSADA POR RIO TASAJO</t>
  </si>
  <si>
    <t>PR 89+0890 RECONSTRUCCIÓN DE MURO EN GAVIONES, 20 ML</t>
  </si>
  <si>
    <t>PR 94+0015 CONSTRUCCIÓN DE MURO EN GAVIONES PARA EVITAR INESTABILIDAD EN BANCA Y RECUPERAR BORDE VÍA, MARGEN IZQUIERDA VÍA,20 ML</t>
  </si>
  <si>
    <t>PR94+0380 EROSION PARTE ANTERIOR MURO DE CONTENCIÓN</t>
  </si>
  <si>
    <t>PR94+0450. EROSIÓN EN EL DESCOLE DE UNA ALCANTARILLADO</t>
  </si>
  <si>
    <t>PR 96+0015 CONSTRUCCIÓN DE GAVIONES PARA ESTABILIZACIÓN DE BANCA, 10 ML</t>
  </si>
  <si>
    <t>PR 91+0840 AL PR 92+0010 OBRAS DE ESTABILIZACIÓN DE TERRENO Y BANCA PARA MANTENER EL TRÁNSITO POR EL SECTOR</t>
  </si>
  <si>
    <t>SEGÚN RECOMENDACIÓN CTO 597 DE 2012</t>
  </si>
  <si>
    <t>330.4.1</t>
  </si>
  <si>
    <t>465.1</t>
  </si>
  <si>
    <t>661.3</t>
  </si>
  <si>
    <t>674.1</t>
  </si>
  <si>
    <t>674.2</t>
  </si>
  <si>
    <t>PR 94+0260 OBRAS DE ESTABILIZACIÓN DE TERRENO Y BANCA (CONSTRUCCION DE DESCOLE), 100 ML</t>
  </si>
  <si>
    <t>811.2</t>
  </si>
  <si>
    <t>PR 94+0820 OBRAS DE ESTABILIZACIÓN DE TERRENO Y BANCA (MURO CONFINAMIENTO EN GAVIONES TALUD INFERIOR, DRENAJE, SUBDRENAJE), 60 ML</t>
  </si>
  <si>
    <t>PR 95+0750 - PR95+0840 OBRAS DE ESTABILIZACIÓN DE TERRENO Y BANCA, 50 ML</t>
  </si>
  <si>
    <t>SEGÚN DISEÑO CTO 597 DE 2012 L=50 M.</t>
  </si>
  <si>
    <t>PR 96+0125 CONSTRUCCIÓN DE MURO EN CONCRETO SOBRE CAISSONS Y DISIPADOR OBRA DE DRENAJE PARA ESTABILIZACIÓN DE LA BANCA, H=4,5 M., L=40,0 M.</t>
  </si>
  <si>
    <t>PR 97+0300 CONSTRUCCIÓN DE MURO DE CONCRETO REFORZADO DE CIMENTACIÓN SUPERFICIAL, H=3,5 M., L=25,0 M.</t>
  </si>
  <si>
    <t>PR 97+720 RECONSTRUCCIÓN DE MURO EN GAVIONES</t>
  </si>
  <si>
    <t>201-13</t>
  </si>
  <si>
    <t>600-13</t>
  </si>
  <si>
    <t>610-13</t>
  </si>
  <si>
    <t>630-13</t>
  </si>
  <si>
    <t>673-13</t>
  </si>
  <si>
    <t>681-13</t>
  </si>
  <si>
    <t>2. Descripción de la actividad : TRATAMIENTO Y  OBRAS DE PROTECCIÓN DE TALUDES</t>
  </si>
  <si>
    <t>PR49+0000-PR103+0000 ESTABILIZACIÓN Y PROTECCIÓN DE TALUDES A LO LARGO DEL TRAMO 5601</t>
  </si>
  <si>
    <t>L</t>
  </si>
  <si>
    <t>210.2.1</t>
  </si>
  <si>
    <t>210.2.2</t>
  </si>
  <si>
    <t>234.1</t>
  </si>
  <si>
    <t>812.1</t>
  </si>
  <si>
    <t>900.1</t>
  </si>
  <si>
    <t>900.2.1</t>
  </si>
  <si>
    <t>PR 80+0750 PROTECCIÓN DE TALUD CON REVEGETALIZACIÓN Y MANTO DE REFUERZO</t>
  </si>
  <si>
    <t>H</t>
  </si>
  <si>
    <t>PR 81+0820 OBRAS DE ESTABILIZACIÓN TALUD SUPERIOR (MURO CIMENTACIÓN SUPERFICIAL PARA CONTENER MASA, H=2,0 M., L=30 M.), DRENAJE Y SUBDRENAJE</t>
  </si>
  <si>
    <t>PR 81+0200 RECONSTRUCCIÓN DE MURO DE GAVIONES L=30 M DE LARGO</t>
  </si>
  <si>
    <t>PR 81+0250 REPOSICION DE CUNETA DE L=20M DE LARGO</t>
  </si>
  <si>
    <t>84+0750. CONTRUCCION DE BORDILLO PILOTEADO CON 6 PULD DE DIAMETRO Y 2 METROS DE PROFUNDIDAD</t>
  </si>
  <si>
    <t>620.1.1</t>
  </si>
  <si>
    <t>PR 85+0660 ESTABILIZACIÓN DE TERRENO CON CAISSONS, VIGA CABEZAL Y OBRAS COMPLEMENTARIAS,h=3 m L=20 ML</t>
  </si>
  <si>
    <t>3. Descripción de la actividad :  Reposición de obras de drenaje</t>
  </si>
  <si>
    <t>PR 52+0200, REEMPLAZO DE OBRA DE DRENAJE INSUFICIENTE HIDRÁULICAMENTE</t>
  </si>
  <si>
    <t>201.8</t>
  </si>
  <si>
    <t>500.1.1</t>
  </si>
  <si>
    <t xml:space="preserve">PR 52+0530 REEMPLAZO DE OBRA DE DRENAJE COLAPSADA </t>
  </si>
  <si>
    <t>PR 53+0475 REEMPLAZO DE OBRA DE DRENAJE COLAPSADA</t>
  </si>
  <si>
    <t>PR 55+0850 CONSTRUCCIÓN DE DISIPADOR DE CUNETAS PARA EVITAR EROSIÓN EN DESCOLE, 8 ML</t>
  </si>
  <si>
    <t xml:space="preserve">PR 56+0210 REEMPLAZO DE ALCANTARILLA, ENCAUCE DE AGUAS DE ENCOLE HACIA OBRA DE DRENAJE Y PROTECCIÓN DEL MISMO </t>
  </si>
  <si>
    <t>PR 60+0125 DEMOLICIÓN DE CABEZOTE VOLCADO QUE OBSTRUYE SALIDA DE OBRA DE DRENAJE</t>
  </si>
  <si>
    <t>PR 61+0585 REEMPLAZO DE OBRA DE DRENAJE INSUFICIENTE HIDRÁULICAMENTE</t>
  </si>
  <si>
    <t>PR 68+0812 CONSTRUCCIÓN DE DISIPADOR DE OBRA DE DRENAJE PARA EVITAR MAYOR EROSIÓN DE DESCOLE 70 ML</t>
  </si>
  <si>
    <t>PR 68+0910 CONSTRUCCIÓN DE ALETA DE OBRA DE DRENAJE</t>
  </si>
  <si>
    <t>PR 68+0980 REEMPLAZO DE OBRA DE DRENAJE INSUFICIENTE</t>
  </si>
  <si>
    <t>PR 78+0030 REEMPLAZO DE CAJA DE DRENAJE INSUFICIENTE POR BOX COULVERT DE 2X2</t>
  </si>
  <si>
    <t>PR 78+0580 CONSTRUCCIÓN DE DISIPADOR DE OBRA DE DRENAJE PARA RECUPERACIÓN CÁRCAVA 50 ML</t>
  </si>
  <si>
    <t>PR 80+0060 CONSTRUCCIÓN DE DISIPADOR DE OBRA DE DRENAJE Y RECUPERACIÓN CÁRCAVA 60 ML</t>
  </si>
  <si>
    <t>PR 80+0720 REEMPLAZO DE CAJA DE DRENAJE INSUFICIENTE POR BOX COULVERT DE 2X2</t>
  </si>
  <si>
    <t>PR 87+0396 CONSTRUCCIÓN DE DISIPADOR DE OBRA DE DRENAJE PARA EVITAR MAYOR EROSIÓN DE DESCOLE, 120 ML</t>
  </si>
  <si>
    <t>PR 88+0190 RECONSTRUCCIÓN ALETAS DE SALIDA OBRA DRENAJE Y CONSTRUCCIÓN DE DISIPADOR PARA EVITAR EROSIÓN EN DESCOLE Y FORMACIÓN DE CÁRCAVA, 40 ML</t>
  </si>
  <si>
    <t>PR 87+0220 CONSTRUCCIÓN DE MURO DE CONCRETO REFORZADO DE CIMENTACIÓN SUPERFICIAL, H=3,5 M., L=15,0 M.</t>
  </si>
  <si>
    <t>PR 92+0087 REEMPLAZO DE OBRA DE DRENAJE DETERIORADA</t>
  </si>
  <si>
    <t>421.1</t>
  </si>
  <si>
    <t>421-13</t>
  </si>
  <si>
    <t>PR 92+0360 RECONSTRUCCIÓN TERRAPLÉN Y REEMPLAZO DE CAJA DE DRENAJE INSUFICIENTE POR BOX COULVERT DE 2X2</t>
  </si>
  <si>
    <t>220.1</t>
  </si>
  <si>
    <t>PR 94+0388 CONSTRUCCIÓN DE DISIPADOR DE DESCOLE DE CUNETAS PARA PROTECCIÓN DE MURO EXISTENTE Y ESTABILIZAR BANCA, 12 ML</t>
  </si>
  <si>
    <t>PR 94+0450 CONSTRUCCIÓN DE DISIPADOR DE OBRA DE DRENAJE Y RECUPERACIÓN CÁRCAVA, 40 ML</t>
  </si>
  <si>
    <t>PR 95+0870 REEMPLAZO DE OBRA DE DRENAJE DETERIORADA</t>
  </si>
  <si>
    <t>PR 98+0790 CONSTRUCCIÓN DE DISIPADOR DE CUNETA, 10 ML</t>
  </si>
  <si>
    <t>681.2</t>
  </si>
  <si>
    <t>4. Descripción de la actividad :  Construcción cunetas y filtros</t>
  </si>
  <si>
    <t>PR49+0000-PR103+0000 RECONSTRUCCIÓN DE CUNETAS Y FILTROS TRAMO 5601, 10.600 ML</t>
  </si>
  <si>
    <t>663.1</t>
  </si>
  <si>
    <t>PR 56+0563 RECONSTRUCCIÓN DE CUNETAS DETERIORADAS 14 ML</t>
  </si>
  <si>
    <t>PR 57+0784 RECONSTRUCCIÓN DE CUNETAS DETERIORADAS 10 ML</t>
  </si>
  <si>
    <t>PR 60+0820 DEMOLICIÓN Y RECONSTRUCCIÓN DE PLACAS DE PAVIMENTO DE CONCRETO</t>
  </si>
  <si>
    <t>*</t>
  </si>
  <si>
    <t>VALOR IVA (19%)</t>
  </si>
  <si>
    <t>PR 70+0775 CONSTRUCCIÓN DE DISIPADOR DE CUNETA 15 ML</t>
  </si>
  <si>
    <t>5. Descripción de la actividad : Parcheo, fresados  y nivelaciones</t>
  </si>
  <si>
    <t>PR 49+000-PR49+885, PR68+601-PR71+318, PR85+PR103-PR101+900 PARCHEO CON MEZCLA ASFÁLTICA</t>
  </si>
  <si>
    <t>420.1</t>
  </si>
  <si>
    <t>460.1.1</t>
  </si>
  <si>
    <t>6. Descripción de la actividad : Remoción de Derrumbes</t>
  </si>
  <si>
    <t>PR49+0000-PR103+0000 REMOCIÓN DE DERRUMBES TRAMO 5601</t>
  </si>
  <si>
    <t>211.1</t>
  </si>
  <si>
    <t>900.3.1</t>
  </si>
  <si>
    <t xml:space="preserve">7. Descripción de la actividad :  Rehabilitación </t>
  </si>
  <si>
    <t>7.1. Rehabilitación carpeta asfáltica</t>
  </si>
  <si>
    <t>PR 49+0000-PR 49+0885, PR 68+0601-PR 71+0318, PR85+0103-PR 101+900 PARCHEO CON MEZCLA ASFÁLTICA Y REFORZAMIENTO DE LA ESTRUCTURA DEL PAVIMENTO</t>
  </si>
  <si>
    <t>PR 72+0700 - PR 85+0130 y PR 101+0905 - PR 103+0000 SELLO DE FISURAS PAVIMENTO FLEXIBLE, 20.000 ML</t>
  </si>
  <si>
    <t>466.2</t>
  </si>
  <si>
    <t>7.2 Rehabilitación carpeta Concreto Hidráulico</t>
  </si>
  <si>
    <t>PR 49+885-PR 72+688 REPARACIÓN DE PLACAS DE PAVIMENTO RÍGIDO.</t>
  </si>
  <si>
    <t>PR 55+500-PR 72+688 REEMPLAZO DE SELLO DE JUNTAS DE LOSAS DE PAVIMENTO RÍGIDO, 20 ML</t>
  </si>
  <si>
    <t>500 P</t>
  </si>
  <si>
    <t>MANTENIMIENTO DE JUNTAS DE PAVIMENTO DE CONCRETO HIDRÁULICO, INCLUYE REMOCIÓN DE ELEMENTOS DE SELLO DE JUNTA DETERIORADA, LIMPIEZA, PREPARACIÓN DE SUPERFICIES Y REEMPLAZO DE ELEMENTOS DE SELLO</t>
  </si>
  <si>
    <t>ML</t>
  </si>
  <si>
    <t>8. Descripción de la actividad : Señalización</t>
  </si>
  <si>
    <t>PR49+0000-PR103+0000 SEÑALIZACIÓN Y ELEMENTOS DE SEGURIDAD VIAL TRAMO 5601</t>
  </si>
  <si>
    <t>700.1</t>
  </si>
  <si>
    <t>700.1P</t>
  </si>
  <si>
    <t>700.3</t>
  </si>
  <si>
    <t>700.3P</t>
  </si>
  <si>
    <t>701.1.2</t>
  </si>
  <si>
    <t>710.1.1</t>
  </si>
  <si>
    <t>710.2.1</t>
  </si>
  <si>
    <t>730.1.2</t>
  </si>
  <si>
    <t>9. Necesidades Puentes</t>
  </si>
  <si>
    <t>PR 57+0597 PROTECCIÓN DE ALETA SUPERIOR DERECHA DE PUENTE "PIEDRAS" Y RECINTE ESTRIBO ES2</t>
  </si>
  <si>
    <t>PR 61+0400 PROTECCIÓN DE TALUD INFERIOR Y PROTECCIÓN DE ACCIÓN EROSIVA DE QUEBRADA "SAN MIGUEL"</t>
  </si>
  <si>
    <t>600,1,1</t>
  </si>
  <si>
    <t>630P</t>
  </si>
  <si>
    <t>PR 68+0435   PUENTE "EL CARDAL"</t>
  </si>
  <si>
    <t>6P</t>
  </si>
  <si>
    <t>Tratamiento De Superficies De Concreto Con Mortero Acrílico De Reparación</t>
  </si>
  <si>
    <t>M²</t>
  </si>
  <si>
    <t>PR 72+0724 RECINTE ESTRIBO DE ENTRADA Y ALETA DE PUENTE "EL BUEY"</t>
  </si>
  <si>
    <t>PR 82+0184 RECINTE ALETA INFERIOR IZQUIERDA DE PUENTE "AURES"</t>
  </si>
  <si>
    <t>PR 83+0012 REPARACIÓN DE LOSA, OBRAS DE PROTECCIÓN DE ALETAS INFERIORES, DISIPADORES Y BANCA, PUENTE "CARTAGENA"</t>
  </si>
  <si>
    <t>PR 93+0709 REPARACIÓN DE SUPERFICIE DE LA LOSA CON ACERO EXPUESTO, PUENTE QUEBRADA NEGRA</t>
  </si>
  <si>
    <t>10.- Necesidades Pontones</t>
  </si>
  <si>
    <t>PR 58+0240 RECINTE ESTRIBO DE SALIDA DE PONTÓN</t>
  </si>
  <si>
    <t>PR 80+0580 TRATAMIENTO DE EROSION Y SELLAMIENTO DE GRIETA EN PONTON DE MAMPOSTERIA</t>
  </si>
  <si>
    <t>DESGLOSE ESTUDIOS PUENTES</t>
  </si>
  <si>
    <t>SUELDO Y/O</t>
  </si>
  <si>
    <t>PRIMA</t>
  </si>
  <si>
    <t>PARTICIPACIÓN</t>
  </si>
  <si>
    <t>CANT.</t>
  </si>
  <si>
    <t>CARGO / OFICIO</t>
  </si>
  <si>
    <t>JORNAL MENSUAL</t>
  </si>
  <si>
    <t>REGIONAL</t>
  </si>
  <si>
    <t>TOTAL (h-mes)</t>
  </si>
  <si>
    <t>(1)</t>
  </si>
  <si>
    <t>(2)</t>
  </si>
  <si>
    <t>(3)</t>
  </si>
  <si>
    <t>COSTOS DIRECTOS DE PERSONAL</t>
  </si>
  <si>
    <t>PERSONAL PROFESIONAL</t>
  </si>
  <si>
    <t>Director de estudio</t>
  </si>
  <si>
    <t>Ingeniero de Campo</t>
  </si>
  <si>
    <t>Especialista en Geotecnia</t>
  </si>
  <si>
    <t>Especialista en estructuras</t>
  </si>
  <si>
    <t>PERSONAL AUXILIAR</t>
  </si>
  <si>
    <t>SUBTOTAL COSTOS DE PERSONAL = SUMATORIA DE (4) = (5)</t>
  </si>
  <si>
    <t>FACTOR MULTIPLICADOR (6)</t>
  </si>
  <si>
    <t xml:space="preserve">TOTAL COSTOS DE PERSONAL = (5) * (6) = (A) </t>
  </si>
  <si>
    <t>COSTO</t>
  </si>
  <si>
    <t>TIEMPO DE</t>
  </si>
  <si>
    <t>CONCEPTO</t>
  </si>
  <si>
    <t>UNIDAD</t>
  </si>
  <si>
    <t>($)</t>
  </si>
  <si>
    <t>UTILIZACIÓN</t>
  </si>
  <si>
    <t>(7)</t>
  </si>
  <si>
    <t>TOTAL (8)</t>
  </si>
  <si>
    <t>(7) * (8) = (9)</t>
  </si>
  <si>
    <t>OTROS COSTOS DIRECTOS</t>
  </si>
  <si>
    <t>COSTOS DE ALQUILER DE EQUIPOS</t>
  </si>
  <si>
    <t xml:space="preserve">Vehículo&gt;2000cc </t>
  </si>
  <si>
    <t>mes</t>
  </si>
  <si>
    <t>OTROS COSTOS</t>
  </si>
  <si>
    <t>Topografía (incluye 5 secciones transversales)</t>
  </si>
  <si>
    <t>GL</t>
  </si>
  <si>
    <t>Ensayos de laboratorio (2 sondeos a 10m -15 m, pruebas de resistencia en roca o suelo y demás para definir estrato de cimentación)</t>
  </si>
  <si>
    <t>GL (según comprobante)</t>
  </si>
  <si>
    <t>Informe, recomendaciones y planos. (incluye solución propuesta y diseño estructural)</t>
  </si>
  <si>
    <t>TOTAL OTROS COSTOS DIRECTOS (B)</t>
  </si>
  <si>
    <t xml:space="preserve">COSTO BÁSICO = (A) + (B) = (C) </t>
  </si>
  <si>
    <t>IVA = 19% * (C) = (D)</t>
  </si>
  <si>
    <t>COSTO TOTAL = (D) + (C) = (E)</t>
  </si>
  <si>
    <t>Administrador Vial</t>
  </si>
  <si>
    <t xml:space="preserve"> Vo.Bo.  DirectorTerritorial</t>
  </si>
  <si>
    <r>
      <rPr>
        <b/>
        <sz val="9"/>
        <rFont val="Arial"/>
        <family val="2"/>
      </rPr>
      <t xml:space="preserve">NOTA : </t>
    </r>
    <r>
      <rPr>
        <sz val="9"/>
        <rFont val="Arial"/>
        <family val="2"/>
      </rPr>
      <t>Se deben presentar cuadros No. 7 del cálculo de cantidades y costos cantidades por separado para necesidades preventivas, para necesidades criticas, para necesidades de puentes, para necesidades de pontones, siendo los soportes de cada uno de estos cuadros. Las necesidades de señalización se deben indicar sólo en los cuadros No.15 y 16. Los precios unitarios deben coincidir con los del programa de APU. En caso de encontrar precios no reportados o de requerirse actualización, se debe enviar el respectivo análisis de precios unitarios.</t>
    </r>
  </si>
  <si>
    <t>DIRECCION TERRITORIAL  ANTIOQUIA</t>
  </si>
  <si>
    <t>CUADRO No.8</t>
  </si>
  <si>
    <t>INFORMACION SOBRE EMERGENCIAS</t>
  </si>
  <si>
    <t>ENERO-MARZO / 2023</t>
  </si>
  <si>
    <t>FECHA</t>
  </si>
  <si>
    <t>TIPO DE EMERGENCIA</t>
  </si>
  <si>
    <t>SOLUCION</t>
  </si>
  <si>
    <t>LA UNIÓN - LA FRONTERA -SONSÓN</t>
  </si>
  <si>
    <t>81+0650</t>
  </si>
  <si>
    <t>MOVIMIENTO EN MASA</t>
  </si>
  <si>
    <t>RETIRO DE DERRUMBE</t>
  </si>
  <si>
    <t>ATENCION REALIZADA POR VIAS DE ORIENTE Y POR MEDIO DEL CONTRATO DE MANTENIMIENTO xxxxx</t>
  </si>
  <si>
    <t>NOTA (1): El costo debe incluir AIU e IVA (19% sobre utilidades)</t>
  </si>
  <si>
    <t>CUADRO No. 9</t>
  </si>
  <si>
    <t>ESTADO GENERAL DE LOS PUENTES</t>
  </si>
  <si>
    <t>ENERO MARZO/ 2023</t>
  </si>
  <si>
    <t>No.</t>
  </si>
  <si>
    <t>NOMBRE DEL PUENTE</t>
  </si>
  <si>
    <t>Longitud  (m)</t>
  </si>
  <si>
    <t>CODIGO DE LA VIA</t>
  </si>
  <si>
    <t>TRANSITO</t>
  </si>
  <si>
    <t>ESTADO GENERAL</t>
  </si>
  <si>
    <t>Normal</t>
  </si>
  <si>
    <t>Restringido</t>
  </si>
  <si>
    <t>Estribos Aletas</t>
  </si>
  <si>
    <t>Vigas Losas</t>
  </si>
  <si>
    <t>Barandas</t>
  </si>
  <si>
    <t>Estado crítico inmediato</t>
  </si>
  <si>
    <t>Piedras</t>
  </si>
  <si>
    <t>57+0597</t>
  </si>
  <si>
    <t>57+0611</t>
  </si>
  <si>
    <t>X</t>
  </si>
  <si>
    <t>Se requiere obras para protección de aleta AL3, socavación de estribos E1 y  E2.  Algunos desprendimientos superficie y hormigoneos en la parte inferior de la losa, hormigoneos en VL3 y hormigoneos y hierro expuesto en VL4, riostra RI2 con fisuras.</t>
  </si>
  <si>
    <t>San Miguel</t>
  </si>
  <si>
    <t>61+0449</t>
  </si>
  <si>
    <t>61+0463</t>
  </si>
  <si>
    <t>Daños tipo bache y desprendimientos en superficie de rodadura y  vigas VL3, con hierro expuesto y humedad y VL4, con hierro expuesto.</t>
  </si>
  <si>
    <t>El Cardal</t>
  </si>
  <si>
    <t>68+0435</t>
  </si>
  <si>
    <t>68+0445</t>
  </si>
  <si>
    <t>Desgaste superficie de rodadura y hormigoneos en losa inferior.</t>
  </si>
  <si>
    <t>El Buey</t>
  </si>
  <si>
    <t>72+0724</t>
  </si>
  <si>
    <t>72+0733</t>
  </si>
  <si>
    <t>Superficie de rodadura con piel de cocodrilo y bache en el acceso AC2, socavación estribo ES1 y aleta AL1.</t>
  </si>
  <si>
    <t>Aures</t>
  </si>
  <si>
    <t>82+0184</t>
  </si>
  <si>
    <t>82+0195</t>
  </si>
  <si>
    <t>Desgaste superficie de rodadura( fisuras en bloque), hormigoneos losa inferior entre VL1 y VL2. Vigas VL1, VL2 y VL3 con hormigoneos y hierro expuesto en VL2. Socavación aleta VL4.</t>
  </si>
  <si>
    <t>Cartagena</t>
  </si>
  <si>
    <t>83+0023</t>
  </si>
  <si>
    <t>Desgaste superficie de rodadura con fisuras en bloque, daño en losa, fisuras en vigas VL1, VL2, VL3 y VL4, socavación estibo ES1, socavación en aletas VL1 Y VL2 y disipador de concreto, hasta el momento no se ha realizado inspección especial solicitada por las fisuras que presenta en vigas principales.</t>
  </si>
  <si>
    <t>Quebrada Negra</t>
  </si>
  <si>
    <t>86+0920</t>
  </si>
  <si>
    <t>86+0932</t>
  </si>
  <si>
    <t>Desgaste en superficie de rodadura con exposición de acero. Las vigas VL1, VL2, VL3, y VL4. presentan fisuras a cortante.</t>
  </si>
  <si>
    <t>Tasajo</t>
  </si>
  <si>
    <t>93+0709</t>
  </si>
  <si>
    <t>93+0732</t>
  </si>
  <si>
    <t>Desgaste en la carpeta de rodadura y huecos en la junta No.2. La losa inferior presenta hormigoneos. Viga VL4 presenta hormigoneo. Se requiere reparación de 2,0 m. de baranda metálica existente.</t>
  </si>
  <si>
    <t>CONVENCIONES:</t>
  </si>
  <si>
    <r>
      <t>N.E.</t>
    </r>
    <r>
      <rPr>
        <sz val="10"/>
        <rFont val="Arial"/>
        <family val="2"/>
      </rPr>
      <t xml:space="preserve"> : No existe</t>
    </r>
  </si>
  <si>
    <t>En buen estado</t>
  </si>
  <si>
    <t xml:space="preserve">       En regular estado</t>
  </si>
  <si>
    <t xml:space="preserve">           En mal estado</t>
  </si>
  <si>
    <t>x</t>
  </si>
  <si>
    <t>Se reparó en el presente mes</t>
  </si>
  <si>
    <t>NOTA: Se deben diligenciar todas las casillas.</t>
  </si>
  <si>
    <t>CUADRO No. 10</t>
  </si>
  <si>
    <t>PRIORIZACION  PUENTES QUE REQUIEREN ATENCION - REHABILITACION Y CONSERVACION</t>
  </si>
  <si>
    <t>ENE-MAR/2023</t>
  </si>
  <si>
    <t>TERRITORIAL</t>
  </si>
  <si>
    <t>CODIGO DEL PUENTE (Sipucol)</t>
  </si>
  <si>
    <t>CALIFICACION</t>
  </si>
  <si>
    <t>TPDS</t>
  </si>
  <si>
    <t>LONG.    (m)</t>
  </si>
  <si>
    <t>TIPO DAÑO</t>
  </si>
  <si>
    <t>DESCRIPCION DE LOS TRABAJOS</t>
  </si>
  <si>
    <t>COSTO APROXIMADO</t>
  </si>
  <si>
    <t xml:space="preserve">    $</t>
  </si>
  <si>
    <t>ESTUDIOS</t>
  </si>
  <si>
    <t>OBRA</t>
  </si>
  <si>
    <t>ANTIOQUIA</t>
  </si>
  <si>
    <t>01-5601-104.00</t>
  </si>
  <si>
    <t>Socavación</t>
  </si>
  <si>
    <t>Obras para protección de aleta AL3 y socavación estribo E2.</t>
  </si>
  <si>
    <t>01-5601-105.00</t>
  </si>
  <si>
    <t>Superficie de rodadura</t>
  </si>
  <si>
    <t xml:space="preserve">Reparación de superficie del puente, baches en la losa. </t>
  </si>
  <si>
    <t>Superficie con daños tipo bache y desprendimientos</t>
  </si>
  <si>
    <t>Recinte estribo ES1 y aleta AL1</t>
  </si>
  <si>
    <t>Se requiere recinte de estribo y aleta</t>
  </si>
  <si>
    <t>01-5601-106.00</t>
  </si>
  <si>
    <t>Socavación aleta VL4</t>
  </si>
  <si>
    <t>Recinte aleta</t>
  </si>
  <si>
    <t>Se requiere recinte de aleta</t>
  </si>
  <si>
    <t>01-5601-107.00</t>
  </si>
  <si>
    <t>Losa, vigas, estribos y aletas</t>
  </si>
  <si>
    <t>Reparación de losa, obras de protección de aletas AL1 y AL2 y disipadores de concreto, recinte de disipador a la salida de la corriente de agua.  Inspección especial para revisar estado de las vigas ya que estas  presentan fisuras a cortante.</t>
  </si>
  <si>
    <t>MITIGACIÓN.  Se requieren obras de protección de aletas y disipadores existentes y reparar la losa.  Requiere inspección especial</t>
  </si>
  <si>
    <t>01-5601-108.00</t>
  </si>
  <si>
    <t>Reparación de superficie de la losa del puente con acero expuesto.</t>
  </si>
  <si>
    <t>Superficie con daño tipo desgaste</t>
  </si>
  <si>
    <t>Valor Interven.</t>
  </si>
  <si>
    <t>Valor Necesidades</t>
  </si>
  <si>
    <t>CUADRO No. 11</t>
  </si>
  <si>
    <t>ESTADO GENERAL DE LOS PONTONES</t>
  </si>
  <si>
    <t>58+240</t>
  </si>
  <si>
    <t>58+245</t>
  </si>
  <si>
    <t>N.E.</t>
  </si>
  <si>
    <t>Actualmente las barandas son defensas metálicas</t>
  </si>
  <si>
    <t>70+190</t>
  </si>
  <si>
    <t>70+194</t>
  </si>
  <si>
    <t>77+961</t>
  </si>
  <si>
    <t>77+963</t>
  </si>
  <si>
    <t>Presenta grieta a lo ancho del ponton</t>
  </si>
  <si>
    <t>80+580</t>
  </si>
  <si>
    <t>80+582</t>
  </si>
  <si>
    <t xml:space="preserve">El ponton es de mamposteria y presenta grieta a lo ancho y socavacion </t>
  </si>
  <si>
    <t xml:space="preserve">        En regular estado</t>
  </si>
  <si>
    <t>CUADRO No. 12</t>
  </si>
  <si>
    <t>NECESIDADES DE LOS PONTONES</t>
  </si>
  <si>
    <t>58+0240</t>
  </si>
  <si>
    <t>58+0245</t>
  </si>
  <si>
    <t>Recinte estribo de salida</t>
  </si>
  <si>
    <t>80+0582</t>
  </si>
  <si>
    <t>Sellamiento de grieta y recubrimiento de sovacacion</t>
  </si>
  <si>
    <t>PONTON EN MAMPOSTERIA</t>
  </si>
  <si>
    <t xml:space="preserve">                 Se deben diligenciar todas las casillas.</t>
  </si>
  <si>
    <t>CUADRO No. 13</t>
  </si>
  <si>
    <t>ESTADO GENERAL DE LOS TUNELES</t>
  </si>
  <si>
    <t>ENERO MARZO/2023</t>
  </si>
  <si>
    <t>NOMBRE DEL TUNEL</t>
  </si>
  <si>
    <t>LOCALIZACIÓN</t>
  </si>
  <si>
    <t xml:space="preserve">TIPO TUNEL </t>
  </si>
  <si>
    <t>LONG. TOTAL (m)</t>
  </si>
  <si>
    <t>ILUMINACIÓN</t>
  </si>
  <si>
    <t>VENTILACIÓN</t>
  </si>
  <si>
    <t>SEÑALIZACIÓN</t>
  </si>
  <si>
    <t>HASTIAL IZQUIERDO</t>
  </si>
  <si>
    <t>HASTIAL DERECHO</t>
  </si>
  <si>
    <t>BOVEDA</t>
  </si>
  <si>
    <t>RASANTE</t>
  </si>
  <si>
    <t>SISTEMA DE DRENAJE</t>
  </si>
  <si>
    <t>PUESTOS DE EMERGENCIA</t>
  </si>
  <si>
    <t>PROTECCIÓN CONTRA INCENDIOS</t>
  </si>
  <si>
    <t>HORIZONTAL</t>
  </si>
  <si>
    <t>VERTICAL</t>
  </si>
  <si>
    <t>No. SEÑALES FALTANTES</t>
  </si>
  <si>
    <t>NO HAY TUNELES EN EL SECTOR</t>
  </si>
  <si>
    <t>En regular estado</t>
  </si>
  <si>
    <t>En mal estado</t>
  </si>
  <si>
    <t>TIPO TUNEL:</t>
  </si>
  <si>
    <t>UNIDIRECCIONAL</t>
  </si>
  <si>
    <t>BIDIRECCIONAL</t>
  </si>
  <si>
    <t>CUADRO No. 14</t>
  </si>
  <si>
    <t>NECESIDADES DE LOS TUNELES</t>
  </si>
  <si>
    <t>ENERO - MARZO /2023</t>
  </si>
  <si>
    <t>NOMBRE TUNEL</t>
  </si>
  <si>
    <t>DESCRIPCIÓN DE LOS TRABAJOS</t>
  </si>
  <si>
    <t>COSTO APROXIMADO ( $ )</t>
  </si>
  <si>
    <t>DIRECCION TERRITORIAL: ANTIOQUIA</t>
  </si>
  <si>
    <t>CUADRO No.15</t>
  </si>
  <si>
    <t>ESTADO DE LA SEÑALIZACION VERTICAL Y SEÑALIZACION VERTICAL FALTANTE.</t>
  </si>
  <si>
    <t>RUTA:</t>
  </si>
  <si>
    <t>TRAMO:</t>
  </si>
  <si>
    <t>SEÑALES SP, SR Y SI</t>
  </si>
  <si>
    <t>PASAVIAS</t>
  </si>
  <si>
    <t>SEÑALES TIPO BANDERA</t>
  </si>
  <si>
    <t>SEÑALES SI 05 Y SI 06</t>
  </si>
  <si>
    <t>DELINEADORES  DE CURVA</t>
  </si>
  <si>
    <t>POSTES DE REFERENCIACIÓN</t>
  </si>
  <si>
    <t>DEFENSAS METÁLICAS</t>
  </si>
  <si>
    <t>RUTA</t>
  </si>
  <si>
    <t>TRAMO</t>
  </si>
  <si>
    <t>Km.</t>
  </si>
  <si>
    <t>F</t>
  </si>
  <si>
    <t>Und</t>
  </si>
  <si>
    <t>ml</t>
  </si>
  <si>
    <t>(4)</t>
  </si>
  <si>
    <t>(5)</t>
  </si>
  <si>
    <t>(6)</t>
  </si>
  <si>
    <t>(8)</t>
  </si>
  <si>
    <t>(9)</t>
  </si>
  <si>
    <t>(10)</t>
  </si>
  <si>
    <t>(11)</t>
  </si>
  <si>
    <t>(12)</t>
  </si>
  <si>
    <t>(13)</t>
  </si>
  <si>
    <t>(14)</t>
  </si>
  <si>
    <t>(15)</t>
  </si>
  <si>
    <t>(16)</t>
  </si>
  <si>
    <t>(17)</t>
  </si>
  <si>
    <t>(18)</t>
  </si>
  <si>
    <t>(19)</t>
  </si>
  <si>
    <t>(20)</t>
  </si>
  <si>
    <t>(21)</t>
  </si>
  <si>
    <t>(22)</t>
  </si>
  <si>
    <t>(23)</t>
  </si>
  <si>
    <t>(24)</t>
  </si>
  <si>
    <t>(25)</t>
  </si>
  <si>
    <t>(26)</t>
  </si>
  <si>
    <t>(27)</t>
  </si>
  <si>
    <t>(28)</t>
  </si>
  <si>
    <t>(29)</t>
  </si>
  <si>
    <t>(30)</t>
  </si>
  <si>
    <t>(31)</t>
  </si>
  <si>
    <t>TOTALES:</t>
  </si>
  <si>
    <t>CONVENCIONES Y DESCRIPCION.</t>
  </si>
  <si>
    <t>(1): Identificación de la Ruta de acuerdo con la nomenclatura vial vigente.</t>
  </si>
  <si>
    <t>(2): Identificación del tramo de acuerdo con la nomenclatura vial vigente.</t>
  </si>
  <si>
    <t>(3): Longitud del tramo en kilómetros.</t>
  </si>
  <si>
    <r>
      <t xml:space="preserve">(4), (8), (12), (16), (20): B= Número de señales instaladas en el tramo que se encuentran en </t>
    </r>
    <r>
      <rPr>
        <b/>
        <sz val="8"/>
        <rFont val="Arial"/>
        <family val="2"/>
      </rPr>
      <t>buen estado</t>
    </r>
    <r>
      <rPr>
        <sz val="8"/>
        <rFont val="Arial"/>
        <family val="2"/>
      </rPr>
      <t xml:space="preserve">. Se deben incluir las señales que se encuentren en perfecto estado en cuanto a </t>
    </r>
  </si>
  <si>
    <t>legibilidad, reflectividad, pintura de postes y de parales, pintura posterior y cimientos.</t>
  </si>
  <si>
    <r>
      <t xml:space="preserve">(5), (9), (13), (17), (21): R = Número de señales instaladas en el tramo que se encuentran en </t>
    </r>
    <r>
      <rPr>
        <b/>
        <sz val="8"/>
        <rFont val="Arial"/>
        <family val="2"/>
      </rPr>
      <t>regular estado</t>
    </r>
    <r>
      <rPr>
        <sz val="8"/>
        <rFont val="Arial"/>
        <family val="2"/>
      </rPr>
      <t>. Se deben incluir las señales que se encuentren en regular estado en cuanto a</t>
    </r>
  </si>
  <si>
    <t>legibilidad, reflectividad, pintura de postes y de parales, pintura posterior y cimientos, pero que por su nivel de deterioro sean susceptibles de incluir en programas de recuperación y/o mantenimiento.</t>
  </si>
  <si>
    <r>
      <t xml:space="preserve">(6), (10), (14), (18), (22): M = Número de señales instaladas en el tramo que se encuentran en </t>
    </r>
    <r>
      <rPr>
        <b/>
        <sz val="8"/>
        <rFont val="Arial"/>
        <family val="2"/>
      </rPr>
      <t>mal estado</t>
    </r>
    <r>
      <rPr>
        <sz val="8"/>
        <rFont val="Arial"/>
        <family val="2"/>
      </rPr>
      <t>. Se deben incluir las señales que por su estado de deterioro no brindan ninguna</t>
    </r>
  </si>
  <si>
    <t>información al usuario de la vía y que no sean susceptibles de incluir en programas de recuperación y mantenimiento, requiriendo su reposición y remoción.</t>
  </si>
  <si>
    <r>
      <t xml:space="preserve">(7), (11), (15), (19), (23): F = Número de señales </t>
    </r>
    <r>
      <rPr>
        <b/>
        <sz val="8"/>
        <rFont val="Arial"/>
        <family val="2"/>
      </rPr>
      <t xml:space="preserve">faltantes </t>
    </r>
    <r>
      <rPr>
        <sz val="8"/>
        <rFont val="Arial"/>
        <family val="2"/>
      </rPr>
      <t>que se requieren y no han sido instaladas (sin incluir las que se encuentran en regular y en mal estado).</t>
    </r>
  </si>
  <si>
    <r>
      <t xml:space="preserve">(24): B= Número de postes de referenciación que se encuentran en </t>
    </r>
    <r>
      <rPr>
        <b/>
        <sz val="8"/>
        <rFont val="Arial"/>
        <family val="2"/>
      </rPr>
      <t xml:space="preserve">buen estado </t>
    </r>
    <r>
      <rPr>
        <sz val="8"/>
        <rFont val="Arial"/>
        <family val="2"/>
      </rPr>
      <t>en cuanto a pintura y a su estructura en concreto</t>
    </r>
    <r>
      <rPr>
        <b/>
        <sz val="8"/>
        <rFont val="Arial"/>
        <family val="2"/>
      </rPr>
      <t>.</t>
    </r>
  </si>
  <si>
    <r>
      <t xml:space="preserve">(25): R= Número de postes de referenciación que se encuentran en </t>
    </r>
    <r>
      <rPr>
        <b/>
        <sz val="8"/>
        <rFont val="Arial"/>
        <family val="2"/>
      </rPr>
      <t xml:space="preserve">regular estado </t>
    </r>
    <r>
      <rPr>
        <sz val="8"/>
        <rFont val="Arial"/>
        <family val="2"/>
      </rPr>
      <t>en cuanto a pintura y a su estructura en concreto</t>
    </r>
    <r>
      <rPr>
        <b/>
        <sz val="8"/>
        <rFont val="Arial"/>
        <family val="2"/>
      </rPr>
      <t>.</t>
    </r>
  </si>
  <si>
    <r>
      <t xml:space="preserve">(26): M= Número de postes de referenciación que se encuentran en </t>
    </r>
    <r>
      <rPr>
        <b/>
        <sz val="8"/>
        <rFont val="Arial"/>
        <family val="2"/>
      </rPr>
      <t xml:space="preserve">mal estado </t>
    </r>
    <r>
      <rPr>
        <sz val="8"/>
        <rFont val="Arial"/>
        <family val="2"/>
      </rPr>
      <t>en cuanto a pintura y a su estructura en concreto, por lo cual requieren su reposición y remoción.</t>
    </r>
  </si>
  <si>
    <r>
      <t xml:space="preserve">(27): F= Número de postes de referenciación </t>
    </r>
    <r>
      <rPr>
        <b/>
        <sz val="8"/>
        <rFont val="Arial"/>
        <family val="2"/>
      </rPr>
      <t xml:space="preserve">faltantes </t>
    </r>
    <r>
      <rPr>
        <sz val="8"/>
        <rFont val="Arial"/>
        <family val="2"/>
      </rPr>
      <t>(sin incluir los que se encuentran en regular y en mal estado).</t>
    </r>
  </si>
  <si>
    <r>
      <t xml:space="preserve">(28): Metros lineales de defensa metálica que se encuentran en </t>
    </r>
    <r>
      <rPr>
        <b/>
        <sz val="8"/>
        <rFont val="Arial"/>
        <family val="2"/>
      </rPr>
      <t xml:space="preserve">buen estado. </t>
    </r>
  </si>
  <si>
    <r>
      <t xml:space="preserve">(29): Metros lineales de defensa metálica que se encuentran en </t>
    </r>
    <r>
      <rPr>
        <b/>
        <sz val="8"/>
        <rFont val="Arial"/>
        <family val="2"/>
      </rPr>
      <t xml:space="preserve">regular estado. </t>
    </r>
    <r>
      <rPr>
        <sz val="8"/>
        <rFont val="Arial"/>
        <family val="2"/>
      </rPr>
      <t>Se deben incluir aquellos que por su estado sean susceptibles de incluir en programas de recuperación y/o mantenimiento.</t>
    </r>
  </si>
  <si>
    <r>
      <t xml:space="preserve">(30): Metros lineales de defensa metálica que se encuentran en </t>
    </r>
    <r>
      <rPr>
        <b/>
        <sz val="8"/>
        <rFont val="Arial"/>
        <family val="2"/>
      </rPr>
      <t xml:space="preserve">mal estado, </t>
    </r>
    <r>
      <rPr>
        <sz val="8"/>
        <rFont val="Arial"/>
        <family val="2"/>
      </rPr>
      <t>que no presten ningún tipo de seguridad al usuario y que por su estado no sean</t>
    </r>
    <r>
      <rPr>
        <b/>
        <sz val="8"/>
        <rFont val="Arial"/>
        <family val="2"/>
      </rPr>
      <t xml:space="preserve"> </t>
    </r>
    <r>
      <rPr>
        <sz val="8"/>
        <rFont val="Arial"/>
        <family val="2"/>
      </rPr>
      <t xml:space="preserve">susceptibles de incluir en programas </t>
    </r>
  </si>
  <si>
    <t>de recuperación y/o mantenimiento.</t>
  </si>
  <si>
    <r>
      <t xml:space="preserve">(31): Metros lineales de defensas metálica </t>
    </r>
    <r>
      <rPr>
        <b/>
        <sz val="8"/>
        <rFont val="Arial"/>
        <family val="2"/>
      </rPr>
      <t xml:space="preserve">faltantes </t>
    </r>
    <r>
      <rPr>
        <sz val="8"/>
        <rFont val="Arial"/>
        <family val="2"/>
      </rPr>
      <t>que se requieren y que no han sido instalados (sin incluir los que se encuentran en regular y en mal estado).</t>
    </r>
  </si>
  <si>
    <t>CUADRO No.16</t>
  </si>
  <si>
    <t>ESTADO DE LA SEÑALIZACION HORIZONTAL Y SEÑALIZACION HORIZONTAL FALTANTE.</t>
  </si>
  <si>
    <t>LINEAS DE DEMARCACIÓN CON PINTURA ACRÍLICA</t>
  </si>
  <si>
    <t>LINEAS DE DEMARCACIÓN CON RESINAS TERMOPLÁSTICAS</t>
  </si>
  <si>
    <t>MARCAS VIALES</t>
  </si>
  <si>
    <t>TACHAS REFLECTIVAS</t>
  </si>
  <si>
    <t>INST</t>
  </si>
  <si>
    <t>m2</t>
  </si>
  <si>
    <t>m3</t>
  </si>
  <si>
    <t>m4</t>
  </si>
  <si>
    <t>m5</t>
  </si>
  <si>
    <t>und</t>
  </si>
  <si>
    <r>
      <t xml:space="preserve">(4), (8): B= ml. de pintura acrílica o termoplástica que se encuentran en </t>
    </r>
    <r>
      <rPr>
        <b/>
        <sz val="10"/>
        <rFont val="Arial"/>
        <family val="2"/>
      </rPr>
      <t xml:space="preserve">buen estado </t>
    </r>
    <r>
      <rPr>
        <sz val="10"/>
        <rFont val="Arial"/>
        <family val="2"/>
      </rPr>
      <t>en cuanto a definición de líneas de demarcación y reflectividad</t>
    </r>
  </si>
  <si>
    <r>
      <t xml:space="preserve">(5), (9): R= Metros lineales pintura acrílica o termoplástica que se encuentran en </t>
    </r>
    <r>
      <rPr>
        <b/>
        <sz val="10"/>
        <rFont val="Arial"/>
        <family val="2"/>
      </rPr>
      <t xml:space="preserve">regular estado por no presentar buena </t>
    </r>
    <r>
      <rPr>
        <sz val="10"/>
        <rFont val="Arial"/>
        <family val="2"/>
      </rPr>
      <t>definición</t>
    </r>
  </si>
  <si>
    <t>de líneas de demarcación o de reflectividad.</t>
  </si>
  <si>
    <r>
      <t xml:space="preserve">(6), (10): M= Metros lineales de pintura acrílica o termoplástica que se encuentran en </t>
    </r>
    <r>
      <rPr>
        <b/>
        <sz val="10"/>
        <rFont val="Arial"/>
        <family val="2"/>
      </rPr>
      <t xml:space="preserve">mal estado </t>
    </r>
    <r>
      <rPr>
        <sz val="10"/>
        <rFont val="Arial"/>
        <family val="2"/>
      </rPr>
      <t>por no brindar ningún tipo de</t>
    </r>
  </si>
  <si>
    <t>servicio al usuario ante la falta de definición en la línea de demarcación y en la reflectividad.</t>
  </si>
  <si>
    <t>(7), (11): F= Metros lineales de pintura acrílica y termoplástica faltante.</t>
  </si>
  <si>
    <r>
      <t xml:space="preserve">(12): B= Metros cuadrados de marcas viales que se encuentran en </t>
    </r>
    <r>
      <rPr>
        <b/>
        <sz val="10"/>
        <rFont val="Arial"/>
        <family val="2"/>
      </rPr>
      <t xml:space="preserve">buen estado </t>
    </r>
    <r>
      <rPr>
        <sz val="10"/>
        <rFont val="Arial"/>
        <family val="2"/>
      </rPr>
      <t>en cuanto a definición y reflectividad.</t>
    </r>
  </si>
  <si>
    <r>
      <t xml:space="preserve">(13): R= Metros cuadrados de marcas viales que se encuentran en </t>
    </r>
    <r>
      <rPr>
        <b/>
        <sz val="10"/>
        <rFont val="Arial"/>
        <family val="2"/>
      </rPr>
      <t xml:space="preserve">regular estado </t>
    </r>
    <r>
      <rPr>
        <sz val="10"/>
        <rFont val="Arial"/>
        <family val="2"/>
      </rPr>
      <t>en cuanto a definición y reflectividad.</t>
    </r>
  </si>
  <si>
    <r>
      <t xml:space="preserve">(14): M= Metros cuadrados de marcas viales que se encuentran en </t>
    </r>
    <r>
      <rPr>
        <b/>
        <sz val="10"/>
        <rFont val="Arial"/>
        <family val="2"/>
      </rPr>
      <t xml:space="preserve">mal estado </t>
    </r>
    <r>
      <rPr>
        <sz val="10"/>
        <rFont val="Arial"/>
        <family val="2"/>
      </rPr>
      <t>en cuanto a definición y reflectividad.</t>
    </r>
  </si>
  <si>
    <t>(15): F= Metros cuadrados de marcas viales faltantes.</t>
  </si>
  <si>
    <t>(16): Número de Tachas reflectivas instaladas.</t>
  </si>
  <si>
    <t>(17): Número de Tachas reflectivas faltantes.</t>
  </si>
  <si>
    <t>CUADRO No. 17</t>
  </si>
  <si>
    <t xml:space="preserve">INFORME DE ACCIDENTALIDAD  </t>
  </si>
  <si>
    <t>ENE - MAR 2023</t>
  </si>
  <si>
    <t>HORA</t>
  </si>
  <si>
    <t>HERIDOS</t>
  </si>
  <si>
    <t>MUERTOS</t>
  </si>
  <si>
    <t>CLASE DE ACCIDENTE</t>
  </si>
  <si>
    <t>CAUSAS APARENTES O PROBABLES</t>
  </si>
  <si>
    <t>TIPO DE VEHICULO</t>
  </si>
  <si>
    <t>NOVIEMBRE 2022</t>
  </si>
  <si>
    <t>03/11/2022</t>
  </si>
  <si>
    <t>14:00</t>
  </si>
  <si>
    <t>LA UNIÓN- SONSÓN</t>
  </si>
  <si>
    <t>5601</t>
  </si>
  <si>
    <t>101+500</t>
  </si>
  <si>
    <t>VOLCAMIENTO</t>
  </si>
  <si>
    <t>203 - FALLAS EN LA DIRECCIÓN; 304 -SUPERFICIE HÚMEDA</t>
  </si>
  <si>
    <t>CAMPERO</t>
  </si>
  <si>
    <t>07/11/2022</t>
  </si>
  <si>
    <t>19:10</t>
  </si>
  <si>
    <t>49+357</t>
  </si>
  <si>
    <t>CHOQUE</t>
  </si>
  <si>
    <t>139 - IMPERICIA DE MANEJO; 157 - OTRA: FALTA AL DEBER OBJETIVO DE CUIDADO</t>
  </si>
  <si>
    <t>AUTOMOVIL - MOTOCICLETA</t>
  </si>
  <si>
    <t>26/11/2022</t>
  </si>
  <si>
    <t>20:20</t>
  </si>
  <si>
    <t>100+000</t>
  </si>
  <si>
    <t>CAÍDA DE OCUPANTE</t>
  </si>
  <si>
    <t>307 - DEJAR O MOVILIZAR SE SE-MOVIENTES EN LA VÍA</t>
  </si>
  <si>
    <t>MOTOCICLETA</t>
  </si>
  <si>
    <t>DICIEMBRE  2022</t>
  </si>
  <si>
    <t>12/12/2022</t>
  </si>
  <si>
    <t>12:15</t>
  </si>
  <si>
    <t>100+200</t>
  </si>
  <si>
    <t>CAIDA DE OCUPANTE</t>
  </si>
  <si>
    <t>306 - HUECOS</t>
  </si>
  <si>
    <t>24/12/2022</t>
  </si>
  <si>
    <t>14:30</t>
  </si>
  <si>
    <t>95+300</t>
  </si>
  <si>
    <t>MOTOCICLETA - MOTOCICLETA</t>
  </si>
  <si>
    <t>ENERO 2023</t>
  </si>
  <si>
    <t>01/01/2023</t>
  </si>
  <si>
    <t>09/01/2023</t>
  </si>
  <si>
    <t>17:15</t>
  </si>
  <si>
    <t>52+726</t>
  </si>
  <si>
    <t>114 - EMBRIAGUEZ APARENTE, 123 - NO RESPETAR LA PRELACIÓN DE INTERSECCIONES O GIROS</t>
  </si>
  <si>
    <t xml:space="preserve"> MOTOCICLETA - CAMIONETA</t>
  </si>
  <si>
    <t>67+650</t>
  </si>
  <si>
    <t xml:space="preserve">101- ADELANTAR EN CURVA O EN PENDIENTES, 112 - DESOBEDECER SEÑALES O NORMAS DE TRÁNSITO.  </t>
  </si>
  <si>
    <t>MOTOCICLETA - CAMIÓN - BUS</t>
  </si>
  <si>
    <t>24/01/2023</t>
  </si>
  <si>
    <t>14:10</t>
  </si>
  <si>
    <t>100+530</t>
  </si>
  <si>
    <t>104 - ADELANTAR INVADIENDO CARRIL DE SENTIDO CONTRARIO</t>
  </si>
  <si>
    <t>FEBRERO 2023</t>
  </si>
  <si>
    <t>04/02/2023</t>
  </si>
  <si>
    <t>06:40</t>
  </si>
  <si>
    <t>97+000</t>
  </si>
  <si>
    <t>145 - ARRANCAR SIN PRECAUCIÓN</t>
  </si>
  <si>
    <t>06/02/2023</t>
  </si>
  <si>
    <t>13:00</t>
  </si>
  <si>
    <t>49+029</t>
  </si>
  <si>
    <t xml:space="preserve"> MOTOCICLETA - CAMPERO</t>
  </si>
  <si>
    <t>CLASE DE ACCIDENTE: Choque,volcamiento, salida de la vía, etc.</t>
  </si>
  <si>
    <t xml:space="preserve">CAUSA: </t>
  </si>
  <si>
    <t>Exceso de velocidad, embriaguez, superficie de la vía, hueco, etc.</t>
  </si>
  <si>
    <t xml:space="preserve">TIPO DE VEHICULO: </t>
  </si>
  <si>
    <t>Motocicleta, automóvil, camión, bus, etc.</t>
  </si>
  <si>
    <t>CUADRO No. 18</t>
  </si>
  <si>
    <t>RESUMEN DE ACTIVIDADES PARA EL BUEN USO Y DEFENSA DE LAS VIAS</t>
  </si>
  <si>
    <t>ENE - MAR /2023</t>
  </si>
  <si>
    <t>PERIODO</t>
  </si>
  <si>
    <t>VALLAS INVENTARIADAS</t>
  </si>
  <si>
    <t>VALLAS RETIRADAS</t>
  </si>
  <si>
    <t>AVISOS INVENTARIADOS</t>
  </si>
  <si>
    <t>AVISOS RETIRADOS</t>
  </si>
  <si>
    <t>CORRIMIENTO CERCAS (ml)</t>
  </si>
  <si>
    <t>EMPRADIZACION (M2)</t>
  </si>
  <si>
    <t>ERRADICACION BASUREROS (No.)</t>
  </si>
  <si>
    <t>ARBORIZACION</t>
  </si>
  <si>
    <t>0</t>
  </si>
  <si>
    <t>18</t>
  </si>
  <si>
    <t>ACUMULADO</t>
  </si>
  <si>
    <r>
      <t>ADMINISTRACION VIAL  GRUPO__</t>
    </r>
    <r>
      <rPr>
        <b/>
        <u/>
        <sz val="18"/>
        <color indexed="8"/>
        <rFont val="Arial"/>
        <family val="2"/>
      </rPr>
      <t>02</t>
    </r>
    <r>
      <rPr>
        <b/>
        <sz val="18"/>
        <color indexed="8"/>
        <rFont val="Arial"/>
        <family val="2"/>
      </rPr>
      <t>__   TERRITORIAL___</t>
    </r>
    <r>
      <rPr>
        <b/>
        <u/>
        <sz val="18"/>
        <color indexed="8"/>
        <rFont val="Arial"/>
        <family val="2"/>
      </rPr>
      <t>ANTIOQUIA</t>
    </r>
    <r>
      <rPr>
        <b/>
        <sz val="18"/>
        <color indexed="8"/>
        <rFont val="Arial"/>
        <family val="2"/>
      </rPr>
      <t>__________</t>
    </r>
  </si>
  <si>
    <t>CUADRO No. 19</t>
  </si>
  <si>
    <t>SEGUIMIENTO DE FUNCIONES TECNICAS  Y ADMINISTRATIVAS 2020-2023</t>
  </si>
  <si>
    <t>ACTIVIDAD</t>
  </si>
  <si>
    <t>Ene</t>
  </si>
  <si>
    <t>Feb</t>
  </si>
  <si>
    <t>Mar</t>
  </si>
  <si>
    <t>Abr</t>
  </si>
  <si>
    <t>May</t>
  </si>
  <si>
    <t>Jun</t>
  </si>
  <si>
    <t>Jul</t>
  </si>
  <si>
    <t>Ago</t>
  </si>
  <si>
    <t>Sep</t>
  </si>
  <si>
    <t>Oct</t>
  </si>
  <si>
    <t>Nov</t>
  </si>
  <si>
    <t>Dic</t>
  </si>
  <si>
    <t>Participar activamente en la prevención de riesgos y atención de las emergencias que se presenten en las vías-Elaborar directorio de emergencias</t>
  </si>
  <si>
    <t>Alertar oportunamente al INVÍAS sobre la necesidad de diseñar y construir   obras especiales para la mitigación de la inestabilidad en sitios críticos</t>
  </si>
  <si>
    <t>Informar  oportunamente al INVIAS sobre la necesidad de  diseñar obras y adelantar acciones en relación con el entorno de la vía, encaminadas a su ornato, a la preservación del medio ambiente y a la contaminación visual</t>
  </si>
  <si>
    <t>Planear, organizar, dirigir, coordinar, evaluar  y controlar las actividades de los trabajadores de mantenimiento rutinario encargados del mantenimiento rutinario de las carreteras que se le asignen y ejercer su interventoría</t>
  </si>
  <si>
    <t>Actualizar  los costos de mantenimiento vial (Análisis de Precios Unitarios – APU) y suministrar la información requerida para los sistemas de administración de carreteras que utiliza  INVÍAS</t>
  </si>
  <si>
    <t>Mantener actualizado el sistema de referenciación vial, con base en la información que le suministre  INVÍAS y reponer los postes de referencia que hagan falta en las vías a su cargo y realizar visitas técnicas de auscultación para el diagnóstico del estado general de las obras ejecutadas mediante contratos y que tienen  póliza de estabilidad vigente, según relación de contratos y programación que les será entregada por INVIAS</t>
  </si>
  <si>
    <t>Inspeccionar los puentes de manera rutinaria, dirigir y verificar su mantenimiento rutinario y periódico</t>
  </si>
  <si>
    <t>Capacitar cada mes a los trabajadores de mantenimiento rutinario a  su  cargo,   en  los  temas  relacionados  con  el  mantenimiento rutinario de carreteras,  de puentes,  aspectos administrativos y de economía solidaria</t>
  </si>
  <si>
    <t>Participar en las reuniones de coordinación con la Dirección Territorial, evaluaciones y programas de transferencia de tecnología  que INVÍAS programe para los ingenieros de la administración vial, en diferentes sitios del país</t>
  </si>
  <si>
    <t>Evaluar con criterio de transitabilidad (visual) el estado de la  red vial a su cargo con la metodología suministrada por el INVIAS</t>
  </si>
  <si>
    <t>Apoyar la GESTION de la Territorial en los contratos que ejecute el INVÍAS en sectores de carreteras a su cargo</t>
  </si>
  <si>
    <t xml:space="preserve">Establecer las necesidades de las vías y puentes en materia de señalización  vertical y horizontal, llevar un inventario de necesidades de señalización </t>
  </si>
  <si>
    <t>Recolección, digitación y reporte de la información relacionada con la accidentalidad ocurrida en los tramos de carreteras, así como la realización de  estudios y presentación de recomendaciones técnicas encaminadas al mejoramiento  de la seguridad vial</t>
  </si>
  <si>
    <t>Proporcionar datos para el cálculo del patrimonio de las vías objeto del contrato</t>
  </si>
  <si>
    <t>( ! )</t>
  </si>
  <si>
    <t>Velar por el cumplimiento de la reglamentación referente al buen uso y defensa de las vías y gestionar acciones que brinden servicios a los usuarios de las carreteras en coordinación con las Territoriales y las autoridades locales competentes</t>
  </si>
  <si>
    <t>Supervisar la elaboración de los conteos manuales de tránsito, revisar la información de campo que se enviará a planta central para su procesamiento y verificar los operativos de control de carga</t>
  </si>
  <si>
    <t xml:space="preserve">Llevar a efecto la toma de información y/ó ajustes de la vía a su cargo con un equipo de GPS </t>
  </si>
  <si>
    <t>Realizar estimativos sobre la vida residual de los pavimentos de los sectores a su cargo</t>
  </si>
  <si>
    <t>Evaluar con criterio técnico el estado de la red vial semestralmente con la metodología suministrada por el INVIAS</t>
  </si>
  <si>
    <t>Realizar la Interventoría de las obras que le sean asignadas, siguiendo las actividades contenidas en el Manual de Interventoría adoptado mediante Resolución Nº  9337 del 30 de diciembre de 2016 ó el que esté vigente</t>
  </si>
  <si>
    <t>Colaborar en la toma de la georreferenciación desarrollada por el INVIAS para la actualización del mapa digital de la red vial y mantener al día la información del inventario vial, a través del Sistema de Información Geográfico - HERMES - del  INVIAS</t>
  </si>
  <si>
    <t>Efectuar estudios tendientes a solucionar problemas de inestabilidad en las vías a su cargo, cuando se lo requiera el INVIAS y su costo se encuentre dentro del presupuesto de su propuesta</t>
  </si>
  <si>
    <t>Participar activamente en la etapa de transición e implementación del Sistema de Información Vial - HERMES, realizando de manera permanente el cargue, actualización, mantenimiento y demás actividades derivadas de la información del inventario vial, eventos de emergencias, accidentalidad y estado de la superficie (criterio técnico), dispuesta a través del Sistema de Información Vial - HERMES, con usuario y contraseña asignado por la administración del Sistema</t>
  </si>
  <si>
    <t>Ejecutar obras menores preventivas y de mantenimiento rutinario, con mano de obra de los trabajadores de mantenimiento rutinario, aprobadas por la Dirección Territorial, quien suministrará los recursos necesarios y disponibles</t>
  </si>
  <si>
    <t>Recolección, digitación y reporte de la información relacionada con el atropellamiento de fauna ocurrida en los tramos de carreteras, así como la realización de estudios preliminares y presentación de recomendaciones técnicas encaminadas al establecimiento de pasos de fauna, de acuerdo con la metodología planteada por el INVIAS</t>
  </si>
  <si>
    <t xml:space="preserve">Prestar apoyo al programa de gestión de infraestructura que adelante el INVIAS. En coordinación con la Subdirección de Estudios e Innovación y la Dirección Territorial, el Administrador Vial deberá apoyar todas las labores que correspondan a los contratos y convenios que ejecute INVIAS, para el desarrollo del programa de gestión de infraestructura en las vías a su cargo, e igualmente apoyará en el levantamiento de la información respectiva de acuerdo a la metodología suministrada por INVIAS </t>
  </si>
  <si>
    <t xml:space="preserve">Anticipadamente se informará la fecha de realización de esta actividad. </t>
  </si>
  <si>
    <t>CUADRO No. 20</t>
  </si>
  <si>
    <t>FICHA CUANTITATIVA  DE LOS ADMINISTRADORES VIALES</t>
  </si>
  <si>
    <t>GRUPO</t>
  </si>
  <si>
    <t>ADMINISTRADOR</t>
  </si>
  <si>
    <t>CTO No.</t>
  </si>
  <si>
    <t>Vr. CONTRATO</t>
  </si>
  <si>
    <t xml:space="preserve">FECHA </t>
  </si>
  <si>
    <t>KMS A</t>
  </si>
  <si>
    <t>VEHICULOS</t>
  </si>
  <si>
    <t>VIAL</t>
  </si>
  <si>
    <t>INICIACION</t>
  </si>
  <si>
    <t>TERMINACION</t>
  </si>
  <si>
    <t>ATENDER</t>
  </si>
  <si>
    <t>PLACA</t>
  </si>
  <si>
    <t>CLASE</t>
  </si>
  <si>
    <t>MODELO</t>
  </si>
  <si>
    <t>2461 - 2019</t>
  </si>
  <si>
    <t>RDQ 041</t>
  </si>
  <si>
    <t>CAMIONETA</t>
  </si>
  <si>
    <t>2461-1-2019</t>
  </si>
  <si>
    <t>2461-2-1029</t>
  </si>
  <si>
    <t>2461-3-2019</t>
  </si>
  <si>
    <t>2461-4-2019</t>
  </si>
  <si>
    <t>2461-5-2019</t>
  </si>
  <si>
    <t>2461-6-2019</t>
  </si>
  <si>
    <t>NOTA: Relacionar contrato principal y adicionales.</t>
  </si>
  <si>
    <t>CUADRO No. 21</t>
  </si>
  <si>
    <t>FICHA CUALITATIVA DE LOS ADMINISTRADORES VIALES</t>
  </si>
  <si>
    <t>NIT Ó</t>
  </si>
  <si>
    <t>REPRESENTANTE</t>
  </si>
  <si>
    <t>INGENIERO</t>
  </si>
  <si>
    <t>DIRECCION</t>
  </si>
  <si>
    <t>C.C.</t>
  </si>
  <si>
    <t>LEGAL</t>
  </si>
  <si>
    <t>RESIDENTE</t>
  </si>
  <si>
    <t>AUXILIAR</t>
  </si>
  <si>
    <t>OFICINA</t>
  </si>
  <si>
    <t>830.068.724-8</t>
  </si>
  <si>
    <t>KERLY GIOVANNA CUELLAR OBREGÓN</t>
  </si>
  <si>
    <t>Calle 7 No 10 - 46, La Unión Antioquia</t>
  </si>
  <si>
    <t xml:space="preserve">CORREO </t>
  </si>
  <si>
    <t>TELEFONOS</t>
  </si>
  <si>
    <t>SECTOR A CARGO</t>
  </si>
  <si>
    <t>PR i</t>
  </si>
  <si>
    <t>PR f</t>
  </si>
  <si>
    <t>ELECTRONICO</t>
  </si>
  <si>
    <t>RES</t>
  </si>
  <si>
    <t>OFIC.</t>
  </si>
  <si>
    <t>CELULAR</t>
  </si>
  <si>
    <t>4-556 22 90</t>
  </si>
  <si>
    <t>La Unión - La Frontera - Sonsón, Ruta 5601</t>
  </si>
  <si>
    <t>CUADRO No. 22</t>
  </si>
  <si>
    <t>FICHA CUANTITATIVA CONTRATISTA MANTENIMIENTO RUTINARIO</t>
  </si>
  <si>
    <t>DIRECCION TERRITORIAL:</t>
  </si>
  <si>
    <t>NOMBRE</t>
  </si>
  <si>
    <t>TIPO DE TERRENO</t>
  </si>
  <si>
    <t xml:space="preserve">TOTAL </t>
  </si>
  <si>
    <t xml:space="preserve">VALOR </t>
  </si>
  <si>
    <t>VALOR TOTAL</t>
  </si>
  <si>
    <t>No. CTO</t>
  </si>
  <si>
    <t>VIGENCIA CONTRATO</t>
  </si>
  <si>
    <t>CONTRATISTA MR</t>
  </si>
  <si>
    <t>I</t>
  </si>
  <si>
    <t>II</t>
  </si>
  <si>
    <t>III</t>
  </si>
  <si>
    <t>IV</t>
  </si>
  <si>
    <t>(KMS)</t>
  </si>
  <si>
    <t>CONTRATO</t>
  </si>
  <si>
    <t>CONTRATOS</t>
  </si>
  <si>
    <t>SOCIOS</t>
  </si>
  <si>
    <t>Ppal y adic</t>
  </si>
  <si>
    <t xml:space="preserve">INICIO </t>
  </si>
  <si>
    <t>Vias de Oriente S.A.S</t>
  </si>
  <si>
    <t>2196-2019     2196-1-2019   2196-2-2019      2196-3-2019</t>
  </si>
  <si>
    <t>CUADRO No. 23</t>
  </si>
  <si>
    <t>FICHA CUALITATIVA CONTRATISTA MANTENIMIENTO RUTINARIO</t>
  </si>
  <si>
    <t xml:space="preserve">REPRESENTANTE </t>
  </si>
  <si>
    <t>NIT ó</t>
  </si>
  <si>
    <t>TELEFONO</t>
  </si>
  <si>
    <t xml:space="preserve">CODIGO </t>
  </si>
  <si>
    <t>ABSCISA</t>
  </si>
  <si>
    <t xml:space="preserve">ADMINISTRADOR </t>
  </si>
  <si>
    <t>y/ó CELULAR</t>
  </si>
  <si>
    <t>DE LA VIA</t>
  </si>
  <si>
    <t>PR I</t>
  </si>
  <si>
    <t>PR F</t>
  </si>
  <si>
    <t>LUIS JOSE OSORIO BUITRAGO</t>
  </si>
  <si>
    <t>900.470.729-0</t>
  </si>
  <si>
    <t>Calle 12 No 13-60. La Union - Antioquia</t>
  </si>
  <si>
    <t>314 614 55 64</t>
  </si>
  <si>
    <t>La Union - La Frontera - Sonsón</t>
  </si>
  <si>
    <t>CUADRO No. 24</t>
  </si>
  <si>
    <t>INFORMACIÓN DE INTERVENTORIAS A CONTRATOS DE OBRA</t>
  </si>
  <si>
    <t>ENERO - MARZO/2023</t>
  </si>
  <si>
    <t>No. CONTRATO PRINCIPAL</t>
  </si>
  <si>
    <t>OBJETO</t>
  </si>
  <si>
    <t>CONTRATISTA</t>
  </si>
  <si>
    <t>PLAZO</t>
  </si>
  <si>
    <t>FECHA INICIO</t>
  </si>
  <si>
    <t>FECHA FINALIZACIÓN</t>
  </si>
  <si>
    <t>VALOR CONTRATO $</t>
  </si>
  <si>
    <t>INICIAL</t>
  </si>
  <si>
    <t>ADICIONAL</t>
  </si>
  <si>
    <t>FINAL</t>
  </si>
  <si>
    <t>BASICO</t>
  </si>
  <si>
    <t>IVA</t>
  </si>
  <si>
    <t>1681-2022</t>
  </si>
  <si>
    <t>ATENCIÓN DE PUNTOS CRÍTICOS EN EL PR94+050 DE LA VÍA LA MANSA - PRIMAVERA, RUTA 6003 Y PARA ATENDER LA CONSTRUCCIÓN DE MUROS EN LOS PR'S 62+0260, 70+0080, 80+0200, 81+0200, 81+0250, 84+0750, 92+0087 Y 97+0300, EN LA VÍA LA UNIÓN-SONSON, RUTA 5601.</t>
  </si>
  <si>
    <t>CIMAG SAS CON NIT 900.392.283</t>
  </si>
  <si>
    <t>4 MESES</t>
  </si>
  <si>
    <t>EN EJECUCIÓN</t>
  </si>
  <si>
    <t>1682/2022</t>
  </si>
  <si>
    <t>MATENIMIENTO Y REHABILLITACIÓN TRAMO 5601 LA UNIÓN-LA FRONTERA-SONSÓN EN EL DEPARTAMENTO DE ANTIOQUIA</t>
  </si>
  <si>
    <t>CONSORCIO LA UNIÓN SYA</t>
  </si>
  <si>
    <t>30 DE DICIEMBRE DE 2022</t>
  </si>
  <si>
    <t>NOTA: Reportar la información de los contratos de obra a los cuales les efectúa interventoría, diferentes a los de mantenimiento rutinario con microempresas.</t>
  </si>
  <si>
    <t>RESEÑA 1 -  FOTOGRAFICA</t>
  </si>
  <si>
    <t>TRIMESTRE EVALUADO: ENERO - MARZO / 2023</t>
  </si>
  <si>
    <t>LA UNIÓN - SONSÓN. MUNICIPIO DE LA UNIÓN. ATENCIÓN DE EMERGENCIA EN EL PR49+0410</t>
  </si>
  <si>
    <t>LA UNIÓN - SONSÓN. RECORRIDO DE INSPECCIÓN AL CONTRATO 1681 DE 2022</t>
  </si>
  <si>
    <t>LA UNIÓN - SONSÓN. BACHEO CON MATERIAL SELECCIONADO EN HUECOS PELIGROSOS</t>
  </si>
  <si>
    <t>LA UNIÓN - SONSON. MUNICIPIO DE SONSÓN. PR94+0600. REPARACIÓN DE DESCOLE</t>
  </si>
  <si>
    <t>LA UNIÓN - SONSON. MUNICIPIO DE LA UNIÓN. 70+0600. SOCIALIZACION CONTRATO 1682 DE 2022 EN LA ESCUELA EL CARDAL</t>
  </si>
  <si>
    <t>LA UNION - SONSÓN. MUNICIPIO DE ABEJORRAL. PR81+0650. ATENCION DE EMERGENCIA POR MOVIMIENTO EN MASA</t>
  </si>
  <si>
    <t>LA UNIÓN - SONSÓN. SEGIMIENTO AL CONTRATO 1681 DE 2022 EN LOS PR´S 70+0085, 81+0200 Y 81+0250</t>
  </si>
  <si>
    <t>LA UNIÓN - SONSÓN. MUNICIPIO DE LA ABEJORRAL. PR77+0300. REPARACIÓN DE GRIETA, MURO DE CONTENCIÓN</t>
  </si>
  <si>
    <t>LA UNIÓN - SONSÓN. MUNICIPIO DE SONSON. PR94+0800. SELLAMIENTO DE GRIETAS Y REPARACIONES EN FALLO GEOLOGICO</t>
  </si>
  <si>
    <t>LA UNIÓN - SONSÓN. MUNICIPIO DE SONSON. PR91+0400. SELLAMIENTO DE TUBERIAA DE ALCANTARILLADO</t>
  </si>
  <si>
    <t>LA UNIÓN - SONSON. MUNICIPIO DE LA SONSON. ALCALDIA DEL MUNICIPIO DE SONSON. SOCIALIZACION CONTRATO 1682 DE 2022.</t>
  </si>
  <si>
    <t>LA UNIÓN - SONSON. MUNICIPIO DE LA LA UNIÓN. PR54+0950. PODA, CORTE Y RETIRO DE ARBOL</t>
  </si>
  <si>
    <t>LA UNION - SONSÓN. MUNICIPIO DE LA UNIÓN. INSTALACION DE MARCAS VIALES(PROHIBIDO PARQUEAR)</t>
  </si>
  <si>
    <t>LA UNION - SONSÓN. MUNICPIO DE LA UNIÓN. LIMPIEZA DE CALZADA ENTRE EL PR50+0250 AL PR51+0800</t>
  </si>
  <si>
    <t>LA UNION - SONSÓN. SEGUIMIENTO AL CONTRATO 1682 DE 2022 EN LOS PR´S 53+0975 Y 89+0000</t>
  </si>
  <si>
    <t xml:space="preserve">LA UNIÓN - SONSÓN. MUNICIPIO DE LA UNIÓN. INSTALACIÓN DE MARCA VIALES (PROHIBIDO PARQUEAR) PASO NACIONAL </t>
  </si>
  <si>
    <t>LA UNIÓN - SONSÓN. MUNICIPIO DE LA UNIÓN. PR68+0050. RETIRO DE CUÑA</t>
  </si>
  <si>
    <t>LA UNIÓN - SONSÓN. INSPECCIÓN DE LA CARRETERA AL CONTRATO 1682 DE 2022</t>
  </si>
  <si>
    <t>LA UNIÓN - SONSON. TRABAJOS DE MANTENIMIENTO RUTINARIO</t>
  </si>
  <si>
    <t>LA UNIÓN - SONSON. MUNICIPIO DE SONSON. PR97+0300. SELLAMIENTO DE GRIETA DE FALLO GEOLOGICO CON BREA EN CALIENTE</t>
  </si>
  <si>
    <t>LA UNIÓN - SONSON. MUNICIPIO DE LA SONSON. PR97+0300. INSTALACION DE LINEAS LOGARITMICAS</t>
  </si>
  <si>
    <t>LA UNIÓN - SONSON. BACHEO CON MATERIAL SELECCIONADO</t>
  </si>
  <si>
    <t>LA UNION - SONSÓN. MUNICPIO DE LA UNIÓN. PR49+0015 AL PR49+0800. TAPAHUECOS CON MEZCLA DENSA EN CALIENTE POR PASO NACIONAL POR LA UNIÓN</t>
  </si>
  <si>
    <t xml:space="preserve">LA UNION - SONSÓN. MUNICPIO DE LA UNIÓN. PR63+0000. LINEA DE DEMARCACION </t>
  </si>
  <si>
    <t>NOTA: Todas las fotografías deben estar identificadas arriba o abajo, indicando la vía, el sector, el PR,</t>
  </si>
  <si>
    <t xml:space="preserve">             la fecha impresa con el fechador de la cámara y la descripción de lo que se quiere resaltar.</t>
  </si>
  <si>
    <t>CUANDO SE REALICEN PARCHEOS SE TOMARAN FOTOS DEL ANTES Y DEL DESPUES</t>
  </si>
  <si>
    <t>RESEÑA 1 - DE PRENSA</t>
  </si>
  <si>
    <t>TRIMESTRE EVALUADO: ENERO - MARZO 2023</t>
  </si>
  <si>
    <t>1. MiOriente, 10 DE ENERO DE 2023, vía twitter</t>
  </si>
  <si>
    <t>1. MiOriente, 10 DE ENERO DE 2023, vía página web.</t>
  </si>
  <si>
    <t>1. Jaime Cano Diputado, 11 DE ENERO DE 2023, vía twitter</t>
  </si>
  <si>
    <t>1. MiOriente, 12 DE ENERO DE 2023, vía twitter</t>
  </si>
  <si>
    <t>1. Jaime Cano Diputado, 24 DE ENERO DE 2023, vía twitter</t>
  </si>
  <si>
    <t>1. MiOriente, 09 de febrero de 2023, vía página web</t>
  </si>
  <si>
    <t>1. Informativo regional 4, 26 de febrero de 2023, vía twitter</t>
  </si>
  <si>
    <t>1. Noticias La Unión Antioquia, 15 de marzo de 2023, vía facebook</t>
  </si>
  <si>
    <t>NOTA: Todos los artículos deben estar identificados, idicando la fecha de la publicación y medio periodístico</t>
  </si>
  <si>
    <t>Y SOLO AQUELLOS ARTICULOS  QUE TRATEN DE LAS CARRETERAS A SU CARGO</t>
  </si>
  <si>
    <t>COMENTARIOS GENERALES</t>
  </si>
  <si>
    <t>TRIMESTRE EVALUADO: ENERO -  MARZO 2023</t>
  </si>
  <si>
    <t>1. La carretera a cargo de la administración de mantenimiento vial se encuentra en zona montañosa, inicia en el PR49+0000 ubicado en la entrada al casco urbano del municipio de la unión, aproximadamente a 2500 metros sobre el nivel del mar y finaliza en el PR103+0000 entrada al casco urbano del municipio de Sonsón, aproximadamente a 2500 metros sobre el nivel del mar.  La administración vial está a cargo de ARA INGENIERIA S.A.S., contrato Nº 2461 de 2019, fecha de inicio 01 de enero de 2019 y terminación Inicial el 31 de julio de 2022, valor $1.276.845.362.00. Para el mes de Septiembre se gestiono la Adicion del ITEM de Insumos  por un valor de $129.825.000.00 para la adquisicion de Pintura de trafico para instalacion de lineas con equipo manual de demarcacion horizontal. Adición No 02 por valor de $105.216.873,00 y Adición No 03 por valor de 112.116.269,00 Por medio del acta de modificacion No 02 del 14 de julio de 2022 se aprueba la prorroga y la nueva fecha de terminacion del contrato es el dia 31 de Octubre de 2022. y Nueva Prorroga No 03 entre el 01 noviembre al 31 de diciembre de 2022 y Prorroga entre el 01 de Enero de 2023 al 31 de Marzo de 2023. Se gestiona nueva adicion y prorroga por medio del Acta de Modificacion No 05 para una adicion de $167.515.810 y Prorroga hasta el dia 31 de Julio de 2023.</t>
  </si>
  <si>
    <t>4. Se programaron semanalmente, coordinaron y evaluaron las actividades desarrolladas por la microempresa a cargo de la vía para su mantenimiento rutinario.  El contrato se viene ejecutando con normalidad, priorizando para este período la remoción de cuñas, limpieza de calzada, limpieza de cunetas y rocería y corte y retiro de arboles.  El contrato principal No. 2196 de 2019 con fecha de terminación inicial del contrato es el día 31 de julio de 2022. Por medio del acta de modificacion No 05 prorroga hasta el dia 20 de Julio de 2023. El dia 06 de marzo solamente se presento Una emergencia en el Pr81+0650 que fue inicialmente atendida por la microempresa y luego removida por el contrato 1682 de 2022.</t>
  </si>
  <si>
    <t>2. Se recolectó, digitó y reportó la información relacionada con la accidentalidad de los meses de NOVIEMBRE - DICIEMBRE 2022 y entre ENERO - FEBRERO/2023. Durante el período evaluado se presento una (01) victima fatal.</t>
  </si>
  <si>
    <t>5. La microempresa vias de Oriente Junto con la Administracion vias se estan efectuando sellamientos en talud inferior en el Pr97+0300 con material de limo y concreto. Se realizo tapahueco por el paso Nacional por la Unión con Mezcla densa en caliente Suministrado por La Alcaldia de La Unión. tambien se realizo instalación de Prohibidos Parquear a solicitud de la Alcaldia de La Unión entre el Pr50+0000 al Pr50+0250. y se continuo los trabajos de demarcación demarcación horizontal con equipo entre el PrPR61+0000 AL PR 68+0600 costado derecho. En el Pr77+0600 costado izquierdo, se presento grieta en suelo al lado de muro de contención, se procedio al sellamiento y recuperación, hasta la fecha no se muestra daños adicionales.</t>
  </si>
  <si>
    <t>3. La vía se encuentra pavimentada de esta manera: pavimento en concreto asfáltico desde el PR49+0000 al PR49+0885 paso nacional por municipio de La Unión, pavimento en concreto hidráulico desde el PR49+0885  hasta el PR68+0613, pavimento en concreto asfáltico desde el PR68+0613 al PR71+0323, pavimento en concreto hidráulico desde el PR71+0323 al PR72+0720 y pavimento en concreto asfáltico desde el PR72+0720 hasta el PR103+0000 final de tramo a cargo de la administración vial en la entrada al municipio de Sonsón.  El dia 29 de Diciembre de 2022 se inicia el contrato 1681 de 2022 cuyo objeto es:ATENCIÓN DE PUNTOS CRÍTICOS EN EL PR94+050 DE LA VÍA LA MANSA - PRIMAVERA, RUTA 6003 Y PARA ATENDER LA CONSTRUCCIÓN DE MUROS EN LOS PR'S 62+0260, 70+0080, 80+0200, 81+0200, 81+0250, 84+0750, 92+0087 Y 97+0300, EN LA VÍA LA UNIÓN-SONSON, RUTA 560 y el dia 30 de Diciembre de 2022 incia el contrato 1682 de 2022 cuyo objeto es:MATENIMIENTO Y REHABILLITACIÓN TRAMO 5601 LA UNIÓN-LA FRONTERA-SONSÓN EN EL DEPARTAMENTO DE ANTIOQUIA. En los meses de Enero - Febrero se presento en promedio tiempo seco pero con lluvias leves esporadicas, en el mes de Marzo hubo un aumento considerable de las precipitaciones, Se presento el dia 06 de marzo cierre parcial en el Pr81+0650 fue atendido inicialmente por la Microempresa Vias de Oriente, donde se realizo remonte y señalizacion, ahora por medio del contrato de mantenimiento 1682/2022 procedieron al retiro del derrumbe, con la microempresa continua  fortaleciendo el sellamiento de grietas en taludes interiores. Como se ha estado recalcando en los informes anteriores sobre el incremento considerable de vehiculos pesados (volquetas dobletroque) continúan acelerando el deterioro entre el PR69+0600 y PR71+0323 y entre los PR85+0130 y PR97+0800, ve con preocupacion como la carpeta asfaltica, se esta continua deteriorandose por falta de mantenimiento a los filtros.  La Administracion Vial Aconseja que el contrato actual de mantenimiento el 1682 de 2022 se enfoque en la construcción de filtros, ya que estos tiene un uso promedio de mas de 40 años y ya cumplieron su vida util, porque a pesar del mantenimiento que se ha hecho con la microempresa, ya no cuentan con materialde fresado y se ha tenido que recurrir al material seleccionado, para atender los baches en espera a que salga lo mas pronto posible un contrato de suministro de mezcla o contrato de mantenimiento y rehabilitación, adicionalmente ve con preocupacion el gran deterioro en que esta la carpeta asfaltica entre el Pr85+0130 al Pr95+0600 y entre el Pr69+0700 al Pr71+0200, ahora en el contrato xxxxxx cutyo contratista fue el Consorcio San gabriel donde intervinieron entre el Pr101+0800 hasta Pr95+0600 presenta un aumento del deterioro de la carpeta asfaltica con presencia de Pieles de Cocodrilo y Baches. En los Pr81+0200 y Pr81+0250, en el Pr92+0087 se presenta deterioro acelerado de obra donde la poceta(encole) esta hecha de mamposteria y el descole presenta una grave erosion, cabe agregar que la alcantarilla presenta una tuberia de 24 pulg que de acuerdo al caudal no es apta y en el Pr97+0300 continua presentando en el talud inferior grietas que estan siendo selladas con limos por la Microempresa. En el Pr84+0750 se presento por la intensas lluvias de su momento un despendimiento de bordillo, aunque la microempresa construyo uno prosional se requiere obra en ese punto. El PR85+660; sitio crítico por asentamiento en la banca, se mantienen estable y se requiere renivelacion. En el Pr94+0260 se hace retiro del sitio por su estabilidad aparente, la administracion vial hace constantes controles en el sitio.  En el sector entre PR94+0810 y PR94+0860, el lugar presenta una aceleracion de asentamiento, se requiere mezcla densa en caliente para efectuar la rampa de entrada y salida a lo ancho de la calzada, continúa el movimiento de forma lenta y el escalonamiento en sectores aunque la microempresa realizo obras de sellamiento y reforzamiento de los drenajes para mitigar la problematica; hay señalización adecuada y se monitorea permanentemente, aunque la obras de drenaje no presenta ni grietas ni deformaciones por loq ue la masa se mueve de forma homogenea.  Los sectores con pavimento rígido (PR49+0885 a PR72+0720), continúa el aumento en grietas, aunque con la microempresa se estan efectuando sellamiento de grietas con brea liquida en caliente y mejoramiento en juntas.</t>
  </si>
  <si>
    <t>6. Con el contrato 1681 de 2022 se iniciaron las obras en el Pr70+0080, 81+0200 y 81+0250, cuyo Objeto:ATENCIÓN DE PUNTOS CRÍTICOS EN EL PR94+050 DE LA VÍA LA MANSA - PRIMAVERA, RUTA 6003 Y PARA ATENDER LA CONSTRUCCIÓN DE MUROS EN LOS PR'S 62+0260, 70+0080, 80+0200, 81+0200, 81+0250, 84+0750, 92+0087 Y 97+0300, EN LA VÍA LA UNIÓN-SONSON, RUTA 5601.</t>
  </si>
  <si>
    <t>7. Con el contrato 1682 de 2022 se iniciaron las obras en EL PR53+0750 Y PR89+0000, cuyo Objeto:MATENIMIENTO Y REHABILLITACIÓN TRAMO 5601 LA UNIÓN-LA FRONTERA-SONSÓN EN EL DEPARTAMENTO DE ANTIOQUIA.</t>
  </si>
  <si>
    <t xml:space="preserve">•	09 Y 23 DE FEBRERO DE 2023, CAPACITACIÓN INVIDATA. DE FORMA VIRTUAL. 
•	16 DE MARZO DE 2023. CARGADA LA INFORMACIÓN A INVIDATA
•	22 DE MARZO DE 2023. CAPACITACIÓN DE CAMINOS COMUNITARIOS PARA LA PAZ TOTAL INVÍAS. DE FORMA VIRTUAL. </t>
  </si>
  <si>
    <t>CAPACITACION TRABAJADORES DE MANTENIMIENTO RUTINARIO</t>
  </si>
  <si>
    <t>LISTADO DE ASISTENCIA</t>
  </si>
  <si>
    <t>REGISTRO FOTOGRÁFICO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</si>
</sst>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
    <numFmt numFmtId="6" formatCode="#,##0\ &quot;€&quot;;[Red]\-#,##0\ &quot;€&quot;"/>
    <numFmt numFmtId="164" formatCode="_(* #,##0.00_);_(* \(#,##0.00\);_(* &quot;-&quot;??_);_(@_)"/>
    <numFmt numFmtId="165" formatCode="&quot;$&quot;#,##0.00_);[Red]\(&quot;$&quot;#,##0.00\)"/>
    <numFmt numFmtId="166" formatCode="_(&quot;$&quot;* #,##0.00_);_(&quot;$&quot;* \(#,##0.00\);_(&quot;$&quot;* &quot;-&quot;??_);_(@_)"/>
    <numFmt numFmtId="167" formatCode="_(* #,##0_);_(* \(#,##0\);_(* &quot;-&quot;??_);_(@_)"/>
    <numFmt numFmtId="168" formatCode="0.0"/>
    <numFmt numFmtId="169" formatCode="0&quot; + 0&quot;000"/>
    <numFmt numFmtId="170" formatCode="0.000"/>
    <numFmt numFmtId="171" formatCode="0.0%"/>
    <numFmt numFmtId="172" formatCode="_(* #,##0.0_);_(* \(#,##0.0\);_(* &quot;-&quot;??_);_(@_)"/>
    <numFmt numFmtId="173" formatCode="&quot;$&quot;\ #,##0.00"/>
    <numFmt numFmtId="174" formatCode="_ * #,##0.00_ ;_ * \-#,##0.00_ ;_ * &quot;-&quot;??_ ;_ @_ "/>
    <numFmt numFmtId="175" formatCode="_ * #,##0_ ;_ * \-#,##0_ ;_ * &quot;-&quot;??_ ;_ @_ "/>
    <numFmt numFmtId="176" formatCode="[$$-240A]\ #,##0.00"/>
    <numFmt numFmtId="177" formatCode="&quot;$&quot;\ #,##0"/>
    <numFmt numFmtId="178" formatCode="[$$-500A]#,##0.00"/>
    <numFmt numFmtId="179" formatCode="#,##0.0"/>
    <numFmt numFmtId="180" formatCode="_(&quot;$&quot;* #,##0_);_(&quot;$&quot;* \(#,##0\);_(&quot;$&quot;* &quot;-&quot;??_);_(@_)"/>
  </numFmts>
  <fonts count="80">
    <font>
      <sz val="10"/>
      <name val="Arial"/>
    </font>
    <font>
      <sz val="11"/>
      <color theme="1"/>
      <name val="Calibri"/>
      <family val="2"/>
      <scheme val="minor"/>
    </font>
    <font>
      <b/>
      <sz val="10"/>
      <name val="Arial"/>
      <family val="2"/>
    </font>
    <font>
      <b/>
      <i/>
      <sz val="10"/>
      <name val="Arial"/>
      <family val="2"/>
    </font>
    <font>
      <sz val="10"/>
      <name val="Arial"/>
      <family val="2"/>
    </font>
    <font>
      <sz val="8"/>
      <name val="Arial"/>
      <family val="2"/>
    </font>
    <font>
      <sz val="8"/>
      <name val="Arial"/>
      <family val="2"/>
    </font>
    <font>
      <b/>
      <sz val="11"/>
      <name val="Arial"/>
      <family val="2"/>
    </font>
    <font>
      <sz val="10"/>
      <color indexed="10"/>
      <name val="Arial"/>
      <family val="2"/>
    </font>
    <font>
      <b/>
      <sz val="12"/>
      <name val="Arial"/>
      <family val="2"/>
    </font>
    <font>
      <sz val="10"/>
      <color indexed="8"/>
      <name val="Arial"/>
      <family val="2"/>
    </font>
    <font>
      <b/>
      <sz val="10"/>
      <color indexed="8"/>
      <name val="Arial"/>
      <family val="2"/>
    </font>
    <font>
      <sz val="10"/>
      <color indexed="12"/>
      <name val="Arial"/>
      <family val="2"/>
    </font>
    <font>
      <b/>
      <sz val="10"/>
      <color indexed="12"/>
      <name val="Arial"/>
      <family val="2"/>
    </font>
    <font>
      <b/>
      <sz val="10"/>
      <color indexed="10"/>
      <name val="Arial"/>
      <family val="2"/>
    </font>
    <font>
      <sz val="10"/>
      <color indexed="48"/>
      <name val="Arial"/>
      <family val="2"/>
    </font>
    <font>
      <b/>
      <sz val="14"/>
      <color indexed="48"/>
      <name val="Arial"/>
      <family val="2"/>
    </font>
    <font>
      <b/>
      <sz val="10"/>
      <color indexed="48"/>
      <name val="Arial"/>
      <family val="2"/>
    </font>
    <font>
      <b/>
      <sz val="14"/>
      <color indexed="8"/>
      <name val="Arial"/>
      <family val="2"/>
    </font>
    <font>
      <b/>
      <sz val="8"/>
      <color indexed="8"/>
      <name val="Arial"/>
      <family val="2"/>
    </font>
    <font>
      <sz val="9"/>
      <color indexed="8"/>
      <name val="Arial"/>
      <family val="2"/>
    </font>
    <font>
      <b/>
      <sz val="11"/>
      <color indexed="8"/>
      <name val="Arial"/>
      <family val="2"/>
    </font>
    <font>
      <b/>
      <sz val="16"/>
      <name val="Arial"/>
      <family val="2"/>
    </font>
    <font>
      <sz val="9"/>
      <name val="Arial"/>
      <family val="2"/>
    </font>
    <font>
      <b/>
      <sz val="14"/>
      <name val="Arial"/>
      <family val="2"/>
    </font>
    <font>
      <b/>
      <sz val="9"/>
      <color indexed="8"/>
      <name val="Arial"/>
      <family val="2"/>
    </font>
    <font>
      <sz val="10"/>
      <name val="Arial"/>
      <family val="2"/>
    </font>
    <font>
      <b/>
      <sz val="9"/>
      <name val="Arial"/>
      <family val="2"/>
    </font>
    <font>
      <i/>
      <sz val="8"/>
      <name val="Times New Roman"/>
      <family val="1"/>
    </font>
    <font>
      <sz val="6"/>
      <name val="Arial"/>
      <family val="2"/>
    </font>
    <font>
      <b/>
      <sz val="10"/>
      <name val="Arial"/>
      <family val="2"/>
    </font>
    <font>
      <b/>
      <sz val="8"/>
      <name val="Arial"/>
      <family val="2"/>
    </font>
    <font>
      <sz val="7"/>
      <name val="Arial"/>
      <family val="2"/>
    </font>
    <font>
      <b/>
      <sz val="10"/>
      <color indexed="23"/>
      <name val="Arial"/>
      <family val="2"/>
    </font>
    <font>
      <b/>
      <sz val="14"/>
      <color indexed="23"/>
      <name val="Arial"/>
      <family val="2"/>
    </font>
    <font>
      <b/>
      <i/>
      <sz val="12"/>
      <name val="Arial"/>
      <family val="2"/>
    </font>
    <font>
      <b/>
      <sz val="10"/>
      <color indexed="9"/>
      <name val="Arial"/>
      <family val="2"/>
    </font>
    <font>
      <b/>
      <sz val="18"/>
      <color indexed="8"/>
      <name val="Arial"/>
      <family val="2"/>
    </font>
    <font>
      <b/>
      <sz val="8"/>
      <color indexed="17"/>
      <name val="Arial"/>
      <family val="2"/>
    </font>
    <font>
      <sz val="12"/>
      <name val="Arial"/>
      <family val="2"/>
    </font>
    <font>
      <b/>
      <sz val="18"/>
      <name val="Arial"/>
      <family val="2"/>
    </font>
    <font>
      <sz val="10"/>
      <color indexed="17"/>
      <name val="Arial"/>
      <family val="2"/>
    </font>
    <font>
      <sz val="16"/>
      <name val="Arial"/>
      <family val="2"/>
    </font>
    <font>
      <sz val="10"/>
      <color indexed="11"/>
      <name val="Arial"/>
      <family val="2"/>
    </font>
    <font>
      <b/>
      <sz val="12"/>
      <color indexed="8"/>
      <name val="Arial"/>
      <family val="2"/>
    </font>
    <font>
      <sz val="12"/>
      <color indexed="12"/>
      <name val="Arial"/>
      <family val="2"/>
    </font>
    <font>
      <b/>
      <sz val="7"/>
      <name val="Arial"/>
      <family val="2"/>
    </font>
    <font>
      <b/>
      <sz val="6"/>
      <name val="Arial"/>
      <family val="2"/>
    </font>
    <font>
      <sz val="11"/>
      <name val="Arial"/>
      <family val="2"/>
    </font>
    <font>
      <sz val="18"/>
      <name val="Arial"/>
      <family val="2"/>
    </font>
    <font>
      <b/>
      <u/>
      <sz val="12"/>
      <name val="Arial"/>
      <family val="2"/>
    </font>
    <font>
      <sz val="12"/>
      <color indexed="8"/>
      <name val="Calibri"/>
      <family val="2"/>
    </font>
    <font>
      <b/>
      <i/>
      <sz val="11"/>
      <name val="Arial"/>
      <family val="2"/>
    </font>
    <font>
      <b/>
      <sz val="26"/>
      <name val="Aharoni"/>
      <charset val="177"/>
    </font>
    <font>
      <u/>
      <sz val="10"/>
      <color indexed="12"/>
      <name val="Arial"/>
      <family val="2"/>
    </font>
    <font>
      <b/>
      <u/>
      <sz val="16"/>
      <name val="Arial"/>
      <family val="2"/>
    </font>
    <font>
      <b/>
      <u/>
      <sz val="11"/>
      <name val="Arial"/>
      <family val="2"/>
    </font>
    <font>
      <b/>
      <sz val="9"/>
      <color indexed="17"/>
      <name val="Arial"/>
      <family val="2"/>
    </font>
    <font>
      <sz val="9"/>
      <color indexed="11"/>
      <name val="Arial"/>
      <family val="2"/>
    </font>
    <font>
      <sz val="8"/>
      <color indexed="8"/>
      <name val="Arial"/>
      <family val="2"/>
    </font>
    <font>
      <b/>
      <sz val="15"/>
      <name val="Arial"/>
      <family val="2"/>
    </font>
    <font>
      <sz val="15"/>
      <name val="Arial"/>
      <family val="2"/>
    </font>
    <font>
      <sz val="11"/>
      <color indexed="8"/>
      <name val="Calibri"/>
      <family val="2"/>
    </font>
    <font>
      <i/>
      <sz val="10"/>
      <name val="Arial"/>
      <family val="2"/>
    </font>
    <font>
      <b/>
      <sz val="9"/>
      <color indexed="9"/>
      <name val="Arial"/>
      <family val="2"/>
    </font>
    <font>
      <b/>
      <u/>
      <sz val="18"/>
      <color indexed="8"/>
      <name val="Arial"/>
      <family val="2"/>
    </font>
    <font>
      <u/>
      <sz val="10"/>
      <color theme="10"/>
      <name val="Arial"/>
      <family val="2"/>
    </font>
    <font>
      <b/>
      <i/>
      <u/>
      <sz val="10"/>
      <color theme="10"/>
      <name val="Arial"/>
      <family val="2"/>
    </font>
    <font>
      <sz val="9"/>
      <color rgb="FFFF0000"/>
      <name val="Arial"/>
      <family val="2"/>
    </font>
    <font>
      <sz val="10"/>
      <color theme="0"/>
      <name val="Arial"/>
      <family val="2"/>
    </font>
    <font>
      <b/>
      <sz val="9"/>
      <color rgb="FFFFC000"/>
      <name val="Arial"/>
      <family val="2"/>
    </font>
    <font>
      <b/>
      <sz val="9"/>
      <color theme="0"/>
      <name val="Arial"/>
      <family val="2"/>
    </font>
    <font>
      <sz val="10"/>
      <color theme="0" tint="-0.34998626667073579"/>
      <name val="Arial"/>
      <family val="2"/>
    </font>
    <font>
      <sz val="10"/>
      <color rgb="FFFF0000"/>
      <name val="Arial"/>
      <family val="2"/>
    </font>
    <font>
      <sz val="9"/>
      <color theme="1"/>
      <name val="Arial"/>
      <family val="2"/>
    </font>
    <font>
      <sz val="16"/>
      <color rgb="FFFF0000"/>
      <name val="Arial"/>
      <family val="2"/>
    </font>
    <font>
      <sz val="10"/>
      <color theme="1"/>
      <name val="Arial"/>
      <family val="2"/>
    </font>
    <font>
      <b/>
      <sz val="10"/>
      <color rgb="FFFF0000"/>
      <name val="Arial"/>
      <family val="2"/>
    </font>
    <font>
      <sz val="24"/>
      <name val="Arial"/>
      <family val="2"/>
    </font>
    <font>
      <b/>
      <sz val="15"/>
      <color theme="1"/>
      <name val="Arial"/>
      <family val="2"/>
    </font>
  </fonts>
  <fills count="25">
    <fill>
      <patternFill patternType="none"/>
    </fill>
    <fill>
      <patternFill patternType="gray125"/>
    </fill>
    <fill>
      <patternFill patternType="solid">
        <fgColor indexed="22"/>
        <bgColor indexed="64"/>
      </patternFill>
    </fill>
    <fill>
      <patternFill patternType="solid">
        <fgColor indexed="10"/>
        <bgColor indexed="64"/>
      </patternFill>
    </fill>
    <fill>
      <patternFill patternType="solid">
        <fgColor indexed="9"/>
        <bgColor indexed="64"/>
      </patternFill>
    </fill>
    <fill>
      <patternFill patternType="solid">
        <fgColor indexed="13"/>
        <bgColor indexed="64"/>
      </patternFill>
    </fill>
    <fill>
      <patternFill patternType="solid">
        <fgColor indexed="11"/>
        <bgColor indexed="64"/>
      </patternFill>
    </fill>
    <fill>
      <patternFill patternType="gray125">
        <fgColor indexed="8"/>
      </patternFill>
    </fill>
    <fill>
      <patternFill patternType="solid">
        <fgColor indexed="44"/>
        <bgColor indexed="64"/>
      </patternFill>
    </fill>
    <fill>
      <patternFill patternType="solid">
        <fgColor indexed="45"/>
        <bgColor indexed="64"/>
      </patternFill>
    </fill>
    <fill>
      <patternFill patternType="solid">
        <fgColor indexed="43"/>
        <bgColor indexed="64"/>
      </patternFill>
    </fill>
    <fill>
      <patternFill patternType="solid">
        <fgColor indexed="11"/>
        <bgColor indexed="8"/>
      </patternFill>
    </fill>
    <fill>
      <patternFill patternType="solid">
        <fgColor rgb="FF00FF00"/>
        <bgColor indexed="64"/>
      </patternFill>
    </fill>
    <fill>
      <patternFill patternType="solid">
        <fgColor rgb="FFFFFF00"/>
        <bgColor indexed="64"/>
      </patternFill>
    </fill>
    <fill>
      <patternFill patternType="solid">
        <fgColor rgb="FFFF0000"/>
        <bgColor indexed="64"/>
      </patternFill>
    </fill>
    <fill>
      <patternFill patternType="solid">
        <fgColor theme="2"/>
        <bgColor indexed="64"/>
      </patternFill>
    </fill>
    <fill>
      <patternFill patternType="solid">
        <fgColor rgb="FFA6CACC"/>
        <bgColor indexed="64"/>
      </patternFill>
    </fill>
    <fill>
      <patternFill patternType="solid">
        <fgColor rgb="FFCC9CCC"/>
        <bgColor indexed="64"/>
      </patternFill>
    </fill>
    <fill>
      <patternFill patternType="solid">
        <fgColor rgb="FF00FF00"/>
        <bgColor rgb="FF00FF00"/>
      </patternFill>
    </fill>
    <fill>
      <patternFill patternType="solid">
        <fgColor theme="0"/>
        <bgColor indexed="64"/>
      </patternFill>
    </fill>
    <fill>
      <patternFill patternType="solid">
        <fgColor rgb="FF99CCFF"/>
        <bgColor indexed="64"/>
      </patternFill>
    </fill>
    <fill>
      <patternFill patternType="solid">
        <fgColor rgb="FF00FF00"/>
        <bgColor indexed="8"/>
      </patternFill>
    </fill>
    <fill>
      <patternFill patternType="solid">
        <fgColor rgb="FFCC99CC"/>
        <bgColor indexed="64"/>
      </patternFill>
    </fill>
    <fill>
      <patternFill patternType="solid">
        <fgColor rgb="FFFFFF05"/>
        <bgColor indexed="64"/>
      </patternFill>
    </fill>
    <fill>
      <patternFill patternType="solid">
        <fgColor rgb="FFA6CAF0"/>
        <bgColor indexed="64"/>
      </patternFill>
    </fill>
  </fills>
  <borders count="120">
    <border>
      <left/>
      <right/>
      <top/>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style="medium">
        <color indexed="64"/>
      </left>
      <right/>
      <top/>
      <bottom/>
      <diagonal/>
    </border>
    <border>
      <left style="thin">
        <color indexed="64"/>
      </left>
      <right/>
      <top/>
      <bottom/>
      <diagonal/>
    </border>
    <border>
      <left style="medium">
        <color indexed="64"/>
      </left>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top/>
      <bottom style="double">
        <color indexed="64"/>
      </bottom>
      <diagonal/>
    </border>
    <border>
      <left style="medium">
        <color indexed="64"/>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bottom style="thin">
        <color indexed="64"/>
      </bottom>
      <diagonal/>
    </border>
    <border>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bottom/>
      <diagonal/>
    </border>
    <border>
      <left style="thin">
        <color indexed="64"/>
      </left>
      <right style="medium">
        <color indexed="64"/>
      </right>
      <top/>
      <bottom/>
      <diagonal/>
    </border>
    <border>
      <left/>
      <right style="medium">
        <color indexed="64"/>
      </right>
      <top style="thin">
        <color indexed="64"/>
      </top>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bottom style="thin">
        <color indexed="64"/>
      </bottom>
      <diagonal/>
    </border>
    <border>
      <left/>
      <right/>
      <top style="medium">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style="hair">
        <color indexed="64"/>
      </top>
      <bottom style="thin">
        <color indexed="64"/>
      </bottom>
      <diagonal/>
    </border>
    <border>
      <left style="hair">
        <color indexed="64"/>
      </left>
      <right/>
      <top/>
      <bottom/>
      <diagonal/>
    </border>
    <border>
      <left style="medium">
        <color indexed="64"/>
      </left>
      <right style="thin">
        <color indexed="64"/>
      </right>
      <top/>
      <bottom style="hair">
        <color indexed="64"/>
      </bottom>
      <diagonal/>
    </border>
    <border>
      <left style="hair">
        <color indexed="64"/>
      </left>
      <right/>
      <top/>
      <bottom style="thin">
        <color indexed="64"/>
      </bottom>
      <diagonal/>
    </border>
    <border>
      <left style="thin">
        <color indexed="64"/>
      </left>
      <right/>
      <top/>
      <bottom style="medium">
        <color indexed="64"/>
      </bottom>
      <diagonal/>
    </border>
    <border>
      <left style="hair">
        <color indexed="64"/>
      </left>
      <right/>
      <top/>
      <bottom style="medium">
        <color indexed="64"/>
      </bottom>
      <diagonal/>
    </border>
    <border>
      <left style="hair">
        <color indexed="64"/>
      </left>
      <right/>
      <top style="thin">
        <color indexed="64"/>
      </top>
      <bottom style="medium">
        <color indexed="64"/>
      </bottom>
      <diagonal/>
    </border>
    <border>
      <left style="thin">
        <color indexed="64"/>
      </left>
      <right/>
      <top style="medium">
        <color indexed="64"/>
      </top>
      <bottom/>
      <diagonal/>
    </border>
    <border>
      <left style="hair">
        <color indexed="64"/>
      </left>
      <right/>
      <top style="medium">
        <color indexed="64"/>
      </top>
      <bottom/>
      <diagonal/>
    </border>
    <border>
      <left style="double">
        <color indexed="64"/>
      </left>
      <right style="double">
        <color indexed="64"/>
      </right>
      <top style="hair">
        <color indexed="64"/>
      </top>
      <bottom style="hair">
        <color indexed="64"/>
      </bottom>
      <diagonal/>
    </border>
    <border>
      <left style="double">
        <color indexed="64"/>
      </left>
      <right style="double">
        <color indexed="64"/>
      </right>
      <top style="hair">
        <color indexed="64"/>
      </top>
      <bottom/>
      <diagonal/>
    </border>
    <border>
      <left style="double">
        <color indexed="64"/>
      </left>
      <right style="double">
        <color indexed="64"/>
      </right>
      <top style="double">
        <color indexed="64"/>
      </top>
      <bottom style="hair">
        <color indexed="64"/>
      </bottom>
      <diagonal/>
    </border>
    <border>
      <left style="double">
        <color indexed="64"/>
      </left>
      <right/>
      <top style="double">
        <color indexed="64"/>
      </top>
      <bottom style="double">
        <color indexed="64"/>
      </bottom>
      <diagonal/>
    </border>
    <border>
      <left style="double">
        <color indexed="64"/>
      </left>
      <right style="double">
        <color indexed="64"/>
      </right>
      <top style="double">
        <color indexed="64"/>
      </top>
      <bottom style="double">
        <color indexed="64"/>
      </bottom>
      <diagonal/>
    </border>
    <border>
      <left/>
      <right/>
      <top style="double">
        <color indexed="64"/>
      </top>
      <bottom/>
      <diagonal/>
    </border>
    <border>
      <left style="double">
        <color indexed="64"/>
      </left>
      <right style="double">
        <color indexed="64"/>
      </right>
      <top/>
      <bottom style="double">
        <color indexed="64"/>
      </bottom>
      <diagonal/>
    </border>
    <border>
      <left style="double">
        <color indexed="64"/>
      </left>
      <right style="double">
        <color indexed="64"/>
      </right>
      <top style="hair">
        <color indexed="64"/>
      </top>
      <bottom style="double">
        <color indexed="64"/>
      </bottom>
      <diagonal/>
    </border>
    <border>
      <left/>
      <right style="double">
        <color indexed="64"/>
      </right>
      <top style="double">
        <color indexed="64"/>
      </top>
      <bottom/>
      <diagonal/>
    </border>
    <border>
      <left/>
      <right style="double">
        <color indexed="64"/>
      </right>
      <top/>
      <bottom/>
      <diagonal/>
    </border>
    <border>
      <left style="double">
        <color indexed="64"/>
      </left>
      <right style="double">
        <color indexed="64"/>
      </right>
      <top/>
      <bottom style="hair">
        <color indexed="64"/>
      </bottom>
      <diagonal/>
    </border>
    <border>
      <left style="double">
        <color indexed="64"/>
      </left>
      <right style="double">
        <color indexed="64"/>
      </right>
      <top/>
      <bottom/>
      <diagonal/>
    </border>
    <border>
      <left style="double">
        <color indexed="64"/>
      </left>
      <right style="double">
        <color indexed="64"/>
      </right>
      <top style="double">
        <color indexed="64"/>
      </top>
      <bottom/>
      <diagonal/>
    </border>
    <border>
      <left style="double">
        <color indexed="64"/>
      </left>
      <right/>
      <top style="hair">
        <color indexed="64"/>
      </top>
      <bottom style="hair">
        <color indexed="64"/>
      </bottom>
      <diagonal/>
    </border>
    <border>
      <left style="double">
        <color indexed="64"/>
      </left>
      <right/>
      <top style="hair">
        <color indexed="64"/>
      </top>
      <bottom style="double">
        <color indexed="64"/>
      </bottom>
      <diagonal/>
    </border>
    <border>
      <left style="medium">
        <color indexed="64"/>
      </left>
      <right style="thin">
        <color indexed="64"/>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dashed">
        <color indexed="64"/>
      </bottom>
      <diagonal/>
    </border>
    <border>
      <left/>
      <right/>
      <top style="thin">
        <color indexed="64"/>
      </top>
      <bottom style="dashed">
        <color indexed="64"/>
      </bottom>
      <diagonal/>
    </border>
    <border>
      <left style="thin">
        <color indexed="64"/>
      </left>
      <right style="medium">
        <color indexed="64"/>
      </right>
      <top style="thin">
        <color indexed="64"/>
      </top>
      <bottom style="dashed">
        <color indexed="64"/>
      </bottom>
      <diagonal/>
    </border>
    <border>
      <left/>
      <right style="thin">
        <color indexed="64"/>
      </right>
      <top style="thin">
        <color indexed="64"/>
      </top>
      <bottom style="dashed">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bottom style="hair">
        <color indexed="64"/>
      </bottom>
      <diagonal/>
    </border>
    <border>
      <left style="thin">
        <color indexed="64"/>
      </left>
      <right style="thin">
        <color indexed="64"/>
      </right>
      <top/>
      <bottom style="hair">
        <color indexed="64"/>
      </bottom>
      <diagonal/>
    </border>
    <border>
      <left style="thin">
        <color indexed="64"/>
      </left>
      <right style="medium">
        <color indexed="64"/>
      </right>
      <top/>
      <bottom style="hair">
        <color indexed="64"/>
      </bottom>
      <diagonal/>
    </border>
    <border>
      <left style="hair">
        <color indexed="64"/>
      </left>
      <right/>
      <top style="thin">
        <color indexed="64"/>
      </top>
      <bottom style="thin">
        <color indexed="64"/>
      </bottom>
      <diagonal/>
    </border>
    <border>
      <left style="hair">
        <color indexed="64"/>
      </left>
      <right/>
      <top style="thin">
        <color indexed="64"/>
      </top>
      <bottom/>
      <diagonal/>
    </border>
    <border>
      <left/>
      <right/>
      <top/>
      <bottom style="thin">
        <color indexed="44"/>
      </bottom>
      <diagonal/>
    </border>
    <border>
      <left style="medium">
        <color indexed="64"/>
      </left>
      <right/>
      <top style="thin">
        <color indexed="64"/>
      </top>
      <bottom/>
      <diagonal/>
    </border>
    <border>
      <left/>
      <right/>
      <top style="thick">
        <color rgb="FF00FF00"/>
      </top>
      <bottom style="thin">
        <color indexed="64"/>
      </bottom>
      <diagonal/>
    </border>
  </borders>
  <cellStyleXfs count="21">
    <xf numFmtId="0" fontId="0" fillId="0" borderId="0"/>
    <xf numFmtId="164" fontId="4" fillId="0" borderId="0" applyFont="0" applyFill="0" applyBorder="0" applyAlignment="0" applyProtection="0"/>
    <xf numFmtId="0" fontId="66" fillId="0" borderId="0" applyNumberFormat="0" applyFill="0" applyBorder="0" applyAlignment="0" applyProtection="0">
      <alignment vertical="top"/>
      <protection locked="0"/>
    </xf>
    <xf numFmtId="0" fontId="54" fillId="0" borderId="0" applyNumberFormat="0" applyFill="0" applyBorder="0" applyAlignment="0" applyProtection="0">
      <alignment vertical="top"/>
      <protection locked="0"/>
    </xf>
    <xf numFmtId="164" fontId="4" fillId="0" borderId="0" applyFont="0" applyFill="0" applyBorder="0" applyAlignment="0" applyProtection="0"/>
    <xf numFmtId="164" fontId="4" fillId="0" borderId="0" applyFont="0" applyFill="0" applyBorder="0" applyAlignment="0" applyProtection="0"/>
    <xf numFmtId="0" fontId="4" fillId="0" borderId="0" applyFont="0" applyFill="0" applyBorder="0" applyAlignment="0" applyProtection="0"/>
    <xf numFmtId="6" fontId="4" fillId="0" borderId="0" applyFont="0" applyFill="0" applyBorder="0" applyAlignment="0" applyProtection="0"/>
    <xf numFmtId="166" fontId="4" fillId="0" borderId="0" applyFont="0" applyFill="0" applyBorder="0" applyAlignment="0" applyProtection="0"/>
    <xf numFmtId="0" fontId="4" fillId="0" borderId="0"/>
    <xf numFmtId="0" fontId="51" fillId="0" borderId="0"/>
    <xf numFmtId="0" fontId="4" fillId="0" borderId="0"/>
    <xf numFmtId="0" fontId="4" fillId="0" borderId="0"/>
    <xf numFmtId="0" fontId="4" fillId="0" borderId="0" applyFill="0"/>
    <xf numFmtId="0" fontId="4" fillId="0" borderId="0"/>
    <xf numFmtId="0" fontId="4" fillId="0" borderId="0"/>
    <xf numFmtId="0" fontId="26" fillId="0" borderId="0"/>
    <xf numFmtId="0" fontId="62" fillId="0" borderId="0"/>
    <xf numFmtId="0" fontId="4" fillId="0" borderId="0"/>
    <xf numFmtId="0" fontId="4" fillId="0" borderId="0"/>
    <xf numFmtId="9" fontId="4" fillId="0" borderId="0" applyFont="0" applyFill="0" applyBorder="0" applyAlignment="0" applyProtection="0"/>
  </cellStyleXfs>
  <cellXfs count="1665">
    <xf numFmtId="0" fontId="0" fillId="0" borderId="0" xfId="0"/>
    <xf numFmtId="0" fontId="0" fillId="0" borderId="0" xfId="0" applyAlignment="1">
      <alignment horizontal="centerContinuous"/>
    </xf>
    <xf numFmtId="0" fontId="2" fillId="0" borderId="0" xfId="0" applyFont="1" applyAlignment="1">
      <alignment horizontal="centerContinuous"/>
    </xf>
    <xf numFmtId="0" fontId="0" fillId="0" borderId="1" xfId="0" applyBorder="1"/>
    <xf numFmtId="0" fontId="0" fillId="0" borderId="2" xfId="0" applyBorder="1"/>
    <xf numFmtId="0" fontId="0" fillId="0" borderId="3" xfId="0" applyBorder="1"/>
    <xf numFmtId="0" fontId="0" fillId="0" borderId="4" xfId="0" applyBorder="1"/>
    <xf numFmtId="0" fontId="0" fillId="0" borderId="5" xfId="0" applyBorder="1"/>
    <xf numFmtId="0" fontId="0" fillId="0" borderId="6" xfId="0" applyBorder="1"/>
    <xf numFmtId="0" fontId="0" fillId="0" borderId="7" xfId="0" applyBorder="1"/>
    <xf numFmtId="0" fontId="0" fillId="0" borderId="8" xfId="0" applyBorder="1"/>
    <xf numFmtId="0" fontId="0" fillId="0" borderId="9" xfId="0" applyBorder="1"/>
    <xf numFmtId="0" fontId="0" fillId="0" borderId="10" xfId="0" applyBorder="1"/>
    <xf numFmtId="0" fontId="0" fillId="0" borderId="11" xfId="0" applyBorder="1"/>
    <xf numFmtId="0" fontId="0" fillId="0" borderId="12" xfId="0" applyBorder="1"/>
    <xf numFmtId="0" fontId="0" fillId="0" borderId="13" xfId="0" applyBorder="1"/>
    <xf numFmtId="0" fontId="0" fillId="0" borderId="14" xfId="0" applyBorder="1"/>
    <xf numFmtId="0" fontId="0" fillId="0" borderId="15" xfId="0" applyBorder="1"/>
    <xf numFmtId="0" fontId="0" fillId="0" borderId="16" xfId="0" applyBorder="1"/>
    <xf numFmtId="0" fontId="0" fillId="0" borderId="17" xfId="0" applyBorder="1"/>
    <xf numFmtId="0" fontId="0" fillId="0" borderId="18" xfId="0" applyBorder="1"/>
    <xf numFmtId="0" fontId="0" fillId="0" borderId="19" xfId="0" applyBorder="1"/>
    <xf numFmtId="0" fontId="0" fillId="0" borderId="4" xfId="0" applyBorder="1" applyAlignment="1">
      <alignment horizontal="center"/>
    </xf>
    <xf numFmtId="0" fontId="0" fillId="0" borderId="20" xfId="0" applyBorder="1"/>
    <xf numFmtId="0" fontId="8" fillId="0" borderId="0" xfId="0" applyFont="1"/>
    <xf numFmtId="0" fontId="7" fillId="0" borderId="0" xfId="0" applyFont="1"/>
    <xf numFmtId="0" fontId="0" fillId="0" borderId="21" xfId="0" applyBorder="1"/>
    <xf numFmtId="0" fontId="2" fillId="0" borderId="4" xfId="0" applyFont="1" applyBorder="1" applyAlignment="1">
      <alignment horizontal="center"/>
    </xf>
    <xf numFmtId="0" fontId="11" fillId="0" borderId="4" xfId="0" applyFont="1" applyBorder="1" applyAlignment="1">
      <alignment horizontal="center"/>
    </xf>
    <xf numFmtId="0" fontId="2" fillId="0" borderId="0" xfId="0" applyFont="1" applyAlignment="1">
      <alignment horizontal="center" vertical="center"/>
    </xf>
    <xf numFmtId="0" fontId="0" fillId="0" borderId="4" xfId="0" applyBorder="1" applyAlignment="1">
      <alignment wrapText="1"/>
    </xf>
    <xf numFmtId="165" fontId="0" fillId="0" borderId="4" xfId="0" applyNumberFormat="1" applyBorder="1"/>
    <xf numFmtId="0" fontId="12" fillId="0" borderId="0" xfId="0" applyFont="1" applyAlignment="1">
      <alignment horizontal="centerContinuous"/>
    </xf>
    <xf numFmtId="0" fontId="12" fillId="0" borderId="0" xfId="0" applyFont="1"/>
    <xf numFmtId="0" fontId="14" fillId="0" borderId="0" xfId="0" applyFont="1"/>
    <xf numFmtId="0" fontId="8" fillId="0" borderId="10" xfId="0" applyFont="1" applyBorder="1" applyAlignment="1">
      <alignment horizontal="center"/>
    </xf>
    <xf numFmtId="0" fontId="8" fillId="0" borderId="22" xfId="0" applyFont="1" applyBorder="1"/>
    <xf numFmtId="0" fontId="15" fillId="0" borderId="0" xfId="0" applyFont="1" applyAlignment="1">
      <alignment horizontal="centerContinuous"/>
    </xf>
    <xf numFmtId="0" fontId="15" fillId="0" borderId="0" xfId="0" applyFont="1"/>
    <xf numFmtId="0" fontId="16" fillId="0" borderId="0" xfId="0" applyFont="1" applyAlignment="1">
      <alignment horizontal="centerContinuous"/>
    </xf>
    <xf numFmtId="0" fontId="17" fillId="0" borderId="0" xfId="0" applyFont="1" applyAlignment="1">
      <alignment horizontal="centerContinuous"/>
    </xf>
    <xf numFmtId="0" fontId="13" fillId="0" borderId="0" xfId="0" applyFont="1"/>
    <xf numFmtId="0" fontId="8" fillId="0" borderId="22" xfId="0" applyFont="1" applyBorder="1" applyAlignment="1">
      <alignment horizontal="center"/>
    </xf>
    <xf numFmtId="0" fontId="18" fillId="0" borderId="0" xfId="0" applyFont="1" applyAlignment="1">
      <alignment horizontal="centerContinuous"/>
    </xf>
    <xf numFmtId="0" fontId="10" fillId="0" borderId="0" xfId="0" applyFont="1" applyAlignment="1">
      <alignment horizontal="centerContinuous"/>
    </xf>
    <xf numFmtId="0" fontId="11" fillId="0" borderId="23" xfId="0" applyFont="1" applyBorder="1" applyAlignment="1">
      <alignment horizontal="center" vertical="center"/>
    </xf>
    <xf numFmtId="0" fontId="11" fillId="0" borderId="4" xfId="0" applyFont="1" applyBorder="1" applyAlignment="1">
      <alignment horizontal="center" vertical="center" wrapText="1"/>
    </xf>
    <xf numFmtId="0" fontId="11" fillId="0" borderId="4" xfId="0" applyFont="1" applyBorder="1" applyAlignment="1">
      <alignment horizontal="center" vertical="center"/>
    </xf>
    <xf numFmtId="0" fontId="19" fillId="0" borderId="23" xfId="0" applyFont="1" applyBorder="1" applyAlignment="1">
      <alignment horizontal="right"/>
    </xf>
    <xf numFmtId="0" fontId="11" fillId="0" borderId="0" xfId="0" applyFont="1" applyAlignment="1">
      <alignment horizontal="centerContinuous"/>
    </xf>
    <xf numFmtId="0" fontId="10" fillId="0" borderId="0" xfId="0" applyFont="1"/>
    <xf numFmtId="0" fontId="11" fillId="0" borderId="13" xfId="0" applyFont="1" applyBorder="1" applyAlignment="1">
      <alignment horizontal="centerContinuous"/>
    </xf>
    <xf numFmtId="0" fontId="11" fillId="0" borderId="3" xfId="0" applyFont="1" applyBorder="1" applyAlignment="1">
      <alignment horizontal="centerContinuous"/>
    </xf>
    <xf numFmtId="0" fontId="20" fillId="0" borderId="4" xfId="0" applyFont="1" applyBorder="1" applyAlignment="1">
      <alignment vertical="center"/>
    </xf>
    <xf numFmtId="0" fontId="21" fillId="0" borderId="0" xfId="0" applyFont="1"/>
    <xf numFmtId="0" fontId="12" fillId="0" borderId="0" xfId="0" applyFont="1" applyAlignment="1">
      <alignment textRotation="180"/>
    </xf>
    <xf numFmtId="0" fontId="0" fillId="0" borderId="0" xfId="0" applyAlignment="1">
      <alignment textRotation="180"/>
    </xf>
    <xf numFmtId="0" fontId="2" fillId="0" borderId="0" xfId="0" applyFont="1" applyAlignment="1">
      <alignment textRotation="180"/>
    </xf>
    <xf numFmtId="0" fontId="22" fillId="0" borderId="0" xfId="0" applyFont="1" applyAlignment="1">
      <alignment horizontal="centerContinuous"/>
    </xf>
    <xf numFmtId="0" fontId="24" fillId="0" borderId="0" xfId="0" applyFont="1" applyAlignment="1">
      <alignment horizontal="centerContinuous"/>
    </xf>
    <xf numFmtId="0" fontId="4" fillId="0" borderId="0" xfId="0" applyFont="1"/>
    <xf numFmtId="0" fontId="27" fillId="0" borderId="0" xfId="0" applyFont="1" applyAlignment="1">
      <alignment horizontal="left"/>
    </xf>
    <xf numFmtId="0" fontId="23" fillId="0" borderId="0" xfId="0" applyFont="1" applyAlignment="1">
      <alignment horizontal="centerContinuous"/>
    </xf>
    <xf numFmtId="0" fontId="27" fillId="0" borderId="0" xfId="0" applyFont="1"/>
    <xf numFmtId="0" fontId="23" fillId="0" borderId="0" xfId="0" applyFont="1"/>
    <xf numFmtId="0" fontId="28" fillId="0" borderId="0" xfId="0" applyFont="1" applyAlignment="1">
      <alignment horizontal="right"/>
    </xf>
    <xf numFmtId="0" fontId="5" fillId="0" borderId="0" xfId="0" applyFont="1" applyAlignment="1">
      <alignment horizontal="centerContinuous"/>
    </xf>
    <xf numFmtId="0" fontId="0" fillId="0" borderId="15" xfId="0" applyBorder="1" applyAlignment="1">
      <alignment horizontal="centerContinuous"/>
    </xf>
    <xf numFmtId="0" fontId="0" fillId="0" borderId="16" xfId="0" applyBorder="1" applyAlignment="1">
      <alignment horizontal="centerContinuous"/>
    </xf>
    <xf numFmtId="0" fontId="0" fillId="0" borderId="17" xfId="0" applyBorder="1" applyAlignment="1">
      <alignment horizontal="centerContinuous"/>
    </xf>
    <xf numFmtId="0" fontId="0" fillId="0" borderId="18" xfId="0" applyBorder="1" applyAlignment="1">
      <alignment horizontal="centerContinuous"/>
    </xf>
    <xf numFmtId="0" fontId="0" fillId="0" borderId="19" xfId="0" applyBorder="1" applyAlignment="1">
      <alignment horizontal="centerContinuous"/>
    </xf>
    <xf numFmtId="0" fontId="31" fillId="0" borderId="24" xfId="0" applyFont="1" applyBorder="1" applyAlignment="1">
      <alignment horizontal="center"/>
    </xf>
    <xf numFmtId="0" fontId="0" fillId="0" borderId="25" xfId="0" applyBorder="1"/>
    <xf numFmtId="0" fontId="33" fillId="0" borderId="0" xfId="0" applyFont="1" applyAlignment="1">
      <alignment horizontal="centerContinuous"/>
    </xf>
    <xf numFmtId="0" fontId="34" fillId="0" borderId="0" xfId="0" applyFont="1" applyAlignment="1">
      <alignment horizontal="centerContinuous" wrapText="1"/>
    </xf>
    <xf numFmtId="0" fontId="12" fillId="0" borderId="0" xfId="0" applyFont="1" applyAlignment="1">
      <alignment horizontal="centerContinuous" wrapText="1"/>
    </xf>
    <xf numFmtId="49" fontId="35" fillId="0" borderId="17" xfId="0" applyNumberFormat="1" applyFont="1" applyBorder="1" applyAlignment="1">
      <alignment horizontal="center"/>
    </xf>
    <xf numFmtId="0" fontId="0" fillId="0" borderId="26" xfId="0" applyBorder="1"/>
    <xf numFmtId="9" fontId="4" fillId="0" borderId="0" xfId="20"/>
    <xf numFmtId="0" fontId="0" fillId="0" borderId="27" xfId="0" applyBorder="1"/>
    <xf numFmtId="9" fontId="0" fillId="0" borderId="0" xfId="0" applyNumberFormat="1"/>
    <xf numFmtId="0" fontId="0" fillId="0" borderId="27" xfId="0" applyBorder="1" applyAlignment="1">
      <alignment wrapText="1"/>
    </xf>
    <xf numFmtId="0" fontId="0" fillId="0" borderId="28" xfId="0" applyBorder="1"/>
    <xf numFmtId="0" fontId="9" fillId="0" borderId="16" xfId="0" applyFont="1" applyBorder="1" applyAlignment="1">
      <alignment horizontal="centerContinuous"/>
    </xf>
    <xf numFmtId="0" fontId="4" fillId="0" borderId="27" xfId="0" applyFont="1" applyBorder="1" applyAlignment="1">
      <alignment wrapText="1"/>
    </xf>
    <xf numFmtId="0" fontId="36" fillId="0" borderId="4" xfId="0" applyFont="1" applyBorder="1" applyAlignment="1">
      <alignment horizontal="center"/>
    </xf>
    <xf numFmtId="0" fontId="0" fillId="0" borderId="29" xfId="0" applyBorder="1"/>
    <xf numFmtId="49" fontId="27" fillId="0" borderId="0" xfId="0" applyNumberFormat="1" applyFont="1"/>
    <xf numFmtId="0" fontId="31" fillId="0" borderId="30" xfId="0" applyFont="1" applyBorder="1" applyAlignment="1">
      <alignment horizontal="center"/>
    </xf>
    <xf numFmtId="0" fontId="6" fillId="0" borderId="0" xfId="0" applyFont="1"/>
    <xf numFmtId="0" fontId="2" fillId="0" borderId="15" xfId="0" applyFont="1" applyBorder="1"/>
    <xf numFmtId="0" fontId="2" fillId="0" borderId="0" xfId="0" applyFont="1"/>
    <xf numFmtId="0" fontId="39" fillId="0" borderId="0" xfId="0" applyFont="1"/>
    <xf numFmtId="0" fontId="0" fillId="0" borderId="31" xfId="0" applyBorder="1"/>
    <xf numFmtId="0" fontId="0" fillId="0" borderId="32" xfId="0" applyBorder="1"/>
    <xf numFmtId="0" fontId="2" fillId="0" borderId="0" xfId="0" quotePrefix="1" applyFont="1" applyAlignment="1">
      <alignment horizontal="left"/>
    </xf>
    <xf numFmtId="0" fontId="2" fillId="0" borderId="27" xfId="0" applyFont="1" applyBorder="1"/>
    <xf numFmtId="0" fontId="2" fillId="0" borderId="28" xfId="0" applyFont="1" applyBorder="1"/>
    <xf numFmtId="49" fontId="5" fillId="0" borderId="4" xfId="0" applyNumberFormat="1" applyFont="1" applyBorder="1" applyAlignment="1">
      <alignment horizontal="center"/>
    </xf>
    <xf numFmtId="0" fontId="5" fillId="0" borderId="0" xfId="0" applyFont="1"/>
    <xf numFmtId="0" fontId="18" fillId="2" borderId="14" xfId="0" applyFont="1" applyFill="1" applyBorder="1" applyAlignment="1">
      <alignment horizontal="centerContinuous"/>
    </xf>
    <xf numFmtId="0" fontId="12" fillId="2" borderId="16" xfId="0" applyFont="1" applyFill="1" applyBorder="1" applyAlignment="1">
      <alignment horizontal="centerContinuous"/>
    </xf>
    <xf numFmtId="0" fontId="12" fillId="2" borderId="15" xfId="0" applyFont="1" applyFill="1" applyBorder="1" applyAlignment="1">
      <alignment horizontal="centerContinuous"/>
    </xf>
    <xf numFmtId="0" fontId="0" fillId="0" borderId="33" xfId="0" applyBorder="1"/>
    <xf numFmtId="0" fontId="39" fillId="0" borderId="23" xfId="0" applyFont="1" applyBorder="1"/>
    <xf numFmtId="1" fontId="11" fillId="0" borderId="4" xfId="0" applyNumberFormat="1" applyFont="1" applyBorder="1" applyAlignment="1">
      <alignment horizontal="center" vertical="center" wrapText="1"/>
    </xf>
    <xf numFmtId="1" fontId="39" fillId="0" borderId="4" xfId="0" applyNumberFormat="1" applyFont="1" applyBorder="1" applyAlignment="1">
      <alignment horizontal="center"/>
    </xf>
    <xf numFmtId="0" fontId="39" fillId="0" borderId="4" xfId="0" applyFont="1" applyBorder="1" applyAlignment="1">
      <alignment horizontal="center"/>
    </xf>
    <xf numFmtId="49" fontId="39" fillId="0" borderId="4" xfId="0" applyNumberFormat="1" applyFont="1" applyBorder="1" applyAlignment="1">
      <alignment horizontal="center"/>
    </xf>
    <xf numFmtId="1" fontId="2" fillId="0" borderId="4" xfId="0" applyNumberFormat="1" applyFont="1" applyBorder="1" applyAlignment="1">
      <alignment horizontal="center"/>
    </xf>
    <xf numFmtId="0" fontId="39" fillId="0" borderId="4" xfId="0" applyFont="1" applyBorder="1"/>
    <xf numFmtId="0" fontId="2" fillId="0" borderId="20" xfId="0" applyFont="1" applyBorder="1" applyAlignment="1">
      <alignment horizontal="center" vertical="center"/>
    </xf>
    <xf numFmtId="0" fontId="11" fillId="0" borderId="25" xfId="0" applyFont="1" applyBorder="1" applyAlignment="1">
      <alignment horizontal="center" vertical="center"/>
    </xf>
    <xf numFmtId="0" fontId="11" fillId="0" borderId="25" xfId="0" applyFont="1" applyBorder="1" applyAlignment="1">
      <alignment vertical="center"/>
    </xf>
    <xf numFmtId="0" fontId="11" fillId="2" borderId="13" xfId="0" applyFont="1" applyFill="1" applyBorder="1" applyAlignment="1">
      <alignment horizontal="centerContinuous" vertical="center"/>
    </xf>
    <xf numFmtId="0" fontId="11" fillId="2" borderId="12" xfId="0" applyFont="1" applyFill="1" applyBorder="1" applyAlignment="1">
      <alignment horizontal="centerContinuous" vertical="center"/>
    </xf>
    <xf numFmtId="0" fontId="10" fillId="2" borderId="12" xfId="0" applyFont="1" applyFill="1" applyBorder="1" applyAlignment="1">
      <alignment horizontal="centerContinuous" vertical="center"/>
    </xf>
    <xf numFmtId="0" fontId="10" fillId="2" borderId="3" xfId="0" applyFont="1" applyFill="1" applyBorder="1" applyAlignment="1">
      <alignment horizontal="centerContinuous" vertical="center"/>
    </xf>
    <xf numFmtId="0" fontId="11" fillId="2" borderId="34" xfId="0" applyFont="1" applyFill="1" applyBorder="1" applyAlignment="1">
      <alignment vertical="center"/>
    </xf>
    <xf numFmtId="0" fontId="11" fillId="2" borderId="35" xfId="0" applyFont="1" applyFill="1" applyBorder="1" applyAlignment="1">
      <alignment horizontal="center" vertical="center"/>
    </xf>
    <xf numFmtId="0" fontId="0" fillId="0" borderId="36" xfId="0" applyBorder="1"/>
    <xf numFmtId="0" fontId="0" fillId="2" borderId="15" xfId="0" applyFill="1" applyBorder="1"/>
    <xf numFmtId="49" fontId="35" fillId="2" borderId="0" xfId="0" applyNumberFormat="1" applyFont="1" applyFill="1" applyAlignment="1">
      <alignment horizontal="center"/>
    </xf>
    <xf numFmtId="0" fontId="0" fillId="0" borderId="37" xfId="0" applyBorder="1"/>
    <xf numFmtId="0" fontId="0" fillId="0" borderId="38" xfId="0" applyBorder="1"/>
    <xf numFmtId="0" fontId="11" fillId="2" borderId="39" xfId="0" applyFont="1" applyFill="1" applyBorder="1" applyAlignment="1">
      <alignment horizontal="center" vertical="center"/>
    </xf>
    <xf numFmtId="0" fontId="11" fillId="2" borderId="40" xfId="0" applyFont="1" applyFill="1" applyBorder="1" applyAlignment="1">
      <alignment horizontal="center" vertical="center"/>
    </xf>
    <xf numFmtId="0" fontId="11" fillId="2" borderId="41" xfId="0" applyFont="1" applyFill="1" applyBorder="1" applyAlignment="1">
      <alignment horizontal="center" vertical="center"/>
    </xf>
    <xf numFmtId="0" fontId="0" fillId="0" borderId="29" xfId="0" applyBorder="1" applyAlignment="1">
      <alignment textRotation="180"/>
    </xf>
    <xf numFmtId="0" fontId="0" fillId="0" borderId="42" xfId="0" applyBorder="1" applyAlignment="1">
      <alignment textRotation="180"/>
    </xf>
    <xf numFmtId="0" fontId="0" fillId="0" borderId="43" xfId="0" applyBorder="1"/>
    <xf numFmtId="0" fontId="11" fillId="2" borderId="34" xfId="0" applyFont="1" applyFill="1" applyBorder="1" applyAlignment="1">
      <alignment horizontal="center" vertical="center"/>
    </xf>
    <xf numFmtId="0" fontId="11" fillId="2" borderId="40" xfId="0" applyFont="1" applyFill="1" applyBorder="1" applyAlignment="1">
      <alignment horizontal="center" vertical="center" wrapText="1"/>
    </xf>
    <xf numFmtId="0" fontId="11" fillId="2" borderId="44" xfId="0" applyFont="1" applyFill="1" applyBorder="1" applyAlignment="1">
      <alignment horizontal="center" vertical="center"/>
    </xf>
    <xf numFmtId="0" fontId="0" fillId="0" borderId="20" xfId="0" applyBorder="1" applyAlignment="1">
      <alignment wrapText="1"/>
    </xf>
    <xf numFmtId="0" fontId="0" fillId="0" borderId="42" xfId="0" applyBorder="1"/>
    <xf numFmtId="0" fontId="2" fillId="2" borderId="39" xfId="0" applyFont="1" applyFill="1" applyBorder="1" applyAlignment="1">
      <alignment horizontal="center" vertical="center"/>
    </xf>
    <xf numFmtId="0" fontId="2" fillId="2" borderId="40" xfId="0" applyFont="1" applyFill="1" applyBorder="1" applyAlignment="1">
      <alignment horizontal="center" vertical="center"/>
    </xf>
    <xf numFmtId="0" fontId="2" fillId="2" borderId="35" xfId="0" applyFont="1" applyFill="1" applyBorder="1" applyAlignment="1">
      <alignment horizontal="center" vertical="center" wrapText="1"/>
    </xf>
    <xf numFmtId="0" fontId="2" fillId="2" borderId="40" xfId="0" applyFont="1" applyFill="1" applyBorder="1" applyAlignment="1">
      <alignment horizontal="center" vertical="center" wrapText="1"/>
    </xf>
    <xf numFmtId="0" fontId="2" fillId="2" borderId="44" xfId="0" applyFont="1" applyFill="1" applyBorder="1" applyAlignment="1">
      <alignment horizontal="center" vertical="center" wrapText="1"/>
    </xf>
    <xf numFmtId="0" fontId="23" fillId="0" borderId="18" xfId="0" applyFont="1" applyBorder="1"/>
    <xf numFmtId="0" fontId="11" fillId="2" borderId="44" xfId="0" applyFont="1" applyFill="1" applyBorder="1" applyAlignment="1">
      <alignment horizontal="center" vertical="center" wrapText="1"/>
    </xf>
    <xf numFmtId="0" fontId="0" fillId="0" borderId="0" xfId="0" applyAlignment="1">
      <alignment horizontal="center"/>
    </xf>
    <xf numFmtId="1" fontId="11" fillId="0" borderId="4" xfId="0" applyNumberFormat="1" applyFont="1" applyBorder="1" applyAlignment="1">
      <alignment horizontal="centerContinuous" vertical="center" wrapText="1"/>
    </xf>
    <xf numFmtId="0" fontId="40" fillId="4" borderId="0" xfId="0" applyFont="1" applyFill="1" applyAlignment="1">
      <alignment horizontal="centerContinuous"/>
    </xf>
    <xf numFmtId="0" fontId="0" fillId="4" borderId="0" xfId="0" applyFill="1" applyAlignment="1">
      <alignment horizontal="centerContinuous"/>
    </xf>
    <xf numFmtId="0" fontId="0" fillId="4" borderId="0" xfId="0" applyFill="1"/>
    <xf numFmtId="0" fontId="2" fillId="4" borderId="0" xfId="0" applyFont="1" applyFill="1" applyAlignment="1">
      <alignment horizontal="centerContinuous"/>
    </xf>
    <xf numFmtId="0" fontId="24" fillId="4" borderId="0" xfId="0" applyFont="1" applyFill="1" applyAlignment="1">
      <alignment horizontal="centerContinuous"/>
    </xf>
    <xf numFmtId="0" fontId="2" fillId="4" borderId="0" xfId="0" applyFont="1" applyFill="1" applyAlignment="1">
      <alignment textRotation="180"/>
    </xf>
    <xf numFmtId="49" fontId="2" fillId="4" borderId="0" xfId="0" applyNumberFormat="1" applyFont="1" applyFill="1"/>
    <xf numFmtId="0" fontId="2" fillId="4" borderId="0" xfId="0" applyFont="1" applyFill="1"/>
    <xf numFmtId="0" fontId="11" fillId="2" borderId="45" xfId="0" applyFont="1" applyFill="1" applyBorder="1" applyAlignment="1">
      <alignment horizontal="center" vertical="center"/>
    </xf>
    <xf numFmtId="0" fontId="20" fillId="0" borderId="0" xfId="0" applyFont="1"/>
    <xf numFmtId="17" fontId="3" fillId="2" borderId="18" xfId="0" applyNumberFormat="1" applyFont="1" applyFill="1" applyBorder="1" applyAlignment="1">
      <alignment horizontal="center"/>
    </xf>
    <xf numFmtId="0" fontId="0" fillId="2" borderId="26" xfId="0" applyFill="1" applyBorder="1"/>
    <xf numFmtId="49" fontId="35" fillId="2" borderId="27" xfId="0" applyNumberFormat="1" applyFont="1" applyFill="1" applyBorder="1" applyAlignment="1">
      <alignment horizontal="center"/>
    </xf>
    <xf numFmtId="0" fontId="39" fillId="0" borderId="29" xfId="0" applyFont="1" applyBorder="1" applyAlignment="1">
      <alignment horizontal="center" vertical="top"/>
    </xf>
    <xf numFmtId="0" fontId="39" fillId="0" borderId="46" xfId="0" applyFont="1" applyBorder="1" applyAlignment="1">
      <alignment horizontal="center" vertical="top"/>
    </xf>
    <xf numFmtId="0" fontId="45" fillId="0" borderId="0" xfId="0" applyFont="1" applyAlignment="1">
      <alignment horizontal="centerContinuous"/>
    </xf>
    <xf numFmtId="0" fontId="45" fillId="0" borderId="0" xfId="0" applyFont="1"/>
    <xf numFmtId="0" fontId="45" fillId="0" borderId="0" xfId="0" applyFont="1" applyAlignment="1">
      <alignment textRotation="180"/>
    </xf>
    <xf numFmtId="0" fontId="24" fillId="0" borderId="0" xfId="0" applyFont="1" applyAlignment="1">
      <alignment horizontal="center" wrapText="1"/>
    </xf>
    <xf numFmtId="0" fontId="0" fillId="0" borderId="23" xfId="0" applyBorder="1"/>
    <xf numFmtId="0" fontId="30" fillId="0" borderId="0" xfId="0" applyFont="1" applyAlignment="1">
      <alignment horizontal="center"/>
    </xf>
    <xf numFmtId="0" fontId="10" fillId="0" borderId="0" xfId="0" applyFont="1" applyAlignment="1">
      <alignment horizontal="centerContinuous" wrapText="1"/>
    </xf>
    <xf numFmtId="0" fontId="0" fillId="0" borderId="0" xfId="0" applyAlignment="1">
      <alignment horizontal="centerContinuous" wrapText="1"/>
    </xf>
    <xf numFmtId="0" fontId="2" fillId="0" borderId="0" xfId="0" applyFont="1" applyAlignment="1">
      <alignment horizontal="centerContinuous" wrapText="1"/>
    </xf>
    <xf numFmtId="0" fontId="0" fillId="0" borderId="22" xfId="0" applyBorder="1" applyAlignment="1">
      <alignment horizontal="center"/>
    </xf>
    <xf numFmtId="0" fontId="0" fillId="0" borderId="22" xfId="0" applyBorder="1"/>
    <xf numFmtId="0" fontId="0" fillId="0" borderId="0" xfId="0" applyAlignment="1">
      <alignment horizontal="left"/>
    </xf>
    <xf numFmtId="0" fontId="2" fillId="0" borderId="0" xfId="0" applyFont="1" applyAlignment="1">
      <alignment horizontal="left"/>
    </xf>
    <xf numFmtId="0" fontId="11" fillId="2" borderId="47" xfId="0" applyFont="1" applyFill="1" applyBorder="1" applyAlignment="1">
      <alignment horizontal="center" vertical="center"/>
    </xf>
    <xf numFmtId="0" fontId="11" fillId="0" borderId="0" xfId="0" applyFont="1"/>
    <xf numFmtId="0" fontId="0" fillId="4" borderId="27" xfId="0" applyFill="1" applyBorder="1"/>
    <xf numFmtId="0" fontId="11" fillId="0" borderId="0" xfId="0" applyFont="1" applyAlignment="1">
      <alignment vertical="center"/>
    </xf>
    <xf numFmtId="0" fontId="11" fillId="0" borderId="8" xfId="0" applyFont="1" applyBorder="1" applyAlignment="1">
      <alignment vertical="center"/>
    </xf>
    <xf numFmtId="0" fontId="9" fillId="0" borderId="0" xfId="0" applyFont="1"/>
    <xf numFmtId="0" fontId="9" fillId="0" borderId="0" xfId="0" applyFont="1" applyAlignment="1">
      <alignment horizontal="left"/>
    </xf>
    <xf numFmtId="0" fontId="0" fillId="0" borderId="47" xfId="0" quotePrefix="1" applyBorder="1" applyAlignment="1">
      <alignment horizontal="center"/>
    </xf>
    <xf numFmtId="0" fontId="0" fillId="0" borderId="48" xfId="0" applyBorder="1"/>
    <xf numFmtId="0" fontId="0" fillId="0" borderId="49" xfId="0" applyBorder="1"/>
    <xf numFmtId="0" fontId="2" fillId="0" borderId="50" xfId="0" applyFont="1" applyBorder="1"/>
    <xf numFmtId="0" fontId="0" fillId="0" borderId="35" xfId="0" applyBorder="1"/>
    <xf numFmtId="0" fontId="0" fillId="0" borderId="40" xfId="0" applyBorder="1"/>
    <xf numFmtId="0" fontId="0" fillId="0" borderId="13" xfId="0" quotePrefix="1" applyBorder="1"/>
    <xf numFmtId="0" fontId="0" fillId="0" borderId="10" xfId="0" quotePrefix="1" applyBorder="1"/>
    <xf numFmtId="0" fontId="0" fillId="0" borderId="6" xfId="0" quotePrefix="1" applyBorder="1"/>
    <xf numFmtId="0" fontId="0" fillId="0" borderId="0" xfId="0" quotePrefix="1"/>
    <xf numFmtId="0" fontId="49" fillId="0" borderId="0" xfId="0" applyFont="1" applyAlignment="1">
      <alignment horizontal="centerContinuous"/>
    </xf>
    <xf numFmtId="0" fontId="31" fillId="2" borderId="26" xfId="0" applyFont="1" applyFill="1" applyBorder="1" applyAlignment="1">
      <alignment horizontal="center"/>
    </xf>
    <xf numFmtId="0" fontId="31" fillId="2" borderId="27" xfId="0" applyFont="1" applyFill="1" applyBorder="1" applyAlignment="1">
      <alignment horizontal="center"/>
    </xf>
    <xf numFmtId="0" fontId="32" fillId="0" borderId="36" xfId="0" applyFont="1" applyBorder="1" applyAlignment="1">
      <alignment horizontal="center"/>
    </xf>
    <xf numFmtId="0" fontId="32" fillId="0" borderId="51" xfId="0" applyFont="1" applyBorder="1"/>
    <xf numFmtId="2" fontId="32" fillId="0" borderId="51" xfId="0" applyNumberFormat="1" applyFont="1" applyBorder="1"/>
    <xf numFmtId="4" fontId="32" fillId="0" borderId="51" xfId="0" applyNumberFormat="1" applyFont="1" applyBorder="1" applyAlignment="1">
      <alignment horizontal="right"/>
    </xf>
    <xf numFmtId="4" fontId="32" fillId="0" borderId="51" xfId="0" applyNumberFormat="1" applyFont="1" applyBorder="1" applyAlignment="1">
      <alignment horizontal="center"/>
    </xf>
    <xf numFmtId="0" fontId="32" fillId="0" borderId="51" xfId="0" applyFont="1" applyBorder="1" applyAlignment="1">
      <alignment horizontal="center"/>
    </xf>
    <xf numFmtId="0" fontId="32" fillId="0" borderId="52" xfId="0" applyFont="1" applyBorder="1" applyAlignment="1">
      <alignment horizontal="center"/>
    </xf>
    <xf numFmtId="0" fontId="32" fillId="0" borderId="46" xfId="0" applyFont="1" applyBorder="1" applyAlignment="1">
      <alignment horizontal="center"/>
    </xf>
    <xf numFmtId="0" fontId="32" fillId="0" borderId="25" xfId="0" applyFont="1" applyBorder="1"/>
    <xf numFmtId="2" fontId="32" fillId="0" borderId="25" xfId="0" applyNumberFormat="1" applyFont="1" applyBorder="1"/>
    <xf numFmtId="4" fontId="32" fillId="0" borderId="25" xfId="0" applyNumberFormat="1" applyFont="1" applyBorder="1" applyAlignment="1">
      <alignment horizontal="right"/>
    </xf>
    <xf numFmtId="4" fontId="32" fillId="0" borderId="25" xfId="0" applyNumberFormat="1" applyFont="1" applyBorder="1" applyAlignment="1">
      <alignment horizontal="center"/>
    </xf>
    <xf numFmtId="0" fontId="32" fillId="0" borderId="25" xfId="0" applyFont="1" applyBorder="1" applyAlignment="1">
      <alignment horizontal="center"/>
    </xf>
    <xf numFmtId="0" fontId="32" fillId="0" borderId="53" xfId="0" applyFont="1" applyBorder="1" applyAlignment="1">
      <alignment horizontal="center"/>
    </xf>
    <xf numFmtId="0" fontId="32" fillId="0" borderId="29" xfId="0" applyFont="1" applyBorder="1" applyAlignment="1">
      <alignment horizontal="center"/>
    </xf>
    <xf numFmtId="0" fontId="32" fillId="0" borderId="4" xfId="0" applyFont="1" applyBorder="1"/>
    <xf numFmtId="2" fontId="32" fillId="0" borderId="4" xfId="0" applyNumberFormat="1" applyFont="1" applyBorder="1"/>
    <xf numFmtId="4" fontId="32" fillId="0" borderId="4" xfId="0" applyNumberFormat="1" applyFont="1" applyBorder="1" applyAlignment="1">
      <alignment horizontal="right"/>
    </xf>
    <xf numFmtId="4" fontId="32" fillId="0" borderId="4" xfId="0" applyNumberFormat="1" applyFont="1" applyBorder="1" applyAlignment="1">
      <alignment horizontal="center"/>
    </xf>
    <xf numFmtId="0" fontId="32" fillId="0" borderId="4" xfId="0" applyFont="1" applyBorder="1" applyAlignment="1">
      <alignment horizontal="center"/>
    </xf>
    <xf numFmtId="39" fontId="32" fillId="0" borderId="4" xfId="4" applyNumberFormat="1" applyFont="1" applyBorder="1" applyAlignment="1">
      <alignment horizontal="right"/>
    </xf>
    <xf numFmtId="14" fontId="32" fillId="0" borderId="20" xfId="0" applyNumberFormat="1" applyFont="1" applyBorder="1" applyAlignment="1">
      <alignment horizontal="center"/>
    </xf>
    <xf numFmtId="4" fontId="32" fillId="0" borderId="4" xfId="4" applyNumberFormat="1" applyFont="1" applyBorder="1" applyAlignment="1">
      <alignment horizontal="right"/>
    </xf>
    <xf numFmtId="4" fontId="32" fillId="0" borderId="22" xfId="0" applyNumberFormat="1" applyFont="1" applyBorder="1" applyAlignment="1">
      <alignment horizontal="center"/>
    </xf>
    <xf numFmtId="0" fontId="32" fillId="0" borderId="20" xfId="0" applyFont="1" applyBorder="1" applyAlignment="1">
      <alignment horizontal="center"/>
    </xf>
    <xf numFmtId="2" fontId="32" fillId="0" borderId="4" xfId="0" applyNumberFormat="1" applyFont="1" applyBorder="1" applyAlignment="1">
      <alignment horizontal="center"/>
    </xf>
    <xf numFmtId="0" fontId="32" fillId="0" borderId="4" xfId="0" applyFont="1" applyBorder="1" applyAlignment="1">
      <alignment horizontal="right"/>
    </xf>
    <xf numFmtId="2" fontId="32" fillId="0" borderId="4" xfId="0" applyNumberFormat="1" applyFont="1" applyBorder="1" applyAlignment="1">
      <alignment horizontal="right"/>
    </xf>
    <xf numFmtId="0" fontId="32" fillId="0" borderId="42" xfId="0" applyFont="1" applyBorder="1" applyAlignment="1">
      <alignment horizontal="center"/>
    </xf>
    <xf numFmtId="0" fontId="32" fillId="0" borderId="43" xfId="0" applyFont="1" applyBorder="1"/>
    <xf numFmtId="0" fontId="32" fillId="0" borderId="43" xfId="0" applyFont="1" applyBorder="1" applyAlignment="1">
      <alignment horizontal="right"/>
    </xf>
    <xf numFmtId="4" fontId="32" fillId="0" borderId="43" xfId="0" applyNumberFormat="1" applyFont="1" applyBorder="1" applyAlignment="1">
      <alignment horizontal="right"/>
    </xf>
    <xf numFmtId="2" fontId="32" fillId="0" borderId="43" xfId="0" applyNumberFormat="1" applyFont="1" applyBorder="1" applyAlignment="1">
      <alignment horizontal="center"/>
    </xf>
    <xf numFmtId="0" fontId="32" fillId="0" borderId="43" xfId="0" applyFont="1" applyBorder="1" applyAlignment="1">
      <alignment horizontal="center"/>
    </xf>
    <xf numFmtId="0" fontId="32" fillId="0" borderId="33" xfId="0" applyFont="1" applyBorder="1" applyAlignment="1">
      <alignment horizontal="center"/>
    </xf>
    <xf numFmtId="0" fontId="46" fillId="0" borderId="54" xfId="0" applyFont="1" applyBorder="1"/>
    <xf numFmtId="0" fontId="46" fillId="0" borderId="55" xfId="0" applyFont="1" applyBorder="1"/>
    <xf numFmtId="2" fontId="46" fillId="0" borderId="55" xfId="0" applyNumberFormat="1" applyFont="1" applyBorder="1"/>
    <xf numFmtId="0" fontId="32" fillId="0" borderId="0" xfId="0" applyFont="1"/>
    <xf numFmtId="0" fontId="32" fillId="0" borderId="51" xfId="0" applyFont="1" applyBorder="1" applyAlignment="1">
      <alignment vertical="justify"/>
    </xf>
    <xf numFmtId="167" fontId="32" fillId="0" borderId="51" xfId="4" applyNumberFormat="1" applyFont="1" applyBorder="1" applyAlignment="1">
      <alignment vertical="justify"/>
    </xf>
    <xf numFmtId="0" fontId="32" fillId="0" borderId="51" xfId="0" applyFont="1" applyBorder="1" applyAlignment="1">
      <alignment horizontal="center" vertical="justify"/>
    </xf>
    <xf numFmtId="0" fontId="32" fillId="0" borderId="52" xfId="0" applyFont="1" applyBorder="1" applyAlignment="1">
      <alignment vertical="justify"/>
    </xf>
    <xf numFmtId="0" fontId="32" fillId="0" borderId="4" xfId="0" applyFont="1" applyBorder="1" applyAlignment="1">
      <alignment vertical="justify"/>
    </xf>
    <xf numFmtId="0" fontId="32" fillId="0" borderId="4" xfId="0" applyFont="1" applyBorder="1" applyAlignment="1">
      <alignment horizontal="center" vertical="justify"/>
    </xf>
    <xf numFmtId="0" fontId="32" fillId="0" borderId="20" xfId="0" applyFont="1" applyBorder="1" applyAlignment="1">
      <alignment vertical="justify"/>
    </xf>
    <xf numFmtId="0" fontId="32" fillId="0" borderId="43" xfId="0" applyFont="1" applyBorder="1" applyAlignment="1">
      <alignment vertical="justify"/>
    </xf>
    <xf numFmtId="0" fontId="32" fillId="0" borderId="43" xfId="0" applyFont="1" applyBorder="1" applyAlignment="1">
      <alignment horizontal="center" vertical="justify"/>
    </xf>
    <xf numFmtId="0" fontId="32" fillId="0" borderId="33" xfId="0" applyFont="1" applyBorder="1" applyAlignment="1">
      <alignment vertical="justify"/>
    </xf>
    <xf numFmtId="0" fontId="46" fillId="0" borderId="14" xfId="0" applyFont="1" applyBorder="1"/>
    <xf numFmtId="0" fontId="46" fillId="2" borderId="26" xfId="0" applyFont="1" applyFill="1" applyBorder="1" applyAlignment="1">
      <alignment horizontal="center"/>
    </xf>
    <xf numFmtId="0" fontId="46" fillId="2" borderId="14" xfId="0" applyFont="1" applyFill="1" applyBorder="1" applyAlignment="1">
      <alignment horizontal="center"/>
    </xf>
    <xf numFmtId="0" fontId="46" fillId="2" borderId="28" xfId="0" applyFont="1" applyFill="1" applyBorder="1" applyAlignment="1">
      <alignment horizontal="center"/>
    </xf>
    <xf numFmtId="0" fontId="46" fillId="2" borderId="47" xfId="0" applyFont="1" applyFill="1" applyBorder="1" applyAlignment="1">
      <alignment horizontal="center"/>
    </xf>
    <xf numFmtId="0" fontId="46" fillId="2" borderId="28" xfId="0" applyFont="1" applyFill="1" applyBorder="1"/>
    <xf numFmtId="1" fontId="46" fillId="0" borderId="55" xfId="0" applyNumberFormat="1" applyFont="1" applyBorder="1"/>
    <xf numFmtId="0" fontId="32" fillId="0" borderId="56" xfId="0" applyFont="1" applyBorder="1" applyAlignment="1">
      <alignment vertical="justify"/>
    </xf>
    <xf numFmtId="0" fontId="32" fillId="0" borderId="3" xfId="0" applyFont="1" applyBorder="1" applyAlignment="1">
      <alignment vertical="justify"/>
    </xf>
    <xf numFmtId="0" fontId="32" fillId="0" borderId="3" xfId="0" applyFont="1" applyBorder="1" applyAlignment="1">
      <alignment horizontal="justify" vertical="justify"/>
    </xf>
    <xf numFmtId="0" fontId="32" fillId="0" borderId="57" xfId="0" applyFont="1" applyBorder="1" applyAlignment="1">
      <alignment vertical="justify"/>
    </xf>
    <xf numFmtId="0" fontId="31" fillId="2" borderId="4" xfId="0" applyFont="1" applyFill="1" applyBorder="1" applyAlignment="1">
      <alignment horizontal="center"/>
    </xf>
    <xf numFmtId="0" fontId="31" fillId="2" borderId="22" xfId="0" applyFont="1" applyFill="1" applyBorder="1" applyAlignment="1">
      <alignment horizontal="center"/>
    </xf>
    <xf numFmtId="0" fontId="31" fillId="2" borderId="25" xfId="0" applyFont="1" applyFill="1" applyBorder="1" applyAlignment="1">
      <alignment horizontal="center"/>
    </xf>
    <xf numFmtId="0" fontId="23" fillId="0" borderId="4" xfId="18" applyFont="1" applyBorder="1" applyAlignment="1">
      <alignment horizontal="left" vertical="justify" wrapText="1"/>
    </xf>
    <xf numFmtId="49" fontId="23" fillId="0" borderId="4" xfId="18" applyNumberFormat="1" applyFont="1" applyBorder="1" applyAlignment="1">
      <alignment horizontal="left" vertical="justify"/>
    </xf>
    <xf numFmtId="0" fontId="23" fillId="0" borderId="4" xfId="18" applyFont="1" applyBorder="1" applyAlignment="1">
      <alignment horizontal="left" vertical="justify"/>
    </xf>
    <xf numFmtId="0" fontId="23" fillId="0" borderId="4" xfId="18" applyFont="1" applyBorder="1" applyAlignment="1">
      <alignment horizontal="center" vertical="justify"/>
    </xf>
    <xf numFmtId="0" fontId="4" fillId="0" borderId="4" xfId="18" applyBorder="1" applyAlignment="1">
      <alignment horizontal="justify"/>
    </xf>
    <xf numFmtId="0" fontId="23" fillId="0" borderId="4" xfId="18" applyFont="1" applyBorder="1" applyAlignment="1">
      <alignment vertical="top" wrapText="1"/>
    </xf>
    <xf numFmtId="0" fontId="23" fillId="0" borderId="4" xfId="19" applyFont="1" applyBorder="1" applyAlignment="1">
      <alignment horizontal="left" vertical="justify" wrapText="1"/>
    </xf>
    <xf numFmtId="0" fontId="23" fillId="0" borderId="4" xfId="18" applyFont="1" applyBorder="1" applyAlignment="1">
      <alignment horizontal="left" vertical="top" wrapText="1"/>
    </xf>
    <xf numFmtId="49" fontId="23" fillId="0" borderId="4" xfId="18" applyNumberFormat="1" applyFont="1" applyBorder="1" applyAlignment="1">
      <alignment horizontal="left" vertical="justify" wrapText="1"/>
    </xf>
    <xf numFmtId="0" fontId="23" fillId="0" borderId="4" xfId="18" applyFont="1" applyBorder="1" applyAlignment="1">
      <alignment horizontal="center" vertical="justify" wrapText="1"/>
    </xf>
    <xf numFmtId="0" fontId="23" fillId="0" borderId="4" xfId="19" applyFont="1" applyBorder="1" applyAlignment="1">
      <alignment horizontal="left" vertical="top" wrapText="1"/>
    </xf>
    <xf numFmtId="0" fontId="23" fillId="0" borderId="4" xfId="19" applyFont="1" applyBorder="1" applyAlignment="1">
      <alignment horizontal="center" vertical="justify"/>
    </xf>
    <xf numFmtId="0" fontId="23" fillId="0" borderId="4" xfId="19" applyFont="1" applyBorder="1" applyAlignment="1">
      <alignment horizontal="left" vertical="justify"/>
    </xf>
    <xf numFmtId="1" fontId="23" fillId="0" borderId="4" xfId="18" applyNumberFormat="1" applyFont="1" applyBorder="1" applyAlignment="1">
      <alignment horizontal="center" vertical="justify"/>
    </xf>
    <xf numFmtId="0" fontId="23" fillId="0" borderId="4" xfId="19" applyFont="1" applyBorder="1" applyAlignment="1">
      <alignment horizontal="justify" vertical="top"/>
    </xf>
    <xf numFmtId="0" fontId="4" fillId="0" borderId="0" xfId="18"/>
    <xf numFmtId="0" fontId="4" fillId="0" borderId="0" xfId="18" applyAlignment="1">
      <alignment horizontal="center"/>
    </xf>
    <xf numFmtId="49" fontId="4" fillId="0" borderId="0" xfId="18" applyNumberFormat="1"/>
    <xf numFmtId="0" fontId="4" fillId="0" borderId="0" xfId="18" applyAlignment="1">
      <alignment horizontal="justify"/>
    </xf>
    <xf numFmtId="0" fontId="0" fillId="4" borderId="18" xfId="0" applyFill="1" applyBorder="1"/>
    <xf numFmtId="0" fontId="18" fillId="0" borderId="0" xfId="0" applyFont="1" applyAlignment="1">
      <alignment horizontal="center"/>
    </xf>
    <xf numFmtId="0" fontId="37" fillId="0" borderId="0" xfId="0" applyFont="1" applyAlignment="1">
      <alignment horizontal="center"/>
    </xf>
    <xf numFmtId="0" fontId="9" fillId="0" borderId="0" xfId="0" applyFont="1" applyAlignment="1">
      <alignment horizontal="center"/>
    </xf>
    <xf numFmtId="0" fontId="10" fillId="0" borderId="18" xfId="0" applyFont="1" applyBorder="1"/>
    <xf numFmtId="0" fontId="41" fillId="4" borderId="0" xfId="0" applyFont="1" applyFill="1"/>
    <xf numFmtId="0" fontId="46" fillId="4" borderId="26" xfId="0" applyFont="1" applyFill="1" applyBorder="1" applyAlignment="1">
      <alignment vertical="center"/>
    </xf>
    <xf numFmtId="0" fontId="46" fillId="4" borderId="27" xfId="0" applyFont="1" applyFill="1" applyBorder="1" applyAlignment="1">
      <alignment vertical="center"/>
    </xf>
    <xf numFmtId="0" fontId="46" fillId="4" borderId="27" xfId="0" applyFont="1" applyFill="1" applyBorder="1" applyAlignment="1">
      <alignment horizontal="justify" vertical="center"/>
    </xf>
    <xf numFmtId="0" fontId="46" fillId="4" borderId="28" xfId="0" applyFont="1" applyFill="1" applyBorder="1" applyAlignment="1">
      <alignment vertical="center"/>
    </xf>
    <xf numFmtId="0" fontId="2" fillId="0" borderId="26" xfId="0" applyFont="1" applyBorder="1" applyAlignment="1">
      <alignment horizontal="center"/>
    </xf>
    <xf numFmtId="0" fontId="2" fillId="0" borderId="27" xfId="0" applyFont="1" applyBorder="1" applyAlignment="1">
      <alignment horizontal="center"/>
    </xf>
    <xf numFmtId="0" fontId="41" fillId="4" borderId="18" xfId="0" applyFont="1" applyFill="1" applyBorder="1"/>
    <xf numFmtId="0" fontId="0" fillId="4" borderId="28" xfId="0" applyFill="1" applyBorder="1"/>
    <xf numFmtId="0" fontId="2" fillId="0" borderId="0" xfId="0" applyFont="1" applyAlignment="1">
      <alignment horizontal="center"/>
    </xf>
    <xf numFmtId="0" fontId="2" fillId="0" borderId="28" xfId="0" applyFont="1" applyBorder="1" applyAlignment="1">
      <alignment horizontal="center"/>
    </xf>
    <xf numFmtId="0" fontId="2" fillId="0" borderId="0" xfId="0" applyFont="1" applyAlignment="1">
      <alignment horizontal="right"/>
    </xf>
    <xf numFmtId="0" fontId="46" fillId="4" borderId="0" xfId="0" applyFont="1" applyFill="1" applyAlignment="1">
      <alignment vertical="center"/>
    </xf>
    <xf numFmtId="0" fontId="46" fillId="4" borderId="0" xfId="0" applyFont="1" applyFill="1" applyAlignment="1">
      <alignment horizontal="justify" vertical="center"/>
    </xf>
    <xf numFmtId="0" fontId="2" fillId="0" borderId="26" xfId="0" applyFont="1" applyBorder="1" applyAlignment="1">
      <alignment horizontal="right"/>
    </xf>
    <xf numFmtId="0" fontId="2" fillId="0" borderId="1" xfId="0" applyFont="1" applyBorder="1" applyAlignment="1">
      <alignment horizontal="left"/>
    </xf>
    <xf numFmtId="0" fontId="0" fillId="4" borderId="59" xfId="0" applyFill="1" applyBorder="1"/>
    <xf numFmtId="0" fontId="0" fillId="4" borderId="48" xfId="0" applyFill="1" applyBorder="1"/>
    <xf numFmtId="0" fontId="24" fillId="0" borderId="0" xfId="0" applyFont="1" applyAlignment="1">
      <alignment horizontal="left"/>
    </xf>
    <xf numFmtId="0" fontId="32" fillId="0" borderId="4" xfId="0" applyFont="1" applyBorder="1" applyAlignment="1">
      <alignment vertical="center"/>
    </xf>
    <xf numFmtId="0" fontId="32" fillId="3" borderId="4" xfId="0" applyFont="1" applyFill="1" applyBorder="1" applyAlignment="1">
      <alignment horizontal="center"/>
    </xf>
    <xf numFmtId="0" fontId="32" fillId="5" borderId="4" xfId="0" applyFont="1" applyFill="1" applyBorder="1" applyAlignment="1">
      <alignment horizontal="centerContinuous"/>
    </xf>
    <xf numFmtId="0" fontId="32" fillId="6" borderId="4" xfId="0" applyFont="1" applyFill="1" applyBorder="1" applyAlignment="1">
      <alignment horizontal="centerContinuous"/>
    </xf>
    <xf numFmtId="0" fontId="23" fillId="0" borderId="1" xfId="0" applyFont="1" applyBorder="1" applyAlignment="1">
      <alignment horizontal="centerContinuous"/>
    </xf>
    <xf numFmtId="0" fontId="31" fillId="0" borderId="24" xfId="0" applyFont="1" applyBorder="1" applyAlignment="1">
      <alignment horizontal="left"/>
    </xf>
    <xf numFmtId="0" fontId="31" fillId="0" borderId="24" xfId="0" applyFont="1" applyBorder="1" applyAlignment="1">
      <alignment horizontal="left" vertical="center"/>
    </xf>
    <xf numFmtId="0" fontId="9" fillId="0" borderId="26" xfId="0" applyFont="1" applyBorder="1" applyAlignment="1">
      <alignment horizontal="centerContinuous"/>
    </xf>
    <xf numFmtId="49" fontId="35" fillId="0" borderId="27" xfId="0" applyNumberFormat="1" applyFont="1" applyBorder="1" applyAlignment="1">
      <alignment horizontal="center"/>
    </xf>
    <xf numFmtId="0" fontId="43" fillId="0" borderId="0" xfId="0" applyFont="1"/>
    <xf numFmtId="0" fontId="12" fillId="0" borderId="1" xfId="0" applyFont="1" applyBorder="1"/>
    <xf numFmtId="0" fontId="0" fillId="2" borderId="28" xfId="0" applyFill="1" applyBorder="1"/>
    <xf numFmtId="0" fontId="15" fillId="0" borderId="1" xfId="0" applyFont="1" applyBorder="1"/>
    <xf numFmtId="0" fontId="10" fillId="0" borderId="1" xfId="0" applyFont="1" applyBorder="1"/>
    <xf numFmtId="0" fontId="20" fillId="0" borderId="1" xfId="0" applyFont="1" applyBorder="1"/>
    <xf numFmtId="0" fontId="10" fillId="0" borderId="0" xfId="0" applyFont="1" applyAlignment="1">
      <alignment horizontal="right" vertical="center"/>
    </xf>
    <xf numFmtId="0" fontId="2" fillId="7" borderId="4" xfId="0" applyFont="1" applyFill="1" applyBorder="1" applyAlignment="1">
      <alignment horizontal="center" vertical="center"/>
    </xf>
    <xf numFmtId="0" fontId="10" fillId="0" borderId="5" xfId="0" applyFont="1" applyBorder="1" applyAlignment="1">
      <alignment horizontal="center" wrapText="1"/>
    </xf>
    <xf numFmtId="0" fontId="10" fillId="0" borderId="1" xfId="0" applyFont="1" applyBorder="1" applyAlignment="1">
      <alignment horizontal="right" vertical="center"/>
    </xf>
    <xf numFmtId="0" fontId="10" fillId="0" borderId="2" xfId="0" applyFont="1" applyBorder="1" applyAlignment="1">
      <alignment horizontal="center" wrapText="1"/>
    </xf>
    <xf numFmtId="0" fontId="29" fillId="0" borderId="0" xfId="0" applyFont="1"/>
    <xf numFmtId="0" fontId="9" fillId="0" borderId="1" xfId="0" applyFont="1" applyBorder="1" applyAlignment="1">
      <alignment horizontal="center"/>
    </xf>
    <xf numFmtId="0" fontId="29" fillId="0" borderId="4" xfId="0" applyFont="1" applyBorder="1" applyAlignment="1">
      <alignment horizontal="center"/>
    </xf>
    <xf numFmtId="0" fontId="23" fillId="0" borderId="4" xfId="0" quotePrefix="1" applyFont="1" applyBorder="1" applyAlignment="1">
      <alignment horizontal="center"/>
    </xf>
    <xf numFmtId="0" fontId="29" fillId="0" borderId="29" xfId="0" applyFont="1" applyBorder="1" applyAlignment="1">
      <alignment horizontal="center"/>
    </xf>
    <xf numFmtId="0" fontId="29" fillId="0" borderId="20" xfId="0" applyFont="1" applyBorder="1" applyAlignment="1">
      <alignment horizontal="center"/>
    </xf>
    <xf numFmtId="0" fontId="23" fillId="0" borderId="29" xfId="0" quotePrefix="1" applyFont="1" applyBorder="1" applyAlignment="1">
      <alignment horizontal="center"/>
    </xf>
    <xf numFmtId="0" fontId="23" fillId="0" borderId="20" xfId="0" quotePrefix="1" applyFont="1" applyBorder="1" applyAlignment="1">
      <alignment horizontal="center"/>
    </xf>
    <xf numFmtId="0" fontId="9" fillId="0" borderId="1" xfId="0" applyFont="1" applyBorder="1" applyAlignment="1">
      <alignment horizontal="left"/>
    </xf>
    <xf numFmtId="0" fontId="0" fillId="0" borderId="50" xfId="0" quotePrefix="1" applyBorder="1" applyAlignment="1">
      <alignment horizontal="center"/>
    </xf>
    <xf numFmtId="0" fontId="0" fillId="0" borderId="60" xfId="0" applyBorder="1"/>
    <xf numFmtId="0" fontId="0" fillId="0" borderId="53" xfId="0" applyBorder="1"/>
    <xf numFmtId="0" fontId="0" fillId="0" borderId="46" xfId="0" applyBorder="1"/>
    <xf numFmtId="0" fontId="0" fillId="4" borderId="1" xfId="0" applyFill="1" applyBorder="1"/>
    <xf numFmtId="0" fontId="10" fillId="0" borderId="0" xfId="0" applyFont="1" applyAlignment="1">
      <alignment horizontal="left"/>
    </xf>
    <xf numFmtId="0" fontId="32" fillId="8" borderId="13" xfId="0" applyFont="1" applyFill="1" applyBorder="1" applyAlignment="1">
      <alignment horizontal="center"/>
    </xf>
    <xf numFmtId="0" fontId="32" fillId="0" borderId="3" xfId="0" applyFont="1" applyBorder="1" applyAlignment="1">
      <alignment horizontal="left"/>
    </xf>
    <xf numFmtId="0" fontId="32" fillId="9" borderId="4" xfId="0" applyFont="1" applyFill="1" applyBorder="1" applyAlignment="1">
      <alignment horizontal="center"/>
    </xf>
    <xf numFmtId="0" fontId="23" fillId="0" borderId="1" xfId="0" applyFont="1" applyBorder="1"/>
    <xf numFmtId="0" fontId="23" fillId="0" borderId="4" xfId="0" applyFont="1" applyBorder="1" applyAlignment="1">
      <alignment horizontal="left"/>
    </xf>
    <xf numFmtId="0" fontId="25" fillId="0" borderId="0" xfId="0" applyFont="1"/>
    <xf numFmtId="0" fontId="25" fillId="0" borderId="4" xfId="0" applyFont="1" applyBorder="1" applyAlignment="1">
      <alignment horizontal="center" vertical="center"/>
    </xf>
    <xf numFmtId="0" fontId="25" fillId="0" borderId="4" xfId="0" applyFont="1" applyBorder="1" applyAlignment="1">
      <alignment horizontal="center" vertical="center" wrapText="1"/>
    </xf>
    <xf numFmtId="0" fontId="0" fillId="4" borderId="61" xfId="0" applyFill="1" applyBorder="1"/>
    <xf numFmtId="0" fontId="41" fillId="4" borderId="1" xfId="0" applyFont="1" applyFill="1" applyBorder="1"/>
    <xf numFmtId="49" fontId="19" fillId="2" borderId="40" xfId="0" applyNumberFormat="1" applyFont="1" applyFill="1" applyBorder="1" applyAlignment="1">
      <alignment horizontal="center" vertical="center" wrapText="1"/>
    </xf>
    <xf numFmtId="0" fontId="25" fillId="2" borderId="41" xfId="0" applyFont="1" applyFill="1" applyBorder="1" applyAlignment="1">
      <alignment horizontal="center" vertical="center" wrapText="1"/>
    </xf>
    <xf numFmtId="0" fontId="0" fillId="0" borderId="62" xfId="0" applyBorder="1"/>
    <xf numFmtId="0" fontId="0" fillId="0" borderId="31" xfId="0" applyBorder="1" applyAlignment="1">
      <alignment horizontal="center"/>
    </xf>
    <xf numFmtId="0" fontId="23" fillId="0" borderId="31" xfId="0" applyFont="1" applyBorder="1"/>
    <xf numFmtId="0" fontId="39" fillId="0" borderId="1" xfId="0" applyFont="1" applyBorder="1" applyAlignment="1">
      <alignment vertical="top" wrapText="1"/>
    </xf>
    <xf numFmtId="0" fontId="39" fillId="0" borderId="13" xfId="0" applyFont="1" applyBorder="1" applyAlignment="1">
      <alignment vertical="top" wrapText="1"/>
    </xf>
    <xf numFmtId="0" fontId="9" fillId="0" borderId="31" xfId="0" applyFont="1" applyBorder="1" applyAlignment="1">
      <alignment horizontal="center" vertical="center" wrapText="1"/>
    </xf>
    <xf numFmtId="0" fontId="9" fillId="0" borderId="49" xfId="0" applyFont="1" applyBorder="1" applyAlignment="1">
      <alignment horizontal="center" vertical="center" wrapText="1"/>
    </xf>
    <xf numFmtId="0" fontId="0" fillId="5" borderId="0" xfId="0" applyFill="1"/>
    <xf numFmtId="0" fontId="31" fillId="0" borderId="0" xfId="0" applyFont="1"/>
    <xf numFmtId="0" fontId="6" fillId="0" borderId="0" xfId="0" applyFont="1" applyAlignment="1">
      <alignment vertical="center" wrapText="1"/>
    </xf>
    <xf numFmtId="0" fontId="31" fillId="0" borderId="0" xfId="0" applyFont="1" applyAlignment="1">
      <alignment horizontal="center" vertical="center" wrapText="1"/>
    </xf>
    <xf numFmtId="0" fontId="31" fillId="0" borderId="0" xfId="0" applyFont="1" applyAlignment="1">
      <alignment vertical="center" wrapText="1"/>
    </xf>
    <xf numFmtId="0" fontId="0" fillId="0" borderId="4" xfId="0" applyBorder="1" applyAlignment="1">
      <alignment vertical="center"/>
    </xf>
    <xf numFmtId="0" fontId="0" fillId="0" borderId="0" xfId="0" applyAlignment="1">
      <alignment vertical="center"/>
    </xf>
    <xf numFmtId="0" fontId="31" fillId="0" borderId="4" xfId="18" applyFont="1" applyBorder="1" applyAlignment="1">
      <alignment horizontal="center" vertical="center" wrapText="1"/>
    </xf>
    <xf numFmtId="0" fontId="66" fillId="0" borderId="0" xfId="2" applyAlignment="1" applyProtection="1"/>
    <xf numFmtId="0" fontId="66" fillId="0" borderId="0" xfId="2" applyAlignment="1" applyProtection="1">
      <alignment horizontal="center"/>
    </xf>
    <xf numFmtId="0" fontId="7" fillId="0" borderId="46" xfId="0" applyFont="1" applyBorder="1" applyAlignment="1">
      <alignment horizontal="center"/>
    </xf>
    <xf numFmtId="0" fontId="7" fillId="0" borderId="25" xfId="0" applyFont="1" applyBorder="1" applyAlignment="1">
      <alignment horizontal="center"/>
    </xf>
    <xf numFmtId="0" fontId="7" fillId="0" borderId="6" xfId="0" applyFont="1" applyBorder="1" applyAlignment="1">
      <alignment horizontal="centerContinuous"/>
    </xf>
    <xf numFmtId="0" fontId="7" fillId="0" borderId="36" xfId="0" applyFont="1" applyBorder="1" applyAlignment="1">
      <alignment horizontal="center"/>
    </xf>
    <xf numFmtId="0" fontId="7" fillId="0" borderId="51" xfId="0" applyFont="1" applyBorder="1" applyAlignment="1">
      <alignment horizontal="center"/>
    </xf>
    <xf numFmtId="0" fontId="7" fillId="0" borderId="52" xfId="0" applyFont="1" applyBorder="1" applyAlignment="1">
      <alignment horizontal="centerContinuous"/>
    </xf>
    <xf numFmtId="0" fontId="7" fillId="0" borderId="63" xfId="0" applyFont="1" applyBorder="1" applyAlignment="1">
      <alignment horizontal="centerContinuous"/>
    </xf>
    <xf numFmtId="0" fontId="7" fillId="0" borderId="52" xfId="0" applyFont="1" applyBorder="1" applyAlignment="1">
      <alignment horizontal="center"/>
    </xf>
    <xf numFmtId="0" fontId="48" fillId="0" borderId="42" xfId="0" applyFont="1" applyBorder="1" applyAlignment="1">
      <alignment horizontal="center"/>
    </xf>
    <xf numFmtId="0" fontId="48" fillId="0" borderId="43" xfId="0" applyFont="1" applyBorder="1" applyAlignment="1">
      <alignment horizontal="center"/>
    </xf>
    <xf numFmtId="0" fontId="48" fillId="0" borderId="37" xfId="0" applyFont="1" applyBorder="1" applyAlignment="1">
      <alignment horizontal="center"/>
    </xf>
    <xf numFmtId="0" fontId="48" fillId="0" borderId="33" xfId="0" applyFont="1" applyBorder="1" applyAlignment="1">
      <alignment horizontal="center"/>
    </xf>
    <xf numFmtId="0" fontId="48" fillId="0" borderId="34" xfId="0" quotePrefix="1" applyFont="1" applyBorder="1" applyAlignment="1">
      <alignment horizontal="center"/>
    </xf>
    <xf numFmtId="0" fontId="48" fillId="0" borderId="40" xfId="0" quotePrefix="1" applyFont="1" applyBorder="1" applyAlignment="1">
      <alignment horizontal="center"/>
    </xf>
    <xf numFmtId="0" fontId="48" fillId="0" borderId="39" xfId="0" quotePrefix="1" applyFont="1" applyBorder="1" applyAlignment="1">
      <alignment horizontal="center"/>
    </xf>
    <xf numFmtId="0" fontId="48" fillId="0" borderId="44" xfId="0" quotePrefix="1" applyFont="1" applyBorder="1" applyAlignment="1">
      <alignment horizontal="center"/>
    </xf>
    <xf numFmtId="0" fontId="0" fillId="0" borderId="52" xfId="0" applyBorder="1"/>
    <xf numFmtId="0" fontId="52" fillId="0" borderId="0" xfId="0" applyFont="1"/>
    <xf numFmtId="0" fontId="37" fillId="0" borderId="0" xfId="0" applyFont="1"/>
    <xf numFmtId="0" fontId="18" fillId="0" borderId="0" xfId="0" applyFont="1"/>
    <xf numFmtId="0" fontId="7" fillId="0" borderId="0" xfId="0" applyFont="1" applyAlignment="1">
      <alignment horizontal="center"/>
    </xf>
    <xf numFmtId="0" fontId="67" fillId="0" borderId="0" xfId="2" applyFont="1" applyAlignment="1" applyProtection="1">
      <alignment horizontal="center"/>
    </xf>
    <xf numFmtId="0" fontId="20" fillId="0" borderId="4" xfId="0" applyFont="1" applyBorder="1" applyAlignment="1">
      <alignment horizontal="center" vertical="center" wrapText="1"/>
    </xf>
    <xf numFmtId="0" fontId="0" fillId="0" borderId="1" xfId="0" applyBorder="1" applyAlignment="1">
      <alignment vertical="center"/>
    </xf>
    <xf numFmtId="0" fontId="0" fillId="0" borderId="36" xfId="0" applyBorder="1" applyAlignment="1">
      <alignment vertical="center"/>
    </xf>
    <xf numFmtId="0" fontId="0" fillId="0" borderId="51" xfId="0" applyBorder="1" applyAlignment="1">
      <alignment vertical="center"/>
    </xf>
    <xf numFmtId="0" fontId="0" fillId="0" borderId="52" xfId="0" applyBorder="1" applyAlignment="1">
      <alignment vertical="center"/>
    </xf>
    <xf numFmtId="0" fontId="0" fillId="0" borderId="29" xfId="0" applyBorder="1" applyAlignment="1">
      <alignment vertical="center"/>
    </xf>
    <xf numFmtId="0" fontId="0" fillId="0" borderId="20" xfId="0" applyBorder="1" applyAlignment="1">
      <alignment vertical="center"/>
    </xf>
    <xf numFmtId="0" fontId="0" fillId="0" borderId="42" xfId="0" applyBorder="1" applyAlignment="1">
      <alignment vertical="center"/>
    </xf>
    <xf numFmtId="0" fontId="0" fillId="0" borderId="43" xfId="0" applyBorder="1" applyAlignment="1">
      <alignment vertical="center"/>
    </xf>
    <xf numFmtId="0" fontId="0" fillId="0" borderId="33" xfId="0" applyBorder="1" applyAlignment="1">
      <alignment vertical="center"/>
    </xf>
    <xf numFmtId="0" fontId="26" fillId="0" borderId="0" xfId="16"/>
    <xf numFmtId="0" fontId="26" fillId="0" borderId="0" xfId="16" applyAlignment="1">
      <alignment vertical="center" wrapText="1"/>
    </xf>
    <xf numFmtId="0" fontId="26" fillId="0" borderId="4" xfId="16" applyBorder="1"/>
    <xf numFmtId="0" fontId="26" fillId="0" borderId="1" xfId="16" applyBorder="1"/>
    <xf numFmtId="0" fontId="7" fillId="0" borderId="0" xfId="16" applyFont="1"/>
    <xf numFmtId="0" fontId="4" fillId="0" borderId="7" xfId="0" applyFont="1" applyBorder="1" applyAlignment="1">
      <alignment vertical="center" wrapText="1"/>
    </xf>
    <xf numFmtId="0" fontId="4" fillId="0" borderId="0" xfId="0" applyFont="1" applyAlignment="1">
      <alignment vertical="center" wrapText="1"/>
    </xf>
    <xf numFmtId="0" fontId="4" fillId="0" borderId="17" xfId="0" applyFont="1" applyBorder="1" applyAlignment="1">
      <alignment vertical="center" wrapText="1"/>
    </xf>
    <xf numFmtId="0" fontId="0" fillId="0" borderId="0" xfId="0" applyAlignment="1">
      <alignment horizontal="justify"/>
    </xf>
    <xf numFmtId="0" fontId="39" fillId="0" borderId="0" xfId="0" applyFont="1" applyAlignment="1">
      <alignment horizontal="center"/>
    </xf>
    <xf numFmtId="0" fontId="9" fillId="0" borderId="66" xfId="0" applyFont="1" applyBorder="1" applyAlignment="1">
      <alignment horizontal="center" vertical="center" wrapText="1"/>
    </xf>
    <xf numFmtId="0" fontId="39" fillId="0" borderId="18" xfId="0" applyFont="1" applyBorder="1" applyAlignment="1">
      <alignment vertical="top" wrapText="1"/>
    </xf>
    <xf numFmtId="0" fontId="39" fillId="0" borderId="20" xfId="0" applyFont="1" applyBorder="1" applyAlignment="1">
      <alignment vertical="top" wrapText="1"/>
    </xf>
    <xf numFmtId="0" fontId="24" fillId="0" borderId="0" xfId="0" applyFont="1"/>
    <xf numFmtId="0" fontId="42" fillId="0" borderId="0" xfId="0" applyFont="1"/>
    <xf numFmtId="0" fontId="68" fillId="0" borderId="0" xfId="0" applyFont="1" applyAlignment="1">
      <alignment horizontal="left"/>
    </xf>
    <xf numFmtId="0" fontId="35" fillId="2" borderId="27" xfId="0" applyFont="1" applyFill="1" applyBorder="1" applyAlignment="1">
      <alignment horizontal="center"/>
    </xf>
    <xf numFmtId="0" fontId="39" fillId="0" borderId="54" xfId="0" applyFont="1" applyBorder="1" applyAlignment="1">
      <alignment horizontal="center" vertical="top"/>
    </xf>
    <xf numFmtId="0" fontId="39" fillId="0" borderId="69" xfId="0" applyFont="1" applyBorder="1" applyAlignment="1">
      <alignment vertical="top" wrapText="1"/>
    </xf>
    <xf numFmtId="0" fontId="39" fillId="0" borderId="1" xfId="0" applyFont="1" applyBorder="1" applyAlignment="1">
      <alignment horizontal="left" vertical="top" wrapText="1"/>
    </xf>
    <xf numFmtId="0" fontId="4" fillId="0" borderId="51" xfId="0" applyFont="1" applyBorder="1" applyAlignment="1">
      <alignment horizontal="center"/>
    </xf>
    <xf numFmtId="0" fontId="4" fillId="0" borderId="52" xfId="0" applyFont="1" applyBorder="1" applyAlignment="1">
      <alignment horizontal="center"/>
    </xf>
    <xf numFmtId="0" fontId="4" fillId="0" borderId="63" xfId="0" applyFont="1" applyBorder="1" applyAlignment="1">
      <alignment horizontal="center"/>
    </xf>
    <xf numFmtId="0" fontId="4" fillId="0" borderId="36" xfId="0" applyFont="1" applyBorder="1" applyAlignment="1">
      <alignment horizontal="center"/>
    </xf>
    <xf numFmtId="0" fontId="4" fillId="0" borderId="70" xfId="0" applyFont="1" applyBorder="1" applyAlignment="1">
      <alignment horizontal="center"/>
    </xf>
    <xf numFmtId="0" fontId="39" fillId="0" borderId="31" xfId="0" applyFont="1" applyBorder="1" applyAlignment="1">
      <alignment vertical="top" wrapText="1"/>
    </xf>
    <xf numFmtId="0" fontId="9" fillId="0" borderId="15" xfId="0" applyFont="1" applyBorder="1"/>
    <xf numFmtId="0" fontId="4" fillId="0" borderId="13" xfId="0" applyFont="1" applyBorder="1"/>
    <xf numFmtId="0" fontId="66" fillId="0" borderId="17" xfId="2" applyBorder="1" applyAlignment="1" applyProtection="1"/>
    <xf numFmtId="0" fontId="4" fillId="0" borderId="23" xfId="0" applyFont="1" applyBorder="1"/>
    <xf numFmtId="0" fontId="4" fillId="0" borderId="4" xfId="0" applyFont="1" applyBorder="1"/>
    <xf numFmtId="1" fontId="4" fillId="0" borderId="4" xfId="0" applyNumberFormat="1" applyFont="1" applyBorder="1" applyAlignment="1">
      <alignment horizontal="center"/>
    </xf>
    <xf numFmtId="0" fontId="4" fillId="0" borderId="4" xfId="0" applyFont="1" applyBorder="1" applyAlignment="1">
      <alignment horizontal="center"/>
    </xf>
    <xf numFmtId="49" fontId="4" fillId="0" borderId="4" xfId="0" applyNumberFormat="1" applyFont="1" applyBorder="1" applyAlignment="1">
      <alignment horizontal="center"/>
    </xf>
    <xf numFmtId="0" fontId="4" fillId="0" borderId="1" xfId="0" applyFont="1" applyBorder="1"/>
    <xf numFmtId="0" fontId="4" fillId="0" borderId="71" xfId="0" applyFont="1" applyBorder="1" applyAlignment="1">
      <alignment horizontal="center"/>
    </xf>
    <xf numFmtId="169" fontId="4" fillId="0" borderId="71" xfId="10" applyNumberFormat="1" applyFont="1" applyBorder="1" applyAlignment="1">
      <alignment horizontal="center" vertical="center"/>
    </xf>
    <xf numFmtId="170" fontId="4" fillId="0" borderId="71" xfId="0" applyNumberFormat="1" applyFont="1" applyBorder="1" applyAlignment="1">
      <alignment horizontal="center"/>
    </xf>
    <xf numFmtId="0" fontId="4" fillId="0" borderId="72" xfId="0" applyFont="1" applyBorder="1" applyAlignment="1">
      <alignment horizontal="center"/>
    </xf>
    <xf numFmtId="170" fontId="69" fillId="0" borderId="0" xfId="0" applyNumberFormat="1" applyFont="1"/>
    <xf numFmtId="0" fontId="4" fillId="12" borderId="4" xfId="0" applyFont="1" applyFill="1" applyBorder="1"/>
    <xf numFmtId="164" fontId="4" fillId="0" borderId="4" xfId="5" applyFont="1" applyBorder="1"/>
    <xf numFmtId="0" fontId="4" fillId="13" borderId="4" xfId="0" applyFont="1" applyFill="1" applyBorder="1"/>
    <xf numFmtId="0" fontId="69" fillId="0" borderId="0" xfId="0" applyFont="1"/>
    <xf numFmtId="0" fontId="4" fillId="14" borderId="4" xfId="0" applyFont="1" applyFill="1" applyBorder="1"/>
    <xf numFmtId="170" fontId="0" fillId="0" borderId="0" xfId="0" applyNumberFormat="1"/>
    <xf numFmtId="0" fontId="4" fillId="0" borderId="0" xfId="0" applyFont="1" applyAlignment="1">
      <alignment horizontal="center"/>
    </xf>
    <xf numFmtId="170" fontId="0" fillId="0" borderId="0" xfId="0" applyNumberFormat="1" applyAlignment="1">
      <alignment horizontal="center"/>
    </xf>
    <xf numFmtId="169" fontId="4" fillId="0" borderId="73" xfId="10" applyNumberFormat="1" applyFont="1" applyBorder="1" applyAlignment="1">
      <alignment horizontal="center" vertical="center"/>
    </xf>
    <xf numFmtId="0" fontId="4" fillId="0" borderId="74" xfId="0" applyFont="1" applyBorder="1" applyAlignment="1">
      <alignment horizontal="center"/>
    </xf>
    <xf numFmtId="169" fontId="4" fillId="0" borderId="74" xfId="10" applyNumberFormat="1" applyFont="1" applyBorder="1" applyAlignment="1">
      <alignment horizontal="center" vertical="center"/>
    </xf>
    <xf numFmtId="170" fontId="4" fillId="0" borderId="74" xfId="0" applyNumberFormat="1" applyFont="1" applyBorder="1" applyAlignment="1">
      <alignment horizontal="center"/>
    </xf>
    <xf numFmtId="2" fontId="4" fillId="0" borderId="0" xfId="0" applyNumberFormat="1" applyFont="1" applyAlignment="1">
      <alignment horizontal="center"/>
    </xf>
    <xf numFmtId="0" fontId="27" fillId="0" borderId="1" xfId="0" applyFont="1" applyBorder="1" applyAlignment="1">
      <alignment horizontal="left"/>
    </xf>
    <xf numFmtId="0" fontId="23" fillId="0" borderId="12" xfId="0" applyFont="1" applyBorder="1"/>
    <xf numFmtId="2" fontId="23" fillId="4" borderId="76" xfId="11" applyNumberFormat="1" applyFont="1" applyFill="1" applyBorder="1" applyAlignment="1">
      <alignment horizontal="center" vertical="center" wrapText="1"/>
    </xf>
    <xf numFmtId="171" fontId="23" fillId="0" borderId="4" xfId="11" applyNumberFormat="1" applyFont="1" applyBorder="1" applyAlignment="1">
      <alignment horizontal="center" vertical="center"/>
    </xf>
    <xf numFmtId="2" fontId="23" fillId="4" borderId="4" xfId="11" applyNumberFormat="1" applyFont="1" applyFill="1" applyBorder="1" applyAlignment="1">
      <alignment horizontal="center" vertical="center" wrapText="1"/>
    </xf>
    <xf numFmtId="171" fontId="23" fillId="0" borderId="20" xfId="11" applyNumberFormat="1" applyFont="1" applyBorder="1" applyAlignment="1">
      <alignment horizontal="center" vertical="center"/>
    </xf>
    <xf numFmtId="4" fontId="0" fillId="0" borderId="0" xfId="20" applyNumberFormat="1" applyFont="1" applyFill="1"/>
    <xf numFmtId="171" fontId="58" fillId="6" borderId="4" xfId="20" applyNumberFormat="1" applyFont="1" applyFill="1" applyBorder="1"/>
    <xf numFmtId="171" fontId="23" fillId="5" borderId="4" xfId="20" applyNumberFormat="1" applyFont="1" applyFill="1" applyBorder="1"/>
    <xf numFmtId="171" fontId="27" fillId="3" borderId="20" xfId="20" applyNumberFormat="1" applyFont="1" applyFill="1" applyBorder="1" applyAlignment="1">
      <alignment horizontal="center"/>
    </xf>
    <xf numFmtId="1" fontId="23" fillId="4" borderId="76" xfId="11" applyNumberFormat="1" applyFont="1" applyFill="1" applyBorder="1" applyAlignment="1">
      <alignment horizontal="center" vertical="center" wrapText="1"/>
    </xf>
    <xf numFmtId="1" fontId="23" fillId="4" borderId="4" xfId="11" applyNumberFormat="1" applyFont="1" applyFill="1" applyBorder="1" applyAlignment="1">
      <alignment horizontal="center" vertical="center" wrapText="1"/>
    </xf>
    <xf numFmtId="1" fontId="23" fillId="4" borderId="29" xfId="11" applyNumberFormat="1" applyFont="1" applyFill="1" applyBorder="1" applyAlignment="1">
      <alignment horizontal="center" vertical="center" wrapText="1"/>
    </xf>
    <xf numFmtId="4" fontId="4" fillId="0" borderId="0" xfId="20" applyNumberFormat="1" applyFont="1" applyFill="1"/>
    <xf numFmtId="1" fontId="23" fillId="4" borderId="42" xfId="11" applyNumberFormat="1" applyFont="1" applyFill="1" applyBorder="1" applyAlignment="1">
      <alignment horizontal="center" vertical="center" wrapText="1"/>
    </xf>
    <xf numFmtId="171" fontId="23" fillId="0" borderId="43" xfId="11" applyNumberFormat="1" applyFont="1" applyBorder="1" applyAlignment="1">
      <alignment horizontal="center" vertical="center"/>
    </xf>
    <xf numFmtId="1" fontId="23" fillId="4" borderId="43" xfId="11" applyNumberFormat="1" applyFont="1" applyFill="1" applyBorder="1" applyAlignment="1">
      <alignment horizontal="center" vertical="center" wrapText="1"/>
    </xf>
    <xf numFmtId="171" fontId="23" fillId="0" borderId="33" xfId="11" applyNumberFormat="1" applyFont="1" applyBorder="1" applyAlignment="1">
      <alignment horizontal="center" vertical="center"/>
    </xf>
    <xf numFmtId="0" fontId="4" fillId="0" borderId="0" xfId="9"/>
    <xf numFmtId="0" fontId="24" fillId="0" borderId="0" xfId="9" applyFont="1" applyAlignment="1">
      <alignment horizontal="center"/>
    </xf>
    <xf numFmtId="0" fontId="4" fillId="0" borderId="0" xfId="9" applyAlignment="1">
      <alignment horizontal="centerContinuous"/>
    </xf>
    <xf numFmtId="0" fontId="27" fillId="0" borderId="0" xfId="11" applyFont="1" applyAlignment="1">
      <alignment horizontal="left"/>
    </xf>
    <xf numFmtId="0" fontId="27" fillId="0" borderId="0" xfId="13" applyFont="1" applyFill="1" applyAlignment="1">
      <alignment horizontal="left"/>
    </xf>
    <xf numFmtId="0" fontId="4" fillId="0" borderId="0" xfId="11"/>
    <xf numFmtId="0" fontId="23" fillId="0" borderId="0" xfId="11" applyFont="1"/>
    <xf numFmtId="0" fontId="23" fillId="0" borderId="0" xfId="11" applyFont="1" applyAlignment="1">
      <alignment horizontal="centerContinuous"/>
    </xf>
    <xf numFmtId="0" fontId="23" fillId="0" borderId="0" xfId="11" applyFont="1" applyAlignment="1">
      <alignment horizontal="center"/>
    </xf>
    <xf numFmtId="0" fontId="4" fillId="0" borderId="1" xfId="9" applyBorder="1"/>
    <xf numFmtId="0" fontId="23" fillId="0" borderId="1" xfId="9" applyFont="1" applyBorder="1"/>
    <xf numFmtId="0" fontId="23" fillId="0" borderId="1" xfId="9" applyFont="1" applyBorder="1" applyAlignment="1">
      <alignment horizontal="left"/>
    </xf>
    <xf numFmtId="0" fontId="27" fillId="0" borderId="0" xfId="9" applyFont="1"/>
    <xf numFmtId="0" fontId="28" fillId="0" borderId="0" xfId="9" applyFont="1" applyAlignment="1">
      <alignment horizontal="right"/>
    </xf>
    <xf numFmtId="0" fontId="29" fillId="0" borderId="0" xfId="9" applyFont="1" applyAlignment="1">
      <alignment horizontal="left"/>
    </xf>
    <xf numFmtId="0" fontId="5" fillId="0" borderId="0" xfId="9" applyFont="1" applyAlignment="1">
      <alignment horizontal="centerContinuous"/>
    </xf>
    <xf numFmtId="0" fontId="5" fillId="0" borderId="0" xfId="9" applyFont="1"/>
    <xf numFmtId="0" fontId="23" fillId="0" borderId="14" xfId="9" applyFont="1" applyBorder="1" applyAlignment="1">
      <alignment horizontal="centerContinuous"/>
    </xf>
    <xf numFmtId="0" fontId="23" fillId="0" borderId="15" xfId="9" applyFont="1" applyBorder="1" applyAlignment="1">
      <alignment horizontal="centerContinuous"/>
    </xf>
    <xf numFmtId="0" fontId="23" fillId="0" borderId="15" xfId="9" applyFont="1" applyBorder="1" applyAlignment="1">
      <alignment horizontal="left"/>
    </xf>
    <xf numFmtId="0" fontId="4" fillId="0" borderId="15" xfId="9" applyBorder="1" applyAlignment="1">
      <alignment horizontal="centerContinuous"/>
    </xf>
    <xf numFmtId="0" fontId="4" fillId="0" borderId="16" xfId="9" applyBorder="1" applyAlignment="1">
      <alignment horizontal="centerContinuous"/>
    </xf>
    <xf numFmtId="0" fontId="4" fillId="0" borderId="7" xfId="9" applyBorder="1"/>
    <xf numFmtId="0" fontId="23" fillId="0" borderId="0" xfId="9" applyFont="1" applyAlignment="1">
      <alignment horizontal="left"/>
    </xf>
    <xf numFmtId="0" fontId="23" fillId="0" borderId="0" xfId="9" applyFont="1" applyAlignment="1">
      <alignment horizontal="centerContinuous"/>
    </xf>
    <xf numFmtId="0" fontId="4" fillId="0" borderId="17" xfId="9" applyBorder="1" applyAlignment="1">
      <alignment horizontal="centerContinuous"/>
    </xf>
    <xf numFmtId="0" fontId="23" fillId="0" borderId="7" xfId="9" applyFont="1" applyBorder="1" applyAlignment="1">
      <alignment horizontal="centerContinuous"/>
    </xf>
    <xf numFmtId="0" fontId="23" fillId="0" borderId="9" xfId="9" applyFont="1" applyBorder="1" applyAlignment="1">
      <alignment horizontal="centerContinuous"/>
    </xf>
    <xf numFmtId="0" fontId="23" fillId="0" borderId="18" xfId="9" applyFont="1" applyBorder="1" applyAlignment="1">
      <alignment horizontal="centerContinuous"/>
    </xf>
    <xf numFmtId="0" fontId="23" fillId="0" borderId="18" xfId="9" applyFont="1" applyBorder="1" applyAlignment="1">
      <alignment horizontal="left"/>
    </xf>
    <xf numFmtId="0" fontId="4" fillId="0" borderId="18" xfId="9" applyBorder="1" applyAlignment="1">
      <alignment horizontal="centerContinuous"/>
    </xf>
    <xf numFmtId="0" fontId="4" fillId="0" borderId="19" xfId="9" applyBorder="1" applyAlignment="1">
      <alignment horizontal="centerContinuous"/>
    </xf>
    <xf numFmtId="0" fontId="5" fillId="0" borderId="70" xfId="9" applyFont="1" applyBorder="1" applyAlignment="1">
      <alignment horizontal="centerContinuous"/>
    </xf>
    <xf numFmtId="0" fontId="31" fillId="0" borderId="24" xfId="9" applyFont="1" applyBorder="1" applyAlignment="1">
      <alignment horizontal="center"/>
    </xf>
    <xf numFmtId="0" fontId="5" fillId="0" borderId="1" xfId="9" applyFont="1" applyBorder="1"/>
    <xf numFmtId="0" fontId="31" fillId="0" borderId="7" xfId="9" applyFont="1" applyBorder="1" applyAlignment="1">
      <alignment horizontal="center"/>
    </xf>
    <xf numFmtId="0" fontId="29" fillId="0" borderId="38" xfId="9" applyFont="1" applyBorder="1" applyAlignment="1">
      <alignment horizontal="center"/>
    </xf>
    <xf numFmtId="0" fontId="29" fillId="0" borderId="38" xfId="9" applyFont="1" applyBorder="1"/>
    <xf numFmtId="0" fontId="29" fillId="0" borderId="80" xfId="9" applyFont="1" applyBorder="1"/>
    <xf numFmtId="0" fontId="29" fillId="0" borderId="57" xfId="9" applyFont="1" applyBorder="1"/>
    <xf numFmtId="0" fontId="29" fillId="0" borderId="80" xfId="9" applyFont="1" applyBorder="1" applyAlignment="1">
      <alignment horizontal="center"/>
    </xf>
    <xf numFmtId="0" fontId="31" fillId="0" borderId="24" xfId="9" applyFont="1" applyBorder="1" applyAlignment="1">
      <alignment horizontal="left"/>
    </xf>
    <xf numFmtId="0" fontId="31" fillId="0" borderId="8" xfId="9" applyFont="1" applyBorder="1" applyAlignment="1">
      <alignment horizontal="left"/>
    </xf>
    <xf numFmtId="0" fontId="31" fillId="0" borderId="0" xfId="9" applyFont="1" applyAlignment="1">
      <alignment horizontal="left"/>
    </xf>
    <xf numFmtId="0" fontId="32" fillId="0" borderId="0" xfId="11" applyFont="1" applyAlignment="1">
      <alignment horizontal="left"/>
    </xf>
    <xf numFmtId="0" fontId="32" fillId="0" borderId="75" xfId="11" applyFont="1" applyBorder="1" applyAlignment="1">
      <alignment horizontal="left"/>
    </xf>
    <xf numFmtId="0" fontId="32" fillId="0" borderId="81" xfId="11" applyFont="1" applyBorder="1" applyAlignment="1">
      <alignment horizontal="left"/>
    </xf>
    <xf numFmtId="0" fontId="32" fillId="0" borderId="15" xfId="11" applyFont="1" applyBorder="1" applyAlignment="1">
      <alignment horizontal="left"/>
    </xf>
    <xf numFmtId="0" fontId="32" fillId="0" borderId="82" xfId="11" applyFont="1" applyBorder="1" applyAlignment="1">
      <alignment horizontal="left"/>
    </xf>
    <xf numFmtId="0" fontId="32" fillId="0" borderId="3" xfId="11" applyFont="1" applyBorder="1" applyAlignment="1">
      <alignment horizontal="left"/>
    </xf>
    <xf numFmtId="0" fontId="31" fillId="0" borderId="24" xfId="9" applyFont="1" applyBorder="1" applyAlignment="1">
      <alignment horizontal="left" vertical="center"/>
    </xf>
    <xf numFmtId="0" fontId="31" fillId="0" borderId="8" xfId="9" applyFont="1" applyBorder="1" applyAlignment="1">
      <alignment horizontal="left" vertical="center"/>
    </xf>
    <xf numFmtId="0" fontId="31" fillId="0" borderId="0" xfId="9" applyFont="1" applyAlignment="1">
      <alignment horizontal="left" vertical="center"/>
    </xf>
    <xf numFmtId="0" fontId="4" fillId="0" borderId="75" xfId="9" applyBorder="1"/>
    <xf numFmtId="0" fontId="4" fillId="0" borderId="8" xfId="9" applyBorder="1"/>
    <xf numFmtId="0" fontId="4" fillId="0" borderId="12" xfId="9" applyBorder="1"/>
    <xf numFmtId="0" fontId="4" fillId="0" borderId="36" xfId="9" applyBorder="1" applyAlignment="1">
      <alignment horizontal="center"/>
    </xf>
    <xf numFmtId="0" fontId="4" fillId="0" borderId="51" xfId="9" applyBorder="1" applyAlignment="1">
      <alignment horizontal="center"/>
    </xf>
    <xf numFmtId="0" fontId="4" fillId="0" borderId="52" xfId="9" applyBorder="1" applyAlignment="1">
      <alignment horizontal="center"/>
    </xf>
    <xf numFmtId="4" fontId="4" fillId="0" borderId="0" xfId="9" applyNumberFormat="1"/>
    <xf numFmtId="0" fontId="38" fillId="0" borderId="0" xfId="9" applyFont="1" applyAlignment="1">
      <alignment horizontal="center"/>
    </xf>
    <xf numFmtId="0" fontId="38" fillId="0" borderId="75" xfId="9" applyFont="1" applyBorder="1" applyAlignment="1">
      <alignment horizontal="center"/>
    </xf>
    <xf numFmtId="0" fontId="38" fillId="0" borderId="8" xfId="9" applyFont="1" applyBorder="1" applyAlignment="1">
      <alignment horizontal="center"/>
    </xf>
    <xf numFmtId="0" fontId="4" fillId="0" borderId="21" xfId="9" applyBorder="1"/>
    <xf numFmtId="0" fontId="38" fillId="11" borderId="29" xfId="9" applyFont="1" applyFill="1" applyBorder="1" applyAlignment="1">
      <alignment horizontal="center"/>
    </xf>
    <xf numFmtId="0" fontId="43" fillId="12" borderId="4" xfId="9" applyFont="1" applyFill="1" applyBorder="1"/>
    <xf numFmtId="0" fontId="31" fillId="5" borderId="4" xfId="9" applyFont="1" applyFill="1" applyBorder="1" applyAlignment="1">
      <alignment horizontal="center"/>
    </xf>
    <xf numFmtId="0" fontId="4" fillId="13" borderId="4" xfId="9" applyFill="1" applyBorder="1"/>
    <xf numFmtId="0" fontId="4" fillId="14" borderId="4" xfId="9" applyFill="1" applyBorder="1"/>
    <xf numFmtId="0" fontId="31" fillId="3" borderId="20" xfId="9" applyFont="1" applyFill="1" applyBorder="1" applyAlignment="1">
      <alignment horizontal="center"/>
    </xf>
    <xf numFmtId="171" fontId="4" fillId="0" borderId="0" xfId="9" applyNumberFormat="1"/>
    <xf numFmtId="2" fontId="57" fillId="11" borderId="29" xfId="9" applyNumberFormat="1" applyFont="1" applyFill="1" applyBorder="1" applyAlignment="1">
      <alignment horizontal="center"/>
    </xf>
    <xf numFmtId="2" fontId="27" fillId="5" borderId="4" xfId="9" applyNumberFormat="1" applyFont="1" applyFill="1" applyBorder="1" applyAlignment="1">
      <alignment horizontal="center"/>
    </xf>
    <xf numFmtId="2" fontId="23" fillId="3" borderId="4" xfId="9" applyNumberFormat="1" applyFont="1" applyFill="1" applyBorder="1"/>
    <xf numFmtId="0" fontId="4" fillId="0" borderId="0" xfId="11" applyAlignment="1">
      <alignment horizontal="center"/>
    </xf>
    <xf numFmtId="0" fontId="4" fillId="0" borderId="75" xfId="11" applyBorder="1" applyAlignment="1">
      <alignment horizontal="center"/>
    </xf>
    <xf numFmtId="0" fontId="4" fillId="0" borderId="8" xfId="11" applyBorder="1" applyAlignment="1">
      <alignment horizontal="center"/>
    </xf>
    <xf numFmtId="0" fontId="4" fillId="0" borderId="75" xfId="11" applyBorder="1"/>
    <xf numFmtId="0" fontId="4" fillId="0" borderId="8" xfId="11" applyBorder="1"/>
    <xf numFmtId="0" fontId="57" fillId="11" borderId="29" xfId="9" applyFont="1" applyFill="1" applyBorder="1" applyAlignment="1">
      <alignment horizontal="center"/>
    </xf>
    <xf numFmtId="0" fontId="58" fillId="6" borderId="4" xfId="9" applyFont="1" applyFill="1" applyBorder="1"/>
    <xf numFmtId="0" fontId="27" fillId="13" borderId="4" xfId="9" applyFont="1" applyFill="1" applyBorder="1" applyAlignment="1">
      <alignment horizontal="center"/>
    </xf>
    <xf numFmtId="0" fontId="23" fillId="5" borderId="4" xfId="9" applyFont="1" applyFill="1" applyBorder="1"/>
    <xf numFmtId="0" fontId="23" fillId="3" borderId="4" xfId="9" applyFont="1" applyFill="1" applyBorder="1"/>
    <xf numFmtId="0" fontId="27" fillId="3" borderId="20" xfId="9" applyFont="1" applyFill="1" applyBorder="1" applyAlignment="1">
      <alignment horizontal="center"/>
    </xf>
    <xf numFmtId="0" fontId="4" fillId="0" borderId="119" xfId="11" applyBorder="1"/>
    <xf numFmtId="0" fontId="4" fillId="0" borderId="18" xfId="9" applyBorder="1"/>
    <xf numFmtId="0" fontId="31" fillId="0" borderId="67" xfId="0" applyFont="1" applyBorder="1" applyAlignment="1">
      <alignment horizontal="center"/>
    </xf>
    <xf numFmtId="0" fontId="0" fillId="0" borderId="27" xfId="0" applyBorder="1" applyAlignment="1">
      <alignment horizontal="center"/>
    </xf>
    <xf numFmtId="0" fontId="0" fillId="0" borderId="27" xfId="0" applyBorder="1" applyAlignment="1">
      <alignment horizontal="center" wrapText="1"/>
    </xf>
    <xf numFmtId="10" fontId="0" fillId="0" borderId="0" xfId="20" applyNumberFormat="1" applyFont="1"/>
    <xf numFmtId="10" fontId="0" fillId="0" borderId="0" xfId="0" applyNumberFormat="1"/>
    <xf numFmtId="0" fontId="4" fillId="0" borderId="0" xfId="14" applyAlignment="1">
      <alignment vertical="center"/>
    </xf>
    <xf numFmtId="0" fontId="4" fillId="0" borderId="0" xfId="15" applyAlignment="1">
      <alignment horizontal="center" vertical="center"/>
    </xf>
    <xf numFmtId="0" fontId="4" fillId="0" borderId="0" xfId="15" applyAlignment="1">
      <alignment vertical="center"/>
    </xf>
    <xf numFmtId="0" fontId="5" fillId="0" borderId="0" xfId="15" applyFont="1" applyAlignment="1">
      <alignment horizontal="center" vertical="center"/>
    </xf>
    <xf numFmtId="0" fontId="5" fillId="0" borderId="0" xfId="1" applyNumberFormat="1" applyFont="1" applyFill="1" applyBorder="1" applyAlignment="1">
      <alignment horizontal="left"/>
    </xf>
    <xf numFmtId="167" fontId="5" fillId="0" borderId="0" xfId="1" applyNumberFormat="1" applyFont="1" applyFill="1" applyBorder="1" applyAlignment="1">
      <alignment horizontal="left"/>
    </xf>
    <xf numFmtId="0" fontId="4" fillId="0" borderId="0" xfId="15"/>
    <xf numFmtId="0" fontId="27" fillId="0" borderId="58" xfId="15" applyFont="1" applyBorder="1" applyAlignment="1">
      <alignment horizontal="left" vertical="center"/>
    </xf>
    <xf numFmtId="0" fontId="27" fillId="0" borderId="58" xfId="15" applyFont="1" applyBorder="1" applyAlignment="1">
      <alignment horizontal="center" vertical="center"/>
    </xf>
    <xf numFmtId="172" fontId="70" fillId="0" borderId="58" xfId="15" applyNumberFormat="1" applyFont="1" applyBorder="1" applyAlignment="1">
      <alignment horizontal="left" vertical="center"/>
    </xf>
    <xf numFmtId="3" fontId="27" fillId="0" borderId="58" xfId="15" applyNumberFormat="1" applyFont="1" applyBorder="1" applyAlignment="1">
      <alignment horizontal="left" vertical="center"/>
    </xf>
    <xf numFmtId="0" fontId="0" fillId="0" borderId="0" xfId="15" applyFont="1"/>
    <xf numFmtId="0" fontId="23" fillId="0" borderId="83" xfId="15" applyFont="1" applyBorder="1" applyAlignment="1">
      <alignment horizontal="center" vertical="center"/>
    </xf>
    <xf numFmtId="0" fontId="23" fillId="0" borderId="84" xfId="15" applyFont="1" applyBorder="1" applyAlignment="1">
      <alignment horizontal="center" vertical="center"/>
    </xf>
    <xf numFmtId="3" fontId="23" fillId="0" borderId="84" xfId="15" applyNumberFormat="1" applyFont="1" applyBorder="1" applyAlignment="1">
      <alignment vertical="center"/>
    </xf>
    <xf numFmtId="0" fontId="23" fillId="0" borderId="88" xfId="15" applyFont="1" applyBorder="1" applyAlignment="1">
      <alignment horizontal="center" vertical="center"/>
    </xf>
    <xf numFmtId="0" fontId="23" fillId="0" borderId="88" xfId="15" applyFont="1" applyBorder="1" applyAlignment="1">
      <alignment horizontal="left" vertical="center"/>
    </xf>
    <xf numFmtId="0" fontId="5" fillId="0" borderId="88" xfId="1" applyNumberFormat="1" applyFont="1" applyFill="1" applyBorder="1" applyAlignment="1">
      <alignment horizontal="right"/>
    </xf>
    <xf numFmtId="0" fontId="23" fillId="0" borderId="0" xfId="15" applyFont="1" applyAlignment="1">
      <alignment horizontal="center" vertical="center"/>
    </xf>
    <xf numFmtId="0" fontId="23" fillId="0" borderId="0" xfId="15" applyFont="1" applyAlignment="1">
      <alignment vertical="center"/>
    </xf>
    <xf numFmtId="0" fontId="5" fillId="0" borderId="0" xfId="1" applyNumberFormat="1" applyFont="1" applyFill="1" applyBorder="1" applyAlignment="1">
      <alignment horizontal="right"/>
    </xf>
    <xf numFmtId="0" fontId="5" fillId="0" borderId="0" xfId="1" applyNumberFormat="1" applyFont="1" applyFill="1" applyBorder="1" applyAlignment="1"/>
    <xf numFmtId="0" fontId="23" fillId="0" borderId="83" xfId="14" applyFont="1" applyBorder="1" applyAlignment="1">
      <alignment horizontal="center" vertical="center"/>
    </xf>
    <xf numFmtId="2" fontId="23" fillId="0" borderId="83" xfId="1" applyNumberFormat="1" applyFont="1" applyFill="1" applyBorder="1" applyAlignment="1">
      <alignment horizontal="right" vertical="center"/>
    </xf>
    <xf numFmtId="3" fontId="23" fillId="0" borderId="83" xfId="15" applyNumberFormat="1" applyFont="1" applyBorder="1" applyAlignment="1">
      <alignment vertical="center"/>
    </xf>
    <xf numFmtId="2" fontId="23" fillId="0" borderId="84" xfId="15" applyNumberFormat="1" applyFont="1" applyBorder="1" applyAlignment="1">
      <alignment horizontal="right" vertical="center"/>
    </xf>
    <xf numFmtId="2" fontId="23" fillId="0" borderId="83" xfId="15" applyNumberFormat="1" applyFont="1" applyBorder="1" applyAlignment="1">
      <alignment vertical="center"/>
    </xf>
    <xf numFmtId="2" fontId="23" fillId="0" borderId="83" xfId="15" applyNumberFormat="1" applyFont="1" applyBorder="1" applyAlignment="1">
      <alignment horizontal="right" vertical="center"/>
    </xf>
    <xf numFmtId="0" fontId="23" fillId="0" borderId="83" xfId="15" applyFont="1" applyBorder="1" applyAlignment="1">
      <alignment vertical="center"/>
    </xf>
    <xf numFmtId="2" fontId="4" fillId="0" borderId="0" xfId="15" applyNumberFormat="1"/>
    <xf numFmtId="0" fontId="5" fillId="0" borderId="88" xfId="15" applyFont="1" applyBorder="1" applyAlignment="1">
      <alignment horizontal="center" vertical="center"/>
    </xf>
    <xf numFmtId="0" fontId="5" fillId="0" borderId="88" xfId="1" applyNumberFormat="1" applyFont="1" applyFill="1" applyBorder="1" applyAlignment="1">
      <alignment horizontal="left"/>
    </xf>
    <xf numFmtId="172" fontId="71" fillId="0" borderId="58" xfId="15" applyNumberFormat="1" applyFont="1" applyBorder="1" applyAlignment="1">
      <alignment horizontal="center" vertical="center"/>
    </xf>
    <xf numFmtId="2" fontId="23" fillId="0" borderId="84" xfId="1" applyNumberFormat="1" applyFont="1" applyFill="1" applyBorder="1" applyAlignment="1">
      <alignment horizontal="right" vertical="center"/>
    </xf>
    <xf numFmtId="2" fontId="23" fillId="0" borderId="90" xfId="15" applyNumberFormat="1" applyFont="1" applyBorder="1" applyAlignment="1">
      <alignment horizontal="right" vertical="center"/>
    </xf>
    <xf numFmtId="172" fontId="71" fillId="0" borderId="58" xfId="15" applyNumberFormat="1" applyFont="1" applyBorder="1" applyAlignment="1">
      <alignment horizontal="left" vertical="center"/>
    </xf>
    <xf numFmtId="0" fontId="23" fillId="0" borderId="85" xfId="15" applyFont="1" applyBorder="1" applyAlignment="1">
      <alignment horizontal="center" vertical="center"/>
    </xf>
    <xf numFmtId="2" fontId="23" fillId="0" borderId="85" xfId="15" applyNumberFormat="1" applyFont="1" applyBorder="1" applyAlignment="1">
      <alignment vertical="center"/>
    </xf>
    <xf numFmtId="3" fontId="23" fillId="0" borderId="85" xfId="15" applyNumberFormat="1" applyFont="1" applyBorder="1" applyAlignment="1">
      <alignment vertical="center"/>
    </xf>
    <xf numFmtId="2" fontId="23" fillId="0" borderId="83" xfId="15" applyNumberFormat="1" applyFont="1" applyBorder="1" applyAlignment="1">
      <alignment horizontal="right"/>
    </xf>
    <xf numFmtId="0" fontId="4" fillId="0" borderId="88" xfId="15" applyBorder="1"/>
    <xf numFmtId="0" fontId="5" fillId="0" borderId="91" xfId="1" applyNumberFormat="1" applyFont="1" applyFill="1" applyBorder="1" applyAlignment="1">
      <alignment horizontal="right"/>
    </xf>
    <xf numFmtId="0" fontId="5" fillId="0" borderId="92" xfId="1" applyNumberFormat="1" applyFont="1" applyFill="1" applyBorder="1" applyAlignment="1">
      <alignment horizontal="right"/>
    </xf>
    <xf numFmtId="0" fontId="23" fillId="0" borderId="90" xfId="15" applyFont="1" applyBorder="1" applyAlignment="1">
      <alignment horizontal="center" vertical="center"/>
    </xf>
    <xf numFmtId="2" fontId="23" fillId="0" borderId="90" xfId="15" applyNumberFormat="1" applyFont="1" applyBorder="1" applyAlignment="1">
      <alignment vertical="center"/>
    </xf>
    <xf numFmtId="0" fontId="27" fillId="0" borderId="58" xfId="15" applyFont="1" applyBorder="1" applyAlignment="1">
      <alignment horizontal="center" vertical="center" wrapText="1"/>
    </xf>
    <xf numFmtId="0" fontId="27" fillId="0" borderId="58" xfId="15" applyFont="1" applyBorder="1" applyAlignment="1">
      <alignment vertical="center"/>
    </xf>
    <xf numFmtId="3" fontId="23" fillId="0" borderId="90" xfId="15" applyNumberFormat="1" applyFont="1" applyBorder="1" applyAlignment="1">
      <alignment vertical="center"/>
    </xf>
    <xf numFmtId="0" fontId="23" fillId="0" borderId="0" xfId="15" applyFont="1" applyAlignment="1">
      <alignment horizontal="left" vertical="center"/>
    </xf>
    <xf numFmtId="2" fontId="23" fillId="0" borderId="85" xfId="1" applyNumberFormat="1" applyFont="1" applyFill="1" applyBorder="1" applyAlignment="1">
      <alignment horizontal="right" vertical="center"/>
    </xf>
    <xf numFmtId="0" fontId="23" fillId="0" borderId="93" xfId="15" applyFont="1" applyBorder="1" applyAlignment="1">
      <alignment horizontal="center" vertical="center"/>
    </xf>
    <xf numFmtId="2" fontId="23" fillId="0" borderId="93" xfId="15" applyNumberFormat="1" applyFont="1" applyBorder="1" applyAlignment="1">
      <alignment horizontal="right" vertical="center"/>
    </xf>
    <xf numFmtId="3" fontId="23" fillId="0" borderId="93" xfId="15" applyNumberFormat="1" applyFont="1" applyBorder="1" applyAlignment="1">
      <alignment vertical="center"/>
    </xf>
    <xf numFmtId="2" fontId="23" fillId="0" borderId="93" xfId="15" applyNumberFormat="1" applyFont="1" applyBorder="1" applyAlignment="1">
      <alignment vertical="center"/>
    </xf>
    <xf numFmtId="173" fontId="23" fillId="4" borderId="83" xfId="0" applyNumberFormat="1" applyFont="1" applyFill="1" applyBorder="1" applyAlignment="1">
      <alignment vertical="center"/>
    </xf>
    <xf numFmtId="0" fontId="23" fillId="0" borderId="83" xfId="15" applyFont="1" applyBorder="1" applyAlignment="1">
      <alignment horizontal="left" vertical="center"/>
    </xf>
    <xf numFmtId="0" fontId="54" fillId="0" borderId="0" xfId="3" applyFill="1" applyAlignment="1" applyProtection="1"/>
    <xf numFmtId="167" fontId="27" fillId="0" borderId="58" xfId="15" applyNumberFormat="1" applyFont="1" applyBorder="1" applyAlignment="1">
      <alignment horizontal="left" vertical="center"/>
    </xf>
    <xf numFmtId="0" fontId="31" fillId="0" borderId="0" xfId="1" applyNumberFormat="1" applyFont="1" applyFill="1" applyBorder="1" applyAlignment="1">
      <alignment horizontal="right"/>
    </xf>
    <xf numFmtId="164" fontId="23" fillId="0" borderId="83" xfId="1" applyFont="1" applyFill="1" applyBorder="1" applyAlignment="1">
      <alignment vertical="center"/>
    </xf>
    <xf numFmtId="0" fontId="23" fillId="0" borderId="83" xfId="14" applyFont="1" applyBorder="1" applyAlignment="1">
      <alignment horizontal="left" vertical="center" wrapText="1"/>
    </xf>
    <xf numFmtId="0" fontId="72" fillId="0" borderId="0" xfId="15" applyFont="1"/>
    <xf numFmtId="2" fontId="23" fillId="0" borderId="93" xfId="1" applyNumberFormat="1" applyFont="1" applyFill="1" applyBorder="1" applyAlignment="1">
      <alignment horizontal="right" vertical="center"/>
    </xf>
    <xf numFmtId="0" fontId="72" fillId="0" borderId="13" xfId="15" applyFont="1" applyBorder="1"/>
    <xf numFmtId="0" fontId="72" fillId="0" borderId="12" xfId="15" applyFont="1" applyBorder="1"/>
    <xf numFmtId="0" fontId="72" fillId="0" borderId="3" xfId="15" applyFont="1" applyBorder="1"/>
    <xf numFmtId="2" fontId="23" fillId="0" borderId="83" xfId="15" applyNumberFormat="1" applyFont="1" applyBorder="1" applyAlignment="1">
      <alignment horizontal="right" vertical="center" wrapText="1"/>
    </xf>
    <xf numFmtId="0" fontId="23" fillId="0" borderId="0" xfId="15" applyFont="1" applyAlignment="1">
      <alignment vertical="center" wrapText="1"/>
    </xf>
    <xf numFmtId="2" fontId="23" fillId="0" borderId="85" xfId="15" applyNumberFormat="1" applyFont="1" applyBorder="1" applyAlignment="1">
      <alignment horizontal="right" vertical="center"/>
    </xf>
    <xf numFmtId="0" fontId="5" fillId="0" borderId="0" xfId="14" applyFont="1" applyAlignment="1">
      <alignment vertical="center"/>
    </xf>
    <xf numFmtId="0" fontId="23" fillId="0" borderId="96" xfId="14" applyFont="1" applyBorder="1" applyAlignment="1">
      <alignment horizontal="center" vertical="center"/>
    </xf>
    <xf numFmtId="0" fontId="23" fillId="0" borderId="90" xfId="14" applyFont="1" applyBorder="1" applyAlignment="1">
      <alignment horizontal="left" vertical="center" wrapText="1"/>
    </xf>
    <xf numFmtId="0" fontId="23" fillId="0" borderId="97" xfId="14" applyFont="1" applyBorder="1" applyAlignment="1">
      <alignment horizontal="center" vertical="center"/>
    </xf>
    <xf numFmtId="173" fontId="23" fillId="4" borderId="90" xfId="0" applyNumberFormat="1" applyFont="1" applyFill="1" applyBorder="1" applyAlignment="1">
      <alignment vertical="center"/>
    </xf>
    <xf numFmtId="0" fontId="5" fillId="0" borderId="0" xfId="6" applyFont="1" applyFill="1" applyBorder="1" applyAlignment="1">
      <alignment horizontal="left"/>
    </xf>
    <xf numFmtId="0" fontId="5" fillId="0" borderId="0" xfId="6" applyFont="1" applyFill="1" applyBorder="1" applyAlignment="1"/>
    <xf numFmtId="0" fontId="27" fillId="0" borderId="0" xfId="15" applyFont="1" applyAlignment="1">
      <alignment horizontal="left" vertical="center" wrapText="1"/>
    </xf>
    <xf numFmtId="167" fontId="23" fillId="0" borderId="0" xfId="15" applyNumberFormat="1" applyFont="1" applyAlignment="1">
      <alignment horizontal="left" vertical="center"/>
    </xf>
    <xf numFmtId="3" fontId="27" fillId="0" borderId="0" xfId="15" applyNumberFormat="1" applyFont="1" applyAlignment="1">
      <alignment horizontal="left" vertical="center"/>
    </xf>
    <xf numFmtId="0" fontId="23" fillId="0" borderId="85" xfId="15" applyFont="1" applyBorder="1" applyAlignment="1">
      <alignment horizontal="center" vertical="center" wrapText="1"/>
    </xf>
    <xf numFmtId="0" fontId="23" fillId="0" borderId="83" xfId="15" applyFont="1" applyBorder="1" applyAlignment="1">
      <alignment horizontal="center" vertical="center" wrapText="1"/>
    </xf>
    <xf numFmtId="164" fontId="23" fillId="0" borderId="93" xfId="1" applyFont="1" applyFill="1" applyBorder="1" applyAlignment="1">
      <alignment vertical="center"/>
    </xf>
    <xf numFmtId="0" fontId="5" fillId="0" borderId="88" xfId="6" applyFont="1" applyFill="1" applyBorder="1" applyAlignment="1">
      <alignment horizontal="left"/>
    </xf>
    <xf numFmtId="0" fontId="4" fillId="0" borderId="85" xfId="15" applyBorder="1" applyAlignment="1">
      <alignment vertical="center"/>
    </xf>
    <xf numFmtId="167" fontId="23" fillId="0" borderId="85" xfId="15" applyNumberFormat="1" applyFont="1" applyBorder="1" applyAlignment="1">
      <alignment horizontal="center" vertical="center" wrapText="1"/>
    </xf>
    <xf numFmtId="174" fontId="23" fillId="0" borderId="85" xfId="1" applyNumberFormat="1" applyFont="1" applyFill="1" applyBorder="1" applyAlignment="1">
      <alignment horizontal="right" vertical="center"/>
    </xf>
    <xf numFmtId="0" fontId="4" fillId="0" borderId="90" xfId="15" applyBorder="1" applyAlignment="1">
      <alignment vertical="center"/>
    </xf>
    <xf numFmtId="167" fontId="23" fillId="0" borderId="90" xfId="15" applyNumberFormat="1" applyFont="1" applyBorder="1" applyAlignment="1">
      <alignment horizontal="center" vertical="center" wrapText="1"/>
    </xf>
    <xf numFmtId="174" fontId="23" fillId="0" borderId="90" xfId="1" applyNumberFormat="1" applyFont="1" applyFill="1" applyBorder="1" applyAlignment="1">
      <alignment horizontal="right" vertical="center"/>
    </xf>
    <xf numFmtId="173" fontId="23" fillId="0" borderId="83" xfId="0" applyNumberFormat="1" applyFont="1" applyBorder="1" applyAlignment="1">
      <alignment vertical="center"/>
    </xf>
    <xf numFmtId="0" fontId="5" fillId="0" borderId="0" xfId="14" applyFont="1"/>
    <xf numFmtId="0" fontId="23" fillId="0" borderId="94" xfId="15" applyFont="1" applyBorder="1" applyAlignment="1">
      <alignment horizontal="center" vertical="center"/>
    </xf>
    <xf numFmtId="0" fontId="27" fillId="13" borderId="58" xfId="15" applyFont="1" applyFill="1" applyBorder="1" applyAlignment="1">
      <alignment horizontal="left" vertical="center"/>
    </xf>
    <xf numFmtId="0" fontId="27" fillId="13" borderId="58" xfId="15" applyFont="1" applyFill="1" applyBorder="1" applyAlignment="1">
      <alignment horizontal="center" vertical="center"/>
    </xf>
    <xf numFmtId="172" fontId="70" fillId="13" borderId="58" xfId="15" applyNumberFormat="1" applyFont="1" applyFill="1" applyBorder="1" applyAlignment="1">
      <alignment horizontal="left" vertical="center"/>
    </xf>
    <xf numFmtId="3" fontId="27" fillId="13" borderId="58" xfId="15" applyNumberFormat="1" applyFont="1" applyFill="1" applyBorder="1" applyAlignment="1">
      <alignment horizontal="left" vertical="center"/>
    </xf>
    <xf numFmtId="0" fontId="23" fillId="13" borderId="83" xfId="15" applyFont="1" applyFill="1" applyBorder="1" applyAlignment="1">
      <alignment horizontal="center" vertical="center"/>
    </xf>
    <xf numFmtId="0" fontId="23" fillId="13" borderId="83" xfId="15" applyFont="1" applyFill="1" applyBorder="1" applyAlignment="1">
      <alignment horizontal="left" vertical="center" wrapText="1"/>
    </xf>
    <xf numFmtId="0" fontId="23" fillId="13" borderId="96" xfId="14" applyFont="1" applyFill="1" applyBorder="1" applyAlignment="1">
      <alignment horizontal="center" vertical="center"/>
    </xf>
    <xf numFmtId="2" fontId="23" fillId="13" borderId="83" xfId="15" applyNumberFormat="1" applyFont="1" applyFill="1" applyBorder="1" applyAlignment="1">
      <alignment vertical="center"/>
    </xf>
    <xf numFmtId="167" fontId="23" fillId="13" borderId="83" xfId="15" applyNumberFormat="1" applyFont="1" applyFill="1" applyBorder="1" applyAlignment="1">
      <alignment horizontal="center" vertical="center" wrapText="1"/>
    </xf>
    <xf numFmtId="3" fontId="23" fillId="13" borderId="83" xfId="15" applyNumberFormat="1" applyFont="1" applyFill="1" applyBorder="1" applyAlignment="1">
      <alignment vertical="center"/>
    </xf>
    <xf numFmtId="0" fontId="23" fillId="13" borderId="88" xfId="15" applyFont="1" applyFill="1" applyBorder="1" applyAlignment="1">
      <alignment horizontal="center" vertical="center"/>
    </xf>
    <xf numFmtId="0" fontId="23" fillId="13" borderId="88" xfId="15" applyFont="1" applyFill="1" applyBorder="1" applyAlignment="1">
      <alignment horizontal="left" vertical="center"/>
    </xf>
    <xf numFmtId="0" fontId="5" fillId="13" borderId="88" xfId="15" applyFont="1" applyFill="1" applyBorder="1" applyAlignment="1">
      <alignment horizontal="center" vertical="center"/>
    </xf>
    <xf numFmtId="0" fontId="5" fillId="13" borderId="88" xfId="1" applyNumberFormat="1" applyFont="1" applyFill="1" applyBorder="1" applyAlignment="1">
      <alignment horizontal="left"/>
    </xf>
    <xf numFmtId="0" fontId="5" fillId="13" borderId="91" xfId="1" applyNumberFormat="1" applyFont="1" applyFill="1" applyBorder="1" applyAlignment="1">
      <alignment horizontal="right"/>
    </xf>
    <xf numFmtId="0" fontId="23" fillId="13" borderId="0" xfId="15" applyFont="1" applyFill="1" applyAlignment="1">
      <alignment horizontal="center" vertical="center"/>
    </xf>
    <xf numFmtId="0" fontId="23" fillId="13" borderId="0" xfId="15" applyFont="1" applyFill="1" applyAlignment="1">
      <alignment vertical="center"/>
    </xf>
    <xf numFmtId="0" fontId="5" fillId="13" borderId="0" xfId="15" applyFont="1" applyFill="1" applyAlignment="1">
      <alignment horizontal="center" vertical="center"/>
    </xf>
    <xf numFmtId="0" fontId="5" fillId="13" borderId="0" xfId="1" applyNumberFormat="1" applyFont="1" applyFill="1" applyBorder="1" applyAlignment="1"/>
    <xf numFmtId="0" fontId="5" fillId="13" borderId="92" xfId="1" applyNumberFormat="1" applyFont="1" applyFill="1" applyBorder="1" applyAlignment="1">
      <alignment horizontal="right"/>
    </xf>
    <xf numFmtId="0" fontId="4" fillId="13" borderId="0" xfId="15" applyFill="1" applyAlignment="1">
      <alignment vertical="center"/>
    </xf>
    <xf numFmtId="0" fontId="4" fillId="13" borderId="0" xfId="15" applyFill="1" applyAlignment="1">
      <alignment horizontal="center" vertical="center"/>
    </xf>
    <xf numFmtId="0" fontId="23" fillId="0" borderId="85" xfId="15" applyFont="1" applyBorder="1" applyAlignment="1">
      <alignment horizontal="left" vertical="center"/>
    </xf>
    <xf numFmtId="164" fontId="23" fillId="0" borderId="85" xfId="1" applyFont="1" applyFill="1" applyBorder="1" applyAlignment="1">
      <alignment vertical="center"/>
    </xf>
    <xf numFmtId="0" fontId="23" fillId="0" borderId="90" xfId="15" applyFont="1" applyBorder="1" applyAlignment="1">
      <alignment horizontal="left" vertical="center"/>
    </xf>
    <xf numFmtId="164" fontId="23" fillId="0" borderId="90" xfId="1" applyFont="1" applyFill="1" applyBorder="1" applyAlignment="1">
      <alignment vertical="center"/>
    </xf>
    <xf numFmtId="0" fontId="4" fillId="0" borderId="0" xfId="15" applyAlignment="1">
      <alignment horizontal="center"/>
    </xf>
    <xf numFmtId="2" fontId="23" fillId="0" borderId="90" xfId="15" applyNumberFormat="1" applyFont="1" applyBorder="1" applyAlignment="1">
      <alignment horizontal="right" vertical="center" wrapText="1"/>
    </xf>
    <xf numFmtId="167" fontId="27" fillId="13" borderId="58" xfId="15" applyNumberFormat="1" applyFont="1" applyFill="1" applyBorder="1" applyAlignment="1">
      <alignment horizontal="left" vertical="center"/>
    </xf>
    <xf numFmtId="0" fontId="4" fillId="13" borderId="0" xfId="15" applyFill="1"/>
    <xf numFmtId="0" fontId="23" fillId="13" borderId="87" xfId="15" applyFont="1" applyFill="1" applyBorder="1" applyAlignment="1">
      <alignment horizontal="center" vertical="center" wrapText="1"/>
    </xf>
    <xf numFmtId="0" fontId="23" fillId="13" borderId="83" xfId="14" applyFont="1" applyFill="1" applyBorder="1" applyAlignment="1">
      <alignment horizontal="left" vertical="center" wrapText="1"/>
    </xf>
    <xf numFmtId="2" fontId="23" fillId="13" borderId="83" xfId="15" applyNumberFormat="1" applyFont="1" applyFill="1" applyBorder="1" applyAlignment="1">
      <alignment horizontal="right" vertical="center"/>
    </xf>
    <xf numFmtId="173" fontId="23" fillId="13" borderId="83" xfId="0" applyNumberFormat="1" applyFont="1" applyFill="1" applyBorder="1" applyAlignment="1">
      <alignment vertical="center"/>
    </xf>
    <xf numFmtId="3" fontId="23" fillId="13" borderId="87" xfId="15" applyNumberFormat="1" applyFont="1" applyFill="1" applyBorder="1" applyAlignment="1">
      <alignment vertical="center"/>
    </xf>
    <xf numFmtId="0" fontId="23" fillId="0" borderId="84" xfId="15" applyFont="1" applyBorder="1" applyAlignment="1">
      <alignment horizontal="center" vertical="center" wrapText="1"/>
    </xf>
    <xf numFmtId="166" fontId="4" fillId="0" borderId="0" xfId="8" applyFont="1" applyFill="1" applyAlignment="1">
      <alignment horizontal="center"/>
    </xf>
    <xf numFmtId="166" fontId="4" fillId="0" borderId="0" xfId="8" applyFill="1"/>
    <xf numFmtId="3" fontId="4" fillId="0" borderId="0" xfId="15" applyNumberFormat="1"/>
    <xf numFmtId="164" fontId="4" fillId="0" borderId="0" xfId="4" applyFont="1" applyFill="1"/>
    <xf numFmtId="0" fontId="7" fillId="0" borderId="0" xfId="12" applyFont="1"/>
    <xf numFmtId="0" fontId="7" fillId="0" borderId="0" xfId="12" applyFont="1" applyAlignment="1">
      <alignment horizontal="right"/>
    </xf>
    <xf numFmtId="176" fontId="31" fillId="0" borderId="18" xfId="0" applyNumberFormat="1" applyFont="1" applyBorder="1" applyAlignment="1">
      <alignment vertical="center"/>
    </xf>
    <xf numFmtId="0" fontId="31" fillId="0" borderId="98" xfId="0" applyFont="1" applyBorder="1" applyAlignment="1">
      <alignment horizontal="center"/>
    </xf>
    <xf numFmtId="0" fontId="31" fillId="0" borderId="99" xfId="0" applyFont="1" applyBorder="1" applyAlignment="1">
      <alignment horizontal="center"/>
    </xf>
    <xf numFmtId="0" fontId="31" fillId="0" borderId="100" xfId="0" applyFont="1" applyBorder="1" applyAlignment="1">
      <alignment horizontal="center"/>
    </xf>
    <xf numFmtId="0" fontId="31" fillId="0" borderId="100" xfId="0" applyFont="1" applyBorder="1" applyAlignment="1">
      <alignment horizontal="center" vertical="center"/>
    </xf>
    <xf numFmtId="0" fontId="31" fillId="0" borderId="101" xfId="0" applyFont="1" applyBorder="1" applyAlignment="1">
      <alignment horizontal="center"/>
    </xf>
    <xf numFmtId="166" fontId="4" fillId="0" borderId="0" xfId="8" applyFont="1" applyFill="1" applyAlignment="1"/>
    <xf numFmtId="0" fontId="31" fillId="0" borderId="5" xfId="0" applyFont="1" applyBorder="1" applyAlignment="1">
      <alignment horizontal="center"/>
    </xf>
    <xf numFmtId="0" fontId="31" fillId="0" borderId="64" xfId="0" applyFont="1" applyBorder="1" applyAlignment="1">
      <alignment horizontal="center"/>
    </xf>
    <xf numFmtId="0" fontId="31" fillId="0" borderId="64" xfId="0" applyFont="1" applyBorder="1" applyAlignment="1">
      <alignment horizontal="center" vertical="center"/>
    </xf>
    <xf numFmtId="0" fontId="31" fillId="0" borderId="65" xfId="0" applyFont="1" applyBorder="1" applyAlignment="1">
      <alignment horizontal="center"/>
    </xf>
    <xf numFmtId="0" fontId="31" fillId="0" borderId="54" xfId="0" applyFont="1" applyBorder="1" applyAlignment="1">
      <alignment horizontal="center"/>
    </xf>
    <xf numFmtId="0" fontId="31" fillId="0" borderId="55" xfId="0" quotePrefix="1" applyFont="1" applyBorder="1" applyAlignment="1">
      <alignment horizontal="center"/>
    </xf>
    <xf numFmtId="0" fontId="31" fillId="0" borderId="55" xfId="0" quotePrefix="1" applyFont="1" applyBorder="1" applyAlignment="1">
      <alignment horizontal="center" vertical="center"/>
    </xf>
    <xf numFmtId="0" fontId="31" fillId="4" borderId="68" xfId="0" applyFont="1" applyFill="1" applyBorder="1" applyAlignment="1">
      <alignment horizontal="center"/>
    </xf>
    <xf numFmtId="0" fontId="27" fillId="0" borderId="30" xfId="0" applyFont="1" applyBorder="1"/>
    <xf numFmtId="167" fontId="5" fillId="0" borderId="0" xfId="5" applyNumberFormat="1" applyFont="1" applyFill="1" applyBorder="1" applyAlignment="1">
      <alignment horizontal="center"/>
    </xf>
    <xf numFmtId="164" fontId="5" fillId="0" borderId="0" xfId="5" applyFont="1" applyFill="1" applyBorder="1" applyAlignment="1">
      <alignment horizontal="center" vertical="center"/>
    </xf>
    <xf numFmtId="167" fontId="5" fillId="4" borderId="17" xfId="5" applyNumberFormat="1" applyFont="1" applyFill="1" applyBorder="1" applyAlignment="1">
      <alignment horizontal="center"/>
    </xf>
    <xf numFmtId="167" fontId="4" fillId="0" borderId="12" xfId="5" applyNumberFormat="1" applyFill="1" applyBorder="1"/>
    <xf numFmtId="164" fontId="4" fillId="0" borderId="12" xfId="5" applyFill="1" applyBorder="1" applyAlignment="1">
      <alignment vertical="center"/>
    </xf>
    <xf numFmtId="167" fontId="4" fillId="4" borderId="31" xfId="5" applyNumberFormat="1" applyFill="1" applyBorder="1"/>
    <xf numFmtId="0" fontId="10" fillId="0" borderId="102" xfId="0" applyFont="1" applyBorder="1" applyAlignment="1">
      <alignment horizontal="center"/>
    </xf>
    <xf numFmtId="0" fontId="20" fillId="0" borderId="103" xfId="0" applyFont="1" applyBorder="1"/>
    <xf numFmtId="177" fontId="20" fillId="0" borderId="4" xfId="0" applyNumberFormat="1" applyFont="1" applyBorder="1" applyAlignment="1">
      <alignment horizontal="right" vertical="center"/>
    </xf>
    <xf numFmtId="4" fontId="20" fillId="0" borderId="11" xfId="0" applyNumberFormat="1" applyFont="1" applyBorder="1"/>
    <xf numFmtId="2" fontId="20" fillId="0" borderId="103" xfId="0" applyNumberFormat="1" applyFont="1" applyBorder="1" applyAlignment="1">
      <alignment vertical="center"/>
    </xf>
    <xf numFmtId="164" fontId="20" fillId="0" borderId="104" xfId="5" applyFont="1" applyBorder="1"/>
    <xf numFmtId="4" fontId="20" fillId="0" borderId="105" xfId="0" applyNumberFormat="1" applyFont="1" applyBorder="1" applyAlignment="1">
      <alignment horizontal="right"/>
    </xf>
    <xf numFmtId="4" fontId="20" fillId="0" borderId="103" xfId="0" applyNumberFormat="1" applyFont="1" applyBorder="1"/>
    <xf numFmtId="2" fontId="20" fillId="0" borderId="3" xfId="0" applyNumberFormat="1" applyFont="1" applyBorder="1" applyAlignment="1">
      <alignment vertical="center"/>
    </xf>
    <xf numFmtId="0" fontId="0" fillId="0" borderId="106" xfId="0" applyBorder="1"/>
    <xf numFmtId="4" fontId="23" fillId="0" borderId="12" xfId="0" applyNumberFormat="1" applyFont="1" applyBorder="1"/>
    <xf numFmtId="2" fontId="23" fillId="0" borderId="12" xfId="0" applyNumberFormat="1" applyFont="1" applyBorder="1" applyAlignment="1">
      <alignment vertical="center"/>
    </xf>
    <xf numFmtId="164" fontId="23" fillId="0" borderId="20" xfId="5" applyFont="1" applyBorder="1"/>
    <xf numFmtId="0" fontId="0" fillId="4" borderId="30" xfId="0" applyFill="1" applyBorder="1"/>
    <xf numFmtId="0" fontId="23" fillId="4" borderId="21" xfId="0" applyFont="1" applyFill="1" applyBorder="1"/>
    <xf numFmtId="0" fontId="23" fillId="0" borderId="21" xfId="0" applyFont="1" applyBorder="1"/>
    <xf numFmtId="0" fontId="23" fillId="0" borderId="21" xfId="0" applyFont="1" applyBorder="1" applyAlignment="1">
      <alignment vertical="center"/>
    </xf>
    <xf numFmtId="2" fontId="23" fillId="0" borderId="107" xfId="0" applyNumberFormat="1" applyFont="1" applyBorder="1"/>
    <xf numFmtId="0" fontId="23" fillId="4" borderId="35" xfId="0" applyFont="1" applyFill="1" applyBorder="1"/>
    <xf numFmtId="0" fontId="23" fillId="4" borderId="35" xfId="0" applyFont="1" applyFill="1" applyBorder="1" applyAlignment="1">
      <alignment vertical="center"/>
    </xf>
    <xf numFmtId="178" fontId="27" fillId="4" borderId="44" xfId="0" applyNumberFormat="1" applyFont="1" applyFill="1" applyBorder="1"/>
    <xf numFmtId="0" fontId="5" fillId="4" borderId="0" xfId="0" applyFont="1" applyFill="1"/>
    <xf numFmtId="0" fontId="0" fillId="4" borderId="0" xfId="0" applyFill="1" applyAlignment="1">
      <alignment vertical="center"/>
    </xf>
    <xf numFmtId="0" fontId="5" fillId="4" borderId="98" xfId="0" applyFont="1" applyFill="1" applyBorder="1" applyAlignment="1">
      <alignment horizontal="center"/>
    </xf>
    <xf numFmtId="0" fontId="5" fillId="4" borderId="15" xfId="0" applyFont="1" applyFill="1" applyBorder="1" applyAlignment="1">
      <alignment horizontal="center"/>
    </xf>
    <xf numFmtId="0" fontId="31" fillId="4" borderId="99" xfId="0" applyFont="1" applyFill="1" applyBorder="1" applyAlignment="1">
      <alignment horizontal="center"/>
    </xf>
    <xf numFmtId="164" fontId="31" fillId="4" borderId="100" xfId="0" applyNumberFormat="1" applyFont="1" applyFill="1" applyBorder="1" applyAlignment="1">
      <alignment horizontal="center" vertical="center"/>
    </xf>
    <xf numFmtId="0" fontId="31" fillId="4" borderId="101" xfId="0" applyFont="1" applyFill="1" applyBorder="1" applyAlignment="1">
      <alignment horizontal="center"/>
    </xf>
    <xf numFmtId="0" fontId="31" fillId="4" borderId="30" xfId="0" applyFont="1" applyFill="1" applyBorder="1" applyAlignment="1">
      <alignment horizontal="center"/>
    </xf>
    <xf numFmtId="0" fontId="31" fillId="4" borderId="0" xfId="0" applyFont="1" applyFill="1" applyAlignment="1">
      <alignment horizontal="center"/>
    </xf>
    <xf numFmtId="0" fontId="31" fillId="4" borderId="5" xfId="0" applyFont="1" applyFill="1" applyBorder="1" applyAlignment="1">
      <alignment horizontal="center"/>
    </xf>
    <xf numFmtId="164" fontId="31" fillId="4" borderId="64" xfId="0" applyNumberFormat="1" applyFont="1" applyFill="1" applyBorder="1" applyAlignment="1">
      <alignment horizontal="center" vertical="center"/>
    </xf>
    <xf numFmtId="0" fontId="31" fillId="4" borderId="65" xfId="0" applyFont="1" applyFill="1" applyBorder="1" applyAlignment="1">
      <alignment horizontal="center"/>
    </xf>
    <xf numFmtId="0" fontId="5" fillId="4" borderId="54" xfId="0" applyFont="1" applyFill="1" applyBorder="1" applyAlignment="1">
      <alignment horizontal="center"/>
    </xf>
    <xf numFmtId="0" fontId="5" fillId="4" borderId="18" xfId="0" applyFont="1" applyFill="1" applyBorder="1" applyAlignment="1">
      <alignment horizontal="center"/>
    </xf>
    <xf numFmtId="0" fontId="31" fillId="4" borderId="67" xfId="0" quotePrefix="1" applyFont="1" applyFill="1" applyBorder="1" applyAlignment="1">
      <alignment horizontal="center"/>
    </xf>
    <xf numFmtId="164" fontId="31" fillId="4" borderId="55" xfId="0" applyNumberFormat="1" applyFont="1" applyFill="1" applyBorder="1" applyAlignment="1">
      <alignment horizontal="center" vertical="center"/>
    </xf>
    <xf numFmtId="167" fontId="4" fillId="4" borderId="0" xfId="5" applyNumberFormat="1" applyFill="1" applyBorder="1"/>
    <xf numFmtId="164" fontId="4" fillId="4" borderId="0" xfId="5" applyFill="1" applyBorder="1" applyAlignment="1">
      <alignment vertical="center"/>
    </xf>
    <xf numFmtId="167" fontId="4" fillId="4" borderId="17" xfId="5" applyNumberFormat="1" applyFill="1" applyBorder="1"/>
    <xf numFmtId="0" fontId="10" fillId="4" borderId="29" xfId="0" applyFont="1" applyFill="1" applyBorder="1"/>
    <xf numFmtId="0" fontId="59" fillId="4" borderId="12" xfId="0" applyFont="1" applyFill="1" applyBorder="1"/>
    <xf numFmtId="167" fontId="20" fillId="0" borderId="12" xfId="5" applyNumberFormat="1" applyFont="1" applyBorder="1"/>
    <xf numFmtId="164" fontId="20" fillId="0" borderId="12" xfId="5" applyFont="1" applyBorder="1" applyAlignment="1">
      <alignment vertical="center"/>
    </xf>
    <xf numFmtId="164" fontId="20" fillId="0" borderId="108" xfId="5" applyFont="1" applyBorder="1" applyAlignment="1">
      <alignment horizontal="right"/>
    </xf>
    <xf numFmtId="0" fontId="10" fillId="4" borderId="109" xfId="0" applyFont="1" applyFill="1" applyBorder="1" applyAlignment="1">
      <alignment horizontal="center"/>
    </xf>
    <xf numFmtId="0" fontId="25" fillId="4" borderId="110" xfId="0" applyFont="1" applyFill="1" applyBorder="1"/>
    <xf numFmtId="2" fontId="20" fillId="0" borderId="72" xfId="0" applyNumberFormat="1" applyFont="1" applyBorder="1" applyAlignment="1">
      <alignment horizontal="right"/>
    </xf>
    <xf numFmtId="164" fontId="20" fillId="0" borderId="111" xfId="5" applyFont="1" applyBorder="1" applyAlignment="1"/>
    <xf numFmtId="0" fontId="19" fillId="4" borderId="12" xfId="0" applyFont="1" applyFill="1" applyBorder="1" applyAlignment="1">
      <alignment horizontal="left" vertical="center"/>
    </xf>
    <xf numFmtId="177" fontId="20" fillId="0" borderId="12" xfId="0" applyNumberFormat="1" applyFont="1" applyBorder="1" applyAlignment="1">
      <alignment horizontal="right" vertical="center"/>
    </xf>
    <xf numFmtId="164" fontId="20" fillId="0" borderId="12" xfId="5" applyFont="1" applyBorder="1" applyAlignment="1">
      <alignment horizontal="right" vertical="center"/>
    </xf>
    <xf numFmtId="167" fontId="20" fillId="0" borderId="31" xfId="5" applyNumberFormat="1" applyFont="1" applyBorder="1" applyAlignment="1">
      <alignment horizontal="center" vertical="center"/>
    </xf>
    <xf numFmtId="0" fontId="20" fillId="4" borderId="4" xfId="0" applyFont="1" applyFill="1" applyBorder="1" applyAlignment="1">
      <alignment horizontal="left" vertical="center" wrapText="1"/>
    </xf>
    <xf numFmtId="4" fontId="20" fillId="0" borderId="107" xfId="5" applyNumberFormat="1" applyFont="1" applyBorder="1" applyAlignment="1">
      <alignment horizontal="right" vertical="center"/>
    </xf>
    <xf numFmtId="4" fontId="20" fillId="0" borderId="53" xfId="5" applyNumberFormat="1" applyFont="1" applyBorder="1" applyAlignment="1">
      <alignment horizontal="right" vertical="center"/>
    </xf>
    <xf numFmtId="0" fontId="10" fillId="4" borderId="29" xfId="0" applyFont="1" applyFill="1" applyBorder="1" applyAlignment="1">
      <alignment horizontal="center"/>
    </xf>
    <xf numFmtId="2" fontId="20" fillId="4" borderId="4" xfId="0" applyNumberFormat="1" applyFont="1" applyFill="1" applyBorder="1" applyAlignment="1">
      <alignment horizontal="right" vertical="center"/>
    </xf>
    <xf numFmtId="164" fontId="20" fillId="0" borderId="20" xfId="5" applyFont="1" applyBorder="1" applyAlignment="1">
      <alignment horizontal="right" vertical="center"/>
    </xf>
    <xf numFmtId="0" fontId="10" fillId="4" borderId="76" xfId="0" applyFont="1" applyFill="1" applyBorder="1" applyAlignment="1">
      <alignment horizontal="center" vertical="center"/>
    </xf>
    <xf numFmtId="0" fontId="20" fillId="4" borderId="112" xfId="0" applyFont="1" applyFill="1" applyBorder="1" applyAlignment="1">
      <alignment horizontal="left" vertical="center" wrapText="1"/>
    </xf>
    <xf numFmtId="2" fontId="20" fillId="0" borderId="113" xfId="0" applyNumberFormat="1" applyFont="1" applyBorder="1" applyAlignment="1">
      <alignment horizontal="right" vertical="center"/>
    </xf>
    <xf numFmtId="164" fontId="20" fillId="0" borderId="114" xfId="5" applyFont="1" applyBorder="1" applyAlignment="1">
      <alignment horizontal="right" vertical="center"/>
    </xf>
    <xf numFmtId="0" fontId="10" fillId="4" borderId="60" xfId="0" applyFont="1" applyFill="1" applyBorder="1"/>
    <xf numFmtId="0" fontId="11" fillId="4" borderId="38" xfId="0" applyFont="1" applyFill="1" applyBorder="1"/>
    <xf numFmtId="0" fontId="10" fillId="4" borderId="38" xfId="0" applyFont="1" applyFill="1" applyBorder="1"/>
    <xf numFmtId="4" fontId="25" fillId="4" borderId="33" xfId="0" applyNumberFormat="1" applyFont="1" applyFill="1" applyBorder="1" applyAlignment="1">
      <alignment horizontal="right"/>
    </xf>
    <xf numFmtId="0" fontId="10" fillId="0" borderId="98" xfId="0" applyFont="1" applyBorder="1"/>
    <xf numFmtId="0" fontId="11" fillId="0" borderId="15" xfId="0" applyFont="1" applyBorder="1"/>
    <xf numFmtId="0" fontId="10" fillId="0" borderId="15" xfId="0" applyFont="1" applyBorder="1"/>
    <xf numFmtId="4" fontId="20" fillId="0" borderId="101" xfId="0" applyNumberFormat="1" applyFont="1" applyBorder="1" applyAlignment="1">
      <alignment horizontal="right"/>
    </xf>
    <xf numFmtId="0" fontId="10" fillId="0" borderId="30" xfId="0" applyFont="1" applyBorder="1"/>
    <xf numFmtId="0" fontId="11" fillId="0" borderId="12" xfId="0" applyFont="1" applyBorder="1"/>
    <xf numFmtId="0" fontId="10" fillId="0" borderId="12" xfId="0" applyFont="1" applyBorder="1"/>
    <xf numFmtId="4" fontId="20" fillId="0" borderId="20" xfId="0" applyNumberFormat="1" applyFont="1" applyBorder="1" applyAlignment="1">
      <alignment horizontal="right"/>
    </xf>
    <xf numFmtId="0" fontId="10" fillId="0" borderId="54" xfId="0" applyFont="1" applyBorder="1"/>
    <xf numFmtId="0" fontId="11" fillId="0" borderId="18" xfId="0" applyFont="1" applyBorder="1"/>
    <xf numFmtId="178" fontId="25" fillId="0" borderId="68" xfId="0" applyNumberFormat="1" applyFont="1" applyBorder="1" applyAlignment="1">
      <alignment horizontal="right"/>
    </xf>
    <xf numFmtId="0" fontId="4" fillId="0" borderId="1" xfId="0" applyFont="1" applyBorder="1" applyAlignment="1">
      <alignment vertical="center"/>
    </xf>
    <xf numFmtId="0" fontId="23" fillId="0" borderId="46" xfId="0" applyFont="1" applyBorder="1" applyAlignment="1">
      <alignment horizontal="center" vertical="center"/>
    </xf>
    <xf numFmtId="0" fontId="23" fillId="0" borderId="25" xfId="0" applyFont="1" applyBorder="1" applyAlignment="1">
      <alignment horizontal="center" vertical="center"/>
    </xf>
    <xf numFmtId="0" fontId="0" fillId="0" borderId="25" xfId="0" applyBorder="1" applyAlignment="1">
      <alignment horizontal="center" vertical="center"/>
    </xf>
    <xf numFmtId="0" fontId="4" fillId="0" borderId="25" xfId="0" applyFont="1" applyBorder="1" applyAlignment="1">
      <alignment vertical="center" wrapText="1"/>
    </xf>
    <xf numFmtId="166" fontId="0" fillId="0" borderId="0" xfId="8" applyFont="1" applyAlignment="1">
      <alignment vertical="center"/>
    </xf>
    <xf numFmtId="0" fontId="23" fillId="0" borderId="6" xfId="0" applyFont="1" applyBorder="1" applyAlignment="1">
      <alignment horizontal="center" vertical="center"/>
    </xf>
    <xf numFmtId="0" fontId="23" fillId="0" borderId="29" xfId="0" applyFont="1" applyBorder="1" applyAlignment="1">
      <alignment horizontal="center" vertical="center"/>
    </xf>
    <xf numFmtId="0" fontId="23" fillId="0" borderId="4" xfId="0" applyFont="1" applyBorder="1" applyAlignment="1">
      <alignment horizontal="center" vertical="center"/>
    </xf>
    <xf numFmtId="0" fontId="0" fillId="0" borderId="4" xfId="0" applyBorder="1" applyAlignment="1">
      <alignment horizontal="center" vertical="center"/>
    </xf>
    <xf numFmtId="0" fontId="0" fillId="0" borderId="4" xfId="0" applyBorder="1" applyAlignment="1">
      <alignment vertical="center" wrapText="1"/>
    </xf>
    <xf numFmtId="166" fontId="0" fillId="0" borderId="4" xfId="8" applyFont="1" applyBorder="1" applyAlignment="1">
      <alignment vertical="center"/>
    </xf>
    <xf numFmtId="0" fontId="23" fillId="0" borderId="13" xfId="0" applyFont="1" applyBorder="1" applyAlignment="1">
      <alignment horizontal="center" vertical="center"/>
    </xf>
    <xf numFmtId="0" fontId="23" fillId="0" borderId="106" xfId="0" applyFont="1" applyBorder="1" applyAlignment="1">
      <alignment horizontal="center" vertical="center"/>
    </xf>
    <xf numFmtId="0" fontId="23" fillId="0" borderId="22" xfId="0" applyFont="1" applyBorder="1" applyAlignment="1">
      <alignment horizontal="center" vertical="center"/>
    </xf>
    <xf numFmtId="0" fontId="0" fillId="0" borderId="22" xfId="0" applyBorder="1" applyAlignment="1">
      <alignment horizontal="center" vertical="center"/>
    </xf>
    <xf numFmtId="0" fontId="0" fillId="0" borderId="22" xfId="0" applyBorder="1" applyAlignment="1">
      <alignment vertical="center" wrapText="1"/>
    </xf>
    <xf numFmtId="0" fontId="23" fillId="0" borderId="10" xfId="0" applyFont="1" applyBorder="1" applyAlignment="1">
      <alignment horizontal="center" vertical="center"/>
    </xf>
    <xf numFmtId="0" fontId="10" fillId="0" borderId="4" xfId="0" applyFont="1" applyBorder="1" applyAlignment="1">
      <alignment horizontal="center" vertical="center"/>
    </xf>
    <xf numFmtId="1" fontId="0" fillId="0" borderId="4" xfId="0" applyNumberFormat="1" applyBorder="1" applyAlignment="1">
      <alignment wrapText="1"/>
    </xf>
    <xf numFmtId="0" fontId="10" fillId="0" borderId="13" xfId="0" applyFont="1" applyBorder="1" applyAlignment="1">
      <alignment horizontal="center" vertical="center"/>
    </xf>
    <xf numFmtId="0" fontId="10" fillId="0" borderId="29" xfId="0" applyFont="1" applyBorder="1" applyAlignment="1">
      <alignment horizontal="center" vertical="center"/>
    </xf>
    <xf numFmtId="0" fontId="4" fillId="0" borderId="4" xfId="0" applyFont="1" applyBorder="1" applyAlignment="1">
      <alignment horizontal="center" vertical="center"/>
    </xf>
    <xf numFmtId="0" fontId="4" fillId="0" borderId="4" xfId="0" applyFont="1" applyBorder="1" applyAlignment="1">
      <alignment vertical="center" wrapText="1"/>
    </xf>
    <xf numFmtId="0" fontId="0" fillId="0" borderId="4" xfId="14" applyFont="1" applyBorder="1" applyAlignment="1">
      <alignment horizontal="center" vertical="center" wrapText="1"/>
    </xf>
    <xf numFmtId="0" fontId="4" fillId="0" borderId="4" xfId="0" applyFont="1" applyBorder="1" applyAlignment="1">
      <alignment horizontal="center" vertical="center" wrapText="1"/>
    </xf>
    <xf numFmtId="0" fontId="4" fillId="0" borderId="4" xfId="14" applyBorder="1" applyAlignment="1">
      <alignment horizontal="center" vertical="center" wrapText="1"/>
    </xf>
    <xf numFmtId="0" fontId="4" fillId="0" borderId="22" xfId="0" applyFont="1" applyBorder="1" applyAlignment="1">
      <alignment horizontal="center" vertical="center"/>
    </xf>
    <xf numFmtId="179" fontId="23" fillId="0" borderId="0" xfId="0" applyNumberFormat="1" applyFont="1" applyAlignment="1">
      <alignment horizontal="center" vertical="center"/>
    </xf>
    <xf numFmtId="3" fontId="0" fillId="0" borderId="0" xfId="0" applyNumberFormat="1"/>
    <xf numFmtId="0" fontId="0" fillId="0" borderId="7" xfId="0" applyBorder="1" applyAlignment="1">
      <alignment vertical="center"/>
    </xf>
    <xf numFmtId="0" fontId="23" fillId="0" borderId="42" xfId="0" applyFont="1" applyBorder="1" applyAlignment="1">
      <alignment horizontal="center" vertical="center"/>
    </xf>
    <xf numFmtId="0" fontId="23" fillId="0" borderId="43" xfId="0" applyFont="1" applyBorder="1" applyAlignment="1">
      <alignment horizontal="center" vertical="center"/>
    </xf>
    <xf numFmtId="0" fontId="0" fillId="0" borderId="43" xfId="0" applyBorder="1" applyAlignment="1">
      <alignment horizontal="center" vertical="center"/>
    </xf>
    <xf numFmtId="0" fontId="27" fillId="0" borderId="43" xfId="14" applyFont="1" applyBorder="1" applyAlignment="1">
      <alignment horizontal="right" vertical="center" wrapText="1"/>
    </xf>
    <xf numFmtId="0" fontId="23" fillId="0" borderId="33" xfId="0" applyFont="1" applyBorder="1" applyAlignment="1">
      <alignment horizontal="center" vertical="center"/>
    </xf>
    <xf numFmtId="0" fontId="23" fillId="0" borderId="90" xfId="14" applyFont="1" applyBorder="1" applyAlignment="1">
      <alignment horizontal="center" vertical="center"/>
    </xf>
    <xf numFmtId="173" fontId="23" fillId="0" borderId="90" xfId="0" applyNumberFormat="1" applyFont="1" applyBorder="1" applyAlignment="1">
      <alignment vertical="center"/>
    </xf>
    <xf numFmtId="0" fontId="4" fillId="0" borderId="0" xfId="15" applyAlignment="1">
      <alignment vertical="center" wrapText="1"/>
    </xf>
    <xf numFmtId="167" fontId="4" fillId="0" borderId="0" xfId="15" applyNumberFormat="1" applyAlignment="1">
      <alignment horizontal="left" vertical="center"/>
    </xf>
    <xf numFmtId="2" fontId="23" fillId="0" borderId="95" xfId="1" applyNumberFormat="1" applyFont="1" applyFill="1" applyBorder="1" applyAlignment="1">
      <alignment horizontal="right" vertical="center"/>
    </xf>
    <xf numFmtId="0" fontId="4" fillId="0" borderId="14" xfId="9" applyBorder="1"/>
    <xf numFmtId="0" fontId="4" fillId="0" borderId="15" xfId="9" applyBorder="1"/>
    <xf numFmtId="0" fontId="4" fillId="0" borderId="16" xfId="9" applyBorder="1"/>
    <xf numFmtId="0" fontId="4" fillId="0" borderId="17" xfId="9" applyBorder="1"/>
    <xf numFmtId="0" fontId="32" fillId="0" borderId="7" xfId="9" applyFont="1" applyBorder="1" applyAlignment="1">
      <alignment vertical="top"/>
    </xf>
    <xf numFmtId="0" fontId="32" fillId="0" borderId="7" xfId="9" applyFont="1" applyBorder="1"/>
    <xf numFmtId="0" fontId="4" fillId="0" borderId="9" xfId="9" applyBorder="1"/>
    <xf numFmtId="0" fontId="4" fillId="0" borderId="19" xfId="9" applyBorder="1"/>
    <xf numFmtId="0" fontId="46" fillId="0" borderId="13" xfId="9" applyFont="1" applyBorder="1" applyAlignment="1">
      <alignment horizontal="center"/>
    </xf>
    <xf numFmtId="0" fontId="46" fillId="0" borderId="3" xfId="9" applyFont="1" applyBorder="1" applyAlignment="1">
      <alignment horizontal="center"/>
    </xf>
    <xf numFmtId="0" fontId="32" fillId="16" borderId="4" xfId="9" applyFont="1" applyFill="1" applyBorder="1" applyAlignment="1">
      <alignment horizontal="center" vertical="center"/>
    </xf>
    <xf numFmtId="0" fontId="32" fillId="0" borderId="3" xfId="9" applyFont="1" applyBorder="1" applyAlignment="1">
      <alignment horizontal="left" vertical="center"/>
    </xf>
    <xf numFmtId="0" fontId="32" fillId="12" borderId="4" xfId="9" applyFont="1" applyFill="1" applyBorder="1" applyAlignment="1">
      <alignment horizontal="center"/>
    </xf>
    <xf numFmtId="0" fontId="32" fillId="0" borderId="4" xfId="9" applyFont="1" applyBorder="1" applyAlignment="1">
      <alignment vertical="center"/>
    </xf>
    <xf numFmtId="0" fontId="32" fillId="13" borderId="4" xfId="9" applyFont="1" applyFill="1" applyBorder="1" applyAlignment="1">
      <alignment horizontal="center"/>
    </xf>
    <xf numFmtId="0" fontId="32" fillId="17" borderId="4" xfId="9" applyFont="1" applyFill="1" applyBorder="1" applyAlignment="1">
      <alignment horizontal="center"/>
    </xf>
    <xf numFmtId="0" fontId="32" fillId="14" borderId="4" xfId="9" applyFont="1" applyFill="1" applyBorder="1" applyAlignment="1">
      <alignment horizontal="center"/>
    </xf>
    <xf numFmtId="0" fontId="27" fillId="0" borderId="0" xfId="17" applyFont="1" applyAlignment="1">
      <alignment horizontal="center"/>
    </xf>
    <xf numFmtId="0" fontId="27" fillId="0" borderId="0" xfId="17" applyFont="1"/>
    <xf numFmtId="0" fontId="24" fillId="0" borderId="0" xfId="17" applyFont="1" applyAlignment="1">
      <alignment horizontal="center"/>
    </xf>
    <xf numFmtId="0" fontId="4" fillId="0" borderId="0" xfId="9" applyAlignment="1">
      <alignment vertical="center"/>
    </xf>
    <xf numFmtId="0" fontId="23" fillId="0" borderId="0" xfId="9" applyFont="1"/>
    <xf numFmtId="0" fontId="4" fillId="0" borderId="29" xfId="9" applyBorder="1" applyAlignment="1">
      <alignment horizontal="center" vertical="center"/>
    </xf>
    <xf numFmtId="0" fontId="4" fillId="0" borderId="4" xfId="9" applyBorder="1" applyAlignment="1">
      <alignment horizontal="center" vertical="center"/>
    </xf>
    <xf numFmtId="0" fontId="23" fillId="0" borderId="4" xfId="9" applyFont="1" applyBorder="1" applyAlignment="1">
      <alignment horizontal="center" vertical="center" wrapText="1"/>
    </xf>
    <xf numFmtId="0" fontId="23" fillId="0" borderId="4" xfId="9" applyFont="1" applyBorder="1" applyAlignment="1">
      <alignment horizontal="center" vertical="center"/>
    </xf>
    <xf numFmtId="0" fontId="4" fillId="0" borderId="43" xfId="9" applyBorder="1" applyAlignment="1">
      <alignment horizontal="center" vertical="center"/>
    </xf>
    <xf numFmtId="0" fontId="23" fillId="0" borderId="18" xfId="9" applyFont="1" applyBorder="1" applyAlignment="1">
      <alignment horizontal="center" vertical="center"/>
    </xf>
    <xf numFmtId="0" fontId="23" fillId="0" borderId="43" xfId="9" applyFont="1" applyBorder="1" applyAlignment="1">
      <alignment horizontal="center" vertical="center" wrapText="1"/>
    </xf>
    <xf numFmtId="0" fontId="4" fillId="0" borderId="0" xfId="9" applyAlignment="1">
      <alignment horizontal="center" vertical="center"/>
    </xf>
    <xf numFmtId="0" fontId="23" fillId="0" borderId="0" xfId="9" applyFont="1" applyAlignment="1">
      <alignment horizontal="center" vertical="center"/>
    </xf>
    <xf numFmtId="0" fontId="23" fillId="0" borderId="0" xfId="9" applyFont="1" applyAlignment="1">
      <alignment horizontal="center" vertical="center" wrapText="1"/>
    </xf>
    <xf numFmtId="0" fontId="23" fillId="0" borderId="0" xfId="9" applyFont="1" applyAlignment="1">
      <alignment horizontal="left" vertical="center" wrapText="1"/>
    </xf>
    <xf numFmtId="0" fontId="63" fillId="0" borderId="0" xfId="9" applyFont="1" applyAlignment="1">
      <alignment horizontal="center" vertical="center"/>
    </xf>
    <xf numFmtId="0" fontId="4" fillId="0" borderId="0" xfId="9" applyAlignment="1">
      <alignment horizontal="left" vertical="justify"/>
    </xf>
    <xf numFmtId="0" fontId="4" fillId="0" borderId="0" xfId="9" applyAlignment="1">
      <alignment horizontal="right"/>
    </xf>
    <xf numFmtId="0" fontId="59" fillId="0" borderId="4" xfId="0" applyFont="1" applyBorder="1" applyAlignment="1">
      <alignment horizontal="center" vertical="center"/>
    </xf>
    <xf numFmtId="0" fontId="4" fillId="0" borderId="25" xfId="0" applyFont="1" applyBorder="1" applyAlignment="1">
      <alignment horizontal="center" vertical="center"/>
    </xf>
    <xf numFmtId="0" fontId="4" fillId="0" borderId="4" xfId="14" applyBorder="1" applyAlignment="1">
      <alignment horizontal="center" vertical="center"/>
    </xf>
    <xf numFmtId="0" fontId="0" fillId="0" borderId="22" xfId="14" applyFont="1" applyBorder="1" applyAlignment="1">
      <alignment horizontal="center" vertical="center"/>
    </xf>
    <xf numFmtId="1" fontId="0" fillId="0" borderId="22" xfId="0" applyNumberFormat="1" applyBorder="1" applyAlignment="1">
      <alignment wrapText="1"/>
    </xf>
    <xf numFmtId="0" fontId="10" fillId="0" borderId="107" xfId="0" applyFont="1" applyBorder="1" applyAlignment="1">
      <alignment horizontal="center" vertical="center"/>
    </xf>
    <xf numFmtId="0" fontId="4" fillId="0" borderId="22" xfId="14" applyBorder="1" applyAlignment="1">
      <alignment horizontal="center" vertical="center"/>
    </xf>
    <xf numFmtId="0" fontId="10" fillId="0" borderId="22" xfId="0" applyFont="1" applyBorder="1" applyAlignment="1">
      <alignment horizontal="center" vertical="center"/>
    </xf>
    <xf numFmtId="0" fontId="11" fillId="12" borderId="4" xfId="0" applyFont="1" applyFill="1" applyBorder="1" applyAlignment="1">
      <alignment horizontal="center" vertical="center"/>
    </xf>
    <xf numFmtId="0" fontId="20" fillId="0" borderId="4" xfId="0" applyFont="1" applyBorder="1" applyAlignment="1">
      <alignment horizontal="left" vertical="center"/>
    </xf>
    <xf numFmtId="0" fontId="20" fillId="0" borderId="4" xfId="0" applyFont="1" applyBorder="1" applyAlignment="1">
      <alignment horizontal="center" vertical="center"/>
    </xf>
    <xf numFmtId="168" fontId="20" fillId="0" borderId="4" xfId="11" applyNumberFormat="1" applyFont="1" applyBorder="1" applyAlignment="1">
      <alignment horizontal="center" vertical="center"/>
    </xf>
    <xf numFmtId="0" fontId="20" fillId="0" borderId="4" xfId="11" applyFont="1" applyBorder="1" applyAlignment="1">
      <alignment horizontal="center" vertical="center"/>
    </xf>
    <xf numFmtId="0" fontId="27" fillId="0" borderId="4" xfId="0" applyFont="1" applyBorder="1" applyAlignment="1">
      <alignment horizontal="center" vertical="center"/>
    </xf>
    <xf numFmtId="0" fontId="27" fillId="0" borderId="4" xfId="0" applyFont="1" applyBorder="1" applyAlignment="1">
      <alignment horizontal="center"/>
    </xf>
    <xf numFmtId="0" fontId="11" fillId="13" borderId="4" xfId="0" applyFont="1" applyFill="1" applyBorder="1" applyAlignment="1">
      <alignment horizontal="center" vertical="center"/>
    </xf>
    <xf numFmtId="49" fontId="23" fillId="0" borderId="4" xfId="0" applyNumberFormat="1" applyFont="1" applyBorder="1" applyAlignment="1">
      <alignment horizontal="left" vertical="center" wrapText="1"/>
    </xf>
    <xf numFmtId="0" fontId="23" fillId="0" borderId="4" xfId="11" applyFont="1" applyBorder="1" applyAlignment="1">
      <alignment horizontal="center" vertical="center"/>
    </xf>
    <xf numFmtId="0" fontId="11" fillId="18" borderId="4" xfId="0" applyFont="1" applyFill="1" applyBorder="1" applyAlignment="1">
      <alignment horizontal="center" vertical="center"/>
    </xf>
    <xf numFmtId="0" fontId="11" fillId="14" borderId="4" xfId="0" applyFont="1" applyFill="1" applyBorder="1" applyAlignment="1">
      <alignment horizontal="center" vertical="center"/>
    </xf>
    <xf numFmtId="0" fontId="27" fillId="14" borderId="4" xfId="0" applyFont="1" applyFill="1" applyBorder="1" applyAlignment="1">
      <alignment horizontal="center"/>
    </xf>
    <xf numFmtId="0" fontId="27" fillId="13" borderId="4" xfId="0" applyFont="1" applyFill="1" applyBorder="1" applyAlignment="1">
      <alignment horizontal="center"/>
    </xf>
    <xf numFmtId="0" fontId="23" fillId="0" borderId="4" xfId="0" applyFont="1" applyBorder="1" applyAlignment="1">
      <alignment horizontal="left" vertical="center" wrapText="1"/>
    </xf>
    <xf numFmtId="0" fontId="64" fillId="13" borderId="4" xfId="0" applyFont="1" applyFill="1" applyBorder="1" applyAlignment="1">
      <alignment horizontal="center"/>
    </xf>
    <xf numFmtId="0" fontId="23" fillId="0" borderId="29" xfId="18" applyFont="1" applyBorder="1" applyAlignment="1">
      <alignment horizontal="center" vertical="center" wrapText="1"/>
    </xf>
    <xf numFmtId="0" fontId="23" fillId="0" borderId="4" xfId="18" applyFont="1" applyBorder="1" applyAlignment="1">
      <alignment horizontal="center" vertical="center" wrapText="1"/>
    </xf>
    <xf numFmtId="49" fontId="23" fillId="0" borderId="4" xfId="18" applyNumberFormat="1" applyFont="1" applyBorder="1" applyAlignment="1">
      <alignment horizontal="center" vertical="center"/>
    </xf>
    <xf numFmtId="0" fontId="23" fillId="0" borderId="4" xfId="18" applyFont="1" applyBorder="1" applyAlignment="1">
      <alignment vertical="center"/>
    </xf>
    <xf numFmtId="0" fontId="23" fillId="0" borderId="4" xfId="18" applyFont="1" applyBorder="1" applyAlignment="1">
      <alignment horizontal="center" vertical="center"/>
    </xf>
    <xf numFmtId="0" fontId="23" fillId="0" borderId="4" xfId="18" applyFont="1" applyBorder="1" applyAlignment="1">
      <alignment vertical="center" wrapText="1"/>
    </xf>
    <xf numFmtId="0" fontId="23" fillId="0" borderId="4" xfId="18" applyFont="1" applyBorder="1" applyAlignment="1">
      <alignment horizontal="justify" vertical="center" wrapText="1"/>
    </xf>
    <xf numFmtId="0" fontId="23" fillId="0" borderId="20" xfId="18" applyFont="1" applyBorder="1" applyAlignment="1">
      <alignment vertical="center" wrapText="1"/>
    </xf>
    <xf numFmtId="166" fontId="23" fillId="0" borderId="4" xfId="8" applyFont="1" applyBorder="1" applyAlignment="1">
      <alignment vertical="center" wrapText="1"/>
    </xf>
    <xf numFmtId="0" fontId="5" fillId="0" borderId="4" xfId="0" applyFont="1" applyBorder="1" applyAlignment="1">
      <alignment horizontal="center" vertical="center"/>
    </xf>
    <xf numFmtId="0" fontId="5" fillId="0" borderId="4" xfId="7" applyNumberFormat="1" applyFont="1" applyBorder="1" applyAlignment="1" applyProtection="1">
      <alignment horizontal="center" vertical="center"/>
      <protection locked="0"/>
    </xf>
    <xf numFmtId="0" fontId="5" fillId="0" borderId="4" xfId="0" applyFont="1" applyBorder="1" applyAlignment="1">
      <alignment vertical="center" wrapText="1"/>
    </xf>
    <xf numFmtId="0" fontId="4" fillId="0" borderId="29" xfId="0" applyFont="1" applyBorder="1" applyAlignment="1">
      <alignment vertical="center"/>
    </xf>
    <xf numFmtId="166" fontId="27" fillId="0" borderId="51" xfId="8" applyFont="1" applyBorder="1" applyAlignment="1">
      <alignment horizontal="center" vertical="center" wrapText="1"/>
    </xf>
    <xf numFmtId="0" fontId="4" fillId="0" borderId="20" xfId="0" applyFont="1" applyBorder="1" applyAlignment="1">
      <alignment vertical="center"/>
    </xf>
    <xf numFmtId="4" fontId="23" fillId="0" borderId="0" xfId="18" applyNumberFormat="1" applyFont="1" applyAlignment="1">
      <alignment horizontal="center" vertical="center" wrapText="1"/>
    </xf>
    <xf numFmtId="0" fontId="0" fillId="0" borderId="29" xfId="0" applyBorder="1" applyAlignment="1">
      <alignment horizontal="center"/>
    </xf>
    <xf numFmtId="164" fontId="0" fillId="0" borderId="20" xfId="5" applyFont="1" applyBorder="1" applyAlignment="1">
      <alignment horizontal="center"/>
    </xf>
    <xf numFmtId="0" fontId="0" fillId="0" borderId="3" xfId="0" applyBorder="1" applyAlignment="1">
      <alignment horizontal="center" vertical="center"/>
    </xf>
    <xf numFmtId="0" fontId="0" fillId="0" borderId="20" xfId="0" applyBorder="1" applyAlignment="1">
      <alignment horizontal="center" vertical="center"/>
    </xf>
    <xf numFmtId="0" fontId="0" fillId="0" borderId="29" xfId="0" applyBorder="1" applyAlignment="1">
      <alignment horizontal="center" vertical="center"/>
    </xf>
    <xf numFmtId="0" fontId="0" fillId="0" borderId="31" xfId="0" applyBorder="1" applyAlignment="1">
      <alignment horizontal="center" vertical="center"/>
    </xf>
    <xf numFmtId="0" fontId="0" fillId="0" borderId="13" xfId="0" applyBorder="1" applyAlignment="1">
      <alignment horizontal="center" vertical="center"/>
    </xf>
    <xf numFmtId="0" fontId="23" fillId="0" borderId="48" xfId="0" applyFont="1" applyBorder="1" applyAlignment="1">
      <alignment horizontal="center"/>
    </xf>
    <xf numFmtId="49" fontId="74" fillId="0" borderId="48" xfId="0" applyNumberFormat="1" applyFont="1" applyBorder="1" applyAlignment="1">
      <alignment horizontal="center" vertical="center"/>
    </xf>
    <xf numFmtId="0" fontId="74" fillId="0" borderId="23" xfId="0" applyFont="1" applyBorder="1" applyAlignment="1">
      <alignment horizontal="center" vertical="center"/>
    </xf>
    <xf numFmtId="3" fontId="23" fillId="0" borderId="29" xfId="0" applyNumberFormat="1" applyFont="1" applyBorder="1" applyAlignment="1">
      <alignment horizontal="center"/>
    </xf>
    <xf numFmtId="3" fontId="23" fillId="0" borderId="4" xfId="0" applyNumberFormat="1" applyFont="1" applyBorder="1" applyAlignment="1">
      <alignment horizontal="center"/>
    </xf>
    <xf numFmtId="3" fontId="23" fillId="0" borderId="20" xfId="0" applyNumberFormat="1" applyFont="1" applyBorder="1" applyAlignment="1">
      <alignment horizontal="center"/>
    </xf>
    <xf numFmtId="3" fontId="23" fillId="0" borderId="3" xfId="0" applyNumberFormat="1" applyFont="1" applyBorder="1" applyAlignment="1">
      <alignment horizontal="center"/>
    </xf>
    <xf numFmtId="3" fontId="23" fillId="0" borderId="13" xfId="0" applyNumberFormat="1" applyFont="1" applyBorder="1" applyAlignment="1">
      <alignment horizontal="center"/>
    </xf>
    <xf numFmtId="3" fontId="69" fillId="0" borderId="0" xfId="0" applyNumberFormat="1" applyFont="1" applyAlignment="1">
      <alignment horizontal="center"/>
    </xf>
    <xf numFmtId="0" fontId="69" fillId="0" borderId="0" xfId="0" applyFont="1" applyAlignment="1">
      <alignment horizontal="center"/>
    </xf>
    <xf numFmtId="0" fontId="75" fillId="0" borderId="0" xfId="0" applyFont="1"/>
    <xf numFmtId="0" fontId="4" fillId="4" borderId="1" xfId="0" applyFont="1" applyFill="1" applyBorder="1"/>
    <xf numFmtId="17" fontId="0" fillId="0" borderId="4" xfId="0" applyNumberFormat="1" applyBorder="1"/>
    <xf numFmtId="0" fontId="4" fillId="0" borderId="46" xfId="0" applyFont="1" applyBorder="1"/>
    <xf numFmtId="0" fontId="4" fillId="0" borderId="46" xfId="0" applyFont="1" applyBorder="1" applyAlignment="1">
      <alignment horizontal="center" vertical="center"/>
    </xf>
    <xf numFmtId="0" fontId="4" fillId="0" borderId="3" xfId="0" applyFont="1" applyBorder="1"/>
    <xf numFmtId="0" fontId="4" fillId="0" borderId="2" xfId="0" applyFont="1" applyBorder="1"/>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5" fillId="0" borderId="4" xfId="0" applyFont="1" applyBorder="1" applyAlignment="1">
      <alignment horizontal="center" vertical="justify"/>
    </xf>
    <xf numFmtId="167" fontId="5" fillId="0" borderId="4" xfId="4" applyNumberFormat="1" applyFont="1" applyBorder="1" applyAlignment="1">
      <alignment horizontal="center" vertical="justify"/>
    </xf>
    <xf numFmtId="0" fontId="5" fillId="0" borderId="13" xfId="0" applyFont="1" applyBorder="1" applyAlignment="1">
      <alignment horizontal="center" vertical="justify"/>
    </xf>
    <xf numFmtId="0" fontId="66" fillId="0" borderId="4" xfId="2" applyBorder="1" applyAlignment="1" applyProtection="1">
      <alignment horizontal="center" vertical="justify"/>
    </xf>
    <xf numFmtId="49" fontId="5" fillId="0" borderId="4" xfId="4" applyNumberFormat="1" applyFont="1" applyBorder="1" applyAlignment="1">
      <alignment horizontal="center" vertical="justify"/>
    </xf>
    <xf numFmtId="0" fontId="5" fillId="0" borderId="3" xfId="0" applyFont="1" applyBorder="1" applyAlignment="1">
      <alignment horizontal="center" vertical="justify"/>
    </xf>
    <xf numFmtId="15" fontId="32" fillId="0" borderId="25" xfId="0" applyNumberFormat="1" applyFont="1" applyBorder="1" applyAlignment="1">
      <alignment horizontal="center"/>
    </xf>
    <xf numFmtId="15" fontId="32" fillId="0" borderId="53" xfId="0" applyNumberFormat="1" applyFont="1" applyBorder="1" applyAlignment="1">
      <alignment horizontal="center"/>
    </xf>
    <xf numFmtId="166" fontId="46" fillId="0" borderId="55" xfId="8" applyFont="1" applyBorder="1"/>
    <xf numFmtId="0" fontId="31" fillId="0" borderId="58" xfId="15" applyFont="1" applyBorder="1" applyAlignment="1">
      <alignment vertical="center" wrapText="1"/>
    </xf>
    <xf numFmtId="0" fontId="23" fillId="19" borderId="0" xfId="15" applyFont="1" applyFill="1" applyAlignment="1">
      <alignment horizontal="center" vertical="center"/>
    </xf>
    <xf numFmtId="0" fontId="23" fillId="19" borderId="0" xfId="15" applyFont="1" applyFill="1" applyAlignment="1">
      <alignment vertical="center"/>
    </xf>
    <xf numFmtId="0" fontId="5" fillId="19" borderId="0" xfId="15" applyFont="1" applyFill="1" applyAlignment="1">
      <alignment horizontal="center" vertical="center"/>
    </xf>
    <xf numFmtId="0" fontId="5" fillId="19" borderId="0" xfId="1" applyNumberFormat="1" applyFont="1" applyFill="1" applyBorder="1" applyAlignment="1"/>
    <xf numFmtId="0" fontId="5" fillId="19" borderId="92" xfId="1" applyNumberFormat="1" applyFont="1" applyFill="1" applyBorder="1" applyAlignment="1">
      <alignment horizontal="right"/>
    </xf>
    <xf numFmtId="0" fontId="4" fillId="19" borderId="0" xfId="15" applyFill="1" applyAlignment="1">
      <alignment horizontal="center" vertical="center"/>
    </xf>
    <xf numFmtId="0" fontId="4" fillId="19" borderId="0" xfId="15" applyFill="1" applyAlignment="1">
      <alignment vertical="center"/>
    </xf>
    <xf numFmtId="0" fontId="5" fillId="19" borderId="0" xfId="1" applyNumberFormat="1" applyFont="1" applyFill="1" applyBorder="1" applyAlignment="1">
      <alignment horizontal="right"/>
    </xf>
    <xf numFmtId="0" fontId="10" fillId="0" borderId="20" xfId="0" applyFont="1" applyBorder="1" applyAlignment="1">
      <alignment horizontal="center" vertical="center"/>
    </xf>
    <xf numFmtId="1" fontId="4" fillId="0" borderId="4" xfId="0" applyNumberFormat="1" applyFont="1" applyBorder="1" applyAlignment="1">
      <alignment vertical="center" wrapText="1"/>
    </xf>
    <xf numFmtId="1" fontId="0" fillId="0" borderId="0" xfId="0" applyNumberFormat="1"/>
    <xf numFmtId="1" fontId="4" fillId="0" borderId="4" xfId="0" applyNumberFormat="1" applyFont="1" applyBorder="1" applyAlignment="1">
      <alignment wrapText="1"/>
    </xf>
    <xf numFmtId="1" fontId="4" fillId="0" borderId="22" xfId="0" applyNumberFormat="1" applyFont="1" applyBorder="1" applyAlignment="1">
      <alignment wrapText="1"/>
    </xf>
    <xf numFmtId="2" fontId="4" fillId="0" borderId="4" xfId="0" applyNumberFormat="1" applyFont="1" applyBorder="1" applyAlignment="1">
      <alignment horizontal="center"/>
    </xf>
    <xf numFmtId="15" fontId="0" fillId="0" borderId="29" xfId="0" applyNumberFormat="1" applyBorder="1" applyAlignment="1">
      <alignment horizontal="center" vertical="center" wrapText="1"/>
    </xf>
    <xf numFmtId="0" fontId="0" fillId="0" borderId="12" xfId="0" applyBorder="1" applyAlignment="1">
      <alignment horizontal="center" vertical="center" wrapText="1"/>
    </xf>
    <xf numFmtId="0" fontId="32" fillId="0" borderId="13" xfId="0" applyFont="1" applyBorder="1" applyAlignment="1">
      <alignment horizontal="center"/>
    </xf>
    <xf numFmtId="0" fontId="32" fillId="0" borderId="3" xfId="0" applyFont="1" applyBorder="1" applyAlignment="1">
      <alignment horizontal="center"/>
    </xf>
    <xf numFmtId="0" fontId="66" fillId="0" borderId="8" xfId="2" applyBorder="1" applyAlignment="1" applyProtection="1">
      <alignment horizontal="center"/>
    </xf>
    <xf numFmtId="0" fontId="4" fillId="0" borderId="25" xfId="11" applyBorder="1" applyAlignment="1">
      <alignment horizontal="center"/>
    </xf>
    <xf numFmtId="0" fontId="4" fillId="0" borderId="4" xfId="11" applyBorder="1" applyAlignment="1">
      <alignment horizontal="center"/>
    </xf>
    <xf numFmtId="0" fontId="4" fillId="0" borderId="0" xfId="0" applyFont="1" applyAlignment="1">
      <alignment horizontal="centerContinuous"/>
    </xf>
    <xf numFmtId="0" fontId="27" fillId="0" borderId="0" xfId="13" applyFont="1" applyFill="1"/>
    <xf numFmtId="0" fontId="27" fillId="0" borderId="0" xfId="11" applyFont="1"/>
    <xf numFmtId="49" fontId="27" fillId="0" borderId="1" xfId="11" applyNumberFormat="1" applyFont="1" applyBorder="1" applyAlignment="1">
      <alignment horizontal="left"/>
    </xf>
    <xf numFmtId="0" fontId="27" fillId="0" borderId="1" xfId="11" applyFont="1" applyBorder="1" applyAlignment="1">
      <alignment horizontal="left"/>
    </xf>
    <xf numFmtId="0" fontId="27" fillId="0" borderId="1" xfId="13" applyFont="1" applyFill="1" applyBorder="1" applyAlignment="1">
      <alignment horizontal="left"/>
    </xf>
    <xf numFmtId="0" fontId="27" fillId="0" borderId="1" xfId="11" applyFont="1" applyBorder="1"/>
    <xf numFmtId="0" fontId="23" fillId="0" borderId="1" xfId="11" applyFont="1" applyBorder="1"/>
    <xf numFmtId="49" fontId="27" fillId="0" borderId="0" xfId="0" applyNumberFormat="1" applyFont="1" applyAlignment="1">
      <alignment horizontal="center"/>
    </xf>
    <xf numFmtId="49" fontId="27" fillId="0" borderId="1" xfId="0" applyNumberFormat="1" applyFont="1" applyBorder="1" applyAlignment="1">
      <alignment horizontal="center"/>
    </xf>
    <xf numFmtId="0" fontId="4" fillId="0" borderId="1" xfId="0" applyFont="1" applyBorder="1" applyAlignment="1">
      <alignment horizontal="centerContinuous"/>
    </xf>
    <xf numFmtId="0" fontId="23" fillId="0" borderId="0" xfId="0" applyFont="1" applyAlignment="1">
      <alignment horizontal="left"/>
    </xf>
    <xf numFmtId="0" fontId="23" fillId="0" borderId="14" xfId="0" applyFont="1" applyBorder="1" applyAlignment="1">
      <alignment horizontal="centerContinuous"/>
    </xf>
    <xf numFmtId="0" fontId="28" fillId="0" borderId="15" xfId="0" applyFont="1" applyBorder="1" applyAlignment="1">
      <alignment horizontal="right"/>
    </xf>
    <xf numFmtId="0" fontId="29" fillId="0" borderId="15" xfId="0" applyFont="1" applyBorder="1" applyAlignment="1">
      <alignment horizontal="left"/>
    </xf>
    <xf numFmtId="0" fontId="5" fillId="0" borderId="15" xfId="0" applyFont="1" applyBorder="1" applyAlignment="1">
      <alignment horizontal="centerContinuous"/>
    </xf>
    <xf numFmtId="0" fontId="23" fillId="0" borderId="15" xfId="0" applyFont="1" applyBorder="1" applyAlignment="1">
      <alignment horizontal="centerContinuous"/>
    </xf>
    <xf numFmtId="0" fontId="23" fillId="0" borderId="7" xfId="0" applyFont="1" applyBorder="1" applyAlignment="1">
      <alignment horizontal="centerContinuous"/>
    </xf>
    <xf numFmtId="0" fontId="23" fillId="0" borderId="9" xfId="0" applyFont="1" applyBorder="1" applyAlignment="1">
      <alignment horizontal="centerContinuous"/>
    </xf>
    <xf numFmtId="0" fontId="23" fillId="0" borderId="18" xfId="0" applyFont="1" applyBorder="1" applyAlignment="1">
      <alignment horizontal="centerContinuous"/>
    </xf>
    <xf numFmtId="0" fontId="23" fillId="0" borderId="18" xfId="0" applyFont="1" applyBorder="1" applyAlignment="1">
      <alignment horizontal="left"/>
    </xf>
    <xf numFmtId="0" fontId="0" fillId="0" borderId="5" xfId="0" applyBorder="1" applyAlignment="1">
      <alignment horizontal="centerContinuous"/>
    </xf>
    <xf numFmtId="0" fontId="5" fillId="0" borderId="14" xfId="0" applyFont="1" applyBorder="1" applyAlignment="1">
      <alignment horizontal="centerContinuous"/>
    </xf>
    <xf numFmtId="49" fontId="5" fillId="0" borderId="7" xfId="0" quotePrefix="1" applyNumberFormat="1" applyFont="1" applyBorder="1" applyAlignment="1">
      <alignment horizontal="left" vertical="center"/>
    </xf>
    <xf numFmtId="49" fontId="5" fillId="0" borderId="0" xfId="0" quotePrefix="1" applyNumberFormat="1" applyFont="1" applyAlignment="1">
      <alignment horizontal="left" vertical="center"/>
    </xf>
    <xf numFmtId="0" fontId="5" fillId="0" borderId="9" xfId="0" applyFont="1" applyBorder="1"/>
    <xf numFmtId="0" fontId="5" fillId="0" borderId="18" xfId="0" applyFont="1" applyBorder="1"/>
    <xf numFmtId="0" fontId="29" fillId="0" borderId="38" xfId="0" applyFont="1" applyBorder="1" applyAlignment="1">
      <alignment horizontal="center"/>
    </xf>
    <xf numFmtId="0" fontId="29" fillId="0" borderId="38" xfId="0" applyFont="1" applyBorder="1"/>
    <xf numFmtId="0" fontId="29" fillId="0" borderId="80" xfId="0" applyFont="1" applyBorder="1"/>
    <xf numFmtId="0" fontId="29" fillId="0" borderId="57" xfId="0" applyFont="1" applyBorder="1"/>
    <xf numFmtId="0" fontId="31" fillId="0" borderId="8" xfId="0" applyFont="1" applyBorder="1" applyAlignment="1">
      <alignment horizontal="left"/>
    </xf>
    <xf numFmtId="0" fontId="31" fillId="0" borderId="0" xfId="0" applyFont="1" applyAlignment="1">
      <alignment horizontal="left"/>
    </xf>
    <xf numFmtId="0" fontId="0" fillId="0" borderId="36" xfId="0" applyBorder="1" applyAlignment="1">
      <alignment horizontal="center"/>
    </xf>
    <xf numFmtId="0" fontId="0" fillId="0" borderId="56" xfId="0" applyBorder="1" applyAlignment="1">
      <alignment horizontal="center"/>
    </xf>
    <xf numFmtId="0" fontId="0" fillId="0" borderId="51" xfId="0" applyBorder="1" applyAlignment="1">
      <alignment horizontal="center"/>
    </xf>
    <xf numFmtId="0" fontId="0" fillId="0" borderId="52" xfId="0" applyBorder="1" applyAlignment="1">
      <alignment horizontal="center"/>
    </xf>
    <xf numFmtId="0" fontId="31" fillId="0" borderId="8" xfId="0" applyFont="1" applyBorder="1" applyAlignment="1">
      <alignment horizontal="left" vertical="center"/>
    </xf>
    <xf numFmtId="0" fontId="31" fillId="0" borderId="0" xfId="0" applyFont="1" applyAlignment="1">
      <alignment horizontal="left" vertical="center"/>
    </xf>
    <xf numFmtId="0" fontId="0" fillId="0" borderId="75" xfId="0" applyBorder="1"/>
    <xf numFmtId="0" fontId="4" fillId="0" borderId="5" xfId="11" applyBorder="1" applyAlignment="1">
      <alignment horizontal="center" textRotation="90"/>
    </xf>
    <xf numFmtId="0" fontId="0" fillId="20" borderId="29" xfId="0" applyFill="1" applyBorder="1" applyAlignment="1">
      <alignment horizontal="center"/>
    </xf>
    <xf numFmtId="0" fontId="0" fillId="20" borderId="4" xfId="0" applyFill="1" applyBorder="1" applyAlignment="1">
      <alignment horizontal="center"/>
    </xf>
    <xf numFmtId="0" fontId="38" fillId="21" borderId="4" xfId="0" applyFont="1" applyFill="1" applyBorder="1" applyAlignment="1">
      <alignment horizontal="center"/>
    </xf>
    <xf numFmtId="0" fontId="31" fillId="13" borderId="4" xfId="0" applyFont="1" applyFill="1" applyBorder="1" applyAlignment="1">
      <alignment horizontal="center"/>
    </xf>
    <xf numFmtId="0" fontId="0" fillId="22" borderId="4" xfId="0" applyFill="1" applyBorder="1" applyAlignment="1">
      <alignment horizontal="center"/>
    </xf>
    <xf numFmtId="0" fontId="0" fillId="14" borderId="4" xfId="0" applyFill="1" applyBorder="1" applyAlignment="1">
      <alignment horizontal="center"/>
    </xf>
    <xf numFmtId="0" fontId="0" fillId="14" borderId="53" xfId="0" applyFill="1" applyBorder="1" applyAlignment="1">
      <alignment horizontal="center"/>
    </xf>
    <xf numFmtId="0" fontId="4" fillId="15" borderId="13" xfId="11" applyFill="1" applyBorder="1" applyAlignment="1">
      <alignment horizontal="center"/>
    </xf>
    <xf numFmtId="0" fontId="4" fillId="0" borderId="12" xfId="11" applyBorder="1" applyAlignment="1">
      <alignment horizontal="center"/>
    </xf>
    <xf numFmtId="0" fontId="4" fillId="0" borderId="115" xfId="11" applyBorder="1" applyAlignment="1">
      <alignment horizontal="center"/>
    </xf>
    <xf numFmtId="0" fontId="4" fillId="0" borderId="13" xfId="11" applyBorder="1" applyAlignment="1">
      <alignment horizontal="center"/>
    </xf>
    <xf numFmtId="0" fontId="4" fillId="0" borderId="31" xfId="11" applyBorder="1" applyAlignment="1">
      <alignment horizontal="center"/>
    </xf>
    <xf numFmtId="171" fontId="4" fillId="0" borderId="4" xfId="11" applyNumberFormat="1" applyBorder="1" applyAlignment="1">
      <alignment horizontal="center" vertical="center"/>
    </xf>
    <xf numFmtId="171" fontId="4" fillId="0" borderId="20" xfId="11" applyNumberFormat="1" applyBorder="1" applyAlignment="1">
      <alignment horizontal="center" vertical="center"/>
    </xf>
    <xf numFmtId="9" fontId="0" fillId="0" borderId="0" xfId="20" applyFont="1"/>
    <xf numFmtId="0" fontId="0" fillId="0" borderId="8" xfId="0" applyBorder="1" applyAlignment="1">
      <alignment horizontal="left" vertical="center"/>
    </xf>
    <xf numFmtId="0" fontId="0" fillId="0" borderId="0" xfId="0" applyAlignment="1">
      <alignment horizontal="left" vertical="center"/>
    </xf>
    <xf numFmtId="0" fontId="38" fillId="0" borderId="0" xfId="0" applyFont="1" applyAlignment="1">
      <alignment horizontal="center"/>
    </xf>
    <xf numFmtId="0" fontId="38" fillId="0" borderId="75" xfId="0" applyFont="1" applyBorder="1" applyAlignment="1">
      <alignment horizontal="center"/>
    </xf>
    <xf numFmtId="0" fontId="38" fillId="0" borderId="8" xfId="0" applyFont="1" applyBorder="1" applyAlignment="1">
      <alignment horizontal="center"/>
    </xf>
    <xf numFmtId="0" fontId="23" fillId="20" borderId="29" xfId="0" applyFont="1" applyFill="1" applyBorder="1" applyAlignment="1">
      <alignment horizontal="center" vertical="center"/>
    </xf>
    <xf numFmtId="0" fontId="23" fillId="20" borderId="4" xfId="0" applyFont="1" applyFill="1" applyBorder="1" applyAlignment="1">
      <alignment horizontal="center" vertical="center"/>
    </xf>
    <xf numFmtId="0" fontId="57" fillId="21" borderId="4" xfId="0" applyFont="1" applyFill="1" applyBorder="1" applyAlignment="1">
      <alignment horizontal="center" vertical="center"/>
    </xf>
    <xf numFmtId="0" fontId="27" fillId="23" borderId="4" xfId="0" applyFont="1" applyFill="1" applyBorder="1" applyAlignment="1">
      <alignment horizontal="center" vertical="center"/>
    </xf>
    <xf numFmtId="0" fontId="23" fillId="22" borderId="4" xfId="0" applyFont="1" applyFill="1" applyBorder="1" applyAlignment="1">
      <alignment horizontal="center" vertical="center"/>
    </xf>
    <xf numFmtId="10" fontId="23" fillId="22" borderId="4" xfId="0" applyNumberFormat="1" applyFont="1" applyFill="1" applyBorder="1" applyAlignment="1">
      <alignment horizontal="center" vertical="center"/>
    </xf>
    <xf numFmtId="0" fontId="23" fillId="14" borderId="4" xfId="0" applyFont="1" applyFill="1" applyBorder="1" applyAlignment="1">
      <alignment horizontal="center" vertical="center"/>
    </xf>
    <xf numFmtId="0" fontId="23" fillId="14" borderId="53" xfId="0" applyFont="1" applyFill="1" applyBorder="1" applyAlignment="1">
      <alignment horizontal="center" vertical="center"/>
    </xf>
    <xf numFmtId="0" fontId="23" fillId="20" borderId="23" xfId="0" applyFont="1" applyFill="1" applyBorder="1" applyAlignment="1">
      <alignment horizontal="center" vertical="center"/>
    </xf>
    <xf numFmtId="0" fontId="27" fillId="13" borderId="4" xfId="0" applyFont="1" applyFill="1" applyBorder="1" applyAlignment="1">
      <alignment horizontal="center" vertical="center"/>
    </xf>
    <xf numFmtId="0" fontId="4" fillId="0" borderId="6" xfId="11" applyBorder="1" applyAlignment="1">
      <alignment horizontal="center"/>
    </xf>
    <xf numFmtId="0" fontId="4" fillId="0" borderId="1" xfId="11" applyBorder="1" applyAlignment="1">
      <alignment horizontal="center" textRotation="90"/>
    </xf>
    <xf numFmtId="0" fontId="4" fillId="0" borderId="77" xfId="11" applyBorder="1" applyAlignment="1">
      <alignment horizontal="center" textRotation="90"/>
    </xf>
    <xf numFmtId="0" fontId="4" fillId="0" borderId="6" xfId="11" applyBorder="1" applyAlignment="1">
      <alignment horizontal="center" textRotation="90"/>
    </xf>
    <xf numFmtId="0" fontId="4" fillId="0" borderId="2" xfId="11" applyBorder="1" applyAlignment="1">
      <alignment horizontal="center"/>
    </xf>
    <xf numFmtId="0" fontId="4" fillId="0" borderId="1" xfId="11" applyBorder="1" applyAlignment="1">
      <alignment horizontal="center"/>
    </xf>
    <xf numFmtId="0" fontId="4" fillId="0" borderId="77" xfId="11" applyBorder="1" applyAlignment="1">
      <alignment horizontal="center"/>
    </xf>
    <xf numFmtId="0" fontId="0" fillId="0" borderId="10" xfId="0" applyBorder="1" applyAlignment="1">
      <alignment horizontal="left" vertical="center"/>
    </xf>
    <xf numFmtId="0" fontId="0" fillId="0" borderId="21" xfId="0" applyBorder="1" applyAlignment="1">
      <alignment horizontal="left" vertical="center"/>
    </xf>
    <xf numFmtId="0" fontId="38" fillId="0" borderId="21" xfId="0" applyFont="1" applyBorder="1" applyAlignment="1">
      <alignment horizontal="center"/>
    </xf>
    <xf numFmtId="0" fontId="38" fillId="0" borderId="116" xfId="0" applyFont="1" applyBorder="1" applyAlignment="1">
      <alignment horizontal="center"/>
    </xf>
    <xf numFmtId="0" fontId="38" fillId="0" borderId="10" xfId="0" applyFont="1" applyBorder="1" applyAlignment="1">
      <alignment horizontal="center"/>
    </xf>
    <xf numFmtId="0" fontId="38" fillId="0" borderId="11" xfId="0" applyFont="1" applyBorder="1" applyAlignment="1">
      <alignment horizontal="center"/>
    </xf>
    <xf numFmtId="0" fontId="23" fillId="20" borderId="46" xfId="0" applyFont="1" applyFill="1" applyBorder="1" applyAlignment="1">
      <alignment horizontal="center" vertical="center"/>
    </xf>
    <xf numFmtId="0" fontId="23" fillId="20" borderId="25" xfId="0" applyFont="1" applyFill="1" applyBorder="1" applyAlignment="1">
      <alignment horizontal="center" vertical="center"/>
    </xf>
    <xf numFmtId="0" fontId="27" fillId="13" borderId="25" xfId="0" applyFont="1" applyFill="1" applyBorder="1" applyAlignment="1">
      <alignment horizontal="center" vertical="center"/>
    </xf>
    <xf numFmtId="0" fontId="23" fillId="22" borderId="25" xfId="0" applyFont="1" applyFill="1" applyBorder="1" applyAlignment="1">
      <alignment horizontal="center" vertical="center"/>
    </xf>
    <xf numFmtId="10" fontId="23" fillId="22" borderId="6" xfId="0" applyNumberFormat="1" applyFont="1" applyFill="1" applyBorder="1" applyAlignment="1">
      <alignment horizontal="center" vertical="center"/>
    </xf>
    <xf numFmtId="0" fontId="23" fillId="14" borderId="25" xfId="0" applyFont="1" applyFill="1" applyBorder="1" applyAlignment="1">
      <alignment horizontal="center" vertical="center"/>
    </xf>
    <xf numFmtId="1" fontId="4" fillId="4" borderId="42" xfId="11" applyNumberFormat="1" applyFill="1" applyBorder="1" applyAlignment="1">
      <alignment horizontal="center" vertical="center" wrapText="1"/>
    </xf>
    <xf numFmtId="171" fontId="4" fillId="0" borderId="78" xfId="11" applyNumberFormat="1" applyBorder="1" applyAlignment="1">
      <alignment horizontal="center" vertical="center"/>
    </xf>
    <xf numFmtId="1" fontId="4" fillId="4" borderId="43" xfId="11" applyNumberFormat="1" applyFill="1" applyBorder="1" applyAlignment="1">
      <alignment horizontal="center" vertical="center" wrapText="1"/>
    </xf>
    <xf numFmtId="171" fontId="4" fillId="0" borderId="43" xfId="11" applyNumberFormat="1" applyBorder="1" applyAlignment="1">
      <alignment horizontal="center" vertical="center"/>
    </xf>
    <xf numFmtId="171" fontId="4" fillId="0" borderId="33" xfId="11" applyNumberFormat="1" applyBorder="1" applyAlignment="1">
      <alignment horizontal="center" vertical="center"/>
    </xf>
    <xf numFmtId="0" fontId="73" fillId="0" borderId="0" xfId="11" applyFont="1"/>
    <xf numFmtId="10" fontId="4" fillId="24" borderId="4" xfId="20" applyNumberFormat="1" applyFont="1" applyFill="1" applyBorder="1"/>
    <xf numFmtId="164" fontId="4" fillId="0" borderId="4" xfId="20" applyNumberFormat="1" applyFont="1" applyBorder="1"/>
    <xf numFmtId="10" fontId="4" fillId="12" borderId="4" xfId="20" applyNumberFormat="1" applyFont="1" applyFill="1" applyBorder="1"/>
    <xf numFmtId="10" fontId="4" fillId="13" borderId="4" xfId="20" applyNumberFormat="1" applyFont="1" applyFill="1" applyBorder="1"/>
    <xf numFmtId="10" fontId="4" fillId="17" borderId="4" xfId="20" applyNumberFormat="1" applyFont="1" applyFill="1" applyBorder="1"/>
    <xf numFmtId="10" fontId="4" fillId="14" borderId="4" xfId="20" applyNumberFormat="1" applyFont="1" applyFill="1" applyBorder="1"/>
    <xf numFmtId="170" fontId="0" fillId="0" borderId="4" xfId="0" applyNumberFormat="1" applyBorder="1" applyAlignment="1">
      <alignment horizontal="center"/>
    </xf>
    <xf numFmtId="0" fontId="4" fillId="0" borderId="78" xfId="11" applyBorder="1" applyAlignment="1">
      <alignment horizontal="center"/>
    </xf>
    <xf numFmtId="0" fontId="4" fillId="0" borderId="18" xfId="11" applyBorder="1" applyAlignment="1">
      <alignment horizontal="center"/>
    </xf>
    <xf numFmtId="0" fontId="4" fillId="0" borderId="79" xfId="11" applyBorder="1" applyAlignment="1">
      <alignment horizontal="center"/>
    </xf>
    <xf numFmtId="0" fontId="4" fillId="0" borderId="4" xfId="16" applyFont="1" applyBorder="1" applyAlignment="1">
      <alignment horizontal="center" vertical="center" wrapText="1"/>
    </xf>
    <xf numFmtId="0" fontId="23" fillId="0" borderId="93" xfId="15" applyFont="1" applyBorder="1" applyAlignment="1">
      <alignment horizontal="left" vertical="center"/>
    </xf>
    <xf numFmtId="166" fontId="0" fillId="0" borderId="4" xfId="8" applyFont="1" applyFill="1" applyBorder="1" applyAlignment="1">
      <alignment vertical="center"/>
    </xf>
    <xf numFmtId="166" fontId="0" fillId="0" borderId="22" xfId="8" applyFont="1" applyFill="1" applyBorder="1" applyAlignment="1">
      <alignment vertical="center"/>
    </xf>
    <xf numFmtId="166" fontId="4" fillId="0" borderId="4" xfId="8" applyFont="1" applyBorder="1" applyAlignment="1">
      <alignment vertical="center"/>
    </xf>
    <xf numFmtId="0" fontId="4" fillId="0" borderId="53" xfId="0" applyFont="1" applyBorder="1"/>
    <xf numFmtId="0" fontId="4" fillId="0" borderId="20" xfId="0" applyFont="1" applyBorder="1" applyAlignment="1">
      <alignment horizontal="center" vertical="center"/>
    </xf>
    <xf numFmtId="0" fontId="4" fillId="0" borderId="53" xfId="0" applyFont="1" applyBorder="1" applyAlignment="1">
      <alignment horizontal="center" vertical="center"/>
    </xf>
    <xf numFmtId="0" fontId="4" fillId="0" borderId="20" xfId="0" applyFont="1" applyBorder="1"/>
    <xf numFmtId="0" fontId="4" fillId="0" borderId="14" xfId="0" applyFont="1" applyBorder="1"/>
    <xf numFmtId="14" fontId="76" fillId="0" borderId="51" xfId="0" applyNumberFormat="1" applyFont="1" applyBorder="1" applyAlignment="1">
      <alignment horizontal="center" vertical="center" wrapText="1"/>
    </xf>
    <xf numFmtId="0" fontId="9" fillId="0" borderId="71" xfId="0" applyFont="1" applyBorder="1" applyAlignment="1">
      <alignment horizontal="center"/>
    </xf>
    <xf numFmtId="0" fontId="9" fillId="0" borderId="0" xfId="0" applyFont="1" applyAlignment="1">
      <alignment vertical="center" textRotation="180"/>
    </xf>
    <xf numFmtId="2" fontId="2" fillId="0" borderId="4" xfId="0" applyNumberFormat="1" applyFont="1" applyBorder="1" applyAlignment="1">
      <alignment horizontal="center"/>
    </xf>
    <xf numFmtId="0" fontId="23" fillId="0" borderId="85" xfId="14" applyFont="1" applyBorder="1" applyAlignment="1">
      <alignment horizontal="left" vertical="center"/>
    </xf>
    <xf numFmtId="0" fontId="23" fillId="0" borderId="86" xfId="14" applyFont="1" applyBorder="1" applyAlignment="1">
      <alignment horizontal="center" vertical="center"/>
    </xf>
    <xf numFmtId="2" fontId="23" fillId="0" borderId="87" xfId="1" applyNumberFormat="1" applyFont="1" applyFill="1" applyBorder="1" applyAlignment="1">
      <alignment horizontal="right" vertical="center"/>
    </xf>
    <xf numFmtId="173" fontId="23" fillId="0" borderId="87" xfId="1" applyNumberFormat="1" applyFont="1" applyFill="1" applyBorder="1" applyAlignment="1">
      <alignment horizontal="right" vertical="center"/>
    </xf>
    <xf numFmtId="0" fontId="23" fillId="0" borderId="83" xfId="14" applyFont="1" applyBorder="1" applyAlignment="1">
      <alignment horizontal="left" vertical="center"/>
    </xf>
    <xf numFmtId="173" fontId="23" fillId="0" borderId="83" xfId="0" applyNumberFormat="1" applyFont="1" applyBorder="1"/>
    <xf numFmtId="173" fontId="23" fillId="0" borderId="90" xfId="0" applyNumberFormat="1" applyFont="1" applyBorder="1"/>
    <xf numFmtId="2" fontId="23" fillId="0" borderId="94" xfId="15" applyNumberFormat="1" applyFont="1" applyBorder="1" applyAlignment="1">
      <alignment horizontal="right" vertical="center"/>
    </xf>
    <xf numFmtId="0" fontId="23" fillId="0" borderId="89" xfId="14" applyFont="1" applyBorder="1" applyAlignment="1">
      <alignment horizontal="left" vertical="center" wrapText="1"/>
    </xf>
    <xf numFmtId="0" fontId="23" fillId="0" borderId="89" xfId="14" applyFont="1" applyBorder="1" applyAlignment="1">
      <alignment horizontal="center" vertical="center"/>
    </xf>
    <xf numFmtId="2" fontId="23" fillId="0" borderId="89" xfId="15" applyNumberFormat="1" applyFont="1" applyBorder="1" applyAlignment="1">
      <alignment vertical="center"/>
    </xf>
    <xf numFmtId="173" fontId="23" fillId="0" borderId="89" xfId="0" applyNumberFormat="1" applyFont="1" applyBorder="1" applyAlignment="1">
      <alignment vertical="center"/>
    </xf>
    <xf numFmtId="3" fontId="23" fillId="0" borderId="89" xfId="15" applyNumberFormat="1" applyFont="1" applyBorder="1" applyAlignment="1">
      <alignment vertical="center"/>
    </xf>
    <xf numFmtId="2" fontId="23" fillId="0" borderId="84" xfId="15" applyNumberFormat="1" applyFont="1" applyBorder="1" applyAlignment="1">
      <alignment vertical="center"/>
    </xf>
    <xf numFmtId="0" fontId="23" fillId="0" borderId="84" xfId="15" applyFont="1" applyBorder="1" applyAlignment="1">
      <alignment horizontal="left" vertical="center"/>
    </xf>
    <xf numFmtId="0" fontId="4" fillId="0" borderId="4" xfId="16" applyFont="1" applyBorder="1" applyAlignment="1">
      <alignment wrapText="1"/>
    </xf>
    <xf numFmtId="14" fontId="4" fillId="0" borderId="42" xfId="0" applyNumberFormat="1" applyFont="1" applyBorder="1" applyAlignment="1">
      <alignment horizontal="center" vertical="center"/>
    </xf>
    <xf numFmtId="20" fontId="4" fillId="0" borderId="43" xfId="0" applyNumberFormat="1" applyFont="1" applyBorder="1" applyAlignment="1">
      <alignment horizontal="center" vertical="center"/>
    </xf>
    <xf numFmtId="49" fontId="4" fillId="0" borderId="43" xfId="0" applyNumberFormat="1" applyFont="1" applyBorder="1" applyAlignment="1">
      <alignment horizontal="center" vertical="center"/>
    </xf>
    <xf numFmtId="0" fontId="76" fillId="0" borderId="43" xfId="0" applyFont="1" applyBorder="1" applyAlignment="1">
      <alignment horizontal="center" vertical="center"/>
    </xf>
    <xf numFmtId="1" fontId="76" fillId="0" borderId="43" xfId="0" applyNumberFormat="1" applyFont="1" applyBorder="1" applyAlignment="1">
      <alignment horizontal="center" vertical="center"/>
    </xf>
    <xf numFmtId="0" fontId="4" fillId="19" borderId="43" xfId="0" applyFont="1" applyFill="1" applyBorder="1" applyAlignment="1">
      <alignment horizontal="center" vertical="center" wrapText="1"/>
    </xf>
    <xf numFmtId="1" fontId="76" fillId="0" borderId="43" xfId="0" applyNumberFormat="1" applyFont="1" applyBorder="1" applyAlignment="1">
      <alignment horizontal="center" vertical="center" wrapText="1"/>
    </xf>
    <xf numFmtId="1" fontId="76" fillId="0" borderId="33" xfId="0" applyNumberFormat="1" applyFont="1" applyBorder="1" applyAlignment="1">
      <alignment horizontal="center" vertical="center" wrapText="1"/>
    </xf>
    <xf numFmtId="0" fontId="2" fillId="0" borderId="0" xfId="15" applyFont="1" applyAlignment="1">
      <alignment horizontal="left" vertical="center" wrapText="1"/>
    </xf>
    <xf numFmtId="0" fontId="5" fillId="0" borderId="117" xfId="14" applyFont="1" applyBorder="1" applyAlignment="1">
      <alignment vertical="center"/>
    </xf>
    <xf numFmtId="0" fontId="2" fillId="0" borderId="4" xfId="0" applyFont="1" applyBorder="1" applyAlignment="1">
      <alignment horizontal="center" vertical="center"/>
    </xf>
    <xf numFmtId="49" fontId="2" fillId="4" borderId="1" xfId="0" applyNumberFormat="1" applyFont="1" applyFill="1" applyBorder="1"/>
    <xf numFmtId="0" fontId="0" fillId="0" borderId="13" xfId="0" applyBorder="1" applyAlignment="1">
      <alignment horizontal="center" vertical="center" wrapText="1"/>
    </xf>
    <xf numFmtId="166" fontId="0" fillId="0" borderId="4" xfId="8" applyFont="1" applyBorder="1" applyAlignment="1">
      <alignment horizontal="center" vertical="center" wrapText="1"/>
    </xf>
    <xf numFmtId="0" fontId="0" fillId="0" borderId="13" xfId="0" applyBorder="1" applyAlignment="1">
      <alignment horizontal="center" wrapText="1"/>
    </xf>
    <xf numFmtId="166" fontId="0" fillId="0" borderId="4" xfId="0" applyNumberFormat="1" applyBorder="1" applyAlignment="1">
      <alignment wrapText="1"/>
    </xf>
    <xf numFmtId="0" fontId="37" fillId="0" borderId="7" xfId="0" applyFont="1" applyBorder="1" applyAlignment="1">
      <alignment horizontal="center"/>
    </xf>
    <xf numFmtId="0" fontId="37" fillId="0" borderId="17" xfId="0" applyFont="1" applyBorder="1" applyAlignment="1">
      <alignment horizontal="center"/>
    </xf>
    <xf numFmtId="0" fontId="11" fillId="0" borderId="7" xfId="0" applyFont="1" applyBorder="1"/>
    <xf numFmtId="14" fontId="4" fillId="0" borderId="7" xfId="0" applyNumberFormat="1" applyFont="1" applyBorder="1" applyAlignment="1">
      <alignment horizontal="center" vertical="center"/>
    </xf>
    <xf numFmtId="20" fontId="4" fillId="0" borderId="0" xfId="0" applyNumberFormat="1" applyFont="1" applyAlignment="1">
      <alignment horizontal="center" vertical="center"/>
    </xf>
    <xf numFmtId="49" fontId="4" fillId="0" borderId="0" xfId="0" applyNumberFormat="1" applyFont="1" applyAlignment="1">
      <alignment horizontal="center" vertical="center"/>
    </xf>
    <xf numFmtId="0" fontId="76" fillId="0" borderId="0" xfId="0" applyFont="1" applyAlignment="1">
      <alignment horizontal="center" vertical="center"/>
    </xf>
    <xf numFmtId="1" fontId="76" fillId="0" borderId="0" xfId="0" applyNumberFormat="1" applyFont="1" applyAlignment="1">
      <alignment horizontal="center" vertical="center"/>
    </xf>
    <xf numFmtId="0" fontId="4" fillId="19" borderId="0" xfId="0" applyFont="1" applyFill="1" applyAlignment="1">
      <alignment horizontal="center" vertical="center" wrapText="1"/>
    </xf>
    <xf numFmtId="1" fontId="76" fillId="0" borderId="0" xfId="0" applyNumberFormat="1" applyFont="1" applyAlignment="1">
      <alignment horizontal="center" vertical="center" wrapText="1"/>
    </xf>
    <xf numFmtId="1" fontId="76" fillId="0" borderId="17" xfId="0" applyNumberFormat="1" applyFont="1" applyBorder="1" applyAlignment="1">
      <alignment horizontal="center" vertical="center" wrapText="1"/>
    </xf>
    <xf numFmtId="0" fontId="78" fillId="0" borderId="0" xfId="0" applyFont="1" applyAlignment="1">
      <alignment horizontal="center" vertical="center"/>
    </xf>
    <xf numFmtId="20" fontId="4" fillId="0" borderId="51" xfId="0" applyNumberFormat="1" applyFont="1" applyBorder="1" applyAlignment="1">
      <alignment horizontal="center" vertical="center"/>
    </xf>
    <xf numFmtId="0" fontId="4" fillId="0" borderId="29" xfId="0" applyFont="1" applyBorder="1"/>
    <xf numFmtId="0" fontId="4" fillId="0" borderId="5" xfId="0" applyFont="1" applyBorder="1"/>
    <xf numFmtId="0" fontId="4" fillId="0" borderId="67" xfId="0" applyFont="1" applyBorder="1"/>
    <xf numFmtId="0" fontId="4" fillId="0" borderId="6" xfId="0" applyFont="1" applyBorder="1" applyAlignment="1">
      <alignment horizontal="center" vertical="center" wrapText="1"/>
    </xf>
    <xf numFmtId="0" fontId="2" fillId="0" borderId="4" xfId="16" applyFont="1" applyBorder="1" applyAlignment="1">
      <alignment wrapText="1"/>
    </xf>
    <xf numFmtId="0" fontId="26" fillId="0" borderId="4" xfId="16" applyBorder="1" applyAlignment="1">
      <alignment wrapText="1"/>
    </xf>
    <xf numFmtId="0" fontId="2" fillId="0" borderId="4" xfId="16" applyFont="1" applyBorder="1" applyAlignment="1">
      <alignment horizontal="center" vertical="center"/>
    </xf>
    <xf numFmtId="2" fontId="23" fillId="13" borderId="90" xfId="15" applyNumberFormat="1" applyFont="1" applyFill="1" applyBorder="1" applyAlignment="1">
      <alignment vertical="center"/>
    </xf>
    <xf numFmtId="0" fontId="5" fillId="0" borderId="31" xfId="0" applyFont="1" applyBorder="1" applyAlignment="1">
      <alignment horizontal="center" vertical="center" wrapText="1"/>
    </xf>
    <xf numFmtId="0" fontId="4" fillId="0" borderId="13" xfId="0" applyFont="1" applyBorder="1" applyAlignment="1">
      <alignment horizontal="center" vertical="center" wrapText="1"/>
    </xf>
    <xf numFmtId="0" fontId="4" fillId="0" borderId="12" xfId="0" applyFont="1" applyBorder="1" applyAlignment="1">
      <alignment horizontal="center" wrapText="1"/>
    </xf>
    <xf numFmtId="3" fontId="0" fillId="0" borderId="55" xfId="0" applyNumberFormat="1" applyBorder="1"/>
    <xf numFmtId="3" fontId="0" fillId="0" borderId="40" xfId="0" applyNumberFormat="1" applyBorder="1"/>
    <xf numFmtId="3" fontId="0" fillId="0" borderId="44" xfId="0" applyNumberFormat="1" applyBorder="1"/>
    <xf numFmtId="2" fontId="23" fillId="13" borderId="85" xfId="1" applyNumberFormat="1" applyFont="1" applyFill="1" applyBorder="1" applyAlignment="1">
      <alignment horizontal="right" vertical="center"/>
    </xf>
    <xf numFmtId="0" fontId="15" fillId="0" borderId="17" xfId="0" applyFont="1" applyBorder="1" applyAlignment="1">
      <alignment horizontal="centerContinuous"/>
    </xf>
    <xf numFmtId="0" fontId="0" fillId="0" borderId="69" xfId="0" applyBorder="1"/>
    <xf numFmtId="0" fontId="4" fillId="6" borderId="4" xfId="0" applyFont="1" applyFill="1" applyBorder="1" applyAlignment="1">
      <alignment horizontal="centerContinuous"/>
    </xf>
    <xf numFmtId="0" fontId="4" fillId="0" borderId="12" xfId="0" applyFont="1" applyBorder="1" applyAlignment="1">
      <alignment horizontal="center" vertical="center" wrapText="1"/>
    </xf>
    <xf numFmtId="0" fontId="5" fillId="0" borderId="31" xfId="0" applyFont="1" applyBorder="1" applyAlignment="1">
      <alignment horizontal="center" wrapText="1"/>
    </xf>
    <xf numFmtId="166" fontId="0" fillId="0" borderId="43" xfId="0" applyNumberFormat="1" applyBorder="1"/>
    <xf numFmtId="20" fontId="4" fillId="0" borderId="4" xfId="0" applyNumberFormat="1" applyFont="1" applyBorder="1" applyAlignment="1">
      <alignment horizontal="center" vertical="center"/>
    </xf>
    <xf numFmtId="14" fontId="76" fillId="0" borderId="4" xfId="0" applyNumberFormat="1" applyFont="1" applyBorder="1" applyAlignment="1">
      <alignment horizontal="center" vertical="center" wrapText="1"/>
    </xf>
    <xf numFmtId="49" fontId="4" fillId="0" borderId="4" xfId="0" applyNumberFormat="1" applyFont="1" applyBorder="1" applyAlignment="1">
      <alignment horizontal="center" vertical="center"/>
    </xf>
    <xf numFmtId="0" fontId="76" fillId="0" borderId="4" xfId="0" applyFont="1" applyBorder="1" applyAlignment="1">
      <alignment horizontal="center" vertical="center"/>
    </xf>
    <xf numFmtId="1" fontId="76" fillId="0" borderId="4" xfId="0" applyNumberFormat="1" applyFont="1" applyBorder="1" applyAlignment="1">
      <alignment horizontal="center" vertical="center"/>
    </xf>
    <xf numFmtId="0" fontId="4" fillId="19" borderId="4" xfId="0" applyFont="1" applyFill="1" applyBorder="1" applyAlignment="1">
      <alignment horizontal="center" vertical="center" wrapText="1"/>
    </xf>
    <xf numFmtId="1" fontId="76" fillId="0" borderId="4" xfId="0" applyNumberFormat="1" applyFont="1" applyBorder="1" applyAlignment="1">
      <alignment horizontal="center" vertical="center" wrapText="1"/>
    </xf>
    <xf numFmtId="20" fontId="4" fillId="0" borderId="4" xfId="0" applyNumberFormat="1" applyFont="1" applyBorder="1" applyAlignment="1">
      <alignment horizontal="center" vertical="center" wrapText="1"/>
    </xf>
    <xf numFmtId="14" fontId="76" fillId="0" borderId="36" xfId="0" applyNumberFormat="1" applyFont="1" applyBorder="1" applyAlignment="1">
      <alignment horizontal="center" vertical="center" wrapText="1"/>
    </xf>
    <xf numFmtId="20" fontId="4" fillId="0" borderId="51" xfId="0" applyNumberFormat="1" applyFont="1" applyBorder="1" applyAlignment="1">
      <alignment horizontal="center" vertical="center" wrapText="1"/>
    </xf>
    <xf numFmtId="1" fontId="76" fillId="0" borderId="51" xfId="0" applyNumberFormat="1" applyFont="1" applyBorder="1" applyAlignment="1">
      <alignment horizontal="center" vertical="center" wrapText="1"/>
    </xf>
    <xf numFmtId="14" fontId="76" fillId="0" borderId="52" xfId="0" applyNumberFormat="1" applyFont="1" applyBorder="1" applyAlignment="1">
      <alignment horizontal="center" vertical="center" wrapText="1"/>
    </xf>
    <xf numFmtId="14" fontId="76" fillId="0" borderId="29" xfId="0" applyNumberFormat="1" applyFont="1" applyBorder="1" applyAlignment="1">
      <alignment horizontal="center" vertical="center" wrapText="1"/>
    </xf>
    <xf numFmtId="14" fontId="76" fillId="0" borderId="20" xfId="0" applyNumberFormat="1" applyFont="1" applyBorder="1" applyAlignment="1">
      <alignment horizontal="center" vertical="center" wrapText="1"/>
    </xf>
    <xf numFmtId="14" fontId="4" fillId="0" borderId="36" xfId="0" applyNumberFormat="1" applyFont="1" applyBorder="1" applyAlignment="1">
      <alignment horizontal="center" vertical="center"/>
    </xf>
    <xf numFmtId="49" fontId="4" fillId="0" borderId="51" xfId="0" applyNumberFormat="1" applyFont="1" applyBorder="1" applyAlignment="1">
      <alignment horizontal="center" vertical="center"/>
    </xf>
    <xf numFmtId="0" fontId="76" fillId="0" borderId="51" xfId="0" applyFont="1" applyBorder="1" applyAlignment="1">
      <alignment horizontal="center" vertical="center"/>
    </xf>
    <xf numFmtId="1" fontId="76" fillId="0" borderId="51" xfId="0" applyNumberFormat="1" applyFont="1" applyBorder="1" applyAlignment="1">
      <alignment horizontal="center" vertical="center"/>
    </xf>
    <xf numFmtId="0" fontId="4" fillId="19" borderId="51" xfId="0" applyFont="1" applyFill="1" applyBorder="1" applyAlignment="1">
      <alignment horizontal="center" vertical="center" wrapText="1"/>
    </xf>
    <xf numFmtId="1" fontId="76" fillId="0" borderId="52" xfId="0" applyNumberFormat="1" applyFont="1" applyBorder="1" applyAlignment="1">
      <alignment horizontal="center" vertical="center" wrapText="1"/>
    </xf>
    <xf numFmtId="14" fontId="4" fillId="0" borderId="29" xfId="0" applyNumberFormat="1" applyFont="1" applyBorder="1" applyAlignment="1">
      <alignment horizontal="center" vertical="center"/>
    </xf>
    <xf numFmtId="1" fontId="76" fillId="0" borderId="20" xfId="0" applyNumberFormat="1" applyFont="1" applyBorder="1" applyAlignment="1">
      <alignment horizontal="center" vertical="center" wrapText="1"/>
    </xf>
    <xf numFmtId="0" fontId="4" fillId="0" borderId="25" xfId="0" applyFont="1" applyBorder="1"/>
    <xf numFmtId="14" fontId="5" fillId="0" borderId="13" xfId="0" applyNumberFormat="1" applyFont="1" applyBorder="1" applyAlignment="1">
      <alignment horizontal="center" vertical="justify"/>
    </xf>
    <xf numFmtId="0" fontId="4" fillId="0" borderId="56" xfId="0" applyFont="1" applyBorder="1" applyAlignment="1">
      <alignment horizontal="center"/>
    </xf>
    <xf numFmtId="0" fontId="4" fillId="0" borderId="64" xfId="0" applyFont="1" applyBorder="1"/>
    <xf numFmtId="0" fontId="4" fillId="0" borderId="12" xfId="0" applyFont="1" applyBorder="1"/>
    <xf numFmtId="0" fontId="4" fillId="0" borderId="1" xfId="0" applyFont="1" applyBorder="1" applyAlignment="1">
      <alignment horizontal="center" vertical="center"/>
    </xf>
    <xf numFmtId="0" fontId="4" fillId="0" borderId="4" xfId="16" applyFont="1" applyBorder="1" applyAlignment="1">
      <alignment horizontal="left" vertical="center" wrapText="1"/>
    </xf>
    <xf numFmtId="0" fontId="26" fillId="0" borderId="4" xfId="16" applyBorder="1" applyAlignment="1">
      <alignment horizontal="left" vertical="center" wrapText="1"/>
    </xf>
    <xf numFmtId="0" fontId="26" fillId="0" borderId="4" xfId="16" applyBorder="1" applyAlignment="1">
      <alignment horizontal="center" vertical="center" wrapText="1"/>
    </xf>
    <xf numFmtId="0" fontId="26" fillId="0" borderId="4" xfId="16" applyBorder="1" applyAlignment="1">
      <alignment horizontal="center" vertical="center"/>
    </xf>
    <xf numFmtId="15" fontId="26" fillId="0" borderId="4" xfId="16" applyNumberFormat="1" applyBorder="1" applyAlignment="1">
      <alignment horizontal="center" vertical="center" wrapText="1"/>
    </xf>
    <xf numFmtId="0" fontId="4" fillId="0" borderId="4" xfId="16" applyFont="1" applyBorder="1" applyAlignment="1">
      <alignment horizontal="center" vertical="center"/>
    </xf>
    <xf numFmtId="15" fontId="26" fillId="0" borderId="4" xfId="16" applyNumberFormat="1" applyBorder="1" applyAlignment="1">
      <alignment horizontal="center" vertical="center"/>
    </xf>
    <xf numFmtId="0" fontId="4" fillId="0" borderId="4" xfId="0" applyFont="1" applyBorder="1" applyAlignment="1">
      <alignment wrapText="1"/>
    </xf>
    <xf numFmtId="166" fontId="2" fillId="0" borderId="4" xfId="8" applyFont="1" applyBorder="1"/>
    <xf numFmtId="0" fontId="32" fillId="0" borderId="25" xfId="0" applyFont="1" applyBorder="1" applyAlignment="1">
      <alignment wrapText="1"/>
    </xf>
    <xf numFmtId="0" fontId="4" fillId="0" borderId="4" xfId="16" applyFont="1" applyBorder="1" applyAlignment="1">
      <alignment vertical="center" wrapText="1"/>
    </xf>
    <xf numFmtId="0" fontId="26" fillId="0" borderId="4" xfId="16" applyBorder="1" applyAlignment="1">
      <alignment vertical="center" wrapText="1"/>
    </xf>
    <xf numFmtId="0" fontId="4" fillId="0" borderId="12" xfId="0" applyFont="1" applyBorder="1" applyAlignment="1">
      <alignment horizontal="center" vertical="center"/>
    </xf>
    <xf numFmtId="0" fontId="4" fillId="0" borderId="65" xfId="0" applyFont="1" applyBorder="1"/>
    <xf numFmtId="0" fontId="1" fillId="15" borderId="8" xfId="9" applyFont="1" applyFill="1" applyBorder="1"/>
    <xf numFmtId="14" fontId="76" fillId="0" borderId="42" xfId="0" applyNumberFormat="1" applyFont="1" applyBorder="1" applyAlignment="1">
      <alignment horizontal="center" vertical="center" wrapText="1"/>
    </xf>
    <xf numFmtId="20" fontId="4" fillId="0" borderId="43" xfId="0" applyNumberFormat="1" applyFont="1" applyBorder="1" applyAlignment="1">
      <alignment horizontal="center" vertical="center" wrapText="1"/>
    </xf>
    <xf numFmtId="14" fontId="76" fillId="0" borderId="43" xfId="0" applyNumberFormat="1" applyFont="1" applyBorder="1" applyAlignment="1">
      <alignment horizontal="center" vertical="center" wrapText="1"/>
    </xf>
    <xf numFmtId="14" fontId="76" fillId="0" borderId="33" xfId="0" applyNumberFormat="1" applyFont="1" applyBorder="1" applyAlignment="1">
      <alignment horizontal="center" vertical="center" wrapText="1"/>
    </xf>
    <xf numFmtId="49" fontId="76" fillId="0" borderId="4" xfId="4" applyNumberFormat="1" applyFont="1" applyFill="1" applyBorder="1" applyAlignment="1">
      <alignment horizontal="center" vertical="center"/>
    </xf>
    <xf numFmtId="49" fontId="76" fillId="0" borderId="29" xfId="4" applyNumberFormat="1" applyFont="1" applyFill="1" applyBorder="1" applyAlignment="1">
      <alignment horizontal="center" vertical="center"/>
    </xf>
    <xf numFmtId="49" fontId="76" fillId="0" borderId="20" xfId="4" applyNumberFormat="1" applyFont="1" applyFill="1" applyBorder="1" applyAlignment="1">
      <alignment horizontal="center" vertical="center"/>
    </xf>
    <xf numFmtId="14" fontId="4" fillId="0" borderId="106" xfId="0" applyNumberFormat="1" applyFont="1" applyBorder="1" applyAlignment="1">
      <alignment horizontal="center" vertical="center"/>
    </xf>
    <xf numFmtId="20" fontId="4" fillId="0" borderId="22" xfId="0" applyNumberFormat="1" applyFont="1" applyBorder="1" applyAlignment="1">
      <alignment horizontal="center" vertical="center"/>
    </xf>
    <xf numFmtId="49" fontId="4" fillId="0" borderId="22" xfId="0" applyNumberFormat="1" applyFont="1" applyBorder="1" applyAlignment="1">
      <alignment horizontal="center" vertical="center"/>
    </xf>
    <xf numFmtId="0" fontId="76" fillId="0" borderId="22" xfId="0" applyFont="1" applyBorder="1" applyAlignment="1">
      <alignment horizontal="center" vertical="center"/>
    </xf>
    <xf numFmtId="1" fontId="76" fillId="0" borderId="22" xfId="0" applyNumberFormat="1" applyFont="1" applyBorder="1" applyAlignment="1">
      <alignment horizontal="center" vertical="center"/>
    </xf>
    <xf numFmtId="0" fontId="4" fillId="19" borderId="22" xfId="0" applyFont="1" applyFill="1" applyBorder="1" applyAlignment="1">
      <alignment horizontal="center" vertical="center" wrapText="1"/>
    </xf>
    <xf numFmtId="1" fontId="76" fillId="0" borderId="22" xfId="0" applyNumberFormat="1" applyFont="1" applyBorder="1" applyAlignment="1">
      <alignment horizontal="center" vertical="center" wrapText="1"/>
    </xf>
    <xf numFmtId="1" fontId="76" fillId="0" borderId="107" xfId="0" applyNumberFormat="1" applyFont="1" applyBorder="1" applyAlignment="1">
      <alignment horizontal="center" vertical="center" wrapText="1"/>
    </xf>
    <xf numFmtId="0" fontId="29" fillId="0" borderId="0" xfId="0" applyFont="1" applyAlignment="1">
      <alignment horizontal="center"/>
    </xf>
    <xf numFmtId="180" fontId="20" fillId="0" borderId="105" xfId="8" applyNumberFormat="1" applyFont="1" applyFill="1" applyBorder="1" applyAlignment="1">
      <alignment horizontal="right"/>
    </xf>
    <xf numFmtId="0" fontId="23" fillId="13" borderId="93" xfId="15" applyFont="1" applyFill="1" applyBorder="1" applyAlignment="1">
      <alignment horizontal="center" vertical="center"/>
    </xf>
    <xf numFmtId="0" fontId="23" fillId="13" borderId="84" xfId="15" applyFont="1" applyFill="1" applyBorder="1" applyAlignment="1">
      <alignment horizontal="center" vertical="center"/>
    </xf>
    <xf numFmtId="0" fontId="23" fillId="13" borderId="94" xfId="15" applyFont="1" applyFill="1" applyBorder="1" applyAlignment="1">
      <alignment horizontal="center" vertical="center"/>
    </xf>
    <xf numFmtId="0" fontId="23" fillId="13" borderId="90" xfId="15" applyFont="1" applyFill="1" applyBorder="1" applyAlignment="1">
      <alignment horizontal="center" vertical="center"/>
    </xf>
    <xf numFmtId="0" fontId="23" fillId="13" borderId="85" xfId="15" applyFont="1" applyFill="1" applyBorder="1" applyAlignment="1">
      <alignment horizontal="center" vertical="center"/>
    </xf>
    <xf numFmtId="0" fontId="40" fillId="0" borderId="0" xfId="0" applyFont="1" applyAlignment="1">
      <alignment horizontal="center"/>
    </xf>
    <xf numFmtId="15" fontId="4" fillId="0" borderId="4" xfId="16" applyNumberFormat="1" applyFont="1" applyBorder="1" applyAlignment="1">
      <alignment horizontal="center" vertical="center" wrapText="1"/>
    </xf>
    <xf numFmtId="166" fontId="4" fillId="0" borderId="4" xfId="8" applyFont="1" applyBorder="1" applyAlignment="1">
      <alignment horizontal="center" vertical="center"/>
    </xf>
    <xf numFmtId="0" fontId="22" fillId="0" borderId="0" xfId="0" applyFont="1" applyAlignment="1">
      <alignment horizontal="center"/>
    </xf>
    <xf numFmtId="0" fontId="9" fillId="0" borderId="0" xfId="0" applyFont="1" applyAlignment="1">
      <alignment horizontal="center"/>
    </xf>
    <xf numFmtId="0" fontId="53" fillId="0" borderId="0" xfId="0" applyFont="1" applyAlignment="1">
      <alignment horizontal="center"/>
    </xf>
    <xf numFmtId="0" fontId="42" fillId="0" borderId="0" xfId="0" applyFont="1" applyAlignment="1">
      <alignment horizontal="center"/>
    </xf>
    <xf numFmtId="0" fontId="24" fillId="0" borderId="0" xfId="0" applyFont="1" applyAlignment="1">
      <alignment horizontal="center"/>
    </xf>
    <xf numFmtId="0" fontId="7" fillId="0" borderId="0" xfId="0" applyFont="1" applyAlignment="1">
      <alignment horizontal="center"/>
    </xf>
    <xf numFmtId="0" fontId="56" fillId="0" borderId="0" xfId="0" applyFont="1" applyAlignment="1">
      <alignment horizontal="center"/>
    </xf>
    <xf numFmtId="0" fontId="37" fillId="0" borderId="0" xfId="0" applyFont="1" applyAlignment="1">
      <alignment horizontal="center"/>
    </xf>
    <xf numFmtId="0" fontId="18" fillId="0" borderId="0" xfId="0" applyFont="1" applyAlignment="1">
      <alignment horizontal="center"/>
    </xf>
    <xf numFmtId="0" fontId="40" fillId="0" borderId="0" xfId="0" applyFont="1" applyAlignment="1">
      <alignment horizontal="center"/>
    </xf>
    <xf numFmtId="0" fontId="66" fillId="0" borderId="0" xfId="2" applyAlignment="1" applyProtection="1">
      <alignment horizontal="center"/>
    </xf>
    <xf numFmtId="0" fontId="27" fillId="0" borderId="0" xfId="0" applyFont="1" applyAlignment="1">
      <alignment horizontal="left" vertical="top" wrapText="1"/>
    </xf>
    <xf numFmtId="0" fontId="32" fillId="0" borderId="13" xfId="0" applyFont="1" applyBorder="1" applyAlignment="1">
      <alignment horizontal="center"/>
    </xf>
    <xf numFmtId="0" fontId="32" fillId="0" borderId="3" xfId="0" applyFont="1" applyBorder="1" applyAlignment="1">
      <alignment horizontal="center"/>
    </xf>
    <xf numFmtId="0" fontId="37" fillId="0" borderId="0" xfId="0" applyFont="1" applyAlignment="1">
      <alignment horizontal="center" wrapText="1"/>
    </xf>
    <xf numFmtId="0" fontId="18" fillId="0" borderId="0" xfId="0" applyFont="1" applyAlignment="1">
      <alignment horizontal="center" wrapText="1"/>
    </xf>
    <xf numFmtId="0" fontId="24" fillId="0" borderId="0" xfId="0" applyFont="1" applyAlignment="1">
      <alignment horizontal="center" wrapText="1"/>
    </xf>
    <xf numFmtId="0" fontId="7" fillId="0" borderId="14" xfId="9" applyFont="1" applyBorder="1" applyAlignment="1">
      <alignment horizontal="center"/>
    </xf>
    <xf numFmtId="0" fontId="7" fillId="0" borderId="15" xfId="9" applyFont="1" applyBorder="1" applyAlignment="1">
      <alignment horizontal="center"/>
    </xf>
    <xf numFmtId="0" fontId="7" fillId="0" borderId="16" xfId="9" applyFont="1" applyBorder="1" applyAlignment="1">
      <alignment horizontal="center"/>
    </xf>
    <xf numFmtId="0" fontId="40" fillId="0" borderId="0" xfId="9" applyFont="1" applyAlignment="1">
      <alignment horizontal="center"/>
    </xf>
    <xf numFmtId="0" fontId="24" fillId="0" borderId="0" xfId="9" applyFont="1" applyAlignment="1">
      <alignment horizontal="center"/>
    </xf>
    <xf numFmtId="0" fontId="10" fillId="0" borderId="1" xfId="9" applyFont="1" applyBorder="1" applyAlignment="1">
      <alignment horizontal="right"/>
    </xf>
    <xf numFmtId="0" fontId="4" fillId="0" borderId="13" xfId="9" applyBorder="1" applyAlignment="1">
      <alignment horizontal="center" vertical="center"/>
    </xf>
    <xf numFmtId="0" fontId="4" fillId="0" borderId="12" xfId="9" applyBorder="1" applyAlignment="1">
      <alignment horizontal="center" vertical="center"/>
    </xf>
    <xf numFmtId="0" fontId="4" fillId="0" borderId="3" xfId="9" applyBorder="1" applyAlignment="1">
      <alignment horizontal="center" vertical="center"/>
    </xf>
    <xf numFmtId="0" fontId="5" fillId="0" borderId="7" xfId="9" quotePrefix="1" applyFont="1" applyBorder="1" applyAlignment="1">
      <alignment horizontal="center" vertical="center"/>
    </xf>
    <xf numFmtId="0" fontId="5" fillId="0" borderId="0" xfId="9" quotePrefix="1" applyFont="1" applyAlignment="1">
      <alignment horizontal="center" vertical="center"/>
    </xf>
    <xf numFmtId="0" fontId="7" fillId="0" borderId="7" xfId="9" applyFont="1" applyBorder="1" applyAlignment="1">
      <alignment horizontal="center"/>
    </xf>
    <xf numFmtId="0" fontId="7" fillId="0" borderId="0" xfId="9" applyFont="1" applyAlignment="1">
      <alignment horizontal="center"/>
    </xf>
    <xf numFmtId="0" fontId="7" fillId="0" borderId="17" xfId="9" applyFont="1" applyBorder="1" applyAlignment="1">
      <alignment horizontal="center"/>
    </xf>
    <xf numFmtId="0" fontId="29" fillId="0" borderId="37" xfId="9" applyFont="1" applyBorder="1" applyAlignment="1">
      <alignment horizontal="center"/>
    </xf>
    <xf numFmtId="0" fontId="29" fillId="0" borderId="38" xfId="9" applyFont="1" applyBorder="1" applyAlignment="1">
      <alignment horizontal="center"/>
    </xf>
    <xf numFmtId="0" fontId="29" fillId="0" borderId="57" xfId="9" applyFont="1" applyBorder="1" applyAlignment="1">
      <alignment horizontal="center"/>
    </xf>
    <xf numFmtId="0" fontId="7" fillId="0" borderId="9" xfId="9" applyFont="1" applyBorder="1" applyAlignment="1">
      <alignment horizontal="center"/>
    </xf>
    <xf numFmtId="0" fontId="7" fillId="0" borderId="18" xfId="9" applyFont="1" applyBorder="1" applyAlignment="1">
      <alignment horizontal="center"/>
    </xf>
    <xf numFmtId="0" fontId="7" fillId="0" borderId="19" xfId="9" applyFont="1" applyBorder="1" applyAlignment="1">
      <alignment horizontal="center"/>
    </xf>
    <xf numFmtId="0" fontId="31" fillId="0" borderId="118" xfId="9" applyFont="1" applyBorder="1" applyAlignment="1">
      <alignment horizontal="left" vertical="center"/>
    </xf>
    <xf numFmtId="0" fontId="4" fillId="0" borderId="9" xfId="9" applyBorder="1" applyAlignment="1">
      <alignment horizontal="left" vertical="center"/>
    </xf>
    <xf numFmtId="0" fontId="66" fillId="0" borderId="0" xfId="2" applyFill="1" applyAlignment="1" applyProtection="1">
      <alignment horizontal="center"/>
    </xf>
    <xf numFmtId="0" fontId="23" fillId="0" borderId="1" xfId="0" applyFont="1" applyBorder="1" applyAlignment="1">
      <alignment horizontal="center"/>
    </xf>
    <xf numFmtId="49" fontId="27" fillId="0" borderId="13" xfId="0" applyNumberFormat="1" applyFont="1" applyBorder="1" applyAlignment="1">
      <alignment horizontal="center"/>
    </xf>
    <xf numFmtId="49" fontId="27" fillId="0" borderId="12" xfId="0" applyNumberFormat="1" applyFont="1" applyBorder="1" applyAlignment="1">
      <alignment horizontal="center"/>
    </xf>
    <xf numFmtId="0" fontId="4" fillId="0" borderId="24" xfId="9" applyBorder="1" applyAlignment="1">
      <alignment horizontal="left" vertical="center"/>
    </xf>
    <xf numFmtId="0" fontId="31" fillId="0" borderId="50" xfId="9" applyFont="1" applyBorder="1" applyAlignment="1">
      <alignment horizontal="center"/>
    </xf>
    <xf numFmtId="0" fontId="31" fillId="0" borderId="45" xfId="9" applyFont="1" applyBorder="1" applyAlignment="1">
      <alignment horizontal="center"/>
    </xf>
    <xf numFmtId="0" fontId="31" fillId="0" borderId="39" xfId="9" applyFont="1" applyBorder="1" applyAlignment="1">
      <alignment horizontal="center"/>
    </xf>
    <xf numFmtId="0" fontId="31" fillId="0" borderId="41" xfId="9" applyFont="1" applyBorder="1" applyAlignment="1">
      <alignment horizontal="center"/>
    </xf>
    <xf numFmtId="0" fontId="31" fillId="0" borderId="7" xfId="9" applyFont="1" applyBorder="1" applyAlignment="1">
      <alignment horizontal="left" vertical="center"/>
    </xf>
    <xf numFmtId="0" fontId="18" fillId="0" borderId="0" xfId="0" applyFont="1" applyAlignment="1">
      <alignment horizontal="center" vertical="center" wrapText="1"/>
    </xf>
    <xf numFmtId="0" fontId="35" fillId="2" borderId="26" xfId="0" applyFont="1" applyFill="1" applyBorder="1" applyAlignment="1">
      <alignment horizontal="center" vertical="center" wrapText="1"/>
    </xf>
    <xf numFmtId="0" fontId="35" fillId="2" borderId="27" xfId="0" applyFont="1" applyFill="1" applyBorder="1" applyAlignment="1">
      <alignment horizontal="center" vertical="center" wrapText="1"/>
    </xf>
    <xf numFmtId="0" fontId="35" fillId="2" borderId="28" xfId="0" applyFont="1" applyFill="1" applyBorder="1" applyAlignment="1">
      <alignment horizontal="center" vertical="center" wrapText="1"/>
    </xf>
    <xf numFmtId="0" fontId="66" fillId="0" borderId="0" xfId="3" applyFont="1" applyFill="1" applyAlignment="1" applyProtection="1">
      <alignment horizontal="center"/>
    </xf>
    <xf numFmtId="0" fontId="31" fillId="0" borderId="118" xfId="0" applyFont="1" applyBorder="1" applyAlignment="1">
      <alignment horizontal="left" vertical="center"/>
    </xf>
    <xf numFmtId="0" fontId="0" fillId="0" borderId="24" xfId="0" applyBorder="1" applyAlignment="1">
      <alignment horizontal="left" vertical="center"/>
    </xf>
    <xf numFmtId="0" fontId="31" fillId="0" borderId="7" xfId="0" applyFont="1" applyBorder="1" applyAlignment="1">
      <alignment horizontal="left" vertical="center"/>
    </xf>
    <xf numFmtId="0" fontId="4" fillId="0" borderId="13" xfId="11" applyBorder="1" applyAlignment="1">
      <alignment horizontal="center"/>
    </xf>
    <xf numFmtId="0" fontId="4" fillId="0" borderId="12" xfId="11" applyBorder="1" applyAlignment="1">
      <alignment horizontal="center"/>
    </xf>
    <xf numFmtId="0" fontId="4" fillId="0" borderId="3" xfId="11" applyBorder="1" applyAlignment="1">
      <alignment horizontal="center"/>
    </xf>
    <xf numFmtId="0" fontId="0" fillId="0" borderId="9" xfId="0" applyBorder="1" applyAlignment="1">
      <alignment horizontal="left" vertical="center"/>
    </xf>
    <xf numFmtId="0" fontId="0" fillId="0" borderId="0" xfId="0" applyAlignment="1">
      <alignment horizontal="center"/>
    </xf>
    <xf numFmtId="0" fontId="5" fillId="0" borderId="7" xfId="0" quotePrefix="1" applyFont="1" applyBorder="1" applyAlignment="1">
      <alignment horizontal="center" vertical="center"/>
    </xf>
    <xf numFmtId="0" fontId="5" fillId="0" borderId="0" xfId="0" quotePrefix="1" applyFont="1" applyAlignment="1">
      <alignment horizontal="center" vertical="center"/>
    </xf>
    <xf numFmtId="0" fontId="7" fillId="0" borderId="18" xfId="0" applyFont="1" applyBorder="1" applyAlignment="1">
      <alignment horizontal="center"/>
    </xf>
    <xf numFmtId="0" fontId="7" fillId="0" borderId="19" xfId="0" applyFont="1" applyBorder="1" applyAlignment="1">
      <alignment horizontal="center"/>
    </xf>
    <xf numFmtId="0" fontId="29" fillId="0" borderId="37" xfId="0" applyFont="1" applyBorder="1" applyAlignment="1">
      <alignment horizontal="center"/>
    </xf>
    <xf numFmtId="0" fontId="29" fillId="0" borderId="38" xfId="0" applyFont="1" applyBorder="1" applyAlignment="1">
      <alignment horizontal="center"/>
    </xf>
    <xf numFmtId="0" fontId="31" fillId="0" borderId="50" xfId="0" applyFont="1" applyBorder="1" applyAlignment="1">
      <alignment horizontal="center"/>
    </xf>
    <xf numFmtId="0" fontId="31" fillId="0" borderId="45" xfId="0" applyFont="1" applyBorder="1" applyAlignment="1">
      <alignment horizontal="center"/>
    </xf>
    <xf numFmtId="0" fontId="31" fillId="0" borderId="39" xfId="0" applyFont="1" applyBorder="1" applyAlignment="1">
      <alignment horizontal="center"/>
    </xf>
    <xf numFmtId="0" fontId="31" fillId="0" borderId="41" xfId="0" applyFont="1" applyBorder="1" applyAlignment="1">
      <alignment horizontal="center"/>
    </xf>
    <xf numFmtId="49" fontId="27" fillId="0" borderId="0" xfId="0" applyNumberFormat="1" applyFont="1" applyAlignment="1">
      <alignment horizontal="center"/>
    </xf>
    <xf numFmtId="0" fontId="23" fillId="0" borderId="0" xfId="0" applyFont="1" applyAlignment="1">
      <alignment horizontal="center"/>
    </xf>
    <xf numFmtId="0" fontId="7" fillId="0" borderId="15" xfId="0" applyFont="1" applyBorder="1" applyAlignment="1">
      <alignment horizontal="center"/>
    </xf>
    <xf numFmtId="0" fontId="7" fillId="0" borderId="16" xfId="0" applyFont="1" applyBorder="1" applyAlignment="1">
      <alignment horizontal="center"/>
    </xf>
    <xf numFmtId="0" fontId="7" fillId="0" borderId="17" xfId="0" applyFont="1" applyBorder="1" applyAlignment="1">
      <alignment horizontal="center"/>
    </xf>
    <xf numFmtId="0" fontId="27" fillId="0" borderId="0" xfId="13" applyFont="1" applyFill="1" applyAlignment="1">
      <alignment horizontal="left"/>
    </xf>
    <xf numFmtId="0" fontId="4" fillId="0" borderId="0" xfId="0" applyFont="1" applyAlignment="1">
      <alignment horizontal="center"/>
    </xf>
    <xf numFmtId="0" fontId="27" fillId="0" borderId="0" xfId="11" applyFont="1" applyAlignment="1">
      <alignment horizontal="left"/>
    </xf>
    <xf numFmtId="0" fontId="27" fillId="0" borderId="0" xfId="11" applyFont="1" applyAlignment="1">
      <alignment horizontal="center"/>
    </xf>
    <xf numFmtId="0" fontId="27" fillId="0" borderId="0" xfId="13" applyFont="1" applyFill="1" applyAlignment="1">
      <alignment horizontal="center"/>
    </xf>
    <xf numFmtId="0" fontId="23" fillId="0" borderId="4" xfId="9" applyFont="1" applyBorder="1" applyAlignment="1">
      <alignment horizontal="left" vertical="center" wrapText="1"/>
    </xf>
    <xf numFmtId="0" fontId="23" fillId="0" borderId="20" xfId="9" applyFont="1" applyBorder="1" applyAlignment="1">
      <alignment horizontal="left" vertical="center" wrapText="1"/>
    </xf>
    <xf numFmtId="0" fontId="4" fillId="0" borderId="8" xfId="9" applyBorder="1" applyAlignment="1">
      <alignment horizontal="center"/>
    </xf>
    <xf numFmtId="0" fontId="4" fillId="0" borderId="0" xfId="9" applyAlignment="1">
      <alignment horizontal="center"/>
    </xf>
    <xf numFmtId="0" fontId="4" fillId="0" borderId="17" xfId="9" applyBorder="1" applyAlignment="1">
      <alignment horizontal="center"/>
    </xf>
    <xf numFmtId="0" fontId="27" fillId="0" borderId="18" xfId="9" applyFont="1" applyBorder="1" applyAlignment="1">
      <alignment horizontal="center"/>
    </xf>
    <xf numFmtId="0" fontId="9" fillId="0" borderId="0" xfId="9" applyFont="1" applyAlignment="1">
      <alignment horizontal="center"/>
    </xf>
    <xf numFmtId="0" fontId="23" fillId="0" borderId="13" xfId="9" applyFont="1" applyBorder="1" applyAlignment="1">
      <alignment horizontal="left" vertical="center" wrapText="1"/>
    </xf>
    <xf numFmtId="0" fontId="23" fillId="0" borderId="12" xfId="9" applyFont="1" applyBorder="1" applyAlignment="1">
      <alignment horizontal="left" vertical="center" wrapText="1"/>
    </xf>
    <xf numFmtId="0" fontId="23" fillId="0" borderId="31" xfId="9" applyFont="1" applyBorder="1" applyAlignment="1">
      <alignment horizontal="left" vertical="center" wrapText="1"/>
    </xf>
    <xf numFmtId="0" fontId="23" fillId="0" borderId="37" xfId="9" applyFont="1" applyBorder="1" applyAlignment="1">
      <alignment horizontal="left" vertical="center" wrapText="1"/>
    </xf>
    <xf numFmtId="0" fontId="23" fillId="0" borderId="38" xfId="9" applyFont="1" applyBorder="1" applyAlignment="1">
      <alignment horizontal="left" vertical="center" wrapText="1"/>
    </xf>
    <xf numFmtId="0" fontId="23" fillId="0" borderId="32" xfId="9" applyFont="1" applyBorder="1" applyAlignment="1">
      <alignment horizontal="left" vertical="center" wrapText="1"/>
    </xf>
    <xf numFmtId="0" fontId="66" fillId="0" borderId="0" xfId="2" applyBorder="1" applyAlignment="1" applyProtection="1">
      <alignment horizontal="center"/>
    </xf>
    <xf numFmtId="0" fontId="77" fillId="0" borderId="0" xfId="0" applyFont="1" applyAlignment="1">
      <alignment horizontal="left" vertical="justify" wrapText="1"/>
    </xf>
    <xf numFmtId="0" fontId="44" fillId="4" borderId="0" xfId="0" applyFont="1" applyFill="1" applyAlignment="1">
      <alignment horizontal="center"/>
    </xf>
    <xf numFmtId="0" fontId="31" fillId="0" borderId="8" xfId="0" applyFont="1" applyBorder="1" applyAlignment="1">
      <alignment horizontal="center"/>
    </xf>
    <xf numFmtId="0" fontId="31" fillId="0" borderId="5" xfId="0" applyFont="1" applyBorder="1" applyAlignment="1">
      <alignment horizontal="center"/>
    </xf>
    <xf numFmtId="0" fontId="11" fillId="2" borderId="26" xfId="0" applyFont="1" applyFill="1" applyBorder="1" applyAlignment="1">
      <alignment horizontal="center" vertical="center" wrapText="1"/>
    </xf>
    <xf numFmtId="0" fontId="11" fillId="2" borderId="28" xfId="0" applyFont="1" applyFill="1" applyBorder="1" applyAlignment="1">
      <alignment horizontal="center" vertical="center" wrapText="1"/>
    </xf>
    <xf numFmtId="166" fontId="4" fillId="0" borderId="0" xfId="8" applyFont="1" applyFill="1" applyAlignment="1">
      <alignment horizontal="center"/>
    </xf>
    <xf numFmtId="0" fontId="4" fillId="0" borderId="0" xfId="15" applyAlignment="1">
      <alignment horizontal="center"/>
    </xf>
    <xf numFmtId="0" fontId="31" fillId="0" borderId="81" xfId="0" applyFont="1" applyBorder="1" applyAlignment="1">
      <alignment horizontal="center"/>
    </xf>
    <xf numFmtId="0" fontId="31" fillId="0" borderId="99" xfId="0" applyFont="1" applyBorder="1" applyAlignment="1">
      <alignment horizontal="center"/>
    </xf>
    <xf numFmtId="167" fontId="5" fillId="0" borderId="56" xfId="5" applyNumberFormat="1" applyFont="1" applyFill="1" applyBorder="1" applyAlignment="1">
      <alignment horizontal="center"/>
    </xf>
    <xf numFmtId="167" fontId="5" fillId="0" borderId="63" xfId="5" applyNumberFormat="1" applyFont="1" applyFill="1" applyBorder="1" applyAlignment="1">
      <alignment horizontal="center"/>
    </xf>
    <xf numFmtId="0" fontId="31" fillId="0" borderId="78" xfId="0" quotePrefix="1" applyFont="1" applyBorder="1" applyAlignment="1">
      <alignment horizontal="center"/>
    </xf>
    <xf numFmtId="0" fontId="31" fillId="0" borderId="67" xfId="0" quotePrefix="1" applyFont="1" applyBorder="1" applyAlignment="1">
      <alignment horizontal="center"/>
    </xf>
    <xf numFmtId="0" fontId="39" fillId="0" borderId="15" xfId="0" applyFont="1" applyBorder="1" applyAlignment="1">
      <alignment horizontal="center"/>
    </xf>
    <xf numFmtId="0" fontId="23" fillId="0" borderId="0" xfId="0" applyFont="1" applyAlignment="1">
      <alignment horizontal="justify" vertical="center" wrapText="1"/>
    </xf>
    <xf numFmtId="0" fontId="44" fillId="0" borderId="0" xfId="0" applyFont="1" applyAlignment="1">
      <alignment horizontal="center"/>
    </xf>
    <xf numFmtId="0" fontId="11" fillId="2" borderId="50" xfId="0" applyFont="1" applyFill="1" applyBorder="1" applyAlignment="1">
      <alignment horizontal="center" vertical="center"/>
    </xf>
    <xf numFmtId="0" fontId="11" fillId="2" borderId="41" xfId="0" applyFont="1" applyFill="1" applyBorder="1" applyAlignment="1">
      <alignment horizontal="center" vertical="center"/>
    </xf>
    <xf numFmtId="177" fontId="20" fillId="0" borderId="4" xfId="0" applyNumberFormat="1" applyFont="1" applyBorder="1" applyAlignment="1">
      <alignment horizontal="right" vertical="center"/>
    </xf>
    <xf numFmtId="0" fontId="5" fillId="4" borderId="14" xfId="0" applyFont="1" applyFill="1" applyBorder="1" applyAlignment="1">
      <alignment horizontal="center"/>
    </xf>
    <xf numFmtId="0" fontId="5" fillId="4" borderId="16" xfId="0" applyFont="1" applyFill="1" applyBorder="1" applyAlignment="1">
      <alignment horizontal="center"/>
    </xf>
    <xf numFmtId="0" fontId="31" fillId="4" borderId="7" xfId="0" applyFont="1" applyFill="1" applyBorder="1" applyAlignment="1">
      <alignment horizontal="center"/>
    </xf>
    <xf numFmtId="0" fontId="31" fillId="4" borderId="17" xfId="0" applyFont="1" applyFill="1" applyBorder="1" applyAlignment="1">
      <alignment horizontal="center"/>
    </xf>
    <xf numFmtId="0" fontId="5" fillId="4" borderId="9" xfId="0" applyFont="1" applyFill="1" applyBorder="1" applyAlignment="1">
      <alignment horizontal="center"/>
    </xf>
    <xf numFmtId="0" fontId="5" fillId="4" borderId="19" xfId="0" applyFont="1" applyFill="1" applyBorder="1" applyAlignment="1">
      <alignment horizontal="center"/>
    </xf>
    <xf numFmtId="0" fontId="20" fillId="0" borderId="4" xfId="0" applyFont="1" applyBorder="1" applyAlignment="1">
      <alignment horizontal="center"/>
    </xf>
    <xf numFmtId="0" fontId="59" fillId="0" borderId="3" xfId="0" applyFont="1" applyBorder="1" applyAlignment="1">
      <alignment horizontal="center" vertical="center"/>
    </xf>
    <xf numFmtId="0" fontId="59" fillId="0" borderId="13" xfId="0" applyFont="1" applyBorder="1" applyAlignment="1">
      <alignment horizontal="center" vertical="center"/>
    </xf>
    <xf numFmtId="0" fontId="10" fillId="4" borderId="29" xfId="0" applyFont="1" applyFill="1" applyBorder="1" applyAlignment="1">
      <alignment horizontal="center" vertical="center" wrapText="1"/>
    </xf>
    <xf numFmtId="0" fontId="20" fillId="4" borderId="4" xfId="0" applyFont="1" applyFill="1" applyBorder="1" applyAlignment="1">
      <alignment horizontal="left" vertical="center" wrapText="1"/>
    </xf>
    <xf numFmtId="0" fontId="59" fillId="0" borderId="10" xfId="0" applyFont="1" applyBorder="1" applyAlignment="1">
      <alignment horizontal="center" vertical="center"/>
    </xf>
    <xf numFmtId="0" fontId="59" fillId="0" borderId="11" xfId="0" applyFont="1" applyBorder="1" applyAlignment="1">
      <alignment horizontal="center" vertical="center"/>
    </xf>
    <xf numFmtId="0" fontId="59" fillId="0" borderId="6" xfId="0" applyFont="1" applyBorder="1" applyAlignment="1">
      <alignment horizontal="center" vertical="center"/>
    </xf>
    <xf numFmtId="0" fontId="59" fillId="0" borderId="2" xfId="0" applyFont="1" applyBorder="1" applyAlignment="1">
      <alignment horizontal="center" vertical="center"/>
    </xf>
    <xf numFmtId="2" fontId="20" fillId="0" borderId="22" xfId="0" applyNumberFormat="1" applyFont="1" applyBorder="1" applyAlignment="1">
      <alignment horizontal="right" vertical="center"/>
    </xf>
    <xf numFmtId="2" fontId="20" fillId="0" borderId="64" xfId="0" applyNumberFormat="1" applyFont="1" applyBorder="1" applyAlignment="1">
      <alignment horizontal="right" vertical="center"/>
    </xf>
    <xf numFmtId="0" fontId="59" fillId="0" borderId="4" xfId="0" applyFont="1" applyBorder="1" applyAlignment="1">
      <alignment horizontal="center" vertical="center" wrapText="1"/>
    </xf>
    <xf numFmtId="0" fontId="59" fillId="0" borderId="4" xfId="0" applyFont="1" applyBorder="1" applyAlignment="1">
      <alignment horizontal="center" vertical="center"/>
    </xf>
    <xf numFmtId="0" fontId="10" fillId="0" borderId="0" xfId="0" applyFont="1" applyAlignment="1">
      <alignment horizontal="center" vertical="center"/>
    </xf>
    <xf numFmtId="0" fontId="11" fillId="0" borderId="22" xfId="0" applyFont="1" applyBorder="1" applyAlignment="1">
      <alignment horizontal="center" vertical="center"/>
    </xf>
    <xf numFmtId="0" fontId="0" fillId="0" borderId="25" xfId="0" applyBorder="1" applyAlignment="1">
      <alignment horizontal="center" vertical="center"/>
    </xf>
    <xf numFmtId="0" fontId="11" fillId="0" borderId="22" xfId="0" applyFont="1" applyBorder="1" applyAlignment="1">
      <alignment horizontal="center" vertical="center" wrapText="1"/>
    </xf>
    <xf numFmtId="0" fontId="0" fillId="0" borderId="25" xfId="0" applyBorder="1" applyAlignment="1">
      <alignment horizontal="center" vertical="center" wrapText="1"/>
    </xf>
    <xf numFmtId="0" fontId="0" fillId="0" borderId="0" xfId="0" applyAlignment="1">
      <alignment horizontal="center" vertical="center"/>
    </xf>
    <xf numFmtId="0" fontId="11" fillId="0" borderId="13" xfId="0" applyFont="1" applyBorder="1" applyAlignment="1">
      <alignment horizontal="center" vertical="center"/>
    </xf>
    <xf numFmtId="0" fontId="11" fillId="0" borderId="3" xfId="0" applyFont="1" applyBorder="1" applyAlignment="1">
      <alignment horizontal="center" vertical="center"/>
    </xf>
    <xf numFmtId="0" fontId="11" fillId="2" borderId="13" xfId="0" applyFont="1" applyFill="1" applyBorder="1" applyAlignment="1">
      <alignment horizontal="center" vertical="center"/>
    </xf>
    <xf numFmtId="0" fontId="11" fillId="2" borderId="12" xfId="0" applyFont="1" applyFill="1" applyBorder="1" applyAlignment="1">
      <alignment horizontal="center" vertical="center"/>
    </xf>
    <xf numFmtId="0" fontId="11" fillId="2" borderId="3" xfId="0" applyFont="1" applyFill="1" applyBorder="1" applyAlignment="1">
      <alignment horizontal="center" vertical="center"/>
    </xf>
    <xf numFmtId="0" fontId="11" fillId="0" borderId="25" xfId="0" applyFont="1" applyBorder="1" applyAlignment="1">
      <alignment horizontal="center" vertical="center"/>
    </xf>
    <xf numFmtId="0" fontId="10" fillId="0" borderId="1" xfId="0" applyFont="1" applyBorder="1" applyAlignment="1">
      <alignment horizontal="center" vertical="center"/>
    </xf>
    <xf numFmtId="0" fontId="0" fillId="0" borderId="1" xfId="0" applyBorder="1" applyAlignment="1">
      <alignment horizontal="center" vertical="center"/>
    </xf>
    <xf numFmtId="0" fontId="61" fillId="0" borderId="23" xfId="0" applyFont="1" applyBorder="1" applyAlignment="1">
      <alignment horizontal="center" vertical="center"/>
    </xf>
    <xf numFmtId="0" fontId="61" fillId="0" borderId="12" xfId="0" applyFont="1" applyBorder="1" applyAlignment="1">
      <alignment horizontal="center" vertical="center"/>
    </xf>
    <xf numFmtId="0" fontId="61" fillId="0" borderId="31" xfId="0" applyFont="1" applyBorder="1" applyAlignment="1">
      <alignment horizontal="center" vertical="center"/>
    </xf>
    <xf numFmtId="0" fontId="10" fillId="0" borderId="8" xfId="0" applyFont="1" applyBorder="1" applyAlignment="1">
      <alignment horizontal="center" vertical="center" wrapText="1"/>
    </xf>
    <xf numFmtId="0" fontId="31" fillId="0" borderId="4" xfId="18" applyFont="1" applyBorder="1" applyAlignment="1">
      <alignment horizontal="center" vertical="center" wrapText="1"/>
    </xf>
    <xf numFmtId="0" fontId="66" fillId="0" borderId="0" xfId="2" applyAlignment="1" applyProtection="1">
      <alignment horizontal="center" vertical="center"/>
    </xf>
    <xf numFmtId="0" fontId="77" fillId="0" borderId="21" xfId="0" applyFont="1" applyBorder="1" applyAlignment="1">
      <alignment horizontal="left" vertical="justify" wrapText="1"/>
    </xf>
    <xf numFmtId="0" fontId="60" fillId="0" borderId="13" xfId="0" applyFont="1" applyBorder="1" applyAlignment="1">
      <alignment horizontal="center" vertical="center"/>
    </xf>
    <xf numFmtId="0" fontId="60" fillId="0" borderId="12" xfId="0" applyFont="1" applyBorder="1" applyAlignment="1">
      <alignment horizontal="center" vertical="center"/>
    </xf>
    <xf numFmtId="0" fontId="60" fillId="0" borderId="3" xfId="0" applyFont="1" applyBorder="1" applyAlignment="1">
      <alignment horizontal="center" vertical="center"/>
    </xf>
    <xf numFmtId="0" fontId="31" fillId="0" borderId="4" xfId="0" applyFont="1" applyBorder="1" applyAlignment="1">
      <alignment horizontal="center" vertical="center" wrapText="1"/>
    </xf>
    <xf numFmtId="0" fontId="31" fillId="0" borderId="10" xfId="18" applyFont="1" applyBorder="1" applyAlignment="1">
      <alignment horizontal="center" vertical="center" wrapText="1"/>
    </xf>
    <xf numFmtId="0" fontId="31" fillId="0" borderId="11" xfId="18" applyFont="1" applyBorder="1" applyAlignment="1">
      <alignment horizontal="center" vertical="center" wrapText="1"/>
    </xf>
    <xf numFmtId="0" fontId="31" fillId="0" borderId="6" xfId="18" applyFont="1" applyBorder="1" applyAlignment="1">
      <alignment horizontal="center" vertical="center" wrapText="1"/>
    </xf>
    <xf numFmtId="0" fontId="31" fillId="0" borderId="2" xfId="18" applyFont="1" applyBorder="1" applyAlignment="1">
      <alignment horizontal="center" vertical="center" wrapText="1"/>
    </xf>
    <xf numFmtId="0" fontId="0" fillId="0" borderId="15" xfId="0" applyBorder="1" applyAlignment="1">
      <alignment horizontal="center" vertical="center"/>
    </xf>
    <xf numFmtId="0" fontId="0" fillId="0" borderId="16" xfId="0" applyBorder="1" applyAlignment="1">
      <alignment horizontal="center" vertical="center"/>
    </xf>
    <xf numFmtId="0" fontId="0" fillId="0" borderId="9" xfId="0" applyBorder="1" applyAlignment="1">
      <alignment horizontal="center" vertical="center"/>
    </xf>
    <xf numFmtId="0" fontId="0" fillId="0" borderId="18" xfId="0" applyBorder="1" applyAlignment="1">
      <alignment horizontal="center" vertical="center"/>
    </xf>
    <xf numFmtId="0" fontId="0" fillId="0" borderId="19" xfId="0" applyBorder="1" applyAlignment="1">
      <alignment horizontal="center" vertical="center"/>
    </xf>
    <xf numFmtId="0" fontId="47" fillId="0" borderId="14" xfId="0" applyFont="1" applyBorder="1" applyAlignment="1">
      <alignment horizontal="center" vertical="center"/>
    </xf>
    <xf numFmtId="0" fontId="47" fillId="0" borderId="15" xfId="0" applyFont="1" applyBorder="1" applyAlignment="1">
      <alignment horizontal="center" vertical="center"/>
    </xf>
    <xf numFmtId="0" fontId="47" fillId="0" borderId="16" xfId="0" applyFont="1" applyBorder="1" applyAlignment="1">
      <alignment horizontal="center" vertical="center"/>
    </xf>
    <xf numFmtId="0" fontId="47" fillId="0" borderId="14" xfId="0" applyFont="1" applyBorder="1" applyAlignment="1">
      <alignment horizontal="justify" vertical="center"/>
    </xf>
    <xf numFmtId="0" fontId="47" fillId="0" borderId="15" xfId="0" applyFont="1" applyBorder="1" applyAlignment="1">
      <alignment horizontal="justify" vertical="center"/>
    </xf>
    <xf numFmtId="0" fontId="47" fillId="0" borderId="16" xfId="0" applyFont="1" applyBorder="1" applyAlignment="1">
      <alignment horizontal="justify" vertical="center"/>
    </xf>
    <xf numFmtId="0" fontId="2" fillId="0" borderId="42" xfId="0" applyFont="1" applyBorder="1" applyAlignment="1">
      <alignment horizontal="center"/>
    </xf>
    <xf numFmtId="0" fontId="2" fillId="0" borderId="43" xfId="0" applyFont="1" applyBorder="1" applyAlignment="1">
      <alignment horizontal="center"/>
    </xf>
    <xf numFmtId="0" fontId="2" fillId="0" borderId="33" xfId="0" applyFont="1" applyBorder="1" applyAlignment="1">
      <alignment horizontal="center"/>
    </xf>
    <xf numFmtId="0" fontId="31" fillId="0" borderId="14" xfId="0" applyFont="1" applyBorder="1" applyAlignment="1">
      <alignment horizontal="center" vertical="center" wrapText="1"/>
    </xf>
    <xf numFmtId="0" fontId="31" fillId="0" borderId="15" xfId="0" applyFont="1" applyBorder="1" applyAlignment="1">
      <alignment horizontal="center" vertical="center" wrapText="1"/>
    </xf>
    <xf numFmtId="0" fontId="31" fillId="0" borderId="16" xfId="0" applyFont="1" applyBorder="1" applyAlignment="1">
      <alignment horizontal="center" vertical="center" wrapText="1"/>
    </xf>
    <xf numFmtId="0" fontId="31" fillId="0" borderId="9" xfId="0" applyFont="1" applyBorder="1" applyAlignment="1">
      <alignment horizontal="center" vertical="center" wrapText="1"/>
    </xf>
    <xf numFmtId="0" fontId="31" fillId="0" borderId="18" xfId="0" applyFont="1" applyBorder="1" applyAlignment="1">
      <alignment horizontal="center" vertical="center" wrapText="1"/>
    </xf>
    <xf numFmtId="0" fontId="31" fillId="0" borderId="19" xfId="0" applyFont="1" applyBorder="1" applyAlignment="1">
      <alignment horizontal="center" vertical="center" wrapText="1"/>
    </xf>
    <xf numFmtId="0" fontId="0" fillId="0" borderId="9" xfId="0" applyBorder="1" applyAlignment="1">
      <alignment horizontal="center" vertical="center" wrapText="1"/>
    </xf>
    <xf numFmtId="0" fontId="0" fillId="0" borderId="19" xfId="0" applyBorder="1" applyAlignment="1">
      <alignment horizontal="center" vertical="center" wrapText="1"/>
    </xf>
    <xf numFmtId="49" fontId="79" fillId="0" borderId="7" xfId="4" applyNumberFormat="1" applyFont="1" applyFill="1" applyBorder="1" applyAlignment="1">
      <alignment horizontal="center" vertical="center"/>
    </xf>
    <xf numFmtId="49" fontId="79" fillId="0" borderId="0" xfId="4" applyNumberFormat="1" applyFont="1" applyFill="1" applyBorder="1" applyAlignment="1">
      <alignment horizontal="center" vertical="center"/>
    </xf>
    <xf numFmtId="49" fontId="79" fillId="0" borderId="17" xfId="4" applyNumberFormat="1" applyFont="1" applyFill="1" applyBorder="1" applyAlignment="1">
      <alignment horizontal="center" vertical="center"/>
    </xf>
    <xf numFmtId="49" fontId="79" fillId="0" borderId="14" xfId="4" applyNumberFormat="1" applyFont="1" applyFill="1" applyBorder="1" applyAlignment="1">
      <alignment horizontal="center" vertical="center"/>
    </xf>
    <xf numFmtId="49" fontId="79" fillId="0" borderId="15" xfId="4" applyNumberFormat="1" applyFont="1" applyFill="1" applyBorder="1" applyAlignment="1">
      <alignment horizontal="center" vertical="center"/>
    </xf>
    <xf numFmtId="49" fontId="79" fillId="0" borderId="16" xfId="4" applyNumberFormat="1" applyFont="1" applyFill="1" applyBorder="1" applyAlignment="1">
      <alignment horizontal="center" vertical="center"/>
    </xf>
    <xf numFmtId="0" fontId="24" fillId="4" borderId="0" xfId="0" applyFont="1" applyFill="1" applyAlignment="1">
      <alignment horizontal="center"/>
    </xf>
    <xf numFmtId="0" fontId="66" fillId="0" borderId="0" xfId="2" quotePrefix="1" applyAlignment="1" applyProtection="1">
      <alignment horizontal="center"/>
    </xf>
    <xf numFmtId="0" fontId="10" fillId="2" borderId="50" xfId="0" applyFont="1" applyFill="1" applyBorder="1" applyAlignment="1">
      <alignment horizontal="center" vertical="center"/>
    </xf>
    <xf numFmtId="0" fontId="10" fillId="2" borderId="35" xfId="0" applyFont="1" applyFill="1" applyBorder="1" applyAlignment="1">
      <alignment horizontal="center" vertical="center"/>
    </xf>
    <xf numFmtId="0" fontId="10" fillId="2" borderId="41" xfId="0" applyFont="1" applyFill="1" applyBorder="1" applyAlignment="1">
      <alignment horizontal="center" vertical="center"/>
    </xf>
    <xf numFmtId="0" fontId="31" fillId="2" borderId="22" xfId="0" applyFont="1" applyFill="1" applyBorder="1" applyAlignment="1">
      <alignment horizontal="center" vertical="center"/>
    </xf>
    <xf numFmtId="0" fontId="31" fillId="2" borderId="4" xfId="0" applyFont="1" applyFill="1" applyBorder="1" applyAlignment="1">
      <alignment horizontal="center"/>
    </xf>
    <xf numFmtId="0" fontId="0" fillId="0" borderId="22" xfId="0" applyBorder="1" applyAlignment="1">
      <alignment horizontal="center" vertical="center"/>
    </xf>
    <xf numFmtId="0" fontId="0" fillId="0" borderId="64" xfId="0" applyBorder="1" applyAlignment="1">
      <alignment horizontal="center" vertical="center"/>
    </xf>
    <xf numFmtId="0" fontId="5" fillId="0" borderId="22" xfId="0" applyFont="1" applyBorder="1" applyAlignment="1">
      <alignment horizontal="center" vertical="center"/>
    </xf>
    <xf numFmtId="0" fontId="5" fillId="0" borderId="64" xfId="0" applyFont="1" applyBorder="1" applyAlignment="1">
      <alignment horizontal="center" vertical="center"/>
    </xf>
    <xf numFmtId="0" fontId="5" fillId="0" borderId="25" xfId="0" applyFont="1" applyBorder="1" applyAlignment="1">
      <alignment horizontal="center" vertical="center"/>
    </xf>
    <xf numFmtId="0" fontId="5" fillId="0" borderId="13" xfId="0" applyFont="1" applyBorder="1" applyAlignment="1">
      <alignment horizontal="center" vertical="justify"/>
    </xf>
    <xf numFmtId="0" fontId="46" fillId="2" borderId="50" xfId="0" applyFont="1" applyFill="1" applyBorder="1" applyAlignment="1">
      <alignment horizontal="center"/>
    </xf>
    <xf numFmtId="0" fontId="46" fillId="2" borderId="35" xfId="0" applyFont="1" applyFill="1" applyBorder="1" applyAlignment="1">
      <alignment horizontal="center"/>
    </xf>
    <xf numFmtId="0" fontId="46" fillId="2" borderId="41" xfId="0" applyFont="1" applyFill="1" applyBorder="1" applyAlignment="1">
      <alignment horizontal="center"/>
    </xf>
    <xf numFmtId="0" fontId="31" fillId="2" borderId="50" xfId="0" applyFont="1" applyFill="1" applyBorder="1" applyAlignment="1">
      <alignment horizontal="center"/>
    </xf>
    <xf numFmtId="0" fontId="31" fillId="2" borderId="41" xfId="0" applyFont="1" applyFill="1" applyBorder="1" applyAlignment="1">
      <alignment horizontal="center"/>
    </xf>
    <xf numFmtId="0" fontId="11" fillId="0" borderId="0" xfId="0" applyFont="1" applyAlignment="1">
      <alignment horizontal="center"/>
    </xf>
    <xf numFmtId="0" fontId="5" fillId="0" borderId="14" xfId="0" applyFont="1" applyBorder="1" applyAlignment="1">
      <alignment horizontal="center" vertical="center" wrapText="1"/>
    </xf>
    <xf numFmtId="0" fontId="5" fillId="0" borderId="15" xfId="0" applyFont="1" applyBorder="1" applyAlignment="1">
      <alignment horizontal="center" vertical="center" wrapText="1"/>
    </xf>
    <xf numFmtId="0" fontId="5" fillId="0" borderId="16"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19" xfId="0" applyFont="1" applyBorder="1" applyAlignment="1">
      <alignment horizontal="center" vertical="center" wrapText="1"/>
    </xf>
    <xf numFmtId="0" fontId="18" fillId="0" borderId="7" xfId="0" applyFont="1" applyBorder="1" applyAlignment="1">
      <alignment horizontal="center"/>
    </xf>
    <xf numFmtId="0" fontId="18" fillId="0" borderId="17" xfId="0" applyFont="1" applyBorder="1" applyAlignment="1">
      <alignment horizontal="center"/>
    </xf>
    <xf numFmtId="0" fontId="22" fillId="0" borderId="7" xfId="0" applyFont="1" applyBorder="1" applyAlignment="1">
      <alignment horizontal="center"/>
    </xf>
    <xf numFmtId="0" fontId="22" fillId="0" borderId="17" xfId="0" applyFont="1" applyBorder="1" applyAlignment="1">
      <alignment horizontal="center"/>
    </xf>
    <xf numFmtId="0" fontId="11" fillId="0" borderId="7" xfId="0" applyFont="1" applyBorder="1" applyAlignment="1">
      <alignment horizontal="center"/>
    </xf>
    <xf numFmtId="0" fontId="11" fillId="0" borderId="17" xfId="0" applyFont="1" applyBorder="1" applyAlignment="1">
      <alignment horizontal="center"/>
    </xf>
    <xf numFmtId="0" fontId="37" fillId="0" borderId="7" xfId="0" applyFont="1" applyBorder="1" applyAlignment="1">
      <alignment horizontal="center"/>
    </xf>
    <xf numFmtId="0" fontId="37" fillId="0" borderId="17" xfId="0" applyFont="1" applyBorder="1" applyAlignment="1">
      <alignment horizontal="center"/>
    </xf>
    <xf numFmtId="0" fontId="4" fillId="0" borderId="14" xfId="0" applyFont="1" applyBorder="1" applyAlignment="1">
      <alignment horizontal="left" vertical="top" wrapText="1"/>
    </xf>
    <xf numFmtId="0" fontId="4" fillId="0" borderId="15" xfId="0" applyFont="1" applyBorder="1" applyAlignment="1">
      <alignment horizontal="left" vertical="top" wrapText="1"/>
    </xf>
    <xf numFmtId="0" fontId="4" fillId="0" borderId="16" xfId="0" applyFont="1" applyBorder="1" applyAlignment="1">
      <alignment horizontal="left" vertical="top" wrapText="1"/>
    </xf>
    <xf numFmtId="0" fontId="4" fillId="0" borderId="7" xfId="0" applyFont="1" applyBorder="1" applyAlignment="1">
      <alignment horizontal="left" vertical="top" wrapText="1"/>
    </xf>
    <xf numFmtId="0" fontId="4" fillId="0" borderId="0" xfId="0" applyFont="1" applyAlignment="1">
      <alignment horizontal="left" vertical="top" wrapText="1"/>
    </xf>
    <xf numFmtId="0" fontId="4" fillId="0" borderId="17" xfId="0" applyFont="1" applyBorder="1" applyAlignment="1">
      <alignment horizontal="left" vertical="top" wrapText="1"/>
    </xf>
    <xf numFmtId="0" fontId="4" fillId="0" borderId="9" xfId="0" applyFont="1" applyBorder="1" applyAlignment="1">
      <alignment horizontal="left" vertical="top" wrapText="1"/>
    </xf>
    <xf numFmtId="0" fontId="4" fillId="0" borderId="18" xfId="0" applyFont="1" applyBorder="1" applyAlignment="1">
      <alignment horizontal="left" vertical="top" wrapText="1"/>
    </xf>
    <xf numFmtId="0" fontId="4" fillId="0" borderId="19" xfId="0" applyFont="1" applyBorder="1" applyAlignment="1">
      <alignment horizontal="left" vertical="top" wrapText="1"/>
    </xf>
    <xf numFmtId="0" fontId="4" fillId="19" borderId="7" xfId="0" applyFont="1" applyFill="1" applyBorder="1" applyAlignment="1">
      <alignment horizontal="left" vertical="top" wrapText="1"/>
    </xf>
    <xf numFmtId="0" fontId="4" fillId="19" borderId="0" xfId="0" applyFont="1" applyFill="1" applyAlignment="1">
      <alignment horizontal="left" vertical="top" wrapText="1"/>
    </xf>
    <xf numFmtId="0" fontId="4" fillId="19" borderId="17" xfId="0" applyFont="1" applyFill="1" applyBorder="1" applyAlignment="1">
      <alignment horizontal="left" vertical="top" wrapText="1"/>
    </xf>
    <xf numFmtId="0" fontId="4" fillId="19" borderId="9" xfId="0" applyFont="1" applyFill="1" applyBorder="1" applyAlignment="1">
      <alignment horizontal="left" vertical="top" wrapText="1"/>
    </xf>
    <xf numFmtId="0" fontId="4" fillId="19" borderId="18" xfId="0" applyFont="1" applyFill="1" applyBorder="1" applyAlignment="1">
      <alignment horizontal="left" vertical="top" wrapText="1"/>
    </xf>
    <xf numFmtId="0" fontId="4" fillId="19" borderId="19" xfId="0" applyFont="1" applyFill="1" applyBorder="1" applyAlignment="1">
      <alignment horizontal="left" vertical="top" wrapText="1"/>
    </xf>
    <xf numFmtId="0" fontId="4" fillId="0" borderId="7" xfId="0" applyFont="1" applyBorder="1" applyAlignment="1">
      <alignment horizontal="justify" vertical="center" wrapText="1"/>
    </xf>
    <xf numFmtId="0" fontId="4" fillId="0" borderId="0" xfId="0" applyFont="1" applyAlignment="1">
      <alignment horizontal="justify" vertical="center" wrapText="1"/>
    </xf>
    <xf numFmtId="0" fontId="4" fillId="0" borderId="17" xfId="0" applyFont="1" applyBorder="1" applyAlignment="1">
      <alignment horizontal="justify" vertical="center" wrapText="1"/>
    </xf>
    <xf numFmtId="0" fontId="4" fillId="0" borderId="0" xfId="0" applyFont="1" applyAlignment="1">
      <alignment horizontal="center" wrapText="1"/>
    </xf>
    <xf numFmtId="49" fontId="2" fillId="0" borderId="4" xfId="0" applyNumberFormat="1" applyFont="1" applyBorder="1" applyAlignment="1">
      <alignment horizontal="center"/>
    </xf>
    <xf numFmtId="0" fontId="2" fillId="2" borderId="22" xfId="0" applyFont="1" applyFill="1" applyBorder="1" applyAlignment="1">
      <alignment horizontal="center"/>
    </xf>
    <xf numFmtId="0" fontId="2" fillId="2" borderId="11" xfId="0" applyFont="1" applyFill="1" applyBorder="1" applyAlignment="1">
      <alignment horizontal="center"/>
    </xf>
    <xf numFmtId="0" fontId="2" fillId="2" borderId="25" xfId="0" applyFont="1" applyFill="1" applyBorder="1" applyAlignment="1">
      <alignment horizontal="center"/>
    </xf>
    <xf numFmtId="0" fontId="2" fillId="2" borderId="2" xfId="0" applyFont="1" applyFill="1" applyBorder="1" applyAlignment="1">
      <alignment horizontal="center"/>
    </xf>
    <xf numFmtId="0" fontId="3" fillId="0" borderId="0" xfId="9" applyFont="1" applyAlignment="1">
      <alignment horizontal="centerContinuous"/>
    </xf>
    <xf numFmtId="0" fontId="2" fillId="0" borderId="0" xfId="9" applyFont="1" applyAlignment="1">
      <alignment horizontal="left"/>
    </xf>
    <xf numFmtId="0" fontId="2" fillId="0" borderId="14" xfId="9" applyFont="1" applyBorder="1" applyAlignment="1">
      <alignment horizontal="center"/>
    </xf>
    <xf numFmtId="0" fontId="2" fillId="0" borderId="14" xfId="9" applyFont="1" applyBorder="1" applyAlignment="1">
      <alignment horizontal="center"/>
    </xf>
    <xf numFmtId="0" fontId="2" fillId="0" borderId="15" xfId="9" applyFont="1" applyBorder="1" applyAlignment="1">
      <alignment horizontal="center"/>
    </xf>
    <xf numFmtId="0" fontId="1" fillId="0" borderId="0" xfId="9" applyFont="1" applyAlignment="1">
      <alignment textRotation="90"/>
    </xf>
    <xf numFmtId="0" fontId="1" fillId="0" borderId="0" xfId="9" applyFont="1"/>
    <xf numFmtId="0" fontId="1" fillId="0" borderId="75" xfId="9" applyFont="1" applyBorder="1"/>
    <xf numFmtId="0" fontId="1" fillId="0" borderId="8" xfId="9" applyFont="1" applyBorder="1"/>
    <xf numFmtId="0" fontId="1" fillId="13" borderId="0" xfId="9" applyFont="1" applyFill="1"/>
    <xf numFmtId="0" fontId="1" fillId="0" borderId="6" xfId="9" applyFont="1" applyBorder="1" applyAlignment="1">
      <alignment textRotation="90"/>
    </xf>
    <xf numFmtId="0" fontId="1" fillId="0" borderId="1" xfId="9" applyFont="1" applyBorder="1" applyAlignment="1">
      <alignment textRotation="90"/>
    </xf>
    <xf numFmtId="0" fontId="1" fillId="0" borderId="77" xfId="9" applyFont="1" applyBorder="1" applyAlignment="1">
      <alignment textRotation="90"/>
    </xf>
    <xf numFmtId="0" fontId="1" fillId="0" borderId="2" xfId="9" applyFont="1" applyBorder="1" applyAlignment="1">
      <alignment textRotation="90"/>
    </xf>
    <xf numFmtId="0" fontId="1" fillId="0" borderId="6" xfId="9" applyFont="1" applyBorder="1"/>
    <xf numFmtId="0" fontId="1" fillId="0" borderId="1" xfId="9" applyFont="1" applyBorder="1"/>
    <xf numFmtId="0" fontId="1" fillId="0" borderId="77" xfId="9" applyFont="1" applyBorder="1"/>
    <xf numFmtId="0" fontId="1" fillId="0" borderId="2" xfId="9" applyFont="1" applyBorder="1"/>
    <xf numFmtId="0" fontId="1" fillId="13" borderId="1" xfId="9" applyFont="1" applyFill="1" applyBorder="1"/>
    <xf numFmtId="0" fontId="1" fillId="0" borderId="78" xfId="9" applyFont="1" applyBorder="1"/>
    <xf numFmtId="0" fontId="1" fillId="0" borderId="18" xfId="9" applyFont="1" applyBorder="1"/>
    <xf numFmtId="0" fontId="1" fillId="0" borderId="79" xfId="9" applyFont="1" applyBorder="1"/>
    <xf numFmtId="0" fontId="1" fillId="0" borderId="67" xfId="9" applyFont="1" applyBorder="1"/>
    <xf numFmtId="9" fontId="4" fillId="0" borderId="0" xfId="0" applyNumberFormat="1" applyFont="1"/>
    <xf numFmtId="0" fontId="3" fillId="0" borderId="0" xfId="0" applyFont="1" applyAlignment="1">
      <alignment horizontal="centerContinuous"/>
    </xf>
    <xf numFmtId="0" fontId="2" fillId="0" borderId="14" xfId="0" applyFont="1" applyBorder="1" applyAlignment="1">
      <alignment horizontal="center"/>
    </xf>
    <xf numFmtId="0" fontId="2" fillId="0" borderId="14" xfId="0" applyFont="1" applyBorder="1" applyAlignment="1">
      <alignment horizontal="center"/>
    </xf>
    <xf numFmtId="0" fontId="2" fillId="0" borderId="15" xfId="0" applyFont="1" applyBorder="1" applyAlignment="1">
      <alignment horizontal="center"/>
    </xf>
    <xf numFmtId="0" fontId="2" fillId="0" borderId="36" xfId="9" applyFont="1" applyBorder="1" applyAlignment="1">
      <alignment horizontal="center" vertical="center"/>
    </xf>
    <xf numFmtId="0" fontId="2" fillId="0" borderId="51" xfId="9" applyFont="1" applyBorder="1" applyAlignment="1">
      <alignment horizontal="center" vertical="center"/>
    </xf>
    <xf numFmtId="0" fontId="2" fillId="0" borderId="15" xfId="9" applyFont="1" applyBorder="1" applyAlignment="1">
      <alignment horizontal="center" vertical="center"/>
    </xf>
    <xf numFmtId="0" fontId="2" fillId="0" borderId="51" xfId="9" applyFont="1" applyBorder="1" applyAlignment="1">
      <alignment horizontal="center" vertical="center"/>
    </xf>
    <xf numFmtId="0" fontId="2" fillId="0" borderId="52" xfId="9" applyFont="1" applyBorder="1" applyAlignment="1">
      <alignment horizontal="center" vertical="center"/>
    </xf>
    <xf numFmtId="166" fontId="2" fillId="0" borderId="43" xfId="8" applyFont="1" applyBorder="1" applyAlignment="1">
      <alignment horizontal="center" vertical="center"/>
    </xf>
    <xf numFmtId="166" fontId="4" fillId="0" borderId="4" xfId="8" applyFont="1" applyFill="1" applyBorder="1" applyAlignment="1">
      <alignment vertical="center"/>
    </xf>
    <xf numFmtId="0" fontId="4" fillId="0" borderId="4" xfId="14" applyFont="1" applyBorder="1" applyAlignment="1">
      <alignment horizontal="center" vertical="center"/>
    </xf>
    <xf numFmtId="3" fontId="2" fillId="0" borderId="0" xfId="15" applyNumberFormat="1" applyFont="1" applyAlignment="1">
      <alignment vertical="center"/>
    </xf>
    <xf numFmtId="3" fontId="2" fillId="0" borderId="85" xfId="15" applyNumberFormat="1" applyFont="1" applyBorder="1" applyAlignment="1">
      <alignment vertical="center"/>
    </xf>
    <xf numFmtId="3" fontId="2" fillId="0" borderId="83" xfId="15" applyNumberFormat="1" applyFont="1" applyBorder="1" applyAlignment="1">
      <alignment vertical="center"/>
    </xf>
    <xf numFmtId="3" fontId="2" fillId="0" borderId="89" xfId="15" applyNumberFormat="1" applyFont="1" applyBorder="1" applyAlignment="1">
      <alignment vertical="center"/>
    </xf>
    <xf numFmtId="3" fontId="2" fillId="0" borderId="88" xfId="15" applyNumberFormat="1" applyFont="1" applyBorder="1" applyAlignment="1">
      <alignment vertical="center"/>
    </xf>
    <xf numFmtId="3" fontId="2" fillId="0" borderId="93" xfId="15" applyNumberFormat="1" applyFont="1" applyBorder="1" applyAlignment="1">
      <alignment vertical="center"/>
    </xf>
    <xf numFmtId="0" fontId="4" fillId="0" borderId="0" xfId="15" applyFont="1"/>
    <xf numFmtId="3" fontId="2" fillId="19" borderId="83" xfId="15" applyNumberFormat="1" applyFont="1" applyFill="1" applyBorder="1" applyAlignment="1">
      <alignment vertical="center"/>
    </xf>
    <xf numFmtId="3" fontId="2" fillId="0" borderId="84" xfId="15" applyNumberFormat="1" applyFont="1" applyBorder="1" applyAlignment="1">
      <alignment vertical="center"/>
    </xf>
    <xf numFmtId="3" fontId="2" fillId="0" borderId="95" xfId="1" applyNumberFormat="1" applyFont="1" applyFill="1" applyBorder="1" applyAlignment="1">
      <alignment vertical="center" wrapText="1"/>
    </xf>
    <xf numFmtId="3" fontId="2" fillId="0" borderId="0" xfId="15" applyNumberFormat="1" applyFont="1" applyAlignment="1">
      <alignment horizontal="left" vertical="center"/>
    </xf>
    <xf numFmtId="3" fontId="2" fillId="0" borderId="93" xfId="6" applyNumberFormat="1" applyFont="1" applyFill="1" applyBorder="1" applyAlignment="1">
      <alignment vertical="center" wrapText="1"/>
    </xf>
    <xf numFmtId="175" fontId="2" fillId="0" borderId="85" xfId="1" applyNumberFormat="1" applyFont="1" applyFill="1" applyBorder="1" applyAlignment="1">
      <alignment horizontal="right" vertical="center" wrapText="1"/>
    </xf>
    <xf numFmtId="3" fontId="2" fillId="13" borderId="85" xfId="15" applyNumberFormat="1" applyFont="1" applyFill="1" applyBorder="1" applyAlignment="1">
      <alignment vertical="center"/>
    </xf>
    <xf numFmtId="3" fontId="2" fillId="13" borderId="83" xfId="15" applyNumberFormat="1" applyFont="1" applyFill="1" applyBorder="1" applyAlignment="1">
      <alignment vertical="center"/>
    </xf>
    <xf numFmtId="3" fontId="2" fillId="13" borderId="89" xfId="15" applyNumberFormat="1" applyFont="1" applyFill="1" applyBorder="1" applyAlignment="1">
      <alignment vertical="center"/>
    </xf>
    <xf numFmtId="0" fontId="4" fillId="13" borderId="0" xfId="15" applyFont="1" applyFill="1"/>
    <xf numFmtId="3" fontId="2" fillId="13" borderId="93" xfId="15" applyNumberFormat="1" applyFont="1" applyFill="1" applyBorder="1" applyAlignment="1">
      <alignment vertical="center"/>
    </xf>
    <xf numFmtId="167" fontId="4" fillId="0" borderId="3" xfId="5" applyNumberFormat="1" applyFill="1" applyBorder="1" applyAlignment="1"/>
    <xf numFmtId="167" fontId="4" fillId="0" borderId="13" xfId="5" applyNumberFormat="1" applyFill="1" applyBorder="1" applyAlignment="1"/>
    <xf numFmtId="4" fontId="20" fillId="0" borderId="3" xfId="0" applyNumberFormat="1" applyFont="1" applyBorder="1" applyAlignment="1"/>
    <xf numFmtId="4" fontId="20" fillId="0" borderId="13" xfId="0" applyNumberFormat="1" applyFont="1" applyBorder="1" applyAlignment="1"/>
    <xf numFmtId="0" fontId="23" fillId="0" borderId="57" xfId="0" applyFont="1" applyBorder="1" applyAlignment="1"/>
    <xf numFmtId="0" fontId="23" fillId="0" borderId="37" xfId="0" applyFont="1" applyBorder="1" applyAlignment="1"/>
    <xf numFmtId="0" fontId="2" fillId="4" borderId="35" xfId="0" applyFont="1" applyFill="1" applyBorder="1"/>
    <xf numFmtId="0" fontId="23" fillId="4" borderId="35" xfId="0" applyFont="1" applyFill="1" applyBorder="1" applyAlignment="1"/>
    <xf numFmtId="0" fontId="0" fillId="4" borderId="0" xfId="0" applyFill="1" applyAlignment="1"/>
    <xf numFmtId="0" fontId="0" fillId="4" borderId="56" xfId="0" applyFill="1" applyBorder="1" applyAlignment="1"/>
    <xf numFmtId="0" fontId="0" fillId="4" borderId="63" xfId="0" applyFill="1" applyBorder="1" applyAlignment="1"/>
    <xf numFmtId="0" fontId="10" fillId="0" borderId="3" xfId="0" applyFont="1" applyBorder="1" applyAlignment="1"/>
    <xf numFmtId="0" fontId="10" fillId="0" borderId="13" xfId="0" applyFont="1" applyBorder="1" applyAlignment="1"/>
    <xf numFmtId="0" fontId="10" fillId="4" borderId="38" xfId="0" applyFont="1" applyFill="1" applyBorder="1" applyAlignment="1"/>
    <xf numFmtId="0" fontId="10" fillId="0" borderId="15" xfId="0" applyFont="1" applyBorder="1" applyAlignment="1"/>
    <xf numFmtId="0" fontId="10" fillId="0" borderId="38" xfId="0" applyFont="1" applyBorder="1" applyAlignment="1"/>
    <xf numFmtId="0" fontId="2" fillId="12" borderId="4" xfId="0" applyFont="1" applyFill="1" applyBorder="1" applyAlignment="1">
      <alignment horizontal="center" vertical="center"/>
    </xf>
    <xf numFmtId="0" fontId="2" fillId="0" borderId="0" xfId="0" applyFont="1" applyAlignment="1">
      <alignment vertical="center"/>
    </xf>
    <xf numFmtId="0" fontId="2" fillId="10" borderId="98" xfId="18" applyFont="1" applyFill="1" applyBorder="1" applyAlignment="1">
      <alignment horizontal="center" vertical="center"/>
    </xf>
    <xf numFmtId="0" fontId="2" fillId="10" borderId="100" xfId="18" applyFont="1" applyFill="1" applyBorder="1" applyAlignment="1">
      <alignment horizontal="center" vertical="center"/>
    </xf>
    <xf numFmtId="0" fontId="2" fillId="10" borderId="100" xfId="18" applyFont="1" applyFill="1" applyBorder="1" applyAlignment="1">
      <alignment horizontal="center" vertical="center" wrapText="1"/>
    </xf>
    <xf numFmtId="0" fontId="2" fillId="10" borderId="81" xfId="18" applyFont="1" applyFill="1" applyBorder="1" applyAlignment="1">
      <alignment horizontal="center" vertical="center" wrapText="1"/>
    </xf>
    <xf numFmtId="0" fontId="2" fillId="10" borderId="99" xfId="18" applyFont="1" applyFill="1" applyBorder="1" applyAlignment="1">
      <alignment horizontal="center" vertical="center" wrapText="1"/>
    </xf>
    <xf numFmtId="0" fontId="2" fillId="10" borderId="30" xfId="18" applyFont="1" applyFill="1" applyBorder="1" applyAlignment="1">
      <alignment horizontal="center" vertical="center"/>
    </xf>
    <xf numFmtId="0" fontId="2" fillId="10" borderId="64" xfId="18" applyFont="1" applyFill="1" applyBorder="1" applyAlignment="1">
      <alignment horizontal="center" vertical="center"/>
    </xf>
    <xf numFmtId="0" fontId="2" fillId="10" borderId="64" xfId="18" applyFont="1" applyFill="1" applyBorder="1" applyAlignment="1">
      <alignment horizontal="center" vertical="center" wrapText="1"/>
    </xf>
    <xf numFmtId="0" fontId="2" fillId="10" borderId="6" xfId="18" applyFont="1" applyFill="1" applyBorder="1" applyAlignment="1">
      <alignment horizontal="center" vertical="center" wrapText="1"/>
    </xf>
    <xf numFmtId="0" fontId="2" fillId="10" borderId="2" xfId="18" applyFont="1" applyFill="1" applyBorder="1" applyAlignment="1">
      <alignment horizontal="center" vertical="center" wrapText="1"/>
    </xf>
    <xf numFmtId="0" fontId="2" fillId="10" borderId="46" xfId="18" applyFont="1" applyFill="1" applyBorder="1" applyAlignment="1">
      <alignment horizontal="center" vertical="center"/>
    </xf>
    <xf numFmtId="0" fontId="2" fillId="10" borderId="25" xfId="18" applyFont="1" applyFill="1" applyBorder="1" applyAlignment="1">
      <alignment horizontal="center" vertical="center"/>
    </xf>
    <xf numFmtId="0" fontId="2" fillId="10" borderId="25" xfId="18" applyFont="1" applyFill="1" applyBorder="1" applyAlignment="1">
      <alignment horizontal="center" vertical="center" wrapText="1"/>
    </xf>
    <xf numFmtId="0" fontId="2" fillId="10" borderId="13" xfId="18" applyFont="1" applyFill="1" applyBorder="1" applyAlignment="1">
      <alignment horizontal="center" vertical="center" wrapText="1"/>
    </xf>
    <xf numFmtId="0" fontId="2" fillId="10" borderId="4" xfId="18" applyFont="1" applyFill="1" applyBorder="1" applyAlignment="1">
      <alignment horizontal="center" vertical="center" wrapText="1"/>
    </xf>
    <xf numFmtId="0" fontId="2" fillId="0" borderId="0" xfId="18" applyFont="1" applyAlignment="1">
      <alignment horizontal="right"/>
    </xf>
    <xf numFmtId="166" fontId="2" fillId="0" borderId="0" xfId="18" applyNumberFormat="1" applyFont="1" applyAlignment="1">
      <alignment horizontal="center"/>
    </xf>
    <xf numFmtId="0" fontId="2" fillId="0" borderId="0" xfId="18" applyFont="1" applyAlignment="1">
      <alignment horizontal="right"/>
    </xf>
    <xf numFmtId="0" fontId="2" fillId="0" borderId="0" xfId="18" applyFont="1" applyAlignment="1">
      <alignment horizontal="left"/>
    </xf>
    <xf numFmtId="166" fontId="2" fillId="0" borderId="0" xfId="8" applyFont="1" applyBorder="1" applyAlignment="1">
      <alignment horizontal="center"/>
    </xf>
    <xf numFmtId="0" fontId="2" fillId="0" borderId="0" xfId="18" applyFont="1" applyAlignment="1">
      <alignment horizontal="center"/>
    </xf>
    <xf numFmtId="0" fontId="2" fillId="0" borderId="58" xfId="18" applyFont="1" applyBorder="1" applyAlignment="1">
      <alignment horizontal="center"/>
    </xf>
    <xf numFmtId="166" fontId="2" fillId="0" borderId="0" xfId="8" applyFont="1" applyAlignment="1">
      <alignment horizontal="center"/>
    </xf>
    <xf numFmtId="0" fontId="5" fillId="0" borderId="4" xfId="0" applyFont="1" applyBorder="1"/>
    <xf numFmtId="0" fontId="2" fillId="0" borderId="6" xfId="0" applyFont="1" applyBorder="1" applyAlignment="1">
      <alignment horizontal="center" vertical="center"/>
    </xf>
    <xf numFmtId="0" fontId="2" fillId="0" borderId="1" xfId="0" applyFont="1" applyBorder="1" applyAlignment="1">
      <alignment horizontal="center" vertical="center"/>
    </xf>
    <xf numFmtId="0" fontId="2" fillId="0" borderId="36" xfId="0" applyFont="1" applyBorder="1" applyAlignment="1">
      <alignment horizontal="center" vertical="center" wrapText="1"/>
    </xf>
    <xf numFmtId="0" fontId="2" fillId="0" borderId="51" xfId="0" applyFont="1" applyBorder="1" applyAlignment="1">
      <alignment horizontal="center" vertical="center" wrapText="1"/>
    </xf>
    <xf numFmtId="0" fontId="2" fillId="0" borderId="63" xfId="0" applyFont="1" applyBorder="1" applyAlignment="1">
      <alignment horizontal="center" vertical="center" wrapText="1"/>
    </xf>
    <xf numFmtId="0" fontId="2" fillId="0" borderId="34" xfId="0" applyFont="1" applyBorder="1" applyAlignment="1">
      <alignment horizontal="center" vertical="center" wrapText="1"/>
    </xf>
    <xf numFmtId="0" fontId="2" fillId="0" borderId="40" xfId="0" applyFont="1" applyBorder="1" applyAlignment="1">
      <alignment horizontal="center" vertical="center" wrapText="1"/>
    </xf>
    <xf numFmtId="0" fontId="2" fillId="0" borderId="44" xfId="0" applyFont="1" applyBorder="1" applyAlignment="1">
      <alignment horizontal="center" vertical="center" wrapText="1"/>
    </xf>
    <xf numFmtId="0" fontId="2" fillId="0" borderId="59" xfId="0" applyFont="1" applyBorder="1" applyAlignment="1">
      <alignment horizontal="center" vertical="center" wrapText="1"/>
    </xf>
    <xf numFmtId="0" fontId="2" fillId="0" borderId="50" xfId="0" applyFont="1" applyBorder="1" applyAlignment="1">
      <alignment horizontal="center" vertical="center" wrapText="1"/>
    </xf>
    <xf numFmtId="0" fontId="2" fillId="0" borderId="35" xfId="0" applyFont="1" applyBorder="1" applyAlignment="1">
      <alignment horizontal="center" vertical="center" wrapText="1"/>
    </xf>
    <xf numFmtId="0" fontId="2" fillId="0" borderId="41" xfId="0" applyFont="1" applyBorder="1" applyAlignment="1">
      <alignment horizontal="center" vertical="center" wrapText="1"/>
    </xf>
    <xf numFmtId="0" fontId="2" fillId="0" borderId="62"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4"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46" xfId="0" applyFont="1" applyBorder="1" applyAlignment="1">
      <alignment horizontal="center" vertical="center" wrapText="1"/>
    </xf>
    <xf numFmtId="0" fontId="2" fillId="0" borderId="25" xfId="0" applyFont="1" applyBorder="1" applyAlignment="1">
      <alignment horizontal="center" vertical="center" wrapText="1"/>
    </xf>
    <xf numFmtId="0" fontId="2" fillId="0" borderId="53" xfId="0" applyFont="1" applyBorder="1" applyAlignment="1">
      <alignment horizontal="center" vertical="center" wrapText="1"/>
    </xf>
    <xf numFmtId="0" fontId="2" fillId="0" borderId="48" xfId="0" applyFont="1" applyBorder="1" applyAlignment="1">
      <alignment horizontal="center" vertical="center" wrapText="1"/>
    </xf>
    <xf numFmtId="0" fontId="2" fillId="0" borderId="98" xfId="0" applyFont="1" applyBorder="1" applyAlignment="1">
      <alignment horizontal="center" vertical="center" wrapText="1"/>
    </xf>
    <xf numFmtId="0" fontId="2" fillId="0" borderId="100" xfId="0" applyFont="1" applyBorder="1" applyAlignment="1">
      <alignment horizontal="center" vertical="center" wrapText="1"/>
    </xf>
    <xf numFmtId="0" fontId="27" fillId="0" borderId="51" xfId="0" applyFont="1" applyBorder="1" applyAlignment="1">
      <alignment horizontal="center" vertical="center" wrapText="1"/>
    </xf>
    <xf numFmtId="0" fontId="27" fillId="0" borderId="101" xfId="0" applyFont="1" applyBorder="1" applyAlignment="1">
      <alignment horizontal="center" vertical="center" wrapText="1"/>
    </xf>
    <xf numFmtId="0" fontId="2" fillId="0" borderId="31" xfId="0" applyFont="1" applyBorder="1" applyAlignment="1">
      <alignment horizontal="center" vertical="center" wrapText="1"/>
    </xf>
    <xf numFmtId="0" fontId="2" fillId="0" borderId="42" xfId="0" applyFont="1" applyBorder="1" applyAlignment="1">
      <alignment horizontal="center" vertical="center" wrapText="1"/>
    </xf>
    <xf numFmtId="0" fontId="2" fillId="0" borderId="43" xfId="0" applyFont="1" applyBorder="1" applyAlignment="1">
      <alignment horizontal="center" vertical="center" wrapText="1"/>
    </xf>
    <xf numFmtId="0" fontId="2" fillId="0" borderId="37" xfId="0" applyFont="1" applyBorder="1" applyAlignment="1">
      <alignment horizontal="center" vertical="center" wrapText="1"/>
    </xf>
    <xf numFmtId="0" fontId="2" fillId="0" borderId="33" xfId="0" applyFont="1" applyBorder="1" applyAlignment="1">
      <alignment horizontal="center" vertical="center" wrapText="1"/>
    </xf>
    <xf numFmtId="0" fontId="2" fillId="0" borderId="49" xfId="0" applyFont="1" applyBorder="1" applyAlignment="1">
      <alignment horizontal="center" vertical="center" wrapText="1"/>
    </xf>
    <xf numFmtId="0" fontId="2" fillId="0" borderId="54" xfId="0" applyFont="1" applyBorder="1" applyAlignment="1">
      <alignment horizontal="center" vertical="center" wrapText="1"/>
    </xf>
    <xf numFmtId="0" fontId="27" fillId="0" borderId="43" xfId="0" applyFont="1" applyBorder="1" applyAlignment="1">
      <alignment horizontal="center" vertical="center" wrapText="1"/>
    </xf>
    <xf numFmtId="0" fontId="2" fillId="0" borderId="55" xfId="0" applyFont="1" applyBorder="1" applyAlignment="1">
      <alignment horizontal="center" vertical="center" wrapText="1"/>
    </xf>
    <xf numFmtId="0" fontId="27" fillId="0" borderId="43" xfId="0" applyFont="1" applyBorder="1" applyAlignment="1">
      <alignment horizontal="center" vertical="center" wrapText="1"/>
    </xf>
    <xf numFmtId="0" fontId="27" fillId="0" borderId="68" xfId="0" applyFont="1" applyBorder="1" applyAlignment="1">
      <alignment horizontal="center" vertical="center" wrapText="1"/>
    </xf>
    <xf numFmtId="0" fontId="2" fillId="0" borderId="32" xfId="0" applyFont="1" applyBorder="1" applyAlignment="1">
      <alignment horizontal="center" vertical="center" wrapText="1"/>
    </xf>
    <xf numFmtId="0" fontId="4" fillId="0" borderId="0" xfId="0" applyFont="1" applyAlignment="1">
      <alignment horizontal="center" vertical="center"/>
    </xf>
    <xf numFmtId="0" fontId="0" fillId="0" borderId="0" xfId="0" applyAlignment="1"/>
    <xf numFmtId="0" fontId="5" fillId="0" borderId="0" xfId="0" applyFont="1" applyAlignment="1">
      <alignment vertical="center" wrapText="1"/>
    </xf>
    <xf numFmtId="0" fontId="2" fillId="0" borderId="98" xfId="0" applyFont="1" applyBorder="1" applyAlignment="1">
      <alignment horizontal="center" vertical="center"/>
    </xf>
    <xf numFmtId="0" fontId="2" fillId="0" borderId="100" xfId="0" applyFont="1" applyBorder="1" applyAlignment="1">
      <alignment horizontal="center" vertical="center"/>
    </xf>
    <xf numFmtId="0" fontId="2" fillId="0" borderId="101" xfId="0" applyFont="1" applyBorder="1" applyAlignment="1">
      <alignment horizontal="center" vertical="center"/>
    </xf>
    <xf numFmtId="0" fontId="2" fillId="0" borderId="46" xfId="0" applyFont="1" applyBorder="1" applyAlignment="1">
      <alignment horizontal="center" vertical="center"/>
    </xf>
    <xf numFmtId="0" fontId="2" fillId="0" borderId="25" xfId="0" applyFont="1" applyBorder="1" applyAlignment="1">
      <alignment horizontal="center" vertical="center"/>
    </xf>
    <xf numFmtId="0" fontId="2" fillId="0" borderId="53" xfId="0" applyFont="1" applyBorder="1" applyAlignment="1">
      <alignment horizontal="center" vertical="center"/>
    </xf>
    <xf numFmtId="0" fontId="5" fillId="0" borderId="29" xfId="0" applyFont="1" applyBorder="1" applyAlignment="1">
      <alignment horizontal="center"/>
    </xf>
    <xf numFmtId="0" fontId="5" fillId="0" borderId="4" xfId="0" applyFont="1" applyBorder="1" applyAlignment="1">
      <alignment horizontal="center"/>
    </xf>
    <xf numFmtId="0" fontId="5" fillId="0" borderId="20" xfId="0" applyFont="1" applyBorder="1" applyAlignment="1">
      <alignment horizontal="center"/>
    </xf>
    <xf numFmtId="0" fontId="2" fillId="0" borderId="14" xfId="0" applyFont="1" applyBorder="1" applyAlignment="1">
      <alignment horizontal="center" vertical="center"/>
    </xf>
    <xf numFmtId="0" fontId="5" fillId="0" borderId="6" xfId="0" quotePrefix="1" applyFont="1" applyBorder="1"/>
    <xf numFmtId="0" fontId="5" fillId="0" borderId="1" xfId="0" applyFont="1" applyBorder="1"/>
    <xf numFmtId="0" fontId="5" fillId="0" borderId="10" xfId="0" quotePrefix="1" applyFont="1" applyBorder="1"/>
    <xf numFmtId="0" fontId="5" fillId="0" borderId="21" xfId="0" applyFont="1" applyBorder="1"/>
    <xf numFmtId="0" fontId="5" fillId="0" borderId="11" xfId="0" applyFont="1" applyBorder="1"/>
    <xf numFmtId="0" fontId="5" fillId="0" borderId="8" xfId="0" applyFont="1" applyBorder="1"/>
    <xf numFmtId="0" fontId="5" fillId="0" borderId="5" xfId="0" applyFont="1" applyBorder="1"/>
    <xf numFmtId="0" fontId="5" fillId="0" borderId="13" xfId="0" quotePrefix="1" applyFont="1" applyBorder="1"/>
    <xf numFmtId="0" fontId="5" fillId="0" borderId="12" xfId="0" applyFont="1" applyBorder="1"/>
    <xf numFmtId="0" fontId="40" fillId="0" borderId="0" xfId="0" applyFont="1" applyAlignment="1">
      <alignment horizontal="left"/>
    </xf>
    <xf numFmtId="0" fontId="2" fillId="0" borderId="26" xfId="0" applyFont="1" applyBorder="1" applyAlignment="1">
      <alignment horizontal="center" vertical="center"/>
    </xf>
    <xf numFmtId="0" fontId="2" fillId="0" borderId="28" xfId="0" applyFont="1" applyBorder="1" applyAlignment="1">
      <alignment horizontal="center" vertical="center"/>
    </xf>
    <xf numFmtId="49" fontId="11" fillId="2" borderId="34" xfId="0" applyNumberFormat="1" applyFont="1" applyFill="1" applyBorder="1" applyAlignment="1">
      <alignment horizontal="center" vertical="center" wrapText="1"/>
    </xf>
    <xf numFmtId="49" fontId="11" fillId="2" borderId="40" xfId="0" applyNumberFormat="1" applyFont="1" applyFill="1" applyBorder="1" applyAlignment="1">
      <alignment horizontal="center" vertical="center" wrapText="1"/>
    </xf>
    <xf numFmtId="0" fontId="27" fillId="0" borderId="7" xfId="0" applyFont="1" applyBorder="1"/>
    <xf numFmtId="0" fontId="27" fillId="0" borderId="9" xfId="0" applyFont="1" applyBorder="1"/>
    <xf numFmtId="0" fontId="27" fillId="0" borderId="18" xfId="0" applyFont="1" applyBorder="1"/>
    <xf numFmtId="0" fontId="2" fillId="0" borderId="0" xfId="0" applyFont="1" applyAlignment="1">
      <alignment horizontal="center"/>
    </xf>
    <xf numFmtId="0" fontId="31" fillId="2" borderId="34" xfId="0" applyFont="1" applyFill="1" applyBorder="1" applyAlignment="1">
      <alignment horizontal="center" vertical="center"/>
    </xf>
    <xf numFmtId="0" fontId="31" fillId="2" borderId="34" xfId="0" applyFont="1" applyFill="1" applyBorder="1" applyAlignment="1">
      <alignment horizontal="center" vertical="center" wrapText="1"/>
    </xf>
    <xf numFmtId="17" fontId="2" fillId="0" borderId="4" xfId="0" applyNumberFormat="1" applyFont="1" applyBorder="1"/>
    <xf numFmtId="0" fontId="5" fillId="0" borderId="13" xfId="0" applyFont="1" applyBorder="1"/>
    <xf numFmtId="0" fontId="5" fillId="0" borderId="4" xfId="0" quotePrefix="1" applyFont="1" applyBorder="1" applyAlignment="1">
      <alignment horizontal="center"/>
    </xf>
    <xf numFmtId="0" fontId="5" fillId="0" borderId="12" xfId="0" applyFont="1" applyBorder="1" applyAlignment="1">
      <alignment horizontal="center"/>
    </xf>
    <xf numFmtId="0" fontId="2" fillId="0" borderId="4" xfId="0" applyFont="1" applyBorder="1"/>
    <xf numFmtId="0" fontId="5" fillId="0" borderId="13" xfId="0" quotePrefix="1" applyFont="1" applyBorder="1" applyAlignment="1">
      <alignment horizontal="left"/>
    </xf>
    <xf numFmtId="0" fontId="4" fillId="0" borderId="29" xfId="0" applyFont="1" applyBorder="1" applyAlignment="1">
      <alignment horizontal="center" vertical="center"/>
    </xf>
    <xf numFmtId="0" fontId="4" fillId="0" borderId="30" xfId="0" applyFont="1" applyBorder="1"/>
    <xf numFmtId="0" fontId="4" fillId="0" borderId="54" xfId="0" applyFont="1" applyBorder="1"/>
    <xf numFmtId="0" fontId="4" fillId="0" borderId="68" xfId="0" applyFont="1" applyBorder="1"/>
    <xf numFmtId="0" fontId="4" fillId="0" borderId="55" xfId="0" applyFont="1" applyBorder="1"/>
    <xf numFmtId="0" fontId="4" fillId="0" borderId="43" xfId="0" applyFont="1" applyBorder="1"/>
    <xf numFmtId="0" fontId="4" fillId="0" borderId="18" xfId="0" applyFont="1" applyBorder="1"/>
    <xf numFmtId="0" fontId="5" fillId="0" borderId="0" xfId="0" applyFont="1" applyAlignment="1">
      <alignment wrapText="1"/>
    </xf>
    <xf numFmtId="164" fontId="5" fillId="0" borderId="4" xfId="4" applyFont="1" applyBorder="1" applyAlignment="1">
      <alignment horizontal="center" vertical="justify"/>
    </xf>
    <xf numFmtId="14" fontId="5" fillId="0" borderId="6" xfId="0" applyNumberFormat="1" applyFont="1" applyBorder="1" applyAlignment="1">
      <alignment horizontal="center" vertical="justify"/>
    </xf>
    <xf numFmtId="0" fontId="5" fillId="0" borderId="6" xfId="0" applyFont="1" applyBorder="1" applyAlignment="1">
      <alignment horizontal="center" vertical="justify"/>
    </xf>
    <xf numFmtId="0" fontId="2" fillId="2" borderId="22" xfId="0" applyFont="1" applyFill="1" applyBorder="1" applyAlignment="1">
      <alignment horizontal="center"/>
    </xf>
    <xf numFmtId="0" fontId="2" fillId="2" borderId="25" xfId="0" applyFont="1" applyFill="1" applyBorder="1" applyAlignment="1">
      <alignment horizontal="center"/>
    </xf>
    <xf numFmtId="0" fontId="5" fillId="0" borderId="3" xfId="0" applyFont="1" applyBorder="1" applyAlignment="1">
      <alignment horizontal="center" vertical="justify"/>
    </xf>
    <xf numFmtId="0" fontId="2" fillId="2" borderId="4" xfId="0" applyFont="1" applyFill="1" applyBorder="1" applyAlignment="1">
      <alignment horizontal="center"/>
    </xf>
    <xf numFmtId="0" fontId="2" fillId="2" borderId="4" xfId="0" applyFont="1" applyFill="1" applyBorder="1" applyAlignment="1">
      <alignment horizontal="center" wrapText="1"/>
    </xf>
    <xf numFmtId="0" fontId="2" fillId="2" borderId="4" xfId="0" applyFont="1" applyFill="1" applyBorder="1" applyAlignment="1">
      <alignment horizontal="center"/>
    </xf>
    <xf numFmtId="0" fontId="2" fillId="0" borderId="4" xfId="16" applyFont="1" applyBorder="1" applyAlignment="1">
      <alignment horizontal="center" vertical="center" wrapText="1"/>
    </xf>
    <xf numFmtId="0" fontId="2" fillId="0" borderId="22" xfId="16" applyFont="1" applyBorder="1" applyAlignment="1">
      <alignment horizontal="center" vertical="center" wrapText="1"/>
    </xf>
    <xf numFmtId="0" fontId="2" fillId="0" borderId="4" xfId="16" applyFont="1" applyBorder="1" applyAlignment="1">
      <alignment horizontal="center"/>
    </xf>
    <xf numFmtId="0" fontId="2" fillId="0" borderId="4" xfId="16" applyFont="1" applyBorder="1" applyAlignment="1">
      <alignment horizontal="center" vertical="center" wrapText="1"/>
    </xf>
    <xf numFmtId="0" fontId="2" fillId="0" borderId="25" xfId="16" applyFont="1" applyBorder="1" applyAlignment="1">
      <alignment horizontal="center" vertical="center" wrapText="1"/>
    </xf>
    <xf numFmtId="0" fontId="2" fillId="5" borderId="0" xfId="0" applyFont="1" applyFill="1"/>
    <xf numFmtId="0" fontId="27" fillId="5" borderId="0" xfId="0" applyFont="1" applyFill="1"/>
  </cellXfs>
  <cellStyles count="21">
    <cellStyle name="Comma 2 2" xfId="1" xr:uid="{00000000-0005-0000-0000-000000000000}"/>
    <cellStyle name="Hipervínculo" xfId="2" builtinId="8"/>
    <cellStyle name="Hipervínculo 2" xfId="3" xr:uid="{00000000-0005-0000-0000-000002000000}"/>
    <cellStyle name="Millares" xfId="4" builtinId="3"/>
    <cellStyle name="Millares 2" xfId="5" xr:uid="{00000000-0005-0000-0000-000004000000}"/>
    <cellStyle name="Millares 2 3 2" xfId="6" xr:uid="{00000000-0005-0000-0000-000005000000}"/>
    <cellStyle name="Millares_ 02A estado pontones" xfId="7" xr:uid="{00000000-0005-0000-0000-000006000000}"/>
    <cellStyle name="Moneda" xfId="8" builtinId="4"/>
    <cellStyle name="Normal" xfId="0" builtinId="0"/>
    <cellStyle name="Normal 12" xfId="9" xr:uid="{00000000-0005-0000-0000-000009000000}"/>
    <cellStyle name="Normal 2" xfId="10" xr:uid="{00000000-0005-0000-0000-00000A000000}"/>
    <cellStyle name="Normal 2 10" xfId="11" xr:uid="{00000000-0005-0000-0000-00000B000000}"/>
    <cellStyle name="Normal 2 10 2" xfId="12" xr:uid="{00000000-0005-0000-0000-00000C000000}"/>
    <cellStyle name="Normal 2 2" xfId="13" xr:uid="{00000000-0005-0000-0000-00000D000000}"/>
    <cellStyle name="Normal 2 2 2" xfId="14" xr:uid="{00000000-0005-0000-0000-00000E000000}"/>
    <cellStyle name="Normal 2 2 3" xfId="15" xr:uid="{00000000-0005-0000-0000-00000F000000}"/>
    <cellStyle name="Normal 3" xfId="16" xr:uid="{00000000-0005-0000-0000-000010000000}"/>
    <cellStyle name="Normal 3 3 2" xfId="17" xr:uid="{00000000-0005-0000-0000-000011000000}"/>
    <cellStyle name="Normal_Lista de Puentes  tercera priorización y final" xfId="18" xr:uid="{00000000-0005-0000-0000-000012000000}"/>
    <cellStyle name="Normal_Priorizacion puentes que requieren atencion 2001 trabajo" xfId="19" xr:uid="{00000000-0005-0000-0000-000013000000}"/>
    <cellStyle name="Porcentaje" xfId="20" builtinId="5"/>
  </cellStyles>
  <dxfs count="202">
    <dxf>
      <font>
        <color rgb="FFFFFF00"/>
      </font>
      <fill>
        <patternFill>
          <bgColor indexed="13"/>
        </patternFill>
      </fill>
    </dxf>
    <dxf>
      <font>
        <color rgb="FF00FF00"/>
        <name val="Cambria"/>
        <scheme val="none"/>
      </font>
      <fill>
        <patternFill>
          <bgColor rgb="FF00FF00"/>
        </patternFill>
      </fill>
    </dxf>
    <dxf>
      <font>
        <color theme="0"/>
      </font>
    </dxf>
    <dxf>
      <font>
        <color rgb="FFFF0000"/>
      </font>
      <fill>
        <patternFill>
          <bgColor rgb="FFFF0000"/>
        </patternFill>
      </fill>
    </dxf>
    <dxf>
      <font>
        <color rgb="FFCC9CCC"/>
        <name val="Cambria"/>
        <scheme val="none"/>
      </font>
      <fill>
        <patternFill patternType="solid">
          <bgColor rgb="FFCC9CCC"/>
        </patternFill>
      </fill>
    </dxf>
    <dxf>
      <font>
        <color rgb="FF00FF00"/>
      </font>
      <fill>
        <patternFill patternType="solid">
          <fgColor rgb="FF00FF00"/>
          <bgColor rgb="FF00FF00"/>
        </patternFill>
      </fill>
    </dxf>
    <dxf>
      <font>
        <color theme="0"/>
      </font>
      <fill>
        <patternFill>
          <bgColor rgb="FFFFFFFF"/>
        </patternFill>
      </fill>
    </dxf>
    <dxf>
      <font>
        <color rgb="FF00FF00"/>
      </font>
      <fill>
        <patternFill>
          <bgColor rgb="FF00FF00"/>
        </patternFill>
      </fill>
    </dxf>
    <dxf>
      <font>
        <color rgb="FFFFFF00"/>
      </font>
      <fill>
        <patternFill>
          <bgColor rgb="FFFFFF00"/>
        </patternFill>
      </fill>
    </dxf>
    <dxf>
      <font>
        <color rgb="FFFF0000"/>
      </font>
      <fill>
        <patternFill>
          <bgColor rgb="FFFF0000"/>
        </patternFill>
      </fill>
    </dxf>
    <dxf>
      <font>
        <color rgb="FFA6CAF0"/>
      </font>
      <fill>
        <patternFill>
          <bgColor rgb="FFA6CAF0"/>
        </patternFill>
      </fill>
    </dxf>
    <dxf>
      <font>
        <color rgb="FFCC9CCC"/>
        <name val="Cambria"/>
        <scheme val="none"/>
      </font>
      <fill>
        <patternFill patternType="solid">
          <bgColor rgb="FFCC9CCC"/>
        </patternFill>
      </fill>
    </dxf>
    <dxf>
      <font>
        <color rgb="FFFFFF00"/>
      </font>
      <fill>
        <patternFill patternType="solid">
          <fgColor rgb="FFFFFF00"/>
          <bgColor rgb="FFFFFF00"/>
        </patternFill>
      </fill>
    </dxf>
    <dxf>
      <font>
        <color rgb="FF00FF00"/>
      </font>
      <fill>
        <patternFill patternType="solid">
          <fgColor rgb="FF00FF00"/>
          <bgColor rgb="FF00FF00"/>
        </patternFill>
      </fill>
    </dxf>
    <dxf>
      <font>
        <color theme="0"/>
      </font>
      <fill>
        <patternFill patternType="none">
          <bgColor indexed="65"/>
        </patternFill>
      </fill>
    </dxf>
    <dxf>
      <font>
        <color rgb="FFCC0000"/>
      </font>
      <fill>
        <patternFill>
          <bgColor rgb="FFFF0000"/>
        </patternFill>
      </fill>
    </dxf>
    <dxf>
      <font>
        <color rgb="FFA6CAF0"/>
      </font>
      <fill>
        <patternFill>
          <bgColor rgb="FFA6CAF0"/>
        </patternFill>
      </fill>
    </dxf>
    <dxf>
      <font>
        <color rgb="FFA6CAF0"/>
      </font>
      <fill>
        <patternFill>
          <bgColor rgb="FFA6CAF0"/>
        </patternFill>
      </fill>
    </dxf>
    <dxf>
      <font>
        <color rgb="FFCC9CCC"/>
        <name val="Cambria"/>
        <scheme val="none"/>
      </font>
      <fill>
        <patternFill patternType="solid">
          <bgColor rgb="FFCC9CCC"/>
        </patternFill>
      </fill>
    </dxf>
    <dxf>
      <font>
        <color rgb="FFFFFF00"/>
      </font>
      <fill>
        <patternFill patternType="solid">
          <fgColor rgb="FFFFFF00"/>
          <bgColor rgb="FFFFFF00"/>
        </patternFill>
      </fill>
    </dxf>
    <dxf>
      <font>
        <color rgb="FF00FF00"/>
      </font>
      <fill>
        <patternFill patternType="solid">
          <fgColor rgb="FF00FF00"/>
          <bgColor rgb="FF00FF00"/>
        </patternFill>
      </fill>
    </dxf>
    <dxf>
      <font>
        <color theme="0"/>
      </font>
      <fill>
        <patternFill patternType="none">
          <bgColor indexed="65"/>
        </patternFill>
      </fill>
    </dxf>
    <dxf>
      <font>
        <color rgb="FFFF0000"/>
        <name val="Cambria"/>
        <scheme val="none"/>
      </font>
      <fill>
        <patternFill>
          <bgColor rgb="FFFF0000"/>
        </patternFill>
      </fill>
    </dxf>
    <dxf>
      <font>
        <color rgb="FFFFFF00"/>
      </font>
      <fill>
        <patternFill>
          <bgColor indexed="13"/>
        </patternFill>
      </fill>
    </dxf>
    <dxf>
      <font>
        <color rgb="FF00FF00"/>
        <name val="Cambria"/>
        <scheme val="none"/>
      </font>
      <fill>
        <patternFill>
          <bgColor rgb="FF00FF00"/>
        </patternFill>
      </fill>
    </dxf>
    <dxf>
      <font>
        <color theme="0"/>
      </font>
    </dxf>
    <dxf>
      <font>
        <color rgb="FFFF0000"/>
      </font>
      <fill>
        <patternFill>
          <bgColor rgb="FFFF0000"/>
        </patternFill>
      </fill>
    </dxf>
    <dxf>
      <font>
        <color rgb="FFCC9CCC"/>
        <name val="Cambria"/>
        <scheme val="none"/>
      </font>
      <fill>
        <patternFill patternType="solid">
          <bgColor rgb="FFCC9CCC"/>
        </patternFill>
      </fill>
    </dxf>
    <dxf>
      <font>
        <color rgb="FF00FF00"/>
      </font>
      <fill>
        <patternFill patternType="solid">
          <fgColor rgb="FF00FF00"/>
          <bgColor rgb="FF00FF00"/>
        </patternFill>
      </fill>
    </dxf>
    <dxf>
      <font>
        <color theme="0"/>
      </font>
      <fill>
        <patternFill>
          <bgColor rgb="FFFFFFFF"/>
        </patternFill>
      </fill>
    </dxf>
    <dxf>
      <font>
        <color rgb="FF00FF00"/>
      </font>
      <fill>
        <patternFill>
          <bgColor rgb="FF00FF00"/>
        </patternFill>
      </fill>
    </dxf>
    <dxf>
      <font>
        <color rgb="FFFFFF00"/>
      </font>
      <fill>
        <patternFill>
          <bgColor rgb="FFFFFF00"/>
        </patternFill>
      </fill>
    </dxf>
    <dxf>
      <font>
        <color rgb="FFFF0000"/>
      </font>
      <fill>
        <patternFill>
          <bgColor rgb="FFFF0000"/>
        </patternFill>
      </fill>
    </dxf>
    <dxf>
      <font>
        <color rgb="FFA6CAF0"/>
      </font>
      <fill>
        <patternFill>
          <bgColor rgb="FFA6CAF0"/>
        </patternFill>
      </fill>
    </dxf>
    <dxf>
      <font>
        <color rgb="FFCC9CCC"/>
        <name val="Cambria"/>
        <scheme val="none"/>
      </font>
      <fill>
        <patternFill patternType="solid">
          <bgColor rgb="FFCC9CCC"/>
        </patternFill>
      </fill>
    </dxf>
    <dxf>
      <font>
        <color rgb="FFFFFF00"/>
      </font>
      <fill>
        <patternFill patternType="solid">
          <fgColor rgb="FFFFFF00"/>
          <bgColor rgb="FFFFFF00"/>
        </patternFill>
      </fill>
    </dxf>
    <dxf>
      <font>
        <color rgb="FF00FF00"/>
      </font>
      <fill>
        <patternFill patternType="solid">
          <fgColor rgb="FF00FF00"/>
          <bgColor rgb="FF00FF00"/>
        </patternFill>
      </fill>
    </dxf>
    <dxf>
      <font>
        <color theme="0"/>
      </font>
      <fill>
        <patternFill patternType="none">
          <bgColor indexed="65"/>
        </patternFill>
      </fill>
    </dxf>
    <dxf>
      <font>
        <color rgb="FFCC0000"/>
      </font>
      <fill>
        <patternFill>
          <bgColor rgb="FFFF0000"/>
        </patternFill>
      </fill>
    </dxf>
    <dxf>
      <font>
        <color rgb="FFA6CAF0"/>
      </font>
      <fill>
        <patternFill>
          <bgColor rgb="FFA6CAF0"/>
        </patternFill>
      </fill>
    </dxf>
    <dxf>
      <font>
        <color rgb="FFA6CAF0"/>
      </font>
      <fill>
        <patternFill>
          <bgColor rgb="FFA6CAF0"/>
        </patternFill>
      </fill>
    </dxf>
    <dxf>
      <font>
        <color rgb="FFCC9CCC"/>
        <name val="Cambria"/>
        <scheme val="none"/>
      </font>
      <fill>
        <patternFill patternType="solid">
          <bgColor rgb="FFCC9CCC"/>
        </patternFill>
      </fill>
    </dxf>
    <dxf>
      <font>
        <color rgb="FFFFFF00"/>
      </font>
      <fill>
        <patternFill patternType="solid">
          <fgColor rgb="FFFFFF00"/>
          <bgColor rgb="FFFFFF00"/>
        </patternFill>
      </fill>
    </dxf>
    <dxf>
      <font>
        <color rgb="FF00FF00"/>
      </font>
      <fill>
        <patternFill patternType="solid">
          <fgColor rgb="FF00FF00"/>
          <bgColor rgb="FF00FF00"/>
        </patternFill>
      </fill>
    </dxf>
    <dxf>
      <font>
        <color theme="0"/>
      </font>
      <fill>
        <patternFill patternType="none">
          <bgColor indexed="65"/>
        </patternFill>
      </fill>
    </dxf>
    <dxf>
      <font>
        <color rgb="FFFF0000"/>
        <name val="Cambria"/>
        <scheme val="none"/>
      </font>
      <fill>
        <patternFill>
          <bgColor rgb="FFFF0000"/>
        </patternFill>
      </fill>
    </dxf>
    <dxf>
      <font>
        <color rgb="FFFFFF00"/>
      </font>
      <fill>
        <patternFill>
          <bgColor indexed="13"/>
        </patternFill>
      </fill>
    </dxf>
    <dxf>
      <font>
        <color rgb="FF00FF00"/>
        <name val="Cambria"/>
        <scheme val="none"/>
      </font>
      <fill>
        <patternFill>
          <bgColor rgb="FF00FF00"/>
        </patternFill>
      </fill>
    </dxf>
    <dxf>
      <font>
        <color theme="0"/>
      </font>
    </dxf>
    <dxf>
      <font>
        <color rgb="FFFF0000"/>
      </font>
      <fill>
        <patternFill>
          <bgColor rgb="FFFF0000"/>
        </patternFill>
      </fill>
    </dxf>
    <dxf>
      <font>
        <color rgb="FFCC9CCC"/>
        <name val="Cambria"/>
        <scheme val="none"/>
      </font>
      <fill>
        <patternFill patternType="solid">
          <bgColor rgb="FFCC9CCC"/>
        </patternFill>
      </fill>
    </dxf>
    <dxf>
      <font>
        <color rgb="FF00FF00"/>
      </font>
      <fill>
        <patternFill patternType="solid">
          <fgColor rgb="FF00FF00"/>
          <bgColor rgb="FF00FF00"/>
        </patternFill>
      </fill>
    </dxf>
    <dxf>
      <font>
        <color theme="0"/>
      </font>
      <fill>
        <patternFill>
          <bgColor rgb="FFFFFFFF"/>
        </patternFill>
      </fill>
    </dxf>
    <dxf>
      <font>
        <color rgb="FF00FF00"/>
      </font>
      <fill>
        <patternFill>
          <bgColor rgb="FF00FF00"/>
        </patternFill>
      </fill>
    </dxf>
    <dxf>
      <font>
        <color rgb="FFFFFF00"/>
      </font>
      <fill>
        <patternFill>
          <bgColor rgb="FFFFFF00"/>
        </patternFill>
      </fill>
    </dxf>
    <dxf>
      <font>
        <color rgb="FFFF0000"/>
      </font>
      <fill>
        <patternFill>
          <bgColor rgb="FFFF0000"/>
        </patternFill>
      </fill>
    </dxf>
    <dxf>
      <font>
        <color rgb="FFA6CAF0"/>
      </font>
      <fill>
        <patternFill>
          <bgColor rgb="FFA6CAF0"/>
        </patternFill>
      </fill>
    </dxf>
    <dxf>
      <font>
        <color rgb="FFCC9CCC"/>
        <name val="Cambria"/>
        <scheme val="none"/>
      </font>
      <fill>
        <patternFill patternType="solid">
          <bgColor rgb="FFCC9CCC"/>
        </patternFill>
      </fill>
    </dxf>
    <dxf>
      <font>
        <color rgb="FFFFFF00"/>
      </font>
      <fill>
        <patternFill patternType="solid">
          <fgColor rgb="FFFFFF00"/>
          <bgColor rgb="FFFFFF00"/>
        </patternFill>
      </fill>
    </dxf>
    <dxf>
      <font>
        <color rgb="FF00FF00"/>
      </font>
      <fill>
        <patternFill patternType="solid">
          <fgColor rgb="FF00FF00"/>
          <bgColor rgb="FF00FF00"/>
        </patternFill>
      </fill>
    </dxf>
    <dxf>
      <font>
        <color theme="0"/>
      </font>
      <fill>
        <patternFill patternType="none">
          <bgColor indexed="65"/>
        </patternFill>
      </fill>
    </dxf>
    <dxf>
      <font>
        <color rgb="FFCC0000"/>
      </font>
      <fill>
        <patternFill>
          <bgColor rgb="FFFF0000"/>
        </patternFill>
      </fill>
    </dxf>
    <dxf>
      <font>
        <color rgb="FFA6CAF0"/>
      </font>
      <fill>
        <patternFill>
          <bgColor rgb="FFA6CAF0"/>
        </patternFill>
      </fill>
    </dxf>
    <dxf>
      <font>
        <color rgb="FFA6CAF0"/>
      </font>
      <fill>
        <patternFill>
          <bgColor rgb="FFA6CAF0"/>
        </patternFill>
      </fill>
    </dxf>
    <dxf>
      <font>
        <color rgb="FFCC9CCC"/>
        <name val="Cambria"/>
        <scheme val="none"/>
      </font>
      <fill>
        <patternFill patternType="solid">
          <bgColor rgb="FFCC9CCC"/>
        </patternFill>
      </fill>
    </dxf>
    <dxf>
      <font>
        <color rgb="FFFFFF00"/>
      </font>
      <fill>
        <patternFill patternType="solid">
          <fgColor rgb="FFFFFF00"/>
          <bgColor rgb="FFFFFF00"/>
        </patternFill>
      </fill>
    </dxf>
    <dxf>
      <font>
        <color rgb="FF00FF00"/>
      </font>
      <fill>
        <patternFill patternType="solid">
          <fgColor rgb="FF00FF00"/>
          <bgColor rgb="FF00FF00"/>
        </patternFill>
      </fill>
    </dxf>
    <dxf>
      <font>
        <color theme="0"/>
      </font>
      <fill>
        <patternFill patternType="none">
          <bgColor indexed="65"/>
        </patternFill>
      </fill>
    </dxf>
    <dxf>
      <font>
        <color rgb="FFFF0000"/>
        <name val="Cambria"/>
        <scheme val="none"/>
      </font>
      <fill>
        <patternFill>
          <bgColor rgb="FFFF0000"/>
        </patternFill>
      </fill>
    </dxf>
    <dxf>
      <font>
        <color auto="1"/>
        <name val="Cambria"/>
        <scheme val="none"/>
      </font>
      <fill>
        <patternFill patternType="solid">
          <bgColor rgb="FFCC9CCC"/>
        </patternFill>
      </fill>
    </dxf>
    <dxf>
      <font>
        <color auto="1"/>
        <name val="Cambria"/>
        <scheme val="none"/>
      </font>
      <fill>
        <patternFill>
          <bgColor rgb="FFA6CAF0"/>
        </patternFill>
      </fill>
    </dxf>
    <dxf>
      <font>
        <color auto="1"/>
      </font>
      <fill>
        <patternFill>
          <bgColor rgb="FFFF0000"/>
        </patternFill>
      </fill>
    </dxf>
    <dxf>
      <font>
        <color auto="1"/>
        <name val="Cambria"/>
        <scheme val="none"/>
      </font>
      <fill>
        <patternFill>
          <bgColor indexed="13"/>
        </patternFill>
      </fill>
    </dxf>
    <dxf>
      <font>
        <color auto="1"/>
        <name val="Cambria"/>
        <scheme val="none"/>
      </font>
      <fill>
        <patternFill>
          <bgColor rgb="FF00FF00"/>
        </patternFill>
      </fill>
    </dxf>
    <dxf>
      <font>
        <color theme="0"/>
      </font>
    </dxf>
    <dxf>
      <font>
        <color auto="1"/>
        <name val="Cambria"/>
        <scheme val="none"/>
      </font>
      <fill>
        <patternFill patternType="solid">
          <bgColor rgb="FFCC9CCC"/>
        </patternFill>
      </fill>
    </dxf>
    <dxf>
      <font>
        <color auto="1"/>
        <name val="Cambria"/>
        <scheme val="none"/>
      </font>
      <fill>
        <patternFill>
          <bgColor rgb="FFA6CAF0"/>
        </patternFill>
      </fill>
    </dxf>
    <dxf>
      <font>
        <color auto="1"/>
      </font>
      <fill>
        <patternFill>
          <bgColor rgb="FFFF0000"/>
        </patternFill>
      </fill>
    </dxf>
    <dxf>
      <font>
        <color auto="1"/>
        <name val="Cambria"/>
        <scheme val="none"/>
      </font>
      <fill>
        <patternFill>
          <bgColor indexed="13"/>
        </patternFill>
      </fill>
    </dxf>
    <dxf>
      <font>
        <color auto="1"/>
        <name val="Cambria"/>
        <scheme val="none"/>
      </font>
      <fill>
        <patternFill>
          <bgColor rgb="FF00FF00"/>
        </patternFill>
      </fill>
    </dxf>
    <dxf>
      <font>
        <color theme="0"/>
      </font>
    </dxf>
    <dxf>
      <font>
        <color auto="1"/>
        <name val="Cambria"/>
        <scheme val="none"/>
      </font>
      <fill>
        <patternFill patternType="solid">
          <bgColor rgb="FFCC9CCC"/>
        </patternFill>
      </fill>
    </dxf>
    <dxf>
      <font>
        <color auto="1"/>
        <name val="Cambria"/>
        <scheme val="none"/>
      </font>
      <fill>
        <patternFill>
          <bgColor rgb="FFA6CAF0"/>
        </patternFill>
      </fill>
    </dxf>
    <dxf>
      <font>
        <color auto="1"/>
      </font>
      <fill>
        <patternFill>
          <bgColor rgb="FFFF0000"/>
        </patternFill>
      </fill>
    </dxf>
    <dxf>
      <font>
        <color auto="1"/>
        <name val="Cambria"/>
        <scheme val="none"/>
      </font>
      <fill>
        <patternFill>
          <bgColor indexed="13"/>
        </patternFill>
      </fill>
    </dxf>
    <dxf>
      <font>
        <color auto="1"/>
        <name val="Cambria"/>
        <scheme val="none"/>
      </font>
      <fill>
        <patternFill>
          <bgColor rgb="FF00FF00"/>
        </patternFill>
      </fill>
    </dxf>
    <dxf>
      <font>
        <color theme="0"/>
      </font>
    </dxf>
    <dxf>
      <font>
        <color rgb="FFFF0000"/>
      </font>
      <fill>
        <patternFill>
          <bgColor rgb="FFFF0000"/>
        </patternFill>
      </fill>
    </dxf>
    <dxf>
      <font>
        <color auto="1"/>
        <name val="Cambria"/>
        <scheme val="none"/>
      </font>
      <fill>
        <patternFill patternType="solid">
          <bgColor rgb="FFCC9CCC"/>
        </patternFill>
      </fill>
    </dxf>
    <dxf>
      <font>
        <color rgb="FF00FF00"/>
      </font>
      <fill>
        <patternFill patternType="solid">
          <fgColor rgb="FF00FF00"/>
          <bgColor rgb="FF00FF00"/>
        </patternFill>
      </fill>
    </dxf>
    <dxf>
      <font>
        <color auto="1"/>
        <name val="Cambria"/>
        <scheme val="none"/>
      </font>
      <fill>
        <patternFill>
          <bgColor rgb="FFA6CAF0"/>
        </patternFill>
      </fill>
    </dxf>
    <dxf>
      <font>
        <color rgb="FFA6CAF0"/>
      </font>
      <fill>
        <patternFill>
          <bgColor rgb="FFA6CAF0"/>
        </patternFill>
      </fill>
    </dxf>
    <dxf>
      <font>
        <color rgb="FFCC9CCC"/>
        <name val="Cambria"/>
        <scheme val="none"/>
      </font>
      <fill>
        <patternFill patternType="solid">
          <bgColor rgb="FFCC9CCC"/>
        </patternFill>
      </fill>
    </dxf>
    <dxf>
      <font>
        <color rgb="FFFFFF00"/>
      </font>
      <fill>
        <patternFill patternType="solid">
          <fgColor rgb="FFFFFF00"/>
          <bgColor rgb="FFFFFF00"/>
        </patternFill>
      </fill>
    </dxf>
    <dxf>
      <font>
        <color rgb="FF00FF00"/>
      </font>
      <fill>
        <patternFill patternType="solid">
          <fgColor rgb="FF00FF00"/>
          <bgColor rgb="FF00FF00"/>
        </patternFill>
      </fill>
    </dxf>
    <dxf>
      <font>
        <color theme="0"/>
      </font>
      <fill>
        <patternFill patternType="none">
          <bgColor indexed="65"/>
        </patternFill>
      </fill>
    </dxf>
    <dxf>
      <font>
        <color rgb="FFCC0000"/>
      </font>
      <fill>
        <patternFill>
          <bgColor rgb="FFFF0000"/>
        </patternFill>
      </fill>
    </dxf>
    <dxf>
      <font>
        <color rgb="FFA6CAF0"/>
      </font>
      <fill>
        <patternFill>
          <bgColor rgb="FFA6CAF0"/>
        </patternFill>
      </fill>
    </dxf>
    <dxf>
      <font>
        <color theme="0"/>
      </font>
      <fill>
        <patternFill>
          <bgColor rgb="FFFFFFFF"/>
        </patternFill>
      </fill>
    </dxf>
    <dxf>
      <font>
        <color rgb="FF00FF00"/>
      </font>
      <fill>
        <patternFill>
          <bgColor rgb="FF00FF00"/>
        </patternFill>
      </fill>
    </dxf>
    <dxf>
      <font>
        <color rgb="FFFFFF00"/>
      </font>
      <fill>
        <patternFill>
          <bgColor rgb="FFFFFF00"/>
        </patternFill>
      </fill>
    </dxf>
    <dxf>
      <font>
        <color rgb="FFFF0000"/>
      </font>
      <fill>
        <patternFill>
          <bgColor rgb="FFFF0000"/>
        </patternFill>
      </fill>
    </dxf>
    <dxf>
      <font>
        <color rgb="FFCC9CCC"/>
        <name val="Cambria"/>
        <scheme val="none"/>
      </font>
      <fill>
        <patternFill patternType="solid">
          <bgColor rgb="FFCC9CCC"/>
        </patternFill>
      </fill>
    </dxf>
    <dxf>
      <font>
        <color rgb="FFFFFF00"/>
      </font>
      <fill>
        <patternFill patternType="solid">
          <fgColor rgb="FFFFFF00"/>
          <bgColor rgb="FFFFFF00"/>
        </patternFill>
      </fill>
    </dxf>
    <dxf>
      <font>
        <color rgb="FF00FF00"/>
      </font>
      <fill>
        <patternFill patternType="solid">
          <fgColor rgb="FF00FF00"/>
          <bgColor rgb="FF00FF00"/>
        </patternFill>
      </fill>
    </dxf>
    <dxf>
      <font>
        <color theme="0"/>
      </font>
      <fill>
        <patternFill patternType="none">
          <bgColor indexed="65"/>
        </patternFill>
      </fill>
    </dxf>
    <dxf>
      <font>
        <color rgb="FFCC0000"/>
      </font>
      <fill>
        <patternFill>
          <bgColor rgb="FFFF0000"/>
        </patternFill>
      </fill>
    </dxf>
    <dxf>
      <font>
        <color auto="1"/>
        <name val="Cambria"/>
        <scheme val="none"/>
      </font>
      <fill>
        <patternFill>
          <bgColor indexed="13"/>
        </patternFill>
      </fill>
    </dxf>
    <dxf>
      <font>
        <color auto="1"/>
        <name val="Cambria"/>
        <scheme val="none"/>
      </font>
      <fill>
        <patternFill>
          <bgColor rgb="FF00FF00"/>
        </patternFill>
      </fill>
    </dxf>
    <dxf>
      <font>
        <color theme="0"/>
      </font>
    </dxf>
    <dxf>
      <font>
        <color auto="1"/>
        <name val="Cambria"/>
        <scheme val="none"/>
      </font>
      <fill>
        <patternFill patternType="solid">
          <bgColor rgb="FFCC9CCC"/>
        </patternFill>
      </fill>
    </dxf>
    <dxf>
      <font>
        <color auto="1"/>
        <name val="Cambria"/>
        <scheme val="none"/>
      </font>
      <fill>
        <patternFill>
          <bgColor rgb="FFA6CAF0"/>
        </patternFill>
      </fill>
    </dxf>
    <dxf>
      <font>
        <color auto="1"/>
      </font>
      <fill>
        <patternFill>
          <bgColor rgb="FFFF0000"/>
        </patternFill>
      </fill>
    </dxf>
    <dxf>
      <font>
        <color auto="1"/>
        <name val="Cambria"/>
        <scheme val="none"/>
      </font>
      <fill>
        <patternFill>
          <bgColor indexed="13"/>
        </patternFill>
      </fill>
    </dxf>
    <dxf>
      <font>
        <color auto="1"/>
        <name val="Cambria"/>
        <scheme val="none"/>
      </font>
      <fill>
        <patternFill>
          <bgColor rgb="FF00FF00"/>
        </patternFill>
      </fill>
    </dxf>
    <dxf>
      <font>
        <color theme="0"/>
      </font>
    </dxf>
    <dxf>
      <font>
        <color rgb="FFFF0000"/>
      </font>
      <fill>
        <patternFill>
          <bgColor rgb="FFFF0000"/>
        </patternFill>
      </fill>
    </dxf>
    <dxf>
      <font>
        <color auto="1"/>
        <name val="Cambria"/>
        <scheme val="none"/>
      </font>
      <fill>
        <patternFill patternType="solid">
          <bgColor rgb="FFCC9CCC"/>
        </patternFill>
      </fill>
    </dxf>
    <dxf>
      <font>
        <color rgb="FF00FF00"/>
      </font>
      <fill>
        <patternFill patternType="solid">
          <fgColor rgb="FF00FF00"/>
          <bgColor rgb="FF00FF00"/>
        </patternFill>
      </fill>
    </dxf>
    <dxf>
      <font>
        <color auto="1"/>
        <name val="Cambria"/>
        <scheme val="none"/>
      </font>
      <fill>
        <patternFill>
          <bgColor rgb="FFA6CAF0"/>
        </patternFill>
      </fill>
    </dxf>
    <dxf>
      <font>
        <color rgb="FFA6CAF0"/>
      </font>
      <fill>
        <patternFill>
          <bgColor rgb="FFA6CAF0"/>
        </patternFill>
      </fill>
    </dxf>
    <dxf>
      <font>
        <color rgb="FFCC9CCC"/>
        <name val="Cambria"/>
        <scheme val="none"/>
      </font>
      <fill>
        <patternFill patternType="solid">
          <bgColor rgb="FFCC9CCC"/>
        </patternFill>
      </fill>
    </dxf>
    <dxf>
      <font>
        <color rgb="FFFFFF00"/>
      </font>
      <fill>
        <patternFill patternType="solid">
          <fgColor rgb="FFFFFF00"/>
          <bgColor rgb="FFFFFF00"/>
        </patternFill>
      </fill>
    </dxf>
    <dxf>
      <font>
        <color rgb="FF00FF00"/>
      </font>
      <fill>
        <patternFill patternType="solid">
          <fgColor rgb="FF00FF00"/>
          <bgColor rgb="FF00FF00"/>
        </patternFill>
      </fill>
    </dxf>
    <dxf>
      <font>
        <color theme="0"/>
      </font>
      <fill>
        <patternFill patternType="none">
          <bgColor indexed="65"/>
        </patternFill>
      </fill>
    </dxf>
    <dxf>
      <font>
        <color rgb="FFCC0000"/>
      </font>
      <fill>
        <patternFill>
          <bgColor rgb="FFFF0000"/>
        </patternFill>
      </fill>
    </dxf>
    <dxf>
      <font>
        <color rgb="FFA6CAF0"/>
      </font>
      <fill>
        <patternFill>
          <bgColor rgb="FFA6CAF0"/>
        </patternFill>
      </fill>
    </dxf>
    <dxf>
      <font>
        <color theme="0"/>
      </font>
      <fill>
        <patternFill>
          <bgColor rgb="FFFFFFFF"/>
        </patternFill>
      </fill>
    </dxf>
    <dxf>
      <font>
        <color rgb="FF00FF00"/>
      </font>
      <fill>
        <patternFill>
          <bgColor rgb="FF00FF00"/>
        </patternFill>
      </fill>
    </dxf>
    <dxf>
      <font>
        <color rgb="FFFFFF00"/>
      </font>
      <fill>
        <patternFill>
          <bgColor rgb="FFFFFF00"/>
        </patternFill>
      </fill>
    </dxf>
    <dxf>
      <font>
        <color rgb="FFFF0000"/>
      </font>
      <fill>
        <patternFill>
          <bgColor rgb="FFFF0000"/>
        </patternFill>
      </fill>
    </dxf>
    <dxf>
      <font>
        <color rgb="FFCC9CCC"/>
        <name val="Cambria"/>
        <scheme val="none"/>
      </font>
      <fill>
        <patternFill patternType="solid">
          <bgColor rgb="FFCC9CCC"/>
        </patternFill>
      </fill>
    </dxf>
    <dxf>
      <font>
        <color rgb="FFFFFF00"/>
      </font>
      <fill>
        <patternFill patternType="solid">
          <fgColor rgb="FFFFFF00"/>
          <bgColor rgb="FFFFFF00"/>
        </patternFill>
      </fill>
    </dxf>
    <dxf>
      <font>
        <color rgb="FF00FF00"/>
      </font>
      <fill>
        <patternFill patternType="solid">
          <fgColor rgb="FF00FF00"/>
          <bgColor rgb="FF00FF00"/>
        </patternFill>
      </fill>
    </dxf>
    <dxf>
      <font>
        <color theme="0"/>
      </font>
      <fill>
        <patternFill patternType="none">
          <bgColor indexed="65"/>
        </patternFill>
      </fill>
    </dxf>
    <dxf>
      <font>
        <color rgb="FFCC0000"/>
      </font>
      <fill>
        <patternFill>
          <bgColor rgb="FFFF0000"/>
        </patternFill>
      </fill>
    </dxf>
    <dxf>
      <font>
        <color auto="1"/>
        <name val="Cambria"/>
        <scheme val="none"/>
      </font>
      <fill>
        <patternFill>
          <bgColor indexed="13"/>
        </patternFill>
      </fill>
    </dxf>
    <dxf>
      <font>
        <color auto="1"/>
        <name val="Cambria"/>
        <scheme val="none"/>
      </font>
      <fill>
        <patternFill>
          <bgColor rgb="FF00FF00"/>
        </patternFill>
      </fill>
    </dxf>
    <dxf>
      <font>
        <color theme="0"/>
      </font>
    </dxf>
    <dxf>
      <font>
        <color rgb="FFFF0000"/>
      </font>
      <fill>
        <patternFill>
          <bgColor rgb="FFFF0000"/>
        </patternFill>
      </fill>
    </dxf>
    <dxf>
      <font>
        <color auto="1"/>
        <name val="Cambria"/>
        <scheme val="none"/>
      </font>
      <fill>
        <patternFill patternType="solid">
          <bgColor rgb="FFCC9CCC"/>
        </patternFill>
      </fill>
    </dxf>
    <dxf>
      <font>
        <color rgb="FF00FF00"/>
      </font>
      <fill>
        <patternFill patternType="solid">
          <fgColor rgb="FF00FF00"/>
          <bgColor rgb="FF00FF00"/>
        </patternFill>
      </fill>
    </dxf>
    <dxf>
      <font>
        <color auto="1"/>
        <name val="Cambria"/>
        <scheme val="none"/>
      </font>
      <fill>
        <patternFill>
          <bgColor rgb="FFA6CAF0"/>
        </patternFill>
      </fill>
    </dxf>
    <dxf>
      <font>
        <color rgb="FFA6CAF0"/>
      </font>
      <fill>
        <patternFill>
          <bgColor rgb="FFA6CAF0"/>
        </patternFill>
      </fill>
    </dxf>
    <dxf>
      <font>
        <color rgb="FFCC9CCC"/>
        <name val="Cambria"/>
        <scheme val="none"/>
      </font>
      <fill>
        <patternFill patternType="solid">
          <bgColor rgb="FFCC9CCC"/>
        </patternFill>
      </fill>
    </dxf>
    <dxf>
      <font>
        <color rgb="FFFFFF00"/>
      </font>
      <fill>
        <patternFill patternType="solid">
          <fgColor rgb="FFFFFF00"/>
          <bgColor rgb="FFFFFF00"/>
        </patternFill>
      </fill>
    </dxf>
    <dxf>
      <font>
        <color rgb="FF00FF00"/>
      </font>
      <fill>
        <patternFill patternType="solid">
          <fgColor rgb="FF00FF00"/>
          <bgColor rgb="FF00FF00"/>
        </patternFill>
      </fill>
    </dxf>
    <dxf>
      <font>
        <color theme="0"/>
      </font>
      <fill>
        <patternFill patternType="none">
          <bgColor indexed="65"/>
        </patternFill>
      </fill>
    </dxf>
    <dxf>
      <font>
        <color rgb="FFCC0000"/>
      </font>
      <fill>
        <patternFill>
          <bgColor rgb="FFFF0000"/>
        </patternFill>
      </fill>
    </dxf>
    <dxf>
      <font>
        <color rgb="FFA6CAF0"/>
      </font>
      <fill>
        <patternFill>
          <bgColor rgb="FFA6CAF0"/>
        </patternFill>
      </fill>
    </dxf>
    <dxf>
      <font>
        <color theme="0"/>
      </font>
      <fill>
        <patternFill>
          <bgColor rgb="FFFFFFFF"/>
        </patternFill>
      </fill>
    </dxf>
    <dxf>
      <font>
        <color rgb="FF00FF00"/>
      </font>
      <fill>
        <patternFill>
          <bgColor rgb="FF00FF00"/>
        </patternFill>
      </fill>
    </dxf>
    <dxf>
      <font>
        <color rgb="FFFFFF00"/>
      </font>
      <fill>
        <patternFill>
          <bgColor rgb="FFFFFF00"/>
        </patternFill>
      </fill>
    </dxf>
    <dxf>
      <font>
        <color rgb="FFFF0000"/>
      </font>
      <fill>
        <patternFill>
          <bgColor rgb="FFFF0000"/>
        </patternFill>
      </fill>
    </dxf>
    <dxf>
      <font>
        <color rgb="FFCC9CCC"/>
        <name val="Cambria"/>
        <scheme val="none"/>
      </font>
      <fill>
        <patternFill patternType="solid">
          <bgColor rgb="FFCC9CCC"/>
        </patternFill>
      </fill>
    </dxf>
    <dxf>
      <font>
        <color rgb="FFFFFF00"/>
      </font>
      <fill>
        <patternFill patternType="solid">
          <fgColor rgb="FFFFFF00"/>
          <bgColor rgb="FFFFFF00"/>
        </patternFill>
      </fill>
    </dxf>
    <dxf>
      <font>
        <color rgb="FF00FF00"/>
      </font>
      <fill>
        <patternFill patternType="solid">
          <fgColor rgb="FF00FF00"/>
          <bgColor rgb="FF00FF00"/>
        </patternFill>
      </fill>
    </dxf>
    <dxf>
      <font>
        <color theme="0"/>
      </font>
      <fill>
        <patternFill patternType="none">
          <bgColor indexed="65"/>
        </patternFill>
      </fill>
    </dxf>
    <dxf>
      <font>
        <color rgb="FFCC0000"/>
      </font>
      <fill>
        <patternFill>
          <bgColor rgb="FFFF0000"/>
        </patternFill>
      </fill>
    </dxf>
    <dxf>
      <font>
        <color auto="1"/>
        <name val="Cambria"/>
        <scheme val="none"/>
      </font>
      <fill>
        <patternFill>
          <bgColor indexed="13"/>
        </patternFill>
      </fill>
    </dxf>
    <dxf>
      <font>
        <color auto="1"/>
        <name val="Cambria"/>
        <scheme val="none"/>
      </font>
      <fill>
        <patternFill>
          <bgColor rgb="FF00FF00"/>
        </patternFill>
      </fill>
    </dxf>
    <dxf>
      <font>
        <color theme="0"/>
      </font>
    </dxf>
    <dxf>
      <font>
        <color rgb="FFFF0000"/>
      </font>
      <fill>
        <patternFill>
          <bgColor rgb="FFFF0000"/>
        </patternFill>
      </fill>
    </dxf>
    <dxf>
      <font>
        <color auto="1"/>
        <name val="Cambria"/>
        <scheme val="none"/>
      </font>
      <fill>
        <patternFill patternType="solid">
          <bgColor rgb="FFCC9CCC"/>
        </patternFill>
      </fill>
    </dxf>
    <dxf>
      <font>
        <color rgb="FF00FF00"/>
      </font>
      <fill>
        <patternFill patternType="solid">
          <fgColor rgb="FF00FF00"/>
          <bgColor rgb="FF00FF00"/>
        </patternFill>
      </fill>
    </dxf>
    <dxf>
      <font>
        <color auto="1"/>
        <name val="Cambria"/>
        <scheme val="none"/>
      </font>
      <fill>
        <patternFill>
          <bgColor rgb="FFA6CAF0"/>
        </patternFill>
      </fill>
    </dxf>
    <dxf>
      <font>
        <color rgb="FFA6CAF0"/>
      </font>
      <fill>
        <patternFill>
          <bgColor rgb="FFA6CAF0"/>
        </patternFill>
      </fill>
    </dxf>
    <dxf>
      <font>
        <color rgb="FFCC9CCC"/>
        <name val="Cambria"/>
        <scheme val="none"/>
      </font>
      <fill>
        <patternFill patternType="solid">
          <bgColor rgb="FFCC9CCC"/>
        </patternFill>
      </fill>
    </dxf>
    <dxf>
      <font>
        <color rgb="FFFFFF00"/>
      </font>
      <fill>
        <patternFill patternType="solid">
          <fgColor rgb="FFFFFF00"/>
          <bgColor rgb="FFFFFF00"/>
        </patternFill>
      </fill>
    </dxf>
    <dxf>
      <font>
        <color rgb="FF00FF00"/>
      </font>
      <fill>
        <patternFill patternType="solid">
          <fgColor rgb="FF00FF00"/>
          <bgColor rgb="FF00FF00"/>
        </patternFill>
      </fill>
    </dxf>
    <dxf>
      <font>
        <color theme="0"/>
      </font>
      <fill>
        <patternFill patternType="none">
          <bgColor indexed="65"/>
        </patternFill>
      </fill>
    </dxf>
    <dxf>
      <font>
        <color rgb="FFCC0000"/>
      </font>
      <fill>
        <patternFill>
          <bgColor rgb="FFFF0000"/>
        </patternFill>
      </fill>
    </dxf>
    <dxf>
      <font>
        <color rgb="FFA6CAF0"/>
      </font>
      <fill>
        <patternFill>
          <bgColor rgb="FFA6CAF0"/>
        </patternFill>
      </fill>
    </dxf>
    <dxf>
      <font>
        <color theme="0"/>
      </font>
      <fill>
        <patternFill>
          <bgColor rgb="FFFFFFFF"/>
        </patternFill>
      </fill>
    </dxf>
    <dxf>
      <font>
        <color rgb="FF00FF00"/>
      </font>
      <fill>
        <patternFill>
          <bgColor rgb="FF00FF00"/>
        </patternFill>
      </fill>
    </dxf>
    <dxf>
      <font>
        <color rgb="FFFFFF00"/>
      </font>
      <fill>
        <patternFill>
          <bgColor rgb="FFFFFF00"/>
        </patternFill>
      </fill>
    </dxf>
    <dxf>
      <font>
        <color rgb="FFFF0000"/>
      </font>
      <fill>
        <patternFill>
          <bgColor rgb="FFFF0000"/>
        </patternFill>
      </fill>
    </dxf>
    <dxf>
      <font>
        <color rgb="FFCC9CCC"/>
        <name val="Cambria"/>
        <scheme val="none"/>
      </font>
      <fill>
        <patternFill patternType="solid">
          <bgColor rgb="FFCC9CCC"/>
        </patternFill>
      </fill>
    </dxf>
    <dxf>
      <font>
        <color rgb="FFFFFF00"/>
      </font>
      <fill>
        <patternFill patternType="solid">
          <fgColor rgb="FFFFFF00"/>
          <bgColor rgb="FFFFFF00"/>
        </patternFill>
      </fill>
    </dxf>
    <dxf>
      <font>
        <color rgb="FF00FF00"/>
      </font>
      <fill>
        <patternFill patternType="solid">
          <fgColor rgb="FF00FF00"/>
          <bgColor rgb="FF00FF00"/>
        </patternFill>
      </fill>
    </dxf>
    <dxf>
      <font>
        <color theme="0"/>
      </font>
      <fill>
        <patternFill patternType="none">
          <bgColor indexed="65"/>
        </patternFill>
      </fill>
    </dxf>
    <dxf>
      <font>
        <color rgb="FFCC0000"/>
      </font>
      <fill>
        <patternFill>
          <bgColor rgb="FFFF0000"/>
        </patternFill>
      </fill>
    </dxf>
    <dxf>
      <font>
        <color auto="1"/>
        <name val="Cambria"/>
        <scheme val="none"/>
      </font>
      <fill>
        <patternFill>
          <bgColor indexed="13"/>
        </patternFill>
      </fill>
    </dxf>
    <dxf>
      <font>
        <color auto="1"/>
        <name val="Cambria"/>
        <scheme val="none"/>
      </font>
      <fill>
        <patternFill>
          <bgColor rgb="FF00FF00"/>
        </patternFill>
      </fill>
    </dxf>
    <dxf>
      <font>
        <color theme="0"/>
      </font>
    </dxf>
    <dxf>
      <font>
        <color auto="1"/>
        <name val="Cambria"/>
        <scheme val="none"/>
      </font>
      <fill>
        <patternFill>
          <bgColor indexed="13"/>
        </patternFill>
      </fill>
    </dxf>
    <dxf>
      <font>
        <color auto="1"/>
        <name val="Cambria"/>
        <scheme val="none"/>
      </font>
      <fill>
        <patternFill>
          <bgColor rgb="FF00FF00"/>
        </patternFill>
      </fill>
    </dxf>
    <dxf>
      <font>
        <color theme="0"/>
      </font>
    </dxf>
    <dxf>
      <font>
        <color auto="1"/>
        <name val="Cambria"/>
        <scheme val="none"/>
      </font>
      <fill>
        <patternFill patternType="solid">
          <bgColor rgb="FFCC9CCC"/>
        </patternFill>
      </fill>
    </dxf>
    <dxf>
      <font>
        <color auto="1"/>
        <name val="Cambria"/>
        <scheme val="none"/>
      </font>
      <fill>
        <patternFill>
          <bgColor rgb="FFA6CAF0"/>
        </patternFill>
      </fill>
    </dxf>
    <dxf>
      <font>
        <color auto="1"/>
      </font>
      <fill>
        <patternFill>
          <bgColor rgb="FFFF0000"/>
        </patternFill>
      </fill>
    </dxf>
    <dxf>
      <font>
        <color theme="0"/>
      </font>
      <fill>
        <patternFill>
          <bgColor theme="0"/>
        </patternFill>
      </fill>
    </dxf>
    <dxf>
      <font>
        <color rgb="FF00FF00"/>
      </font>
      <fill>
        <patternFill>
          <bgColor rgb="FF00FF00"/>
        </patternFill>
      </fill>
    </dxf>
    <dxf>
      <font>
        <color rgb="FFFFFF00"/>
      </font>
      <fill>
        <patternFill>
          <bgColor rgb="FFFFFF00"/>
        </patternFill>
      </fill>
    </dxf>
    <dxf>
      <font>
        <color rgb="FFFF0000"/>
      </font>
      <fill>
        <patternFill>
          <bgColor rgb="FFFF0000"/>
        </patternFill>
      </fill>
    </dxf>
    <dxf>
      <font>
        <color theme="0"/>
      </font>
      <fill>
        <patternFill>
          <bgColor theme="0"/>
        </patternFill>
      </fill>
    </dxf>
    <dxf>
      <font>
        <color rgb="FF00FF00"/>
      </font>
      <fill>
        <patternFill>
          <bgColor rgb="FF00FF00"/>
        </patternFill>
      </fill>
    </dxf>
    <dxf>
      <font>
        <color rgb="FFFFFF00"/>
      </font>
      <fill>
        <patternFill>
          <bgColor rgb="FFFFFF00"/>
        </patternFill>
      </fill>
    </dxf>
    <dxf>
      <font>
        <color rgb="FFFF0000"/>
      </font>
      <fill>
        <patternFill>
          <bgColor rgb="FFFF0000"/>
        </patternFill>
      </fill>
    </dxf>
    <dxf>
      <font>
        <color auto="1"/>
      </font>
      <fill>
        <patternFill>
          <bgColor rgb="FF00FF00"/>
        </patternFill>
      </fill>
    </dxf>
    <dxf>
      <fill>
        <patternFill>
          <bgColor rgb="FFFF0000"/>
        </patternFill>
      </fill>
    </dxf>
    <dxf>
      <fill>
        <patternFill>
          <bgColor rgb="FFFFFF00"/>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FFFFFF00"/>
      <color rgb="FFFF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externalLink" Target="externalLinks/externalLink7.xml"/><Relationship Id="rId47" Type="http://schemas.openxmlformats.org/officeDocument/2006/relationships/externalLink" Target="externalLinks/externalLink12.xml"/><Relationship Id="rId63" Type="http://schemas.openxmlformats.org/officeDocument/2006/relationships/externalLink" Target="externalLinks/externalLink28.xml"/><Relationship Id="rId68" Type="http://schemas.openxmlformats.org/officeDocument/2006/relationships/externalLink" Target="externalLinks/externalLink33.xml"/><Relationship Id="rId7" Type="http://schemas.openxmlformats.org/officeDocument/2006/relationships/worksheet" Target="worksheets/sheet7.xml"/><Relationship Id="rId71"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externalLink" Target="externalLinks/externalLink2.xml"/><Relationship Id="rId40" Type="http://schemas.openxmlformats.org/officeDocument/2006/relationships/externalLink" Target="externalLinks/externalLink5.xml"/><Relationship Id="rId45" Type="http://schemas.openxmlformats.org/officeDocument/2006/relationships/externalLink" Target="externalLinks/externalLink10.xml"/><Relationship Id="rId53" Type="http://schemas.openxmlformats.org/officeDocument/2006/relationships/externalLink" Target="externalLinks/externalLink18.xml"/><Relationship Id="rId58" Type="http://schemas.openxmlformats.org/officeDocument/2006/relationships/externalLink" Target="externalLinks/externalLink23.xml"/><Relationship Id="rId66" Type="http://schemas.openxmlformats.org/officeDocument/2006/relationships/externalLink" Target="externalLinks/externalLink31.xml"/><Relationship Id="rId5" Type="http://schemas.openxmlformats.org/officeDocument/2006/relationships/worksheet" Target="worksheets/sheet5.xml"/><Relationship Id="rId61" Type="http://schemas.openxmlformats.org/officeDocument/2006/relationships/externalLink" Target="externalLinks/externalLink26.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externalLink" Target="externalLinks/externalLink8.xml"/><Relationship Id="rId48" Type="http://schemas.openxmlformats.org/officeDocument/2006/relationships/externalLink" Target="externalLinks/externalLink13.xml"/><Relationship Id="rId56" Type="http://schemas.openxmlformats.org/officeDocument/2006/relationships/externalLink" Target="externalLinks/externalLink21.xml"/><Relationship Id="rId64" Type="http://schemas.openxmlformats.org/officeDocument/2006/relationships/externalLink" Target="externalLinks/externalLink29.xml"/><Relationship Id="rId69" Type="http://schemas.openxmlformats.org/officeDocument/2006/relationships/theme" Target="theme/theme1.xml"/><Relationship Id="rId8" Type="http://schemas.openxmlformats.org/officeDocument/2006/relationships/worksheet" Target="worksheets/sheet8.xml"/><Relationship Id="rId51" Type="http://schemas.openxmlformats.org/officeDocument/2006/relationships/externalLink" Target="externalLinks/externalLink16.xml"/><Relationship Id="rId72"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externalLink" Target="externalLinks/externalLink3.xml"/><Relationship Id="rId46" Type="http://schemas.openxmlformats.org/officeDocument/2006/relationships/externalLink" Target="externalLinks/externalLink11.xml"/><Relationship Id="rId59" Type="http://schemas.openxmlformats.org/officeDocument/2006/relationships/externalLink" Target="externalLinks/externalLink24.xml"/><Relationship Id="rId67" Type="http://schemas.openxmlformats.org/officeDocument/2006/relationships/externalLink" Target="externalLinks/externalLink32.xml"/><Relationship Id="rId20" Type="http://schemas.openxmlformats.org/officeDocument/2006/relationships/worksheet" Target="worksheets/sheet20.xml"/><Relationship Id="rId41" Type="http://schemas.openxmlformats.org/officeDocument/2006/relationships/externalLink" Target="externalLinks/externalLink6.xml"/><Relationship Id="rId54" Type="http://schemas.openxmlformats.org/officeDocument/2006/relationships/externalLink" Target="externalLinks/externalLink19.xml"/><Relationship Id="rId62" Type="http://schemas.openxmlformats.org/officeDocument/2006/relationships/externalLink" Target="externalLinks/externalLink27.xml"/><Relationship Id="rId7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externalLink" Target="externalLinks/externalLink1.xml"/><Relationship Id="rId49" Type="http://schemas.openxmlformats.org/officeDocument/2006/relationships/externalLink" Target="externalLinks/externalLink14.xml"/><Relationship Id="rId57" Type="http://schemas.openxmlformats.org/officeDocument/2006/relationships/externalLink" Target="externalLinks/externalLink22.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externalLink" Target="externalLinks/externalLink9.xml"/><Relationship Id="rId52" Type="http://schemas.openxmlformats.org/officeDocument/2006/relationships/externalLink" Target="externalLinks/externalLink17.xml"/><Relationship Id="rId60" Type="http://schemas.openxmlformats.org/officeDocument/2006/relationships/externalLink" Target="externalLinks/externalLink25.xml"/><Relationship Id="rId65" Type="http://schemas.openxmlformats.org/officeDocument/2006/relationships/externalLink" Target="externalLinks/externalLink30.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externalLink" Target="externalLinks/externalLink4.xml"/><Relationship Id="rId34" Type="http://schemas.openxmlformats.org/officeDocument/2006/relationships/worksheet" Target="worksheets/sheet34.xml"/><Relationship Id="rId50" Type="http://schemas.openxmlformats.org/officeDocument/2006/relationships/externalLink" Target="externalLinks/externalLink15.xml"/><Relationship Id="rId55" Type="http://schemas.openxmlformats.org/officeDocument/2006/relationships/externalLink" Target="externalLinks/externalLink20.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rotX val="30"/>
      <c:rotY val="0"/>
      <c:rAngAx val="0"/>
      <c:perspective val="0"/>
    </c:view3D>
    <c:floor>
      <c:thickness val="0"/>
    </c:floor>
    <c:sideWall>
      <c:thickness val="0"/>
    </c:sideWall>
    <c:backWall>
      <c:thickness val="0"/>
    </c:backWall>
    <c:plotArea>
      <c:layout/>
      <c:pie3DChart>
        <c:varyColors val="1"/>
        <c:ser>
          <c:idx val="0"/>
          <c:order val="0"/>
          <c:dPt>
            <c:idx val="0"/>
            <c:bubble3D val="0"/>
            <c:spPr>
              <a:solidFill>
                <a:srgbClr val="00FF00"/>
              </a:solidFill>
              <a:ln w="25400">
                <a:noFill/>
              </a:ln>
            </c:spPr>
            <c:extLst>
              <c:ext xmlns:c16="http://schemas.microsoft.com/office/drawing/2014/chart" uri="{C3380CC4-5D6E-409C-BE32-E72D297353CC}">
                <c16:uniqueId val="{00000000-940D-465F-A114-8550C4D8EC95}"/>
              </c:ext>
            </c:extLst>
          </c:dPt>
          <c:dPt>
            <c:idx val="1"/>
            <c:bubble3D val="0"/>
            <c:spPr>
              <a:solidFill>
                <a:srgbClr val="FFFF00"/>
              </a:solidFill>
              <a:ln w="25400">
                <a:solidFill>
                  <a:schemeClr val="lt1"/>
                </a:solidFill>
              </a:ln>
              <a:effectLst/>
              <a:sp3d contourW="25400">
                <a:contourClr>
                  <a:schemeClr val="lt1"/>
                </a:contourClr>
              </a:sp3d>
            </c:spPr>
            <c:extLst>
              <c:ext xmlns:c16="http://schemas.microsoft.com/office/drawing/2014/chart" uri="{C3380CC4-5D6E-409C-BE32-E72D297353CC}">
                <c16:uniqueId val="{00000001-940D-465F-A114-8550C4D8EC95}"/>
              </c:ext>
            </c:extLst>
          </c:dPt>
          <c:dPt>
            <c:idx val="2"/>
            <c:bubble3D val="0"/>
            <c:spPr>
              <a:solidFill>
                <a:srgbClr val="FF0000"/>
              </a:solidFill>
              <a:ln w="25400">
                <a:solidFill>
                  <a:schemeClr val="lt1"/>
                </a:solidFill>
              </a:ln>
              <a:effectLst/>
              <a:sp3d contourW="25400">
                <a:contourClr>
                  <a:schemeClr val="lt1"/>
                </a:contourClr>
              </a:sp3d>
            </c:spPr>
            <c:extLst>
              <c:ext xmlns:c16="http://schemas.microsoft.com/office/drawing/2014/chart" uri="{C3380CC4-5D6E-409C-BE32-E72D297353CC}">
                <c16:uniqueId val="{00000002-940D-465F-A114-8550C4D8EC95}"/>
              </c:ext>
            </c:extLst>
          </c:dPt>
          <c:dLbls>
            <c:dLbl>
              <c:idx val="0"/>
              <c:spPr>
                <a:noFill/>
                <a:ln w="25400">
                  <a:noFill/>
                </a:ln>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940D-465F-A114-8550C4D8EC95}"/>
                </c:ext>
              </c:extLst>
            </c:dLbl>
            <c:dLbl>
              <c:idx val="1"/>
              <c:spPr>
                <a:noFill/>
                <a:ln w="25400">
                  <a:noFill/>
                </a:ln>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940D-465F-A114-8550C4D8EC95}"/>
                </c:ext>
              </c:extLst>
            </c:dLbl>
            <c:dLbl>
              <c:idx val="2"/>
              <c:spPr>
                <a:noFill/>
                <a:ln w="25400">
                  <a:noFill/>
                </a:ln>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940D-465F-A114-8550C4D8EC95}"/>
                </c:ext>
              </c:extLst>
            </c:dLbl>
            <c:spPr>
              <a:noFill/>
              <a:ln>
                <a:noFill/>
              </a:ln>
              <a:effectLst/>
            </c:spPr>
            <c:showLegendKey val="0"/>
            <c:showVal val="0"/>
            <c:showCatName val="0"/>
            <c:showSerName val="0"/>
            <c:showPercent val="0"/>
            <c:showBubbleSize val="0"/>
            <c:extLst>
              <c:ext xmlns:c15="http://schemas.microsoft.com/office/drawing/2012/chart" uri="{CE6537A1-D6FC-4f65-9D91-7224C49458BB}"/>
            </c:extLst>
          </c:dLbls>
          <c:val>
            <c:numRef>
              <c:f>'TORTA EST. VIAS VIS'!$G$17:$G$19</c:f>
              <c:numCache>
                <c:formatCode>0.00%</c:formatCode>
                <c:ptCount val="3"/>
                <c:pt idx="0">
                  <c:v>0.62514187894237394</c:v>
                </c:pt>
                <c:pt idx="1">
                  <c:v>0.21889362335559981</c:v>
                </c:pt>
                <c:pt idx="2">
                  <c:v>0.15596449770202631</c:v>
                </c:pt>
              </c:numCache>
            </c:numRef>
          </c:val>
          <c:extLst>
            <c:ext xmlns:c16="http://schemas.microsoft.com/office/drawing/2014/chart" uri="{C3380CC4-5D6E-409C-BE32-E72D297353CC}">
              <c16:uniqueId val="{00000003-940D-465F-A114-8550C4D8EC95}"/>
            </c:ext>
          </c:extLst>
        </c:ser>
        <c:ser>
          <c:idx val="1"/>
          <c:order val="1"/>
          <c:dPt>
            <c:idx val="0"/>
            <c:bubble3D val="0"/>
            <c:spPr>
              <a:solidFill>
                <a:schemeClr val="accent1"/>
              </a:solidFill>
              <a:ln w="25400">
                <a:solidFill>
                  <a:schemeClr val="lt1"/>
                </a:solidFill>
              </a:ln>
              <a:effectLst/>
              <a:sp3d contourW="25400">
                <a:contourClr>
                  <a:schemeClr val="lt1"/>
                </a:contourClr>
              </a:sp3d>
            </c:spPr>
            <c:extLst>
              <c:ext xmlns:c16="http://schemas.microsoft.com/office/drawing/2014/chart" uri="{C3380CC4-5D6E-409C-BE32-E72D297353CC}">
                <c16:uniqueId val="{00000004-940D-465F-A114-8550C4D8EC95}"/>
              </c:ext>
            </c:extLst>
          </c:dPt>
          <c:dPt>
            <c:idx val="1"/>
            <c:bubble3D val="0"/>
            <c:spPr>
              <a:solidFill>
                <a:schemeClr val="accent2"/>
              </a:solidFill>
              <a:ln w="25400">
                <a:solidFill>
                  <a:schemeClr val="lt1"/>
                </a:solidFill>
              </a:ln>
              <a:effectLst/>
              <a:sp3d contourW="25400">
                <a:contourClr>
                  <a:schemeClr val="lt1"/>
                </a:contourClr>
              </a:sp3d>
            </c:spPr>
            <c:extLst>
              <c:ext xmlns:c16="http://schemas.microsoft.com/office/drawing/2014/chart" uri="{C3380CC4-5D6E-409C-BE32-E72D297353CC}">
                <c16:uniqueId val="{00000005-940D-465F-A114-8550C4D8EC95}"/>
              </c:ext>
            </c:extLst>
          </c:dPt>
          <c:dPt>
            <c:idx val="2"/>
            <c:bubble3D val="0"/>
            <c:spPr>
              <a:solidFill>
                <a:schemeClr val="accent3"/>
              </a:solidFill>
              <a:ln w="25400">
                <a:solidFill>
                  <a:schemeClr val="lt1"/>
                </a:solidFill>
              </a:ln>
              <a:effectLst/>
              <a:sp3d contourW="25400">
                <a:contourClr>
                  <a:schemeClr val="lt1"/>
                </a:contourClr>
              </a:sp3d>
            </c:spPr>
            <c:extLst>
              <c:ext xmlns:c16="http://schemas.microsoft.com/office/drawing/2014/chart" uri="{C3380CC4-5D6E-409C-BE32-E72D297353CC}">
                <c16:uniqueId val="{00000006-940D-465F-A114-8550C4D8EC95}"/>
              </c:ext>
            </c:extLst>
          </c:dPt>
          <c:val>
            <c:numRef>
              <c:f>'TORTA EST. VIAS VIS'!$G$17:$G$19</c:f>
              <c:numCache>
                <c:formatCode>0.00%</c:formatCode>
                <c:ptCount val="3"/>
                <c:pt idx="0">
                  <c:v>0.62514187894237394</c:v>
                </c:pt>
                <c:pt idx="1">
                  <c:v>0.21889362335559981</c:v>
                </c:pt>
                <c:pt idx="2">
                  <c:v>0.15596449770202631</c:v>
                </c:pt>
              </c:numCache>
            </c:numRef>
          </c:val>
          <c:extLst>
            <c:ext xmlns:c16="http://schemas.microsoft.com/office/drawing/2014/chart" uri="{C3380CC4-5D6E-409C-BE32-E72D297353CC}">
              <c16:uniqueId val="{00000007-940D-465F-A114-8550C4D8EC95}"/>
            </c:ext>
          </c:extLst>
        </c:ser>
        <c:dLbls>
          <c:showLegendKey val="0"/>
          <c:showVal val="0"/>
          <c:showCatName val="0"/>
          <c:showSerName val="0"/>
          <c:showPercent val="0"/>
          <c:showBubbleSize val="0"/>
          <c:showLeaderLines val="1"/>
        </c:dLbls>
      </c:pie3DChart>
      <c:spPr>
        <a:noFill/>
        <a:ln w="25400">
          <a:noFill/>
        </a:ln>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rotX val="30"/>
      <c:rotY val="0"/>
      <c:rAngAx val="0"/>
      <c:perspective val="0"/>
    </c:view3D>
    <c:floor>
      <c:thickness val="0"/>
    </c:floor>
    <c:sideWall>
      <c:thickness val="0"/>
    </c:sideWall>
    <c:backWall>
      <c:thickness val="0"/>
    </c:backWall>
    <c:plotArea>
      <c:layout>
        <c:manualLayout>
          <c:layoutTarget val="inner"/>
          <c:xMode val="edge"/>
          <c:yMode val="edge"/>
          <c:x val="3.7808417326925893E-2"/>
          <c:y val="6.2499485358094707E-2"/>
          <c:w val="0.93055600785263337"/>
          <c:h val="0.85757182342430371"/>
        </c:manualLayout>
      </c:layout>
      <c:pie3DChart>
        <c:varyColors val="1"/>
        <c:ser>
          <c:idx val="0"/>
          <c:order val="0"/>
          <c:dPt>
            <c:idx val="0"/>
            <c:bubble3D val="0"/>
            <c:spPr>
              <a:solidFill>
                <a:schemeClr val="accent1"/>
              </a:solidFill>
              <a:ln w="25400">
                <a:solidFill>
                  <a:schemeClr val="lt1"/>
                </a:solidFill>
              </a:ln>
              <a:effectLst/>
              <a:sp3d contourW="25400">
                <a:contourClr>
                  <a:schemeClr val="lt1"/>
                </a:contourClr>
              </a:sp3d>
            </c:spPr>
            <c:extLst>
              <c:ext xmlns:c16="http://schemas.microsoft.com/office/drawing/2014/chart" uri="{C3380CC4-5D6E-409C-BE32-E72D297353CC}">
                <c16:uniqueId val="{00000000-3202-4430-BD7A-4CE8D6BF9B6B}"/>
              </c:ext>
            </c:extLst>
          </c:dPt>
          <c:dPt>
            <c:idx val="1"/>
            <c:bubble3D val="0"/>
            <c:spPr>
              <a:solidFill>
                <a:srgbClr val="00FF00"/>
              </a:solidFill>
              <a:ln w="25400">
                <a:solidFill>
                  <a:schemeClr val="lt1"/>
                </a:solidFill>
              </a:ln>
              <a:effectLst/>
              <a:sp3d contourW="25400">
                <a:contourClr>
                  <a:schemeClr val="lt1"/>
                </a:contourClr>
              </a:sp3d>
            </c:spPr>
            <c:extLst>
              <c:ext xmlns:c16="http://schemas.microsoft.com/office/drawing/2014/chart" uri="{C3380CC4-5D6E-409C-BE32-E72D297353CC}">
                <c16:uniqueId val="{00000001-3202-4430-BD7A-4CE8D6BF9B6B}"/>
              </c:ext>
            </c:extLst>
          </c:dPt>
          <c:dPt>
            <c:idx val="2"/>
            <c:bubble3D val="0"/>
            <c:spPr>
              <a:solidFill>
                <a:srgbClr val="FFFF00"/>
              </a:solidFill>
              <a:ln w="25400">
                <a:solidFill>
                  <a:schemeClr val="lt1"/>
                </a:solidFill>
              </a:ln>
              <a:effectLst/>
              <a:sp3d contourW="25400">
                <a:contourClr>
                  <a:schemeClr val="lt1"/>
                </a:contourClr>
              </a:sp3d>
            </c:spPr>
            <c:extLst>
              <c:ext xmlns:c16="http://schemas.microsoft.com/office/drawing/2014/chart" uri="{C3380CC4-5D6E-409C-BE32-E72D297353CC}">
                <c16:uniqueId val="{00000002-3202-4430-BD7A-4CE8D6BF9B6B}"/>
              </c:ext>
            </c:extLst>
          </c:dPt>
          <c:dPt>
            <c:idx val="3"/>
            <c:bubble3D val="0"/>
            <c:spPr>
              <a:solidFill>
                <a:srgbClr val="CC9CCC"/>
              </a:solidFill>
              <a:ln w="25400">
                <a:solidFill>
                  <a:schemeClr val="lt1"/>
                </a:solidFill>
              </a:ln>
              <a:effectLst/>
              <a:sp3d contourW="25400">
                <a:contourClr>
                  <a:schemeClr val="lt1"/>
                </a:contourClr>
              </a:sp3d>
            </c:spPr>
            <c:extLst>
              <c:ext xmlns:c16="http://schemas.microsoft.com/office/drawing/2014/chart" uri="{C3380CC4-5D6E-409C-BE32-E72D297353CC}">
                <c16:uniqueId val="{00000003-3202-4430-BD7A-4CE8D6BF9B6B}"/>
              </c:ext>
            </c:extLst>
          </c:dPt>
          <c:dPt>
            <c:idx val="4"/>
            <c:bubble3D val="0"/>
            <c:spPr>
              <a:solidFill>
                <a:schemeClr val="accent5"/>
              </a:solidFill>
              <a:ln w="25400">
                <a:solidFill>
                  <a:schemeClr val="lt1"/>
                </a:solidFill>
              </a:ln>
              <a:effectLst/>
              <a:sp3d contourW="25400">
                <a:contourClr>
                  <a:schemeClr val="lt1"/>
                </a:contourClr>
              </a:sp3d>
            </c:spPr>
            <c:extLst>
              <c:ext xmlns:c16="http://schemas.microsoft.com/office/drawing/2014/chart" uri="{C3380CC4-5D6E-409C-BE32-E72D297353CC}">
                <c16:uniqueId val="{00000004-3202-4430-BD7A-4CE8D6BF9B6B}"/>
              </c:ext>
            </c:extLst>
          </c:dPt>
          <c:dLbls>
            <c:spPr>
              <a:noFill/>
              <a:ln w="25400">
                <a:noFill/>
              </a:ln>
            </c:spPr>
            <c:txPr>
              <a:bodyPr rot="0" spcFirstLastPara="1" vertOverflow="ellipsis" vert="horz" wrap="square" lIns="38100" tIns="19050" rIns="38100" bIns="19050" anchor="ctr" anchorCtr="1">
                <a:spAutoFit/>
              </a:bodyPr>
              <a:lstStyle/>
              <a:p>
                <a:pPr>
                  <a:defRPr sz="800" b="0" i="0" u="none" strike="noStrike" kern="1200" baseline="0">
                    <a:solidFill>
                      <a:schemeClr val="tx1">
                        <a:lumMod val="75000"/>
                        <a:lumOff val="25000"/>
                      </a:schemeClr>
                    </a:solidFill>
                    <a:latin typeface="+mn-lt"/>
                    <a:ea typeface="+mn-ea"/>
                    <a:cs typeface="+mn-cs"/>
                  </a:defRPr>
                </a:pPr>
                <a:endParaRPr lang="es-CO"/>
              </a:p>
            </c:txPr>
            <c:dLblPos val="bestFit"/>
            <c:showLegendKey val="0"/>
            <c:showVal val="1"/>
            <c:showCatName val="0"/>
            <c:showSerName val="0"/>
            <c:showPercent val="0"/>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val>
            <c:numRef>
              <c:f>'TORTA EST. VIAS TEC'!$H$15:$H$19</c:f>
              <c:numCache>
                <c:formatCode>0.00%</c:formatCode>
                <c:ptCount val="5"/>
                <c:pt idx="0">
                  <c:v>0</c:v>
                </c:pt>
                <c:pt idx="1">
                  <c:v>9.3539458829527661E-2</c:v>
                </c:pt>
                <c:pt idx="2">
                  <c:v>0.56211078334972131</c:v>
                </c:pt>
                <c:pt idx="3">
                  <c:v>0.344349757820751</c:v>
                </c:pt>
                <c:pt idx="4">
                  <c:v>0</c:v>
                </c:pt>
              </c:numCache>
            </c:numRef>
          </c:val>
          <c:extLst>
            <c:ext xmlns:c16="http://schemas.microsoft.com/office/drawing/2014/chart" uri="{C3380CC4-5D6E-409C-BE32-E72D297353CC}">
              <c16:uniqueId val="{00000005-3202-4430-BD7A-4CE8D6BF9B6B}"/>
            </c:ext>
          </c:extLst>
        </c:ser>
        <c:dLbls>
          <c:showLegendKey val="0"/>
          <c:showVal val="0"/>
          <c:showCatName val="0"/>
          <c:showSerName val="0"/>
          <c:showPercent val="0"/>
          <c:showBubbleSize val="0"/>
          <c:showLeaderLines val="1"/>
        </c:dLbls>
      </c:pie3DChart>
      <c:spPr>
        <a:noFill/>
        <a:ln w="25400">
          <a:noFill/>
        </a:ln>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chart" Target="../charts/chart1.xml"/></Relationships>
</file>

<file path=xl/drawings/_rels/drawing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7.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chart" Target="../charts/chart2.xml"/></Relationships>
</file>

<file path=xl/drawings/_rels/drawing8.xml.rels><?xml version="1.0" encoding="UTF-8" standalone="yes"?>
<Relationships xmlns="http://schemas.openxmlformats.org/package/2006/relationships"><Relationship Id="rId2" Type="http://schemas.openxmlformats.org/officeDocument/2006/relationships/image" Target="../media/image1.jpeg"/><Relationship Id="rId1" Type="http://schemas.openxmlformats.org/officeDocument/2006/relationships/image" Target="../media/image4.png"/></Relationships>
</file>

<file path=xl/drawings/_rels/drawing9.xml.rels><?xml version="1.0" encoding="UTF-8" standalone="yes"?>
<Relationships xmlns="http://schemas.openxmlformats.org/package/2006/relationships"><Relationship Id="rId1" Type="http://schemas.openxmlformats.org/officeDocument/2006/relationships/image" Target="../media/image5.jpeg"/></Relationships>
</file>

<file path=xl/drawings/_rels/drawing18.xml.rels><?xml version="1.0" encoding="UTF-8" standalone="yes"?>
<Relationships xmlns="http://schemas.openxmlformats.org/package/2006/relationships"><Relationship Id="rId26" Type="http://schemas.openxmlformats.org/officeDocument/2006/relationships/image" Target="../media/image31.jpeg"/><Relationship Id="rId21" Type="http://schemas.openxmlformats.org/officeDocument/2006/relationships/image" Target="../media/image26.jpeg"/><Relationship Id="rId42" Type="http://schemas.openxmlformats.org/officeDocument/2006/relationships/image" Target="../media/image47.jpeg"/><Relationship Id="rId47" Type="http://schemas.openxmlformats.org/officeDocument/2006/relationships/image" Target="../media/image52.jpeg"/><Relationship Id="rId63" Type="http://schemas.openxmlformats.org/officeDocument/2006/relationships/image" Target="../media/image68.jpeg"/><Relationship Id="rId68" Type="http://schemas.openxmlformats.org/officeDocument/2006/relationships/image" Target="../media/image73.jpeg"/><Relationship Id="rId84" Type="http://schemas.openxmlformats.org/officeDocument/2006/relationships/image" Target="../media/image89.jpeg"/><Relationship Id="rId89" Type="http://schemas.openxmlformats.org/officeDocument/2006/relationships/image" Target="../media/image94.jpeg"/><Relationship Id="rId16" Type="http://schemas.openxmlformats.org/officeDocument/2006/relationships/image" Target="../media/image21.jpeg"/><Relationship Id="rId11" Type="http://schemas.openxmlformats.org/officeDocument/2006/relationships/image" Target="../media/image16.jpeg"/><Relationship Id="rId32" Type="http://schemas.openxmlformats.org/officeDocument/2006/relationships/image" Target="../media/image37.jpeg"/><Relationship Id="rId37" Type="http://schemas.openxmlformats.org/officeDocument/2006/relationships/image" Target="../media/image42.jpeg"/><Relationship Id="rId53" Type="http://schemas.openxmlformats.org/officeDocument/2006/relationships/image" Target="../media/image58.jpeg"/><Relationship Id="rId58" Type="http://schemas.openxmlformats.org/officeDocument/2006/relationships/image" Target="../media/image63.jpeg"/><Relationship Id="rId74" Type="http://schemas.openxmlformats.org/officeDocument/2006/relationships/image" Target="../media/image79.jpeg"/><Relationship Id="rId79" Type="http://schemas.openxmlformats.org/officeDocument/2006/relationships/image" Target="../media/image84.jpeg"/><Relationship Id="rId5" Type="http://schemas.openxmlformats.org/officeDocument/2006/relationships/image" Target="../media/image10.jpeg"/><Relationship Id="rId90" Type="http://schemas.openxmlformats.org/officeDocument/2006/relationships/image" Target="../media/image95.jpeg"/><Relationship Id="rId95" Type="http://schemas.openxmlformats.org/officeDocument/2006/relationships/image" Target="../media/image100.jpeg"/><Relationship Id="rId22" Type="http://schemas.openxmlformats.org/officeDocument/2006/relationships/image" Target="../media/image27.jpeg"/><Relationship Id="rId27" Type="http://schemas.openxmlformats.org/officeDocument/2006/relationships/image" Target="../media/image32.jpeg"/><Relationship Id="rId43" Type="http://schemas.openxmlformats.org/officeDocument/2006/relationships/image" Target="../media/image48.jpeg"/><Relationship Id="rId48" Type="http://schemas.openxmlformats.org/officeDocument/2006/relationships/image" Target="../media/image53.jpeg"/><Relationship Id="rId64" Type="http://schemas.openxmlformats.org/officeDocument/2006/relationships/image" Target="../media/image69.jpeg"/><Relationship Id="rId69" Type="http://schemas.openxmlformats.org/officeDocument/2006/relationships/image" Target="../media/image74.jpeg"/><Relationship Id="rId80" Type="http://schemas.openxmlformats.org/officeDocument/2006/relationships/image" Target="../media/image85.jpeg"/><Relationship Id="rId85" Type="http://schemas.openxmlformats.org/officeDocument/2006/relationships/image" Target="../media/image90.jpeg"/><Relationship Id="rId3" Type="http://schemas.openxmlformats.org/officeDocument/2006/relationships/image" Target="../media/image8.jpeg"/><Relationship Id="rId12" Type="http://schemas.openxmlformats.org/officeDocument/2006/relationships/image" Target="../media/image17.jpeg"/><Relationship Id="rId17" Type="http://schemas.openxmlformats.org/officeDocument/2006/relationships/image" Target="../media/image22.jpeg"/><Relationship Id="rId25" Type="http://schemas.openxmlformats.org/officeDocument/2006/relationships/image" Target="../media/image30.jpeg"/><Relationship Id="rId33" Type="http://schemas.openxmlformats.org/officeDocument/2006/relationships/image" Target="../media/image38.jpeg"/><Relationship Id="rId38" Type="http://schemas.openxmlformats.org/officeDocument/2006/relationships/image" Target="../media/image43.jpeg"/><Relationship Id="rId46" Type="http://schemas.openxmlformats.org/officeDocument/2006/relationships/image" Target="../media/image51.jpeg"/><Relationship Id="rId59" Type="http://schemas.openxmlformats.org/officeDocument/2006/relationships/image" Target="../media/image64.jpeg"/><Relationship Id="rId67" Type="http://schemas.openxmlformats.org/officeDocument/2006/relationships/image" Target="../media/image72.jpeg"/><Relationship Id="rId20" Type="http://schemas.openxmlformats.org/officeDocument/2006/relationships/image" Target="../media/image25.jpeg"/><Relationship Id="rId41" Type="http://schemas.openxmlformats.org/officeDocument/2006/relationships/image" Target="../media/image46.jpeg"/><Relationship Id="rId54" Type="http://schemas.openxmlformats.org/officeDocument/2006/relationships/image" Target="../media/image59.jpeg"/><Relationship Id="rId62" Type="http://schemas.openxmlformats.org/officeDocument/2006/relationships/image" Target="../media/image67.jpeg"/><Relationship Id="rId70" Type="http://schemas.openxmlformats.org/officeDocument/2006/relationships/image" Target="../media/image75.jpeg"/><Relationship Id="rId75" Type="http://schemas.openxmlformats.org/officeDocument/2006/relationships/image" Target="../media/image80.jpeg"/><Relationship Id="rId83" Type="http://schemas.openxmlformats.org/officeDocument/2006/relationships/image" Target="../media/image88.jpeg"/><Relationship Id="rId88" Type="http://schemas.openxmlformats.org/officeDocument/2006/relationships/image" Target="../media/image93.jpeg"/><Relationship Id="rId91" Type="http://schemas.openxmlformats.org/officeDocument/2006/relationships/image" Target="../media/image96.jpeg"/><Relationship Id="rId96" Type="http://schemas.openxmlformats.org/officeDocument/2006/relationships/image" Target="../media/image101.jpeg"/><Relationship Id="rId1" Type="http://schemas.openxmlformats.org/officeDocument/2006/relationships/image" Target="../media/image6.jpeg"/><Relationship Id="rId6" Type="http://schemas.openxmlformats.org/officeDocument/2006/relationships/image" Target="../media/image11.jpeg"/><Relationship Id="rId15" Type="http://schemas.openxmlformats.org/officeDocument/2006/relationships/image" Target="../media/image20.jpeg"/><Relationship Id="rId23" Type="http://schemas.openxmlformats.org/officeDocument/2006/relationships/image" Target="../media/image28.jpeg"/><Relationship Id="rId28" Type="http://schemas.openxmlformats.org/officeDocument/2006/relationships/image" Target="../media/image33.jpeg"/><Relationship Id="rId36" Type="http://schemas.openxmlformats.org/officeDocument/2006/relationships/image" Target="../media/image41.jpeg"/><Relationship Id="rId49" Type="http://schemas.openxmlformats.org/officeDocument/2006/relationships/image" Target="../media/image54.jpeg"/><Relationship Id="rId57" Type="http://schemas.openxmlformats.org/officeDocument/2006/relationships/image" Target="../media/image62.jpeg"/><Relationship Id="rId10" Type="http://schemas.openxmlformats.org/officeDocument/2006/relationships/image" Target="../media/image15.jpeg"/><Relationship Id="rId31" Type="http://schemas.openxmlformats.org/officeDocument/2006/relationships/image" Target="../media/image36.jpeg"/><Relationship Id="rId44" Type="http://schemas.openxmlformats.org/officeDocument/2006/relationships/image" Target="../media/image49.jpeg"/><Relationship Id="rId52" Type="http://schemas.openxmlformats.org/officeDocument/2006/relationships/image" Target="../media/image57.jpeg"/><Relationship Id="rId60" Type="http://schemas.openxmlformats.org/officeDocument/2006/relationships/image" Target="../media/image65.jpeg"/><Relationship Id="rId65" Type="http://schemas.openxmlformats.org/officeDocument/2006/relationships/image" Target="../media/image70.jpeg"/><Relationship Id="rId73" Type="http://schemas.openxmlformats.org/officeDocument/2006/relationships/image" Target="../media/image78.jpeg"/><Relationship Id="rId78" Type="http://schemas.openxmlformats.org/officeDocument/2006/relationships/image" Target="../media/image83.jpeg"/><Relationship Id="rId81" Type="http://schemas.openxmlformats.org/officeDocument/2006/relationships/image" Target="../media/image86.jpeg"/><Relationship Id="rId86" Type="http://schemas.openxmlformats.org/officeDocument/2006/relationships/image" Target="../media/image91.jpeg"/><Relationship Id="rId94" Type="http://schemas.openxmlformats.org/officeDocument/2006/relationships/image" Target="../media/image99.jpeg"/><Relationship Id="rId99" Type="http://schemas.openxmlformats.org/officeDocument/2006/relationships/image" Target="../media/image104.jpeg"/><Relationship Id="rId4" Type="http://schemas.openxmlformats.org/officeDocument/2006/relationships/image" Target="../media/image9.jpeg"/><Relationship Id="rId9" Type="http://schemas.openxmlformats.org/officeDocument/2006/relationships/image" Target="../media/image14.jpeg"/><Relationship Id="rId13" Type="http://schemas.openxmlformats.org/officeDocument/2006/relationships/image" Target="../media/image18.jpeg"/><Relationship Id="rId18" Type="http://schemas.openxmlformats.org/officeDocument/2006/relationships/image" Target="../media/image23.jpeg"/><Relationship Id="rId39" Type="http://schemas.openxmlformats.org/officeDocument/2006/relationships/image" Target="../media/image44.jpeg"/><Relationship Id="rId34" Type="http://schemas.openxmlformats.org/officeDocument/2006/relationships/image" Target="../media/image39.jpeg"/><Relationship Id="rId50" Type="http://schemas.openxmlformats.org/officeDocument/2006/relationships/image" Target="../media/image55.jpeg"/><Relationship Id="rId55" Type="http://schemas.openxmlformats.org/officeDocument/2006/relationships/image" Target="../media/image60.jpeg"/><Relationship Id="rId76" Type="http://schemas.openxmlformats.org/officeDocument/2006/relationships/image" Target="../media/image81.jpeg"/><Relationship Id="rId97" Type="http://schemas.openxmlformats.org/officeDocument/2006/relationships/image" Target="../media/image102.jpeg"/><Relationship Id="rId7" Type="http://schemas.openxmlformats.org/officeDocument/2006/relationships/image" Target="../media/image12.jpeg"/><Relationship Id="rId71" Type="http://schemas.openxmlformats.org/officeDocument/2006/relationships/image" Target="../media/image76.jpeg"/><Relationship Id="rId92" Type="http://schemas.openxmlformats.org/officeDocument/2006/relationships/image" Target="../media/image97.jpeg"/><Relationship Id="rId2" Type="http://schemas.openxmlformats.org/officeDocument/2006/relationships/image" Target="../media/image7.jpeg"/><Relationship Id="rId29" Type="http://schemas.openxmlformats.org/officeDocument/2006/relationships/image" Target="../media/image34.jpeg"/><Relationship Id="rId24" Type="http://schemas.openxmlformats.org/officeDocument/2006/relationships/image" Target="../media/image29.jpeg"/><Relationship Id="rId40" Type="http://schemas.openxmlformats.org/officeDocument/2006/relationships/image" Target="../media/image45.jpeg"/><Relationship Id="rId45" Type="http://schemas.openxmlformats.org/officeDocument/2006/relationships/image" Target="../media/image50.jpeg"/><Relationship Id="rId66" Type="http://schemas.openxmlformats.org/officeDocument/2006/relationships/image" Target="../media/image71.jpeg"/><Relationship Id="rId87" Type="http://schemas.openxmlformats.org/officeDocument/2006/relationships/image" Target="../media/image92.jpeg"/><Relationship Id="rId61" Type="http://schemas.openxmlformats.org/officeDocument/2006/relationships/image" Target="../media/image66.jpeg"/><Relationship Id="rId82" Type="http://schemas.openxmlformats.org/officeDocument/2006/relationships/image" Target="../media/image87.jpeg"/><Relationship Id="rId19" Type="http://schemas.openxmlformats.org/officeDocument/2006/relationships/image" Target="../media/image24.jpeg"/><Relationship Id="rId14" Type="http://schemas.openxmlformats.org/officeDocument/2006/relationships/image" Target="../media/image19.jpeg"/><Relationship Id="rId30" Type="http://schemas.openxmlformats.org/officeDocument/2006/relationships/image" Target="../media/image35.jpeg"/><Relationship Id="rId35" Type="http://schemas.openxmlformats.org/officeDocument/2006/relationships/image" Target="../media/image40.jpeg"/><Relationship Id="rId56" Type="http://schemas.openxmlformats.org/officeDocument/2006/relationships/image" Target="../media/image61.jpeg"/><Relationship Id="rId77" Type="http://schemas.openxmlformats.org/officeDocument/2006/relationships/image" Target="../media/image82.jpeg"/><Relationship Id="rId100" Type="http://schemas.openxmlformats.org/officeDocument/2006/relationships/image" Target="../media/image105.jpeg"/><Relationship Id="rId8" Type="http://schemas.openxmlformats.org/officeDocument/2006/relationships/image" Target="../media/image13.jpeg"/><Relationship Id="rId51" Type="http://schemas.openxmlformats.org/officeDocument/2006/relationships/image" Target="../media/image56.jpeg"/><Relationship Id="rId72" Type="http://schemas.openxmlformats.org/officeDocument/2006/relationships/image" Target="../media/image77.jpeg"/><Relationship Id="rId93" Type="http://schemas.openxmlformats.org/officeDocument/2006/relationships/image" Target="../media/image98.jpeg"/><Relationship Id="rId98" Type="http://schemas.openxmlformats.org/officeDocument/2006/relationships/image" Target="../media/image103.jpeg"/></Relationships>
</file>

<file path=xl/drawings/_rels/drawing19.xml.rels><?xml version="1.0" encoding="UTF-8" standalone="yes"?>
<Relationships xmlns="http://schemas.openxmlformats.org/package/2006/relationships"><Relationship Id="rId8" Type="http://schemas.openxmlformats.org/officeDocument/2006/relationships/image" Target="../media/image113.jpeg"/><Relationship Id="rId3" Type="http://schemas.openxmlformats.org/officeDocument/2006/relationships/image" Target="../media/image108.jpeg"/><Relationship Id="rId7" Type="http://schemas.openxmlformats.org/officeDocument/2006/relationships/image" Target="../media/image112.jpeg"/><Relationship Id="rId2" Type="http://schemas.openxmlformats.org/officeDocument/2006/relationships/image" Target="../media/image107.jpeg"/><Relationship Id="rId1" Type="http://schemas.openxmlformats.org/officeDocument/2006/relationships/image" Target="../media/image106.png"/><Relationship Id="rId6" Type="http://schemas.openxmlformats.org/officeDocument/2006/relationships/image" Target="../media/image111.jpeg"/><Relationship Id="rId11" Type="http://schemas.openxmlformats.org/officeDocument/2006/relationships/image" Target="../media/image116.jpeg"/><Relationship Id="rId5" Type="http://schemas.openxmlformats.org/officeDocument/2006/relationships/image" Target="../media/image110.jpeg"/><Relationship Id="rId10" Type="http://schemas.openxmlformats.org/officeDocument/2006/relationships/image" Target="../media/image115.jpeg"/><Relationship Id="rId4" Type="http://schemas.openxmlformats.org/officeDocument/2006/relationships/image" Target="../media/image109.jpeg"/><Relationship Id="rId9" Type="http://schemas.openxmlformats.org/officeDocument/2006/relationships/image" Target="../media/image114.jpeg"/></Relationships>
</file>

<file path=xl/drawings/_rels/drawing21.xml.rels><?xml version="1.0" encoding="UTF-8" standalone="yes"?>
<Relationships xmlns="http://schemas.openxmlformats.org/package/2006/relationships"><Relationship Id="rId3" Type="http://schemas.openxmlformats.org/officeDocument/2006/relationships/image" Target="../media/image119.png"/><Relationship Id="rId2" Type="http://schemas.openxmlformats.org/officeDocument/2006/relationships/image" Target="../media/image118.png"/><Relationship Id="rId1" Type="http://schemas.openxmlformats.org/officeDocument/2006/relationships/image" Target="../media/image117.png"/><Relationship Id="rId6" Type="http://schemas.openxmlformats.org/officeDocument/2006/relationships/image" Target="../media/image122.png"/><Relationship Id="rId5" Type="http://schemas.openxmlformats.org/officeDocument/2006/relationships/image" Target="../media/image121.png"/><Relationship Id="rId4" Type="http://schemas.openxmlformats.org/officeDocument/2006/relationships/image" Target="../media/image120.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119.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119.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1</xdr:col>
          <xdr:colOff>123825</xdr:colOff>
          <xdr:row>2</xdr:row>
          <xdr:rowOff>180975</xdr:rowOff>
        </xdr:to>
        <xdr:sp macro="" textlink="">
          <xdr:nvSpPr>
            <xdr:cNvPr id="25601" name="Imagen 1" hidden="1">
              <a:extLst>
                <a:ext uri="{63B3BB69-23CF-44E3-9099-C40C66FF867C}">
                  <a14:compatExt spid="_x0000_s25601"/>
                </a:ext>
                <a:ext uri="{FF2B5EF4-FFF2-40B4-BE49-F238E27FC236}">
                  <a16:creationId xmlns:a16="http://schemas.microsoft.com/office/drawing/2014/main" id="{00000000-0008-0000-0000-00000164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0</xdr:col>
          <xdr:colOff>552450</xdr:colOff>
          <xdr:row>4</xdr:row>
          <xdr:rowOff>200025</xdr:rowOff>
        </xdr:to>
        <xdr:sp macro="" textlink="">
          <xdr:nvSpPr>
            <xdr:cNvPr id="2050" name="Imagen 1" hidden="1">
              <a:extLst>
                <a:ext uri="{63B3BB69-23CF-44E3-9099-C40C66FF867C}">
                  <a14:compatExt spid="_x0000_s2050"/>
                </a:ext>
                <a:ext uri="{FF2B5EF4-FFF2-40B4-BE49-F238E27FC236}">
                  <a16:creationId xmlns:a16="http://schemas.microsoft.com/office/drawing/2014/main" id="{00000000-0008-0000-0100-00000208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0</xdr:col>
      <xdr:colOff>9525</xdr:colOff>
      <xdr:row>8</xdr:row>
      <xdr:rowOff>0</xdr:rowOff>
    </xdr:from>
    <xdr:to>
      <xdr:col>2</xdr:col>
      <xdr:colOff>28575</xdr:colOff>
      <xdr:row>10</xdr:row>
      <xdr:rowOff>161925</xdr:rowOff>
    </xdr:to>
    <xdr:sp macro="" textlink="">
      <xdr:nvSpPr>
        <xdr:cNvPr id="762317" name="Line 1">
          <a:extLst>
            <a:ext uri="{FF2B5EF4-FFF2-40B4-BE49-F238E27FC236}">
              <a16:creationId xmlns:a16="http://schemas.microsoft.com/office/drawing/2014/main" id="{00000000-0008-0000-0300-0000CDA10B00}"/>
            </a:ext>
          </a:extLst>
        </xdr:cNvPr>
        <xdr:cNvSpPr>
          <a:spLocks noChangeShapeType="1"/>
        </xdr:cNvSpPr>
      </xdr:nvSpPr>
      <xdr:spPr bwMode="auto">
        <a:xfrm>
          <a:off x="9525" y="1638300"/>
          <a:ext cx="2076450" cy="485775"/>
        </a:xfrm>
        <a:prstGeom prst="line">
          <a:avLst/>
        </a:prstGeom>
        <a:noFill/>
        <a:ln w="1714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11</xdr:row>
      <xdr:rowOff>0</xdr:rowOff>
    </xdr:from>
    <xdr:to>
      <xdr:col>1</xdr:col>
      <xdr:colOff>0</xdr:colOff>
      <xdr:row>11</xdr:row>
      <xdr:rowOff>0</xdr:rowOff>
    </xdr:to>
    <xdr:sp macro="" textlink="">
      <xdr:nvSpPr>
        <xdr:cNvPr id="762318" name="Line 2">
          <a:extLst>
            <a:ext uri="{FF2B5EF4-FFF2-40B4-BE49-F238E27FC236}">
              <a16:creationId xmlns:a16="http://schemas.microsoft.com/office/drawing/2014/main" id="{00000000-0008-0000-0300-0000CEA10B00}"/>
            </a:ext>
          </a:extLst>
        </xdr:cNvPr>
        <xdr:cNvSpPr>
          <a:spLocks noChangeShapeType="1"/>
        </xdr:cNvSpPr>
      </xdr:nvSpPr>
      <xdr:spPr bwMode="auto">
        <a:xfrm>
          <a:off x="2000250" y="2133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11</xdr:row>
      <xdr:rowOff>0</xdr:rowOff>
    </xdr:from>
    <xdr:to>
      <xdr:col>3</xdr:col>
      <xdr:colOff>0</xdr:colOff>
      <xdr:row>11</xdr:row>
      <xdr:rowOff>0</xdr:rowOff>
    </xdr:to>
    <xdr:sp macro="" textlink="">
      <xdr:nvSpPr>
        <xdr:cNvPr id="762319" name="Line 3">
          <a:extLst>
            <a:ext uri="{FF2B5EF4-FFF2-40B4-BE49-F238E27FC236}">
              <a16:creationId xmlns:a16="http://schemas.microsoft.com/office/drawing/2014/main" id="{00000000-0008-0000-0300-0000CFA10B00}"/>
            </a:ext>
          </a:extLst>
        </xdr:cNvPr>
        <xdr:cNvSpPr>
          <a:spLocks noChangeShapeType="1"/>
        </xdr:cNvSpPr>
      </xdr:nvSpPr>
      <xdr:spPr bwMode="auto">
        <a:xfrm>
          <a:off x="3505200" y="2133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11</xdr:row>
      <xdr:rowOff>0</xdr:rowOff>
    </xdr:from>
    <xdr:to>
      <xdr:col>5</xdr:col>
      <xdr:colOff>0</xdr:colOff>
      <xdr:row>11</xdr:row>
      <xdr:rowOff>0</xdr:rowOff>
    </xdr:to>
    <xdr:sp macro="" textlink="">
      <xdr:nvSpPr>
        <xdr:cNvPr id="762320" name="Line 4">
          <a:extLst>
            <a:ext uri="{FF2B5EF4-FFF2-40B4-BE49-F238E27FC236}">
              <a16:creationId xmlns:a16="http://schemas.microsoft.com/office/drawing/2014/main" id="{00000000-0008-0000-0300-0000D0A10B00}"/>
            </a:ext>
          </a:extLst>
        </xdr:cNvPr>
        <xdr:cNvSpPr>
          <a:spLocks noChangeShapeType="1"/>
        </xdr:cNvSpPr>
      </xdr:nvSpPr>
      <xdr:spPr bwMode="auto">
        <a:xfrm>
          <a:off x="4810125" y="2133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11</xdr:row>
      <xdr:rowOff>0</xdr:rowOff>
    </xdr:from>
    <xdr:to>
      <xdr:col>5</xdr:col>
      <xdr:colOff>0</xdr:colOff>
      <xdr:row>11</xdr:row>
      <xdr:rowOff>0</xdr:rowOff>
    </xdr:to>
    <xdr:sp macro="" textlink="">
      <xdr:nvSpPr>
        <xdr:cNvPr id="762321" name="Line 5">
          <a:extLst>
            <a:ext uri="{FF2B5EF4-FFF2-40B4-BE49-F238E27FC236}">
              <a16:creationId xmlns:a16="http://schemas.microsoft.com/office/drawing/2014/main" id="{00000000-0008-0000-0300-0000D1A10B00}"/>
            </a:ext>
          </a:extLst>
        </xdr:cNvPr>
        <xdr:cNvSpPr>
          <a:spLocks noChangeShapeType="1"/>
        </xdr:cNvSpPr>
      </xdr:nvSpPr>
      <xdr:spPr bwMode="auto">
        <a:xfrm>
          <a:off x="4810125" y="2133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11</xdr:row>
      <xdr:rowOff>0</xdr:rowOff>
    </xdr:from>
    <xdr:to>
      <xdr:col>7</xdr:col>
      <xdr:colOff>0</xdr:colOff>
      <xdr:row>11</xdr:row>
      <xdr:rowOff>0</xdr:rowOff>
    </xdr:to>
    <xdr:sp macro="" textlink="">
      <xdr:nvSpPr>
        <xdr:cNvPr id="762322" name="Line 6">
          <a:extLst>
            <a:ext uri="{FF2B5EF4-FFF2-40B4-BE49-F238E27FC236}">
              <a16:creationId xmlns:a16="http://schemas.microsoft.com/office/drawing/2014/main" id="{00000000-0008-0000-0300-0000D2A10B00}"/>
            </a:ext>
          </a:extLst>
        </xdr:cNvPr>
        <xdr:cNvSpPr>
          <a:spLocks noChangeShapeType="1"/>
        </xdr:cNvSpPr>
      </xdr:nvSpPr>
      <xdr:spPr bwMode="auto">
        <a:xfrm>
          <a:off x="6115050" y="2133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11</xdr:row>
      <xdr:rowOff>0</xdr:rowOff>
    </xdr:from>
    <xdr:to>
      <xdr:col>7</xdr:col>
      <xdr:colOff>0</xdr:colOff>
      <xdr:row>11</xdr:row>
      <xdr:rowOff>0</xdr:rowOff>
    </xdr:to>
    <xdr:sp macro="" textlink="">
      <xdr:nvSpPr>
        <xdr:cNvPr id="762323" name="Line 7">
          <a:extLst>
            <a:ext uri="{FF2B5EF4-FFF2-40B4-BE49-F238E27FC236}">
              <a16:creationId xmlns:a16="http://schemas.microsoft.com/office/drawing/2014/main" id="{00000000-0008-0000-0300-0000D3A10B00}"/>
            </a:ext>
          </a:extLst>
        </xdr:cNvPr>
        <xdr:cNvSpPr>
          <a:spLocks noChangeShapeType="1"/>
        </xdr:cNvSpPr>
      </xdr:nvSpPr>
      <xdr:spPr bwMode="auto">
        <a:xfrm>
          <a:off x="6115050" y="2133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11</xdr:row>
      <xdr:rowOff>0</xdr:rowOff>
    </xdr:from>
    <xdr:to>
      <xdr:col>9</xdr:col>
      <xdr:colOff>0</xdr:colOff>
      <xdr:row>11</xdr:row>
      <xdr:rowOff>0</xdr:rowOff>
    </xdr:to>
    <xdr:sp macro="" textlink="">
      <xdr:nvSpPr>
        <xdr:cNvPr id="762324" name="Line 8">
          <a:extLst>
            <a:ext uri="{FF2B5EF4-FFF2-40B4-BE49-F238E27FC236}">
              <a16:creationId xmlns:a16="http://schemas.microsoft.com/office/drawing/2014/main" id="{00000000-0008-0000-0300-0000D4A10B00}"/>
            </a:ext>
          </a:extLst>
        </xdr:cNvPr>
        <xdr:cNvSpPr>
          <a:spLocks noChangeShapeType="1"/>
        </xdr:cNvSpPr>
      </xdr:nvSpPr>
      <xdr:spPr bwMode="auto">
        <a:xfrm>
          <a:off x="7581900" y="2133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11</xdr:row>
      <xdr:rowOff>0</xdr:rowOff>
    </xdr:from>
    <xdr:to>
      <xdr:col>9</xdr:col>
      <xdr:colOff>0</xdr:colOff>
      <xdr:row>11</xdr:row>
      <xdr:rowOff>0</xdr:rowOff>
    </xdr:to>
    <xdr:sp macro="" textlink="">
      <xdr:nvSpPr>
        <xdr:cNvPr id="762325" name="Line 9">
          <a:extLst>
            <a:ext uri="{FF2B5EF4-FFF2-40B4-BE49-F238E27FC236}">
              <a16:creationId xmlns:a16="http://schemas.microsoft.com/office/drawing/2014/main" id="{00000000-0008-0000-0300-0000D5A10B00}"/>
            </a:ext>
          </a:extLst>
        </xdr:cNvPr>
        <xdr:cNvSpPr>
          <a:spLocks noChangeShapeType="1"/>
        </xdr:cNvSpPr>
      </xdr:nvSpPr>
      <xdr:spPr bwMode="auto">
        <a:xfrm>
          <a:off x="7581900" y="2133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0</xdr:colOff>
      <xdr:row>11</xdr:row>
      <xdr:rowOff>0</xdr:rowOff>
    </xdr:from>
    <xdr:to>
      <xdr:col>10</xdr:col>
      <xdr:colOff>0</xdr:colOff>
      <xdr:row>11</xdr:row>
      <xdr:rowOff>0</xdr:rowOff>
    </xdr:to>
    <xdr:sp macro="" textlink="">
      <xdr:nvSpPr>
        <xdr:cNvPr id="762326" name="Line 10">
          <a:extLst>
            <a:ext uri="{FF2B5EF4-FFF2-40B4-BE49-F238E27FC236}">
              <a16:creationId xmlns:a16="http://schemas.microsoft.com/office/drawing/2014/main" id="{00000000-0008-0000-0300-0000D6A10B00}"/>
            </a:ext>
          </a:extLst>
        </xdr:cNvPr>
        <xdr:cNvSpPr>
          <a:spLocks noChangeShapeType="1"/>
        </xdr:cNvSpPr>
      </xdr:nvSpPr>
      <xdr:spPr bwMode="auto">
        <a:xfrm>
          <a:off x="7639050" y="2133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19050</xdr:colOff>
      <xdr:row>27</xdr:row>
      <xdr:rowOff>28575</xdr:rowOff>
    </xdr:from>
    <xdr:to>
      <xdr:col>2</xdr:col>
      <xdr:colOff>95250</xdr:colOff>
      <xdr:row>27</xdr:row>
      <xdr:rowOff>104775</xdr:rowOff>
    </xdr:to>
    <xdr:sp macro="" textlink="">
      <xdr:nvSpPr>
        <xdr:cNvPr id="762327" name="Oval 62">
          <a:extLst>
            <a:ext uri="{FF2B5EF4-FFF2-40B4-BE49-F238E27FC236}">
              <a16:creationId xmlns:a16="http://schemas.microsoft.com/office/drawing/2014/main" id="{00000000-0008-0000-0300-0000D7A10B00}"/>
            </a:ext>
          </a:extLst>
        </xdr:cNvPr>
        <xdr:cNvSpPr>
          <a:spLocks noChangeArrowheads="1"/>
        </xdr:cNvSpPr>
      </xdr:nvSpPr>
      <xdr:spPr bwMode="auto">
        <a:xfrm>
          <a:off x="2076450" y="6353175"/>
          <a:ext cx="76200" cy="76200"/>
        </a:xfrm>
        <a:prstGeom prst="ellipse">
          <a:avLst/>
        </a:prstGeom>
        <a:solidFill>
          <a:srgbClr val="00FF00"/>
        </a:solidFill>
        <a:ln w="9525">
          <a:solidFill>
            <a:srgbClr val="00FF00"/>
          </a:solidFill>
          <a:round/>
          <a:headEnd/>
          <a:tailEnd/>
        </a:ln>
      </xdr:spPr>
    </xdr:sp>
    <xdr:clientData/>
  </xdr:twoCellAnchor>
  <xdr:twoCellAnchor>
    <xdr:from>
      <xdr:col>4</xdr:col>
      <xdr:colOff>9525</xdr:colOff>
      <xdr:row>27</xdr:row>
      <xdr:rowOff>47625</xdr:rowOff>
    </xdr:from>
    <xdr:to>
      <xdr:col>4</xdr:col>
      <xdr:colOff>85725</xdr:colOff>
      <xdr:row>27</xdr:row>
      <xdr:rowOff>123825</xdr:rowOff>
    </xdr:to>
    <xdr:sp macro="" textlink="">
      <xdr:nvSpPr>
        <xdr:cNvPr id="762328" name="Oval 63">
          <a:extLst>
            <a:ext uri="{FF2B5EF4-FFF2-40B4-BE49-F238E27FC236}">
              <a16:creationId xmlns:a16="http://schemas.microsoft.com/office/drawing/2014/main" id="{00000000-0008-0000-0300-0000D8A10B00}"/>
            </a:ext>
          </a:extLst>
        </xdr:cNvPr>
        <xdr:cNvSpPr>
          <a:spLocks noChangeArrowheads="1"/>
        </xdr:cNvSpPr>
      </xdr:nvSpPr>
      <xdr:spPr bwMode="auto">
        <a:xfrm>
          <a:off x="3571875" y="6372225"/>
          <a:ext cx="76200" cy="76200"/>
        </a:xfrm>
        <a:prstGeom prst="ellipse">
          <a:avLst/>
        </a:prstGeom>
        <a:solidFill>
          <a:srgbClr val="FFFF00"/>
        </a:solidFill>
        <a:ln w="9525">
          <a:solidFill>
            <a:srgbClr val="FFFF00"/>
          </a:solidFill>
          <a:round/>
          <a:headEnd/>
          <a:tailEnd/>
        </a:ln>
      </xdr:spPr>
    </xdr:sp>
    <xdr:clientData/>
  </xdr:twoCellAnchor>
  <xdr:twoCellAnchor>
    <xdr:from>
      <xdr:col>6</xdr:col>
      <xdr:colOff>28575</xdr:colOff>
      <xdr:row>27</xdr:row>
      <xdr:rowOff>38100</xdr:rowOff>
    </xdr:from>
    <xdr:to>
      <xdr:col>6</xdr:col>
      <xdr:colOff>104775</xdr:colOff>
      <xdr:row>27</xdr:row>
      <xdr:rowOff>114300</xdr:rowOff>
    </xdr:to>
    <xdr:sp macro="" textlink="">
      <xdr:nvSpPr>
        <xdr:cNvPr id="762329" name="Oval 64">
          <a:extLst>
            <a:ext uri="{FF2B5EF4-FFF2-40B4-BE49-F238E27FC236}">
              <a16:creationId xmlns:a16="http://schemas.microsoft.com/office/drawing/2014/main" id="{00000000-0008-0000-0300-0000D9A10B00}"/>
            </a:ext>
          </a:extLst>
        </xdr:cNvPr>
        <xdr:cNvSpPr>
          <a:spLocks noChangeArrowheads="1"/>
        </xdr:cNvSpPr>
      </xdr:nvSpPr>
      <xdr:spPr bwMode="auto">
        <a:xfrm>
          <a:off x="4895850" y="6362700"/>
          <a:ext cx="76200" cy="76200"/>
        </a:xfrm>
        <a:prstGeom prst="ellipse">
          <a:avLst/>
        </a:prstGeom>
        <a:solidFill>
          <a:srgbClr val="FF0000"/>
        </a:solidFill>
        <a:ln w="9525">
          <a:solidFill>
            <a:srgbClr val="FF0000"/>
          </a:solidFill>
          <a:round/>
          <a:headEnd/>
          <a:tailEnd/>
        </a:ln>
      </xdr:spPr>
    </xdr:sp>
    <xdr:clientData/>
  </xdr:twoCellAnchor>
  <xdr:twoCellAnchor>
    <xdr:from>
      <xdr:col>8</xdr:col>
      <xdr:colOff>28575</xdr:colOff>
      <xdr:row>27</xdr:row>
      <xdr:rowOff>19050</xdr:rowOff>
    </xdr:from>
    <xdr:to>
      <xdr:col>8</xdr:col>
      <xdr:colOff>152400</xdr:colOff>
      <xdr:row>27</xdr:row>
      <xdr:rowOff>95250</xdr:rowOff>
    </xdr:to>
    <xdr:sp macro="" textlink="">
      <xdr:nvSpPr>
        <xdr:cNvPr id="762330" name="Rectangle 65">
          <a:extLst>
            <a:ext uri="{FF2B5EF4-FFF2-40B4-BE49-F238E27FC236}">
              <a16:creationId xmlns:a16="http://schemas.microsoft.com/office/drawing/2014/main" id="{00000000-0008-0000-0300-0000DAA10B00}"/>
            </a:ext>
          </a:extLst>
        </xdr:cNvPr>
        <xdr:cNvSpPr>
          <a:spLocks noChangeArrowheads="1"/>
        </xdr:cNvSpPr>
      </xdr:nvSpPr>
      <xdr:spPr bwMode="auto">
        <a:xfrm>
          <a:off x="6200775" y="6343650"/>
          <a:ext cx="123825" cy="76200"/>
        </a:xfrm>
        <a:prstGeom prst="rect">
          <a:avLst/>
        </a:prstGeom>
        <a:solidFill>
          <a:srgbClr val="C0C0C0"/>
        </a:solidFill>
        <a:ln w="9525">
          <a:solidFill>
            <a:srgbClr val="C0C0C0"/>
          </a:solidFill>
          <a:miter lim="800000"/>
          <a:headEnd/>
          <a:tailEnd/>
        </a:ln>
      </xdr:spPr>
    </xdr:sp>
    <xdr:clientData/>
  </xdr:twoCellAnchor>
  <xdr:twoCellAnchor>
    <xdr:from>
      <xdr:col>2</xdr:col>
      <xdr:colOff>38101</xdr:colOff>
      <xdr:row>11</xdr:row>
      <xdr:rowOff>9524</xdr:rowOff>
    </xdr:from>
    <xdr:to>
      <xdr:col>2</xdr:col>
      <xdr:colOff>1409700</xdr:colOff>
      <xdr:row>11</xdr:row>
      <xdr:rowOff>266699</xdr:rowOff>
    </xdr:to>
    <xdr:sp macro="" textlink="">
      <xdr:nvSpPr>
        <xdr:cNvPr id="2" name="CuadroTexto 1">
          <a:extLst>
            <a:ext uri="{FF2B5EF4-FFF2-40B4-BE49-F238E27FC236}">
              <a16:creationId xmlns:a16="http://schemas.microsoft.com/office/drawing/2014/main" id="{00000000-0008-0000-0300-000002000000}"/>
            </a:ext>
          </a:extLst>
        </xdr:cNvPr>
        <xdr:cNvSpPr txBox="1"/>
      </xdr:nvSpPr>
      <xdr:spPr>
        <a:xfrm>
          <a:off x="2095501" y="2143124"/>
          <a:ext cx="1371599" cy="257175"/>
        </a:xfrm>
        <a:prstGeom prst="rect">
          <a:avLst/>
        </a:prstGeom>
        <a:solidFill>
          <a:srgbClr val="00FF00"/>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100" b="1"/>
            <a:t>100</a:t>
          </a:r>
        </a:p>
      </xdr:txBody>
    </xdr:sp>
    <xdr:clientData/>
  </xdr:twoCellAnchor>
  <xdr:twoCellAnchor>
    <xdr:from>
      <xdr:col>2</xdr:col>
      <xdr:colOff>38100</xdr:colOff>
      <xdr:row>12</xdr:row>
      <xdr:rowOff>0</xdr:rowOff>
    </xdr:from>
    <xdr:to>
      <xdr:col>2</xdr:col>
      <xdr:colOff>1409699</xdr:colOff>
      <xdr:row>12</xdr:row>
      <xdr:rowOff>257175</xdr:rowOff>
    </xdr:to>
    <xdr:sp macro="" textlink="">
      <xdr:nvSpPr>
        <xdr:cNvPr id="18" name="CuadroTexto 17">
          <a:extLst>
            <a:ext uri="{FF2B5EF4-FFF2-40B4-BE49-F238E27FC236}">
              <a16:creationId xmlns:a16="http://schemas.microsoft.com/office/drawing/2014/main" id="{00000000-0008-0000-0300-000012000000}"/>
            </a:ext>
          </a:extLst>
        </xdr:cNvPr>
        <xdr:cNvSpPr txBox="1"/>
      </xdr:nvSpPr>
      <xdr:spPr>
        <a:xfrm>
          <a:off x="2095500" y="2409825"/>
          <a:ext cx="1371599" cy="257175"/>
        </a:xfrm>
        <a:prstGeom prst="rect">
          <a:avLst/>
        </a:prstGeom>
        <a:solidFill>
          <a:srgbClr val="00FF00"/>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100" b="1"/>
            <a:t>100</a:t>
          </a:r>
        </a:p>
      </xdr:txBody>
    </xdr:sp>
    <xdr:clientData/>
  </xdr:twoCellAnchor>
  <xdr:twoCellAnchor>
    <xdr:from>
      <xdr:col>2</xdr:col>
      <xdr:colOff>47625</xdr:colOff>
      <xdr:row>13</xdr:row>
      <xdr:rowOff>0</xdr:rowOff>
    </xdr:from>
    <xdr:to>
      <xdr:col>2</xdr:col>
      <xdr:colOff>1419224</xdr:colOff>
      <xdr:row>13</xdr:row>
      <xdr:rowOff>257175</xdr:rowOff>
    </xdr:to>
    <xdr:sp macro="" textlink="">
      <xdr:nvSpPr>
        <xdr:cNvPr id="20" name="CuadroTexto 19">
          <a:extLst>
            <a:ext uri="{FF2B5EF4-FFF2-40B4-BE49-F238E27FC236}">
              <a16:creationId xmlns:a16="http://schemas.microsoft.com/office/drawing/2014/main" id="{00000000-0008-0000-0300-000014000000}"/>
            </a:ext>
          </a:extLst>
        </xdr:cNvPr>
        <xdr:cNvSpPr txBox="1"/>
      </xdr:nvSpPr>
      <xdr:spPr>
        <a:xfrm>
          <a:off x="2105025" y="2686050"/>
          <a:ext cx="1371599" cy="257175"/>
        </a:xfrm>
        <a:prstGeom prst="rect">
          <a:avLst/>
        </a:prstGeom>
        <a:solidFill>
          <a:srgbClr val="00FF00"/>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100" b="1"/>
            <a:t>100</a:t>
          </a:r>
        </a:p>
      </xdr:txBody>
    </xdr:sp>
    <xdr:clientData/>
  </xdr:twoCellAnchor>
  <xdr:twoCellAnchor>
    <xdr:from>
      <xdr:col>2</xdr:col>
      <xdr:colOff>57150</xdr:colOff>
      <xdr:row>14</xdr:row>
      <xdr:rowOff>0</xdr:rowOff>
    </xdr:from>
    <xdr:to>
      <xdr:col>2</xdr:col>
      <xdr:colOff>1428749</xdr:colOff>
      <xdr:row>14</xdr:row>
      <xdr:rowOff>257175</xdr:rowOff>
    </xdr:to>
    <xdr:sp macro="" textlink="">
      <xdr:nvSpPr>
        <xdr:cNvPr id="22" name="CuadroTexto 21">
          <a:extLst>
            <a:ext uri="{FF2B5EF4-FFF2-40B4-BE49-F238E27FC236}">
              <a16:creationId xmlns:a16="http://schemas.microsoft.com/office/drawing/2014/main" id="{00000000-0008-0000-0300-000016000000}"/>
            </a:ext>
          </a:extLst>
        </xdr:cNvPr>
        <xdr:cNvSpPr txBox="1"/>
      </xdr:nvSpPr>
      <xdr:spPr>
        <a:xfrm>
          <a:off x="2114550" y="2962275"/>
          <a:ext cx="1371599" cy="257175"/>
        </a:xfrm>
        <a:prstGeom prst="rect">
          <a:avLst/>
        </a:prstGeom>
        <a:solidFill>
          <a:srgbClr val="00FF00"/>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100" b="1"/>
            <a:t>100</a:t>
          </a:r>
        </a:p>
      </xdr:txBody>
    </xdr:sp>
    <xdr:clientData/>
  </xdr:twoCellAnchor>
  <xdr:twoCellAnchor>
    <xdr:from>
      <xdr:col>1</xdr:col>
      <xdr:colOff>47625</xdr:colOff>
      <xdr:row>16</xdr:row>
      <xdr:rowOff>0</xdr:rowOff>
    </xdr:from>
    <xdr:to>
      <xdr:col>2</xdr:col>
      <xdr:colOff>1428750</xdr:colOff>
      <xdr:row>16</xdr:row>
      <xdr:rowOff>257175</xdr:rowOff>
    </xdr:to>
    <xdr:sp macro="" textlink="">
      <xdr:nvSpPr>
        <xdr:cNvPr id="26" name="CuadroTexto 25">
          <a:extLst>
            <a:ext uri="{FF2B5EF4-FFF2-40B4-BE49-F238E27FC236}">
              <a16:creationId xmlns:a16="http://schemas.microsoft.com/office/drawing/2014/main" id="{00000000-0008-0000-0300-00001A000000}"/>
            </a:ext>
          </a:extLst>
        </xdr:cNvPr>
        <xdr:cNvSpPr txBox="1"/>
      </xdr:nvSpPr>
      <xdr:spPr>
        <a:xfrm>
          <a:off x="2047875" y="3514725"/>
          <a:ext cx="1438275" cy="257175"/>
        </a:xfrm>
        <a:prstGeom prst="rect">
          <a:avLst/>
        </a:prstGeom>
        <a:solidFill>
          <a:srgbClr val="00FF00"/>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100" b="1"/>
            <a:t>100</a:t>
          </a:r>
        </a:p>
      </xdr:txBody>
    </xdr:sp>
    <xdr:clientData/>
  </xdr:twoCellAnchor>
  <xdr:twoCellAnchor>
    <xdr:from>
      <xdr:col>2</xdr:col>
      <xdr:colOff>9525</xdr:colOff>
      <xdr:row>15</xdr:row>
      <xdr:rowOff>0</xdr:rowOff>
    </xdr:from>
    <xdr:to>
      <xdr:col>2</xdr:col>
      <xdr:colOff>1438275</xdr:colOff>
      <xdr:row>15</xdr:row>
      <xdr:rowOff>257175</xdr:rowOff>
    </xdr:to>
    <xdr:sp macro="" textlink="">
      <xdr:nvSpPr>
        <xdr:cNvPr id="28" name="CuadroTexto 27">
          <a:extLst>
            <a:ext uri="{FF2B5EF4-FFF2-40B4-BE49-F238E27FC236}">
              <a16:creationId xmlns:a16="http://schemas.microsoft.com/office/drawing/2014/main" id="{00000000-0008-0000-0300-00001C000000}"/>
            </a:ext>
          </a:extLst>
        </xdr:cNvPr>
        <xdr:cNvSpPr txBox="1"/>
      </xdr:nvSpPr>
      <xdr:spPr>
        <a:xfrm>
          <a:off x="2066925" y="3238500"/>
          <a:ext cx="1428750" cy="257175"/>
        </a:xfrm>
        <a:prstGeom prst="rect">
          <a:avLst/>
        </a:prstGeom>
        <a:solidFill>
          <a:srgbClr val="00FF00"/>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100" b="1"/>
            <a:t>100</a:t>
          </a:r>
        </a:p>
      </xdr:txBody>
    </xdr:sp>
    <xdr:clientData/>
  </xdr:twoCellAnchor>
  <xdr:twoCellAnchor>
    <xdr:from>
      <xdr:col>2</xdr:col>
      <xdr:colOff>38100</xdr:colOff>
      <xdr:row>17</xdr:row>
      <xdr:rowOff>0</xdr:rowOff>
    </xdr:from>
    <xdr:to>
      <xdr:col>2</xdr:col>
      <xdr:colOff>1409699</xdr:colOff>
      <xdr:row>17</xdr:row>
      <xdr:rowOff>257175</xdr:rowOff>
    </xdr:to>
    <xdr:sp macro="" textlink="">
      <xdr:nvSpPr>
        <xdr:cNvPr id="30" name="CuadroTexto 29">
          <a:extLst>
            <a:ext uri="{FF2B5EF4-FFF2-40B4-BE49-F238E27FC236}">
              <a16:creationId xmlns:a16="http://schemas.microsoft.com/office/drawing/2014/main" id="{00000000-0008-0000-0300-00001E000000}"/>
            </a:ext>
          </a:extLst>
        </xdr:cNvPr>
        <xdr:cNvSpPr txBox="1"/>
      </xdr:nvSpPr>
      <xdr:spPr>
        <a:xfrm>
          <a:off x="2095500" y="3790950"/>
          <a:ext cx="1371599" cy="257175"/>
        </a:xfrm>
        <a:prstGeom prst="rect">
          <a:avLst/>
        </a:prstGeom>
        <a:solidFill>
          <a:srgbClr val="00FF00"/>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100" b="1"/>
            <a:t>100</a:t>
          </a:r>
        </a:p>
      </xdr:txBody>
    </xdr:sp>
    <xdr:clientData/>
  </xdr:twoCellAnchor>
  <xdr:twoCellAnchor>
    <xdr:from>
      <xdr:col>2</xdr:col>
      <xdr:colOff>19050</xdr:colOff>
      <xdr:row>18</xdr:row>
      <xdr:rowOff>9525</xdr:rowOff>
    </xdr:from>
    <xdr:to>
      <xdr:col>2</xdr:col>
      <xdr:colOff>1409700</xdr:colOff>
      <xdr:row>18</xdr:row>
      <xdr:rowOff>266700</xdr:rowOff>
    </xdr:to>
    <xdr:sp macro="" textlink="">
      <xdr:nvSpPr>
        <xdr:cNvPr id="32" name="CuadroTexto 31">
          <a:extLst>
            <a:ext uri="{FF2B5EF4-FFF2-40B4-BE49-F238E27FC236}">
              <a16:creationId xmlns:a16="http://schemas.microsoft.com/office/drawing/2014/main" id="{00000000-0008-0000-0300-000020000000}"/>
            </a:ext>
          </a:extLst>
        </xdr:cNvPr>
        <xdr:cNvSpPr txBox="1"/>
      </xdr:nvSpPr>
      <xdr:spPr>
        <a:xfrm>
          <a:off x="2076450" y="4076700"/>
          <a:ext cx="1390650" cy="257175"/>
        </a:xfrm>
        <a:prstGeom prst="rect">
          <a:avLst/>
        </a:prstGeom>
        <a:solidFill>
          <a:srgbClr val="C0C0C0"/>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100" b="1"/>
            <a:t>100  </a:t>
          </a:r>
        </a:p>
      </xdr:txBody>
    </xdr:sp>
    <xdr:clientData/>
  </xdr:twoCellAnchor>
  <xdr:twoCellAnchor>
    <xdr:from>
      <xdr:col>2</xdr:col>
      <xdr:colOff>28575</xdr:colOff>
      <xdr:row>19</xdr:row>
      <xdr:rowOff>0</xdr:rowOff>
    </xdr:from>
    <xdr:to>
      <xdr:col>2</xdr:col>
      <xdr:colOff>1400174</xdr:colOff>
      <xdr:row>19</xdr:row>
      <xdr:rowOff>257175</xdr:rowOff>
    </xdr:to>
    <xdr:sp macro="" textlink="">
      <xdr:nvSpPr>
        <xdr:cNvPr id="34" name="CuadroTexto 33">
          <a:extLst>
            <a:ext uri="{FF2B5EF4-FFF2-40B4-BE49-F238E27FC236}">
              <a16:creationId xmlns:a16="http://schemas.microsoft.com/office/drawing/2014/main" id="{00000000-0008-0000-0300-000022000000}"/>
            </a:ext>
          </a:extLst>
        </xdr:cNvPr>
        <xdr:cNvSpPr txBox="1"/>
      </xdr:nvSpPr>
      <xdr:spPr>
        <a:xfrm>
          <a:off x="2085975" y="4343400"/>
          <a:ext cx="1371599" cy="257175"/>
        </a:xfrm>
        <a:prstGeom prst="rect">
          <a:avLst/>
        </a:prstGeom>
        <a:solidFill>
          <a:srgbClr val="00FF00"/>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100" b="1"/>
            <a:t>100</a:t>
          </a:r>
        </a:p>
      </xdr:txBody>
    </xdr:sp>
    <xdr:clientData/>
  </xdr:twoCellAnchor>
  <xdr:twoCellAnchor>
    <xdr:from>
      <xdr:col>12</xdr:col>
      <xdr:colOff>95250</xdr:colOff>
      <xdr:row>14</xdr:row>
      <xdr:rowOff>161925</xdr:rowOff>
    </xdr:from>
    <xdr:to>
      <xdr:col>13</xdr:col>
      <xdr:colOff>704849</xdr:colOff>
      <xdr:row>15</xdr:row>
      <xdr:rowOff>142875</xdr:rowOff>
    </xdr:to>
    <xdr:sp macro="" textlink="">
      <xdr:nvSpPr>
        <xdr:cNvPr id="35" name="CuadroTexto 34">
          <a:extLst>
            <a:ext uri="{FF2B5EF4-FFF2-40B4-BE49-F238E27FC236}">
              <a16:creationId xmlns:a16="http://schemas.microsoft.com/office/drawing/2014/main" id="{00000000-0008-0000-0300-000023000000}"/>
            </a:ext>
          </a:extLst>
        </xdr:cNvPr>
        <xdr:cNvSpPr txBox="1"/>
      </xdr:nvSpPr>
      <xdr:spPr>
        <a:xfrm>
          <a:off x="9258300" y="3124200"/>
          <a:ext cx="1371599" cy="257175"/>
        </a:xfrm>
        <a:prstGeom prst="rect">
          <a:avLst/>
        </a:prstGeom>
        <a:solidFill>
          <a:srgbClr val="00FF00"/>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100" b="1"/>
            <a:t>100</a:t>
          </a:r>
        </a:p>
      </xdr:txBody>
    </xdr:sp>
    <xdr:clientData/>
  </xdr:twoCellAnchor>
  <xdr:twoCellAnchor>
    <xdr:from>
      <xdr:col>2</xdr:col>
      <xdr:colOff>38100</xdr:colOff>
      <xdr:row>21</xdr:row>
      <xdr:rowOff>0</xdr:rowOff>
    </xdr:from>
    <xdr:to>
      <xdr:col>2</xdr:col>
      <xdr:colOff>1409699</xdr:colOff>
      <xdr:row>21</xdr:row>
      <xdr:rowOff>257175</xdr:rowOff>
    </xdr:to>
    <xdr:sp macro="" textlink="">
      <xdr:nvSpPr>
        <xdr:cNvPr id="37" name="CuadroTexto 36">
          <a:extLst>
            <a:ext uri="{FF2B5EF4-FFF2-40B4-BE49-F238E27FC236}">
              <a16:creationId xmlns:a16="http://schemas.microsoft.com/office/drawing/2014/main" id="{00000000-0008-0000-0300-000025000000}"/>
            </a:ext>
          </a:extLst>
        </xdr:cNvPr>
        <xdr:cNvSpPr txBox="1"/>
      </xdr:nvSpPr>
      <xdr:spPr>
        <a:xfrm>
          <a:off x="2095500" y="4895850"/>
          <a:ext cx="1371599" cy="257175"/>
        </a:xfrm>
        <a:prstGeom prst="rect">
          <a:avLst/>
        </a:prstGeom>
        <a:solidFill>
          <a:srgbClr val="00FF00"/>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100" b="1"/>
            <a:t>100</a:t>
          </a:r>
        </a:p>
      </xdr:txBody>
    </xdr:sp>
    <xdr:clientData/>
  </xdr:twoCellAnchor>
  <xdr:twoCellAnchor>
    <xdr:from>
      <xdr:col>2</xdr:col>
      <xdr:colOff>19050</xdr:colOff>
      <xdr:row>22</xdr:row>
      <xdr:rowOff>19050</xdr:rowOff>
    </xdr:from>
    <xdr:to>
      <xdr:col>2</xdr:col>
      <xdr:colOff>1409700</xdr:colOff>
      <xdr:row>23</xdr:row>
      <xdr:rowOff>0</xdr:rowOff>
    </xdr:to>
    <xdr:sp macro="" textlink="">
      <xdr:nvSpPr>
        <xdr:cNvPr id="38" name="CuadroTexto 37">
          <a:extLst>
            <a:ext uri="{FF2B5EF4-FFF2-40B4-BE49-F238E27FC236}">
              <a16:creationId xmlns:a16="http://schemas.microsoft.com/office/drawing/2014/main" id="{00000000-0008-0000-0300-000026000000}"/>
            </a:ext>
          </a:extLst>
        </xdr:cNvPr>
        <xdr:cNvSpPr txBox="1"/>
      </xdr:nvSpPr>
      <xdr:spPr>
        <a:xfrm>
          <a:off x="2076450" y="5191125"/>
          <a:ext cx="1390650" cy="257175"/>
        </a:xfrm>
        <a:prstGeom prst="rect">
          <a:avLst/>
        </a:prstGeom>
        <a:solidFill>
          <a:srgbClr val="C0C0C0"/>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100" b="1"/>
            <a:t>100</a:t>
          </a:r>
        </a:p>
      </xdr:txBody>
    </xdr:sp>
    <xdr:clientData/>
  </xdr:twoCellAnchor>
  <xdr:twoCellAnchor>
    <xdr:from>
      <xdr:col>11</xdr:col>
      <xdr:colOff>704850</xdr:colOff>
      <xdr:row>17</xdr:row>
      <xdr:rowOff>133350</xdr:rowOff>
    </xdr:from>
    <xdr:to>
      <xdr:col>12</xdr:col>
      <xdr:colOff>276225</xdr:colOff>
      <xdr:row>18</xdr:row>
      <xdr:rowOff>114300</xdr:rowOff>
    </xdr:to>
    <xdr:sp macro="" textlink="">
      <xdr:nvSpPr>
        <xdr:cNvPr id="40" name="CuadroTexto 39">
          <a:extLst>
            <a:ext uri="{FF2B5EF4-FFF2-40B4-BE49-F238E27FC236}">
              <a16:creationId xmlns:a16="http://schemas.microsoft.com/office/drawing/2014/main" id="{00000000-0008-0000-0300-000028000000}"/>
            </a:ext>
          </a:extLst>
        </xdr:cNvPr>
        <xdr:cNvSpPr txBox="1"/>
      </xdr:nvSpPr>
      <xdr:spPr>
        <a:xfrm>
          <a:off x="9105900" y="3924300"/>
          <a:ext cx="333375" cy="257175"/>
        </a:xfrm>
        <a:prstGeom prst="rect">
          <a:avLst/>
        </a:prstGeom>
        <a:solidFill>
          <a:srgbClr val="C0C0C0"/>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100" b="1"/>
            <a:t>20</a:t>
          </a:r>
        </a:p>
      </xdr:txBody>
    </xdr:sp>
    <xdr:clientData/>
  </xdr:twoCellAnchor>
  <xdr:twoCellAnchor>
    <xdr:from>
      <xdr:col>2</xdr:col>
      <xdr:colOff>47625</xdr:colOff>
      <xdr:row>23</xdr:row>
      <xdr:rowOff>0</xdr:rowOff>
    </xdr:from>
    <xdr:to>
      <xdr:col>2</xdr:col>
      <xdr:colOff>1419224</xdr:colOff>
      <xdr:row>23</xdr:row>
      <xdr:rowOff>257175</xdr:rowOff>
    </xdr:to>
    <xdr:sp macro="" textlink="">
      <xdr:nvSpPr>
        <xdr:cNvPr id="42" name="CuadroTexto 41">
          <a:extLst>
            <a:ext uri="{FF2B5EF4-FFF2-40B4-BE49-F238E27FC236}">
              <a16:creationId xmlns:a16="http://schemas.microsoft.com/office/drawing/2014/main" id="{00000000-0008-0000-0300-00002A000000}"/>
            </a:ext>
          </a:extLst>
        </xdr:cNvPr>
        <xdr:cNvSpPr txBox="1"/>
      </xdr:nvSpPr>
      <xdr:spPr>
        <a:xfrm>
          <a:off x="2105025" y="5448300"/>
          <a:ext cx="1371599" cy="257175"/>
        </a:xfrm>
        <a:prstGeom prst="rect">
          <a:avLst/>
        </a:prstGeom>
        <a:solidFill>
          <a:srgbClr val="00FF00"/>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100" b="1"/>
            <a:t>100</a:t>
          </a:r>
        </a:p>
      </xdr:txBody>
    </xdr:sp>
    <xdr:clientData/>
  </xdr:twoCellAnchor>
  <xdr:twoCellAnchor>
    <xdr:from>
      <xdr:col>13</xdr:col>
      <xdr:colOff>457199</xdr:colOff>
      <xdr:row>23</xdr:row>
      <xdr:rowOff>200026</xdr:rowOff>
    </xdr:from>
    <xdr:to>
      <xdr:col>15</xdr:col>
      <xdr:colOff>381000</xdr:colOff>
      <xdr:row>24</xdr:row>
      <xdr:rowOff>171450</xdr:rowOff>
    </xdr:to>
    <xdr:sp macro="" textlink="">
      <xdr:nvSpPr>
        <xdr:cNvPr id="39" name="CuadroTexto 38">
          <a:extLst>
            <a:ext uri="{FF2B5EF4-FFF2-40B4-BE49-F238E27FC236}">
              <a16:creationId xmlns:a16="http://schemas.microsoft.com/office/drawing/2014/main" id="{00000000-0008-0000-0300-000027000000}"/>
            </a:ext>
          </a:extLst>
        </xdr:cNvPr>
        <xdr:cNvSpPr txBox="1"/>
      </xdr:nvSpPr>
      <xdr:spPr>
        <a:xfrm>
          <a:off x="10382249" y="5648326"/>
          <a:ext cx="1447801" cy="247649"/>
        </a:xfrm>
        <a:prstGeom prst="rect">
          <a:avLst/>
        </a:prstGeom>
        <a:solidFill>
          <a:srgbClr val="00FF00"/>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100" b="1"/>
            <a:t>100</a:t>
          </a:r>
        </a:p>
      </xdr:txBody>
    </xdr:sp>
    <xdr:clientData/>
  </xdr:twoCellAnchor>
  <xdr:twoCellAnchor>
    <xdr:from>
      <xdr:col>13</xdr:col>
      <xdr:colOff>571501</xdr:colOff>
      <xdr:row>20</xdr:row>
      <xdr:rowOff>95250</xdr:rowOff>
    </xdr:from>
    <xdr:to>
      <xdr:col>14</xdr:col>
      <xdr:colOff>571501</xdr:colOff>
      <xdr:row>21</xdr:row>
      <xdr:rowOff>76200</xdr:rowOff>
    </xdr:to>
    <xdr:sp macro="" textlink="">
      <xdr:nvSpPr>
        <xdr:cNvPr id="31" name="CuadroTexto 30">
          <a:extLst>
            <a:ext uri="{FF2B5EF4-FFF2-40B4-BE49-F238E27FC236}">
              <a16:creationId xmlns:a16="http://schemas.microsoft.com/office/drawing/2014/main" id="{00000000-0008-0000-0300-00001F000000}"/>
            </a:ext>
          </a:extLst>
        </xdr:cNvPr>
        <xdr:cNvSpPr txBox="1"/>
      </xdr:nvSpPr>
      <xdr:spPr>
        <a:xfrm>
          <a:off x="10496551" y="4714875"/>
          <a:ext cx="762000" cy="257175"/>
        </a:xfrm>
        <a:prstGeom prst="rect">
          <a:avLst/>
        </a:prstGeom>
        <a:solidFill>
          <a:srgbClr val="C0C0C0"/>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100" b="1"/>
            <a:t>54</a:t>
          </a:r>
        </a:p>
      </xdr:txBody>
    </xdr:sp>
    <xdr:clientData/>
  </xdr:twoCellAnchor>
  <xdr:twoCellAnchor>
    <xdr:from>
      <xdr:col>2</xdr:col>
      <xdr:colOff>38100</xdr:colOff>
      <xdr:row>24</xdr:row>
      <xdr:rowOff>19050</xdr:rowOff>
    </xdr:from>
    <xdr:to>
      <xdr:col>2</xdr:col>
      <xdr:colOff>1409699</xdr:colOff>
      <xdr:row>25</xdr:row>
      <xdr:rowOff>0</xdr:rowOff>
    </xdr:to>
    <xdr:sp macro="" textlink="">
      <xdr:nvSpPr>
        <xdr:cNvPr id="33" name="CuadroTexto 32">
          <a:extLst>
            <a:ext uri="{FF2B5EF4-FFF2-40B4-BE49-F238E27FC236}">
              <a16:creationId xmlns:a16="http://schemas.microsoft.com/office/drawing/2014/main" id="{00000000-0008-0000-0300-000021000000}"/>
            </a:ext>
          </a:extLst>
        </xdr:cNvPr>
        <xdr:cNvSpPr txBox="1"/>
      </xdr:nvSpPr>
      <xdr:spPr>
        <a:xfrm>
          <a:off x="2095500" y="5743575"/>
          <a:ext cx="1371599" cy="257175"/>
        </a:xfrm>
        <a:prstGeom prst="rect">
          <a:avLst/>
        </a:prstGeom>
        <a:solidFill>
          <a:srgbClr val="00FF00"/>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100" b="1"/>
            <a:t>100</a:t>
          </a:r>
        </a:p>
      </xdr:txBody>
    </xdr:sp>
    <xdr:clientData/>
  </xdr:twoCellAnchor>
  <xdr:twoCellAnchor>
    <xdr:from>
      <xdr:col>2</xdr:col>
      <xdr:colOff>38100</xdr:colOff>
      <xdr:row>20</xdr:row>
      <xdr:rowOff>0</xdr:rowOff>
    </xdr:from>
    <xdr:to>
      <xdr:col>2</xdr:col>
      <xdr:colOff>1428750</xdr:colOff>
      <xdr:row>20</xdr:row>
      <xdr:rowOff>257175</xdr:rowOff>
    </xdr:to>
    <xdr:sp macro="" textlink="">
      <xdr:nvSpPr>
        <xdr:cNvPr id="36" name="CuadroTexto 35">
          <a:extLst>
            <a:ext uri="{FF2B5EF4-FFF2-40B4-BE49-F238E27FC236}">
              <a16:creationId xmlns:a16="http://schemas.microsoft.com/office/drawing/2014/main" id="{00000000-0008-0000-0300-000024000000}"/>
            </a:ext>
          </a:extLst>
        </xdr:cNvPr>
        <xdr:cNvSpPr txBox="1"/>
      </xdr:nvSpPr>
      <xdr:spPr>
        <a:xfrm>
          <a:off x="2095500" y="4619625"/>
          <a:ext cx="1390650" cy="257175"/>
        </a:xfrm>
        <a:prstGeom prst="rect">
          <a:avLst/>
        </a:prstGeom>
        <a:solidFill>
          <a:srgbClr val="C0C0C0"/>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100" b="1"/>
            <a:t>100</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9525</xdr:colOff>
      <xdr:row>41</xdr:row>
      <xdr:rowOff>9525</xdr:rowOff>
    </xdr:from>
    <xdr:to>
      <xdr:col>1</xdr:col>
      <xdr:colOff>0</xdr:colOff>
      <xdr:row>43</xdr:row>
      <xdr:rowOff>19050</xdr:rowOff>
    </xdr:to>
    <xdr:sp macro="" textlink="">
      <xdr:nvSpPr>
        <xdr:cNvPr id="785116" name="Line 113">
          <a:extLst>
            <a:ext uri="{FF2B5EF4-FFF2-40B4-BE49-F238E27FC236}">
              <a16:creationId xmlns:a16="http://schemas.microsoft.com/office/drawing/2014/main" id="{00000000-0008-0000-0500-0000DCFA0B00}"/>
            </a:ext>
          </a:extLst>
        </xdr:cNvPr>
        <xdr:cNvSpPr>
          <a:spLocks noChangeShapeType="1"/>
        </xdr:cNvSpPr>
      </xdr:nvSpPr>
      <xdr:spPr bwMode="auto">
        <a:xfrm>
          <a:off x="9525" y="8058150"/>
          <a:ext cx="1457325" cy="3524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35</xdr:col>
      <xdr:colOff>104775</xdr:colOff>
      <xdr:row>49</xdr:row>
      <xdr:rowOff>142875</xdr:rowOff>
    </xdr:from>
    <xdr:to>
      <xdr:col>35</xdr:col>
      <xdr:colOff>57150</xdr:colOff>
      <xdr:row>49</xdr:row>
      <xdr:rowOff>142875</xdr:rowOff>
    </xdr:to>
    <xdr:sp macro="" textlink="">
      <xdr:nvSpPr>
        <xdr:cNvPr id="785117" name="Rectangle 37">
          <a:extLst>
            <a:ext uri="{FF2B5EF4-FFF2-40B4-BE49-F238E27FC236}">
              <a16:creationId xmlns:a16="http://schemas.microsoft.com/office/drawing/2014/main" id="{00000000-0008-0000-0500-0000DDFA0B00}"/>
            </a:ext>
          </a:extLst>
        </xdr:cNvPr>
        <xdr:cNvSpPr>
          <a:spLocks noChangeArrowheads="1"/>
        </xdr:cNvSpPr>
      </xdr:nvSpPr>
      <xdr:spPr bwMode="auto">
        <a:xfrm>
          <a:off x="3467100" y="9467850"/>
          <a:ext cx="0" cy="0"/>
        </a:xfrm>
        <a:prstGeom prst="rect">
          <a:avLst/>
        </a:prstGeom>
        <a:solidFill>
          <a:srgbClr val="339933"/>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35</xdr:col>
      <xdr:colOff>190500</xdr:colOff>
      <xdr:row>49</xdr:row>
      <xdr:rowOff>142875</xdr:rowOff>
    </xdr:from>
    <xdr:to>
      <xdr:col>35</xdr:col>
      <xdr:colOff>57150</xdr:colOff>
      <xdr:row>49</xdr:row>
      <xdr:rowOff>142875</xdr:rowOff>
    </xdr:to>
    <xdr:sp macro="" textlink="">
      <xdr:nvSpPr>
        <xdr:cNvPr id="785118" name="Rectangle 38">
          <a:extLst>
            <a:ext uri="{FF2B5EF4-FFF2-40B4-BE49-F238E27FC236}">
              <a16:creationId xmlns:a16="http://schemas.microsoft.com/office/drawing/2014/main" id="{00000000-0008-0000-0500-0000DEFA0B00}"/>
            </a:ext>
          </a:extLst>
        </xdr:cNvPr>
        <xdr:cNvSpPr>
          <a:spLocks noChangeArrowheads="1"/>
        </xdr:cNvSpPr>
      </xdr:nvSpPr>
      <xdr:spPr bwMode="auto">
        <a:xfrm>
          <a:off x="3467100" y="9467850"/>
          <a:ext cx="0" cy="0"/>
        </a:xfrm>
        <a:prstGeom prst="rect">
          <a:avLst/>
        </a:prstGeom>
        <a:solidFill>
          <a:srgbClr val="339933"/>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34</xdr:col>
      <xdr:colOff>104775</xdr:colOff>
      <xdr:row>49</xdr:row>
      <xdr:rowOff>142875</xdr:rowOff>
    </xdr:from>
    <xdr:to>
      <xdr:col>34</xdr:col>
      <xdr:colOff>57150</xdr:colOff>
      <xdr:row>49</xdr:row>
      <xdr:rowOff>142875</xdr:rowOff>
    </xdr:to>
    <xdr:sp macro="" textlink="">
      <xdr:nvSpPr>
        <xdr:cNvPr id="785119" name="Rectangle 39">
          <a:extLst>
            <a:ext uri="{FF2B5EF4-FFF2-40B4-BE49-F238E27FC236}">
              <a16:creationId xmlns:a16="http://schemas.microsoft.com/office/drawing/2014/main" id="{00000000-0008-0000-0500-0000DFFA0B00}"/>
            </a:ext>
          </a:extLst>
        </xdr:cNvPr>
        <xdr:cNvSpPr>
          <a:spLocks noChangeArrowheads="1"/>
        </xdr:cNvSpPr>
      </xdr:nvSpPr>
      <xdr:spPr bwMode="auto">
        <a:xfrm>
          <a:off x="3409950" y="9467850"/>
          <a:ext cx="0" cy="0"/>
        </a:xfrm>
        <a:prstGeom prst="rect">
          <a:avLst/>
        </a:prstGeom>
        <a:solidFill>
          <a:srgbClr val="339933"/>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34</xdr:col>
      <xdr:colOff>238125</xdr:colOff>
      <xdr:row>49</xdr:row>
      <xdr:rowOff>142875</xdr:rowOff>
    </xdr:from>
    <xdr:to>
      <xdr:col>34</xdr:col>
      <xdr:colOff>57150</xdr:colOff>
      <xdr:row>49</xdr:row>
      <xdr:rowOff>142875</xdr:rowOff>
    </xdr:to>
    <xdr:sp macro="" textlink="">
      <xdr:nvSpPr>
        <xdr:cNvPr id="785120" name="Rectangle 40">
          <a:extLst>
            <a:ext uri="{FF2B5EF4-FFF2-40B4-BE49-F238E27FC236}">
              <a16:creationId xmlns:a16="http://schemas.microsoft.com/office/drawing/2014/main" id="{00000000-0008-0000-0500-0000E0FA0B00}"/>
            </a:ext>
          </a:extLst>
        </xdr:cNvPr>
        <xdr:cNvSpPr>
          <a:spLocks noChangeArrowheads="1"/>
        </xdr:cNvSpPr>
      </xdr:nvSpPr>
      <xdr:spPr bwMode="auto">
        <a:xfrm>
          <a:off x="3409950" y="9467850"/>
          <a:ext cx="0" cy="0"/>
        </a:xfrm>
        <a:prstGeom prst="rect">
          <a:avLst/>
        </a:prstGeom>
        <a:solidFill>
          <a:srgbClr val="339933"/>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34</xdr:col>
      <xdr:colOff>295275</xdr:colOff>
      <xdr:row>49</xdr:row>
      <xdr:rowOff>142875</xdr:rowOff>
    </xdr:from>
    <xdr:to>
      <xdr:col>34</xdr:col>
      <xdr:colOff>57150</xdr:colOff>
      <xdr:row>49</xdr:row>
      <xdr:rowOff>142875</xdr:rowOff>
    </xdr:to>
    <xdr:sp macro="" textlink="">
      <xdr:nvSpPr>
        <xdr:cNvPr id="785121" name="Rectangle 41">
          <a:extLst>
            <a:ext uri="{FF2B5EF4-FFF2-40B4-BE49-F238E27FC236}">
              <a16:creationId xmlns:a16="http://schemas.microsoft.com/office/drawing/2014/main" id="{00000000-0008-0000-0500-0000E1FA0B00}"/>
            </a:ext>
          </a:extLst>
        </xdr:cNvPr>
        <xdr:cNvSpPr>
          <a:spLocks noChangeArrowheads="1"/>
        </xdr:cNvSpPr>
      </xdr:nvSpPr>
      <xdr:spPr bwMode="auto">
        <a:xfrm>
          <a:off x="3409950" y="9467850"/>
          <a:ext cx="0" cy="0"/>
        </a:xfrm>
        <a:prstGeom prst="rect">
          <a:avLst/>
        </a:prstGeom>
        <a:solidFill>
          <a:srgbClr val="339933"/>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35</xdr:col>
      <xdr:colOff>9525</xdr:colOff>
      <xdr:row>49</xdr:row>
      <xdr:rowOff>142875</xdr:rowOff>
    </xdr:from>
    <xdr:to>
      <xdr:col>35</xdr:col>
      <xdr:colOff>47625</xdr:colOff>
      <xdr:row>49</xdr:row>
      <xdr:rowOff>142875</xdr:rowOff>
    </xdr:to>
    <xdr:sp macro="" textlink="">
      <xdr:nvSpPr>
        <xdr:cNvPr id="785122" name="Rectangle 42">
          <a:extLst>
            <a:ext uri="{FF2B5EF4-FFF2-40B4-BE49-F238E27FC236}">
              <a16:creationId xmlns:a16="http://schemas.microsoft.com/office/drawing/2014/main" id="{00000000-0008-0000-0500-0000E2FA0B00}"/>
            </a:ext>
          </a:extLst>
        </xdr:cNvPr>
        <xdr:cNvSpPr>
          <a:spLocks noChangeArrowheads="1"/>
        </xdr:cNvSpPr>
      </xdr:nvSpPr>
      <xdr:spPr bwMode="auto">
        <a:xfrm>
          <a:off x="3419475" y="9467850"/>
          <a:ext cx="38100" cy="0"/>
        </a:xfrm>
        <a:prstGeom prst="rect">
          <a:avLst/>
        </a:prstGeom>
        <a:solidFill>
          <a:srgbClr val="339933"/>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35</xdr:col>
      <xdr:colOff>66675</xdr:colOff>
      <xdr:row>49</xdr:row>
      <xdr:rowOff>142875</xdr:rowOff>
    </xdr:from>
    <xdr:to>
      <xdr:col>35</xdr:col>
      <xdr:colOff>57150</xdr:colOff>
      <xdr:row>49</xdr:row>
      <xdr:rowOff>142875</xdr:rowOff>
    </xdr:to>
    <xdr:sp macro="" textlink="">
      <xdr:nvSpPr>
        <xdr:cNvPr id="785123" name="Rectangle 43">
          <a:extLst>
            <a:ext uri="{FF2B5EF4-FFF2-40B4-BE49-F238E27FC236}">
              <a16:creationId xmlns:a16="http://schemas.microsoft.com/office/drawing/2014/main" id="{00000000-0008-0000-0500-0000E3FA0B00}"/>
            </a:ext>
          </a:extLst>
        </xdr:cNvPr>
        <xdr:cNvSpPr>
          <a:spLocks noChangeArrowheads="1"/>
        </xdr:cNvSpPr>
      </xdr:nvSpPr>
      <xdr:spPr bwMode="auto">
        <a:xfrm>
          <a:off x="3467100" y="9467850"/>
          <a:ext cx="0" cy="0"/>
        </a:xfrm>
        <a:prstGeom prst="rect">
          <a:avLst/>
        </a:prstGeom>
        <a:solidFill>
          <a:srgbClr val="339933"/>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35</xdr:col>
      <xdr:colOff>276225</xdr:colOff>
      <xdr:row>49</xdr:row>
      <xdr:rowOff>142875</xdr:rowOff>
    </xdr:from>
    <xdr:to>
      <xdr:col>36</xdr:col>
      <xdr:colOff>0</xdr:colOff>
      <xdr:row>49</xdr:row>
      <xdr:rowOff>142875</xdr:rowOff>
    </xdr:to>
    <xdr:sp macro="" textlink="">
      <xdr:nvSpPr>
        <xdr:cNvPr id="785124" name="Rectangle 44">
          <a:extLst>
            <a:ext uri="{FF2B5EF4-FFF2-40B4-BE49-F238E27FC236}">
              <a16:creationId xmlns:a16="http://schemas.microsoft.com/office/drawing/2014/main" id="{00000000-0008-0000-0500-0000E4FA0B00}"/>
            </a:ext>
          </a:extLst>
        </xdr:cNvPr>
        <xdr:cNvSpPr>
          <a:spLocks noChangeArrowheads="1"/>
        </xdr:cNvSpPr>
      </xdr:nvSpPr>
      <xdr:spPr bwMode="auto">
        <a:xfrm>
          <a:off x="3467100" y="9467850"/>
          <a:ext cx="0" cy="0"/>
        </a:xfrm>
        <a:prstGeom prst="rect">
          <a:avLst/>
        </a:prstGeom>
        <a:solidFill>
          <a:srgbClr val="339933"/>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49</xdr:col>
      <xdr:colOff>104775</xdr:colOff>
      <xdr:row>49</xdr:row>
      <xdr:rowOff>142875</xdr:rowOff>
    </xdr:from>
    <xdr:to>
      <xdr:col>49</xdr:col>
      <xdr:colOff>57150</xdr:colOff>
      <xdr:row>49</xdr:row>
      <xdr:rowOff>142875</xdr:rowOff>
    </xdr:to>
    <xdr:sp macro="" textlink="">
      <xdr:nvSpPr>
        <xdr:cNvPr id="785125" name="Rectangle 45">
          <a:extLst>
            <a:ext uri="{FF2B5EF4-FFF2-40B4-BE49-F238E27FC236}">
              <a16:creationId xmlns:a16="http://schemas.microsoft.com/office/drawing/2014/main" id="{00000000-0008-0000-0500-0000E5FA0B00}"/>
            </a:ext>
          </a:extLst>
        </xdr:cNvPr>
        <xdr:cNvSpPr>
          <a:spLocks noChangeArrowheads="1"/>
        </xdr:cNvSpPr>
      </xdr:nvSpPr>
      <xdr:spPr bwMode="auto">
        <a:xfrm>
          <a:off x="4267200" y="9467850"/>
          <a:ext cx="0" cy="0"/>
        </a:xfrm>
        <a:prstGeom prst="rect">
          <a:avLst/>
        </a:prstGeom>
        <a:solidFill>
          <a:srgbClr val="339933"/>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49</xdr:col>
      <xdr:colOff>200025</xdr:colOff>
      <xdr:row>49</xdr:row>
      <xdr:rowOff>142875</xdr:rowOff>
    </xdr:from>
    <xdr:to>
      <xdr:col>49</xdr:col>
      <xdr:colOff>57150</xdr:colOff>
      <xdr:row>49</xdr:row>
      <xdr:rowOff>142875</xdr:rowOff>
    </xdr:to>
    <xdr:sp macro="" textlink="">
      <xdr:nvSpPr>
        <xdr:cNvPr id="785126" name="Rectangle 46">
          <a:extLst>
            <a:ext uri="{FF2B5EF4-FFF2-40B4-BE49-F238E27FC236}">
              <a16:creationId xmlns:a16="http://schemas.microsoft.com/office/drawing/2014/main" id="{00000000-0008-0000-0500-0000E6FA0B00}"/>
            </a:ext>
          </a:extLst>
        </xdr:cNvPr>
        <xdr:cNvSpPr>
          <a:spLocks noChangeArrowheads="1"/>
        </xdr:cNvSpPr>
      </xdr:nvSpPr>
      <xdr:spPr bwMode="auto">
        <a:xfrm>
          <a:off x="4267200" y="9467850"/>
          <a:ext cx="0" cy="0"/>
        </a:xfrm>
        <a:prstGeom prst="rect">
          <a:avLst/>
        </a:prstGeom>
        <a:solidFill>
          <a:srgbClr val="339933"/>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49</xdr:col>
      <xdr:colOff>266700</xdr:colOff>
      <xdr:row>49</xdr:row>
      <xdr:rowOff>142875</xdr:rowOff>
    </xdr:from>
    <xdr:to>
      <xdr:col>49</xdr:col>
      <xdr:colOff>57150</xdr:colOff>
      <xdr:row>49</xdr:row>
      <xdr:rowOff>142875</xdr:rowOff>
    </xdr:to>
    <xdr:sp macro="" textlink="">
      <xdr:nvSpPr>
        <xdr:cNvPr id="785127" name="Rectangle 47">
          <a:extLst>
            <a:ext uri="{FF2B5EF4-FFF2-40B4-BE49-F238E27FC236}">
              <a16:creationId xmlns:a16="http://schemas.microsoft.com/office/drawing/2014/main" id="{00000000-0008-0000-0500-0000E7FA0B00}"/>
            </a:ext>
          </a:extLst>
        </xdr:cNvPr>
        <xdr:cNvSpPr>
          <a:spLocks noChangeArrowheads="1"/>
        </xdr:cNvSpPr>
      </xdr:nvSpPr>
      <xdr:spPr bwMode="auto">
        <a:xfrm>
          <a:off x="4267200" y="9467850"/>
          <a:ext cx="0" cy="0"/>
        </a:xfrm>
        <a:prstGeom prst="rect">
          <a:avLst/>
        </a:prstGeom>
        <a:solidFill>
          <a:srgbClr val="339933"/>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50</xdr:col>
      <xdr:colOff>304800</xdr:colOff>
      <xdr:row>49</xdr:row>
      <xdr:rowOff>142875</xdr:rowOff>
    </xdr:from>
    <xdr:to>
      <xdr:col>50</xdr:col>
      <xdr:colOff>57150</xdr:colOff>
      <xdr:row>49</xdr:row>
      <xdr:rowOff>142875</xdr:rowOff>
    </xdr:to>
    <xdr:sp macro="" textlink="">
      <xdr:nvSpPr>
        <xdr:cNvPr id="785128" name="Rectangle 49">
          <a:extLst>
            <a:ext uri="{FF2B5EF4-FFF2-40B4-BE49-F238E27FC236}">
              <a16:creationId xmlns:a16="http://schemas.microsoft.com/office/drawing/2014/main" id="{00000000-0008-0000-0500-0000E8FA0B00}"/>
            </a:ext>
          </a:extLst>
        </xdr:cNvPr>
        <xdr:cNvSpPr>
          <a:spLocks noChangeArrowheads="1"/>
        </xdr:cNvSpPr>
      </xdr:nvSpPr>
      <xdr:spPr bwMode="auto">
        <a:xfrm>
          <a:off x="4324350" y="9467850"/>
          <a:ext cx="0" cy="0"/>
        </a:xfrm>
        <a:prstGeom prst="rect">
          <a:avLst/>
        </a:prstGeom>
        <a:solidFill>
          <a:srgbClr val="FFFF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51</xdr:col>
      <xdr:colOff>190500</xdr:colOff>
      <xdr:row>49</xdr:row>
      <xdr:rowOff>142875</xdr:rowOff>
    </xdr:from>
    <xdr:to>
      <xdr:col>51</xdr:col>
      <xdr:colOff>57150</xdr:colOff>
      <xdr:row>49</xdr:row>
      <xdr:rowOff>142875</xdr:rowOff>
    </xdr:to>
    <xdr:sp macro="" textlink="">
      <xdr:nvSpPr>
        <xdr:cNvPr id="785129" name="Rectangle 50">
          <a:extLst>
            <a:ext uri="{FF2B5EF4-FFF2-40B4-BE49-F238E27FC236}">
              <a16:creationId xmlns:a16="http://schemas.microsoft.com/office/drawing/2014/main" id="{00000000-0008-0000-0500-0000E9FA0B00}"/>
            </a:ext>
          </a:extLst>
        </xdr:cNvPr>
        <xdr:cNvSpPr>
          <a:spLocks noChangeArrowheads="1"/>
        </xdr:cNvSpPr>
      </xdr:nvSpPr>
      <xdr:spPr bwMode="auto">
        <a:xfrm>
          <a:off x="4381500" y="9467850"/>
          <a:ext cx="0" cy="0"/>
        </a:xfrm>
        <a:prstGeom prst="rect">
          <a:avLst/>
        </a:prstGeom>
        <a:solidFill>
          <a:srgbClr val="339933"/>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51</xdr:col>
      <xdr:colOff>609600</xdr:colOff>
      <xdr:row>51</xdr:row>
      <xdr:rowOff>0</xdr:rowOff>
    </xdr:from>
    <xdr:to>
      <xdr:col>51</xdr:col>
      <xdr:colOff>57150</xdr:colOff>
      <xdr:row>51</xdr:row>
      <xdr:rowOff>0</xdr:rowOff>
    </xdr:to>
    <xdr:sp macro="" textlink="">
      <xdr:nvSpPr>
        <xdr:cNvPr id="785130" name="Line 2210">
          <a:extLst>
            <a:ext uri="{FF2B5EF4-FFF2-40B4-BE49-F238E27FC236}">
              <a16:creationId xmlns:a16="http://schemas.microsoft.com/office/drawing/2014/main" id="{00000000-0008-0000-0500-0000EAFA0B00}"/>
            </a:ext>
          </a:extLst>
        </xdr:cNvPr>
        <xdr:cNvSpPr>
          <a:spLocks noChangeShapeType="1"/>
        </xdr:cNvSpPr>
      </xdr:nvSpPr>
      <xdr:spPr bwMode="auto">
        <a:xfrm>
          <a:off x="4381500" y="9648825"/>
          <a:ext cx="0" cy="0"/>
        </a:xfrm>
        <a:prstGeom prst="line">
          <a:avLst/>
        </a:prstGeom>
        <a:noFill/>
        <a:ln w="24765">
          <a:solidFill>
            <a:srgbClr val="FF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76200</xdr:colOff>
      <xdr:row>51</xdr:row>
      <xdr:rowOff>190500</xdr:rowOff>
    </xdr:from>
    <xdr:to>
      <xdr:col>33</xdr:col>
      <xdr:colOff>123825</xdr:colOff>
      <xdr:row>53</xdr:row>
      <xdr:rowOff>190500</xdr:rowOff>
    </xdr:to>
    <xdr:sp macro="" textlink="">
      <xdr:nvSpPr>
        <xdr:cNvPr id="785131" name="Rectangle 61">
          <a:extLst>
            <a:ext uri="{FF2B5EF4-FFF2-40B4-BE49-F238E27FC236}">
              <a16:creationId xmlns:a16="http://schemas.microsoft.com/office/drawing/2014/main" id="{00000000-0008-0000-0500-0000EBFA0B00}"/>
            </a:ext>
          </a:extLst>
        </xdr:cNvPr>
        <xdr:cNvSpPr>
          <a:spLocks noChangeArrowheads="1"/>
        </xdr:cNvSpPr>
      </xdr:nvSpPr>
      <xdr:spPr bwMode="auto">
        <a:xfrm>
          <a:off x="3352800" y="9839325"/>
          <a:ext cx="0" cy="323850"/>
        </a:xfrm>
        <a:prstGeom prst="rect">
          <a:avLst/>
        </a:prstGeom>
        <a:solidFill>
          <a:srgbClr val="FFFF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35</xdr:col>
      <xdr:colOff>200025</xdr:colOff>
      <xdr:row>58</xdr:row>
      <xdr:rowOff>0</xdr:rowOff>
    </xdr:from>
    <xdr:to>
      <xdr:col>35</xdr:col>
      <xdr:colOff>257175</xdr:colOff>
      <xdr:row>60</xdr:row>
      <xdr:rowOff>9525</xdr:rowOff>
    </xdr:to>
    <xdr:sp macro="" textlink="">
      <xdr:nvSpPr>
        <xdr:cNvPr id="785132" name="Rectangle 61">
          <a:extLst>
            <a:ext uri="{FF2B5EF4-FFF2-40B4-BE49-F238E27FC236}">
              <a16:creationId xmlns:a16="http://schemas.microsoft.com/office/drawing/2014/main" id="{00000000-0008-0000-0500-0000ECFA0B00}"/>
            </a:ext>
          </a:extLst>
        </xdr:cNvPr>
        <xdr:cNvSpPr>
          <a:spLocks noChangeArrowheads="1"/>
        </xdr:cNvSpPr>
      </xdr:nvSpPr>
      <xdr:spPr bwMode="auto">
        <a:xfrm>
          <a:off x="3467100" y="10810875"/>
          <a:ext cx="0" cy="333375"/>
        </a:xfrm>
        <a:prstGeom prst="rect">
          <a:avLst/>
        </a:prstGeom>
        <a:solidFill>
          <a:srgbClr val="FFFF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34</xdr:col>
      <xdr:colOff>104775</xdr:colOff>
      <xdr:row>58</xdr:row>
      <xdr:rowOff>0</xdr:rowOff>
    </xdr:from>
    <xdr:to>
      <xdr:col>34</xdr:col>
      <xdr:colOff>238125</xdr:colOff>
      <xdr:row>60</xdr:row>
      <xdr:rowOff>0</xdr:rowOff>
    </xdr:to>
    <xdr:sp macro="" textlink="">
      <xdr:nvSpPr>
        <xdr:cNvPr id="785133" name="Rectangle 61">
          <a:extLst>
            <a:ext uri="{FF2B5EF4-FFF2-40B4-BE49-F238E27FC236}">
              <a16:creationId xmlns:a16="http://schemas.microsoft.com/office/drawing/2014/main" id="{00000000-0008-0000-0500-0000EDFA0B00}"/>
            </a:ext>
          </a:extLst>
        </xdr:cNvPr>
        <xdr:cNvSpPr>
          <a:spLocks noChangeArrowheads="1"/>
        </xdr:cNvSpPr>
      </xdr:nvSpPr>
      <xdr:spPr bwMode="auto">
        <a:xfrm>
          <a:off x="3409950" y="10810875"/>
          <a:ext cx="0" cy="323850"/>
        </a:xfrm>
        <a:prstGeom prst="rect">
          <a:avLst/>
        </a:prstGeom>
        <a:solidFill>
          <a:srgbClr val="FFFF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35</xdr:col>
      <xdr:colOff>114300</xdr:colOff>
      <xdr:row>58</xdr:row>
      <xdr:rowOff>0</xdr:rowOff>
    </xdr:from>
    <xdr:to>
      <xdr:col>35</xdr:col>
      <xdr:colOff>161925</xdr:colOff>
      <xdr:row>60</xdr:row>
      <xdr:rowOff>0</xdr:rowOff>
    </xdr:to>
    <xdr:sp macro="" textlink="">
      <xdr:nvSpPr>
        <xdr:cNvPr id="785134" name="Rectangle 127">
          <a:extLst>
            <a:ext uri="{FF2B5EF4-FFF2-40B4-BE49-F238E27FC236}">
              <a16:creationId xmlns:a16="http://schemas.microsoft.com/office/drawing/2014/main" id="{00000000-0008-0000-0500-0000EEFA0B00}"/>
            </a:ext>
          </a:extLst>
        </xdr:cNvPr>
        <xdr:cNvSpPr>
          <a:spLocks noChangeArrowheads="1"/>
        </xdr:cNvSpPr>
      </xdr:nvSpPr>
      <xdr:spPr bwMode="auto">
        <a:xfrm>
          <a:off x="3467100" y="10810875"/>
          <a:ext cx="0" cy="323850"/>
        </a:xfrm>
        <a:prstGeom prst="rect">
          <a:avLst/>
        </a:prstGeom>
        <a:solidFill>
          <a:srgbClr val="FF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58</xdr:row>
      <xdr:rowOff>0</xdr:rowOff>
    </xdr:from>
    <xdr:to>
      <xdr:col>33</xdr:col>
      <xdr:colOff>238125</xdr:colOff>
      <xdr:row>60</xdr:row>
      <xdr:rowOff>0</xdr:rowOff>
    </xdr:to>
    <xdr:sp macro="" textlink="">
      <xdr:nvSpPr>
        <xdr:cNvPr id="785135" name="Rectangle 61">
          <a:extLst>
            <a:ext uri="{FF2B5EF4-FFF2-40B4-BE49-F238E27FC236}">
              <a16:creationId xmlns:a16="http://schemas.microsoft.com/office/drawing/2014/main" id="{00000000-0008-0000-0500-0000EFFA0B00}"/>
            </a:ext>
          </a:extLst>
        </xdr:cNvPr>
        <xdr:cNvSpPr>
          <a:spLocks noChangeArrowheads="1"/>
        </xdr:cNvSpPr>
      </xdr:nvSpPr>
      <xdr:spPr bwMode="auto">
        <a:xfrm>
          <a:off x="3352800" y="10810875"/>
          <a:ext cx="0" cy="323850"/>
        </a:xfrm>
        <a:prstGeom prst="rect">
          <a:avLst/>
        </a:prstGeom>
        <a:solidFill>
          <a:srgbClr val="FFFF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49</xdr:col>
      <xdr:colOff>99488</xdr:colOff>
      <xdr:row>48</xdr:row>
      <xdr:rowOff>1072</xdr:rowOff>
    </xdr:from>
    <xdr:to>
      <xdr:col>49</xdr:col>
      <xdr:colOff>160447</xdr:colOff>
      <xdr:row>50</xdr:row>
      <xdr:rowOff>3338</xdr:rowOff>
    </xdr:to>
    <xdr:sp macro="" textlink="">
      <xdr:nvSpPr>
        <xdr:cNvPr id="22" name="Rectangle 59">
          <a:extLst>
            <a:ext uri="{FF2B5EF4-FFF2-40B4-BE49-F238E27FC236}">
              <a16:creationId xmlns:a16="http://schemas.microsoft.com/office/drawing/2014/main" id="{00000000-0008-0000-0500-000016000000}"/>
            </a:ext>
          </a:extLst>
        </xdr:cNvPr>
        <xdr:cNvSpPr>
          <a:spLocks noChangeArrowheads="1"/>
        </xdr:cNvSpPr>
      </xdr:nvSpPr>
      <xdr:spPr bwMode="auto">
        <a:xfrm>
          <a:off x="4271438" y="9002197"/>
          <a:ext cx="0" cy="326116"/>
        </a:xfrm>
        <a:prstGeom prst="rect">
          <a:avLst/>
        </a:prstGeom>
        <a:solidFill>
          <a:srgbClr val="00AE01"/>
        </a:solidFill>
        <a:ln>
          <a:noFill/>
        </a:ln>
      </xdr:spPr>
      <xdr:txBody>
        <a:bodyPr rtlCol="0"/>
        <a:lstStyle/>
        <a:p>
          <a:pPr marL="0" indent="0" algn="ctr" rtl="1">
            <a:defRPr sz="1000"/>
          </a:pPr>
          <a:r>
            <a:rPr lang="es-AR" sz="1100">
              <a:latin typeface="+mn-lt"/>
              <a:ea typeface="+mn-ea"/>
              <a:cs typeface="+mn-cs"/>
            </a:rPr>
            <a:t> </a:t>
          </a:r>
        </a:p>
      </xdr:txBody>
    </xdr:sp>
    <xdr:clientData/>
  </xdr:twoCellAnchor>
  <xdr:twoCellAnchor>
    <xdr:from>
      <xdr:col>51</xdr:col>
      <xdr:colOff>99488</xdr:colOff>
      <xdr:row>48</xdr:row>
      <xdr:rowOff>1071</xdr:rowOff>
    </xdr:from>
    <xdr:to>
      <xdr:col>51</xdr:col>
      <xdr:colOff>160447</xdr:colOff>
      <xdr:row>50</xdr:row>
      <xdr:rowOff>3337</xdr:rowOff>
    </xdr:to>
    <xdr:sp macro="" textlink="">
      <xdr:nvSpPr>
        <xdr:cNvPr id="23" name="Rectangle 59">
          <a:extLst>
            <a:ext uri="{FF2B5EF4-FFF2-40B4-BE49-F238E27FC236}">
              <a16:creationId xmlns:a16="http://schemas.microsoft.com/office/drawing/2014/main" id="{00000000-0008-0000-0500-000017000000}"/>
            </a:ext>
          </a:extLst>
        </xdr:cNvPr>
        <xdr:cNvSpPr>
          <a:spLocks noChangeArrowheads="1"/>
        </xdr:cNvSpPr>
      </xdr:nvSpPr>
      <xdr:spPr bwMode="auto">
        <a:xfrm>
          <a:off x="4385738" y="9002196"/>
          <a:ext cx="0" cy="326116"/>
        </a:xfrm>
        <a:prstGeom prst="rect">
          <a:avLst/>
        </a:prstGeom>
        <a:solidFill>
          <a:srgbClr val="00AE01"/>
        </a:solidFill>
        <a:ln>
          <a:noFill/>
        </a:ln>
      </xdr:spPr>
      <xdr:txBody>
        <a:bodyPr rtlCol="0"/>
        <a:lstStyle/>
        <a:p>
          <a:pPr marL="0" indent="0" algn="ctr" rtl="1">
            <a:defRPr sz="1000"/>
          </a:pPr>
          <a:r>
            <a:rPr lang="es-AR" sz="1100">
              <a:latin typeface="+mn-lt"/>
              <a:ea typeface="+mn-ea"/>
              <a:cs typeface="+mn-cs"/>
            </a:rPr>
            <a:t> </a:t>
          </a:r>
        </a:p>
      </xdr:txBody>
    </xdr:sp>
    <xdr:clientData/>
  </xdr:twoCellAnchor>
  <xdr:twoCellAnchor>
    <xdr:from>
      <xdr:col>51</xdr:col>
      <xdr:colOff>192619</xdr:colOff>
      <xdr:row>48</xdr:row>
      <xdr:rowOff>1065</xdr:rowOff>
    </xdr:from>
    <xdr:to>
      <xdr:col>51</xdr:col>
      <xdr:colOff>253578</xdr:colOff>
      <xdr:row>50</xdr:row>
      <xdr:rowOff>3331</xdr:rowOff>
    </xdr:to>
    <xdr:sp macro="" textlink="">
      <xdr:nvSpPr>
        <xdr:cNvPr id="24" name="Rectangle 59">
          <a:extLst>
            <a:ext uri="{FF2B5EF4-FFF2-40B4-BE49-F238E27FC236}">
              <a16:creationId xmlns:a16="http://schemas.microsoft.com/office/drawing/2014/main" id="{00000000-0008-0000-0500-000018000000}"/>
            </a:ext>
          </a:extLst>
        </xdr:cNvPr>
        <xdr:cNvSpPr>
          <a:spLocks noChangeArrowheads="1"/>
        </xdr:cNvSpPr>
      </xdr:nvSpPr>
      <xdr:spPr bwMode="auto">
        <a:xfrm>
          <a:off x="4383619" y="9002190"/>
          <a:ext cx="0" cy="326116"/>
        </a:xfrm>
        <a:prstGeom prst="rect">
          <a:avLst/>
        </a:prstGeom>
        <a:solidFill>
          <a:srgbClr val="FF0000"/>
        </a:solidFill>
        <a:ln w="9525">
          <a:noFill/>
          <a:miter lim="800000"/>
          <a:headEnd/>
          <a:tailEnd/>
        </a:ln>
      </xdr:spPr>
      <xdr:txBody>
        <a:bodyPr vertOverflow="clip" wrap="square" lIns="27432" tIns="22860" rIns="0" bIns="0" anchor="t" upright="1"/>
        <a:lstStyle/>
        <a:p>
          <a:pPr algn="l" rtl="1">
            <a:defRPr sz="1000"/>
          </a:pPr>
          <a:r>
            <a:rPr lang="es-AR" sz="1000" b="0" i="0" strike="noStrike">
              <a:solidFill>
                <a:srgbClr val="00FF00"/>
              </a:solidFill>
              <a:latin typeface="Arial"/>
              <a:cs typeface="Arial"/>
            </a:rPr>
            <a:t> </a:t>
          </a:r>
        </a:p>
      </xdr:txBody>
    </xdr:sp>
    <xdr:clientData/>
  </xdr:twoCellAnchor>
  <xdr:twoCellAnchor>
    <xdr:from>
      <xdr:col>51</xdr:col>
      <xdr:colOff>619125</xdr:colOff>
      <xdr:row>51</xdr:row>
      <xdr:rowOff>0</xdr:rowOff>
    </xdr:from>
    <xdr:to>
      <xdr:col>51</xdr:col>
      <xdr:colOff>57150</xdr:colOff>
      <xdr:row>51</xdr:row>
      <xdr:rowOff>0</xdr:rowOff>
    </xdr:to>
    <xdr:sp macro="" textlink="">
      <xdr:nvSpPr>
        <xdr:cNvPr id="785139" name="Line 2210">
          <a:extLst>
            <a:ext uri="{FF2B5EF4-FFF2-40B4-BE49-F238E27FC236}">
              <a16:creationId xmlns:a16="http://schemas.microsoft.com/office/drawing/2014/main" id="{00000000-0008-0000-0500-0000F3FA0B00}"/>
            </a:ext>
          </a:extLst>
        </xdr:cNvPr>
        <xdr:cNvSpPr>
          <a:spLocks noChangeShapeType="1"/>
        </xdr:cNvSpPr>
      </xdr:nvSpPr>
      <xdr:spPr bwMode="auto">
        <a:xfrm>
          <a:off x="4381500" y="9648825"/>
          <a:ext cx="0" cy="0"/>
        </a:xfrm>
        <a:prstGeom prst="line">
          <a:avLst/>
        </a:prstGeom>
        <a:noFill/>
        <a:ln w="24765">
          <a:solidFill>
            <a:srgbClr val="FF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85725</xdr:colOff>
      <xdr:row>49</xdr:row>
      <xdr:rowOff>190500</xdr:rowOff>
    </xdr:from>
    <xdr:to>
      <xdr:col>33</xdr:col>
      <xdr:colOff>142875</xdr:colOff>
      <xdr:row>51</xdr:row>
      <xdr:rowOff>190500</xdr:rowOff>
    </xdr:to>
    <xdr:sp macro="" textlink="">
      <xdr:nvSpPr>
        <xdr:cNvPr id="785140" name="Rectangle 61">
          <a:extLst>
            <a:ext uri="{FF2B5EF4-FFF2-40B4-BE49-F238E27FC236}">
              <a16:creationId xmlns:a16="http://schemas.microsoft.com/office/drawing/2014/main" id="{00000000-0008-0000-0500-0000F4FA0B00}"/>
            </a:ext>
          </a:extLst>
        </xdr:cNvPr>
        <xdr:cNvSpPr>
          <a:spLocks noChangeArrowheads="1"/>
        </xdr:cNvSpPr>
      </xdr:nvSpPr>
      <xdr:spPr bwMode="auto">
        <a:xfrm>
          <a:off x="3352800" y="9515475"/>
          <a:ext cx="0" cy="323850"/>
        </a:xfrm>
        <a:prstGeom prst="rect">
          <a:avLst/>
        </a:prstGeom>
        <a:solidFill>
          <a:srgbClr val="FFFF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34</xdr:col>
      <xdr:colOff>66675</xdr:colOff>
      <xdr:row>49</xdr:row>
      <xdr:rowOff>190500</xdr:rowOff>
    </xdr:from>
    <xdr:to>
      <xdr:col>34</xdr:col>
      <xdr:colOff>180975</xdr:colOff>
      <xdr:row>52</xdr:row>
      <xdr:rowOff>0</xdr:rowOff>
    </xdr:to>
    <xdr:sp macro="" textlink="">
      <xdr:nvSpPr>
        <xdr:cNvPr id="785141" name="Rectangle 61">
          <a:extLst>
            <a:ext uri="{FF2B5EF4-FFF2-40B4-BE49-F238E27FC236}">
              <a16:creationId xmlns:a16="http://schemas.microsoft.com/office/drawing/2014/main" id="{00000000-0008-0000-0500-0000F5FA0B00}"/>
            </a:ext>
          </a:extLst>
        </xdr:cNvPr>
        <xdr:cNvSpPr>
          <a:spLocks noChangeArrowheads="1"/>
        </xdr:cNvSpPr>
      </xdr:nvSpPr>
      <xdr:spPr bwMode="auto">
        <a:xfrm>
          <a:off x="3409950" y="9515475"/>
          <a:ext cx="0" cy="323850"/>
        </a:xfrm>
        <a:prstGeom prst="rect">
          <a:avLst/>
        </a:prstGeom>
        <a:solidFill>
          <a:srgbClr val="FFFF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5</xdr:col>
      <xdr:colOff>228600</xdr:colOff>
      <xdr:row>50</xdr:row>
      <xdr:rowOff>0</xdr:rowOff>
    </xdr:from>
    <xdr:to>
      <xdr:col>5</xdr:col>
      <xdr:colOff>276225</xdr:colOff>
      <xdr:row>52</xdr:row>
      <xdr:rowOff>9525</xdr:rowOff>
    </xdr:to>
    <xdr:sp macro="" textlink="">
      <xdr:nvSpPr>
        <xdr:cNvPr id="785142" name="Rectangle 61">
          <a:extLst>
            <a:ext uri="{FF2B5EF4-FFF2-40B4-BE49-F238E27FC236}">
              <a16:creationId xmlns:a16="http://schemas.microsoft.com/office/drawing/2014/main" id="{00000000-0008-0000-0500-0000F6FA0B00}"/>
            </a:ext>
          </a:extLst>
        </xdr:cNvPr>
        <xdr:cNvSpPr>
          <a:spLocks noChangeArrowheads="1"/>
        </xdr:cNvSpPr>
      </xdr:nvSpPr>
      <xdr:spPr bwMode="auto">
        <a:xfrm>
          <a:off x="1752600" y="9515475"/>
          <a:ext cx="0" cy="333375"/>
        </a:xfrm>
        <a:prstGeom prst="rect">
          <a:avLst/>
        </a:prstGeom>
        <a:solidFill>
          <a:srgbClr val="FFFF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49</xdr:col>
      <xdr:colOff>123825</xdr:colOff>
      <xdr:row>49</xdr:row>
      <xdr:rowOff>190500</xdr:rowOff>
    </xdr:from>
    <xdr:to>
      <xdr:col>49</xdr:col>
      <xdr:colOff>200025</xdr:colOff>
      <xdr:row>52</xdr:row>
      <xdr:rowOff>0</xdr:rowOff>
    </xdr:to>
    <xdr:sp macro="" textlink="">
      <xdr:nvSpPr>
        <xdr:cNvPr id="785143" name="Rectangle 61">
          <a:extLst>
            <a:ext uri="{FF2B5EF4-FFF2-40B4-BE49-F238E27FC236}">
              <a16:creationId xmlns:a16="http://schemas.microsoft.com/office/drawing/2014/main" id="{00000000-0008-0000-0500-0000F7FA0B00}"/>
            </a:ext>
          </a:extLst>
        </xdr:cNvPr>
        <xdr:cNvSpPr>
          <a:spLocks noChangeArrowheads="1"/>
        </xdr:cNvSpPr>
      </xdr:nvSpPr>
      <xdr:spPr bwMode="auto">
        <a:xfrm>
          <a:off x="4267200" y="9515475"/>
          <a:ext cx="0" cy="323850"/>
        </a:xfrm>
        <a:prstGeom prst="rect">
          <a:avLst/>
        </a:prstGeom>
        <a:solidFill>
          <a:srgbClr val="FFFF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35</xdr:col>
      <xdr:colOff>276225</xdr:colOff>
      <xdr:row>49</xdr:row>
      <xdr:rowOff>190500</xdr:rowOff>
    </xdr:from>
    <xdr:to>
      <xdr:col>35</xdr:col>
      <xdr:colOff>352425</xdr:colOff>
      <xdr:row>52</xdr:row>
      <xdr:rowOff>0</xdr:rowOff>
    </xdr:to>
    <xdr:sp macro="" textlink="">
      <xdr:nvSpPr>
        <xdr:cNvPr id="785144" name="Rectangle 61">
          <a:extLst>
            <a:ext uri="{FF2B5EF4-FFF2-40B4-BE49-F238E27FC236}">
              <a16:creationId xmlns:a16="http://schemas.microsoft.com/office/drawing/2014/main" id="{00000000-0008-0000-0500-0000F8FA0B00}"/>
            </a:ext>
          </a:extLst>
        </xdr:cNvPr>
        <xdr:cNvSpPr>
          <a:spLocks noChangeArrowheads="1"/>
        </xdr:cNvSpPr>
      </xdr:nvSpPr>
      <xdr:spPr bwMode="auto">
        <a:xfrm>
          <a:off x="3467100" y="9515475"/>
          <a:ext cx="0" cy="323850"/>
        </a:xfrm>
        <a:prstGeom prst="rect">
          <a:avLst/>
        </a:prstGeom>
        <a:solidFill>
          <a:srgbClr val="FFFF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219075</xdr:colOff>
      <xdr:row>49</xdr:row>
      <xdr:rowOff>190500</xdr:rowOff>
    </xdr:from>
    <xdr:to>
      <xdr:col>33</xdr:col>
      <xdr:colOff>266700</xdr:colOff>
      <xdr:row>51</xdr:row>
      <xdr:rowOff>190500</xdr:rowOff>
    </xdr:to>
    <xdr:sp macro="" textlink="">
      <xdr:nvSpPr>
        <xdr:cNvPr id="785145" name="Rectangle 61">
          <a:extLst>
            <a:ext uri="{FF2B5EF4-FFF2-40B4-BE49-F238E27FC236}">
              <a16:creationId xmlns:a16="http://schemas.microsoft.com/office/drawing/2014/main" id="{00000000-0008-0000-0500-0000F9FA0B00}"/>
            </a:ext>
          </a:extLst>
        </xdr:cNvPr>
        <xdr:cNvSpPr>
          <a:spLocks noChangeArrowheads="1"/>
        </xdr:cNvSpPr>
      </xdr:nvSpPr>
      <xdr:spPr bwMode="auto">
        <a:xfrm>
          <a:off x="3352800" y="9515475"/>
          <a:ext cx="0" cy="323850"/>
        </a:xfrm>
        <a:prstGeom prst="rect">
          <a:avLst/>
        </a:prstGeom>
        <a:solidFill>
          <a:srgbClr val="FFFF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55</xdr:col>
      <xdr:colOff>0</xdr:colOff>
      <xdr:row>44</xdr:row>
      <xdr:rowOff>1034</xdr:rowOff>
    </xdr:from>
    <xdr:to>
      <xdr:col>55</xdr:col>
      <xdr:colOff>0</xdr:colOff>
      <xdr:row>46</xdr:row>
      <xdr:rowOff>3300</xdr:rowOff>
    </xdr:to>
    <xdr:sp macro="" textlink="">
      <xdr:nvSpPr>
        <xdr:cNvPr id="32" name="Rectangle 59">
          <a:extLst>
            <a:ext uri="{FF2B5EF4-FFF2-40B4-BE49-F238E27FC236}">
              <a16:creationId xmlns:a16="http://schemas.microsoft.com/office/drawing/2014/main" id="{00000000-0008-0000-0500-000020000000}"/>
            </a:ext>
          </a:extLst>
        </xdr:cNvPr>
        <xdr:cNvSpPr>
          <a:spLocks noChangeArrowheads="1"/>
        </xdr:cNvSpPr>
      </xdr:nvSpPr>
      <xdr:spPr bwMode="auto">
        <a:xfrm>
          <a:off x="4552950" y="8354459"/>
          <a:ext cx="0" cy="326116"/>
        </a:xfrm>
        <a:prstGeom prst="rect">
          <a:avLst/>
        </a:prstGeom>
        <a:solidFill>
          <a:srgbClr val="FF0000"/>
        </a:solidFill>
        <a:ln w="9525">
          <a:noFill/>
          <a:miter lim="800000"/>
          <a:headEnd/>
          <a:tailEnd/>
        </a:ln>
      </xdr:spPr>
      <xdr:txBody>
        <a:bodyPr vertOverflow="clip" wrap="square" lIns="27432" tIns="22860" rIns="0" bIns="0" anchor="t" upright="1"/>
        <a:lstStyle/>
        <a:p>
          <a:pPr algn="l" rtl="1">
            <a:defRPr sz="1000"/>
          </a:pPr>
          <a:r>
            <a:rPr lang="es-AR" sz="1000" b="0" i="0" strike="noStrike">
              <a:solidFill>
                <a:srgbClr val="00FF00"/>
              </a:solidFill>
              <a:latin typeface="Arial"/>
              <a:cs typeface="Arial"/>
            </a:rPr>
            <a:t> </a:t>
          </a:r>
        </a:p>
      </xdr:txBody>
    </xdr:sp>
    <xdr:clientData/>
  </xdr:twoCellAnchor>
  <xdr:twoCellAnchor>
    <xdr:from>
      <xdr:col>50</xdr:col>
      <xdr:colOff>200025</xdr:colOff>
      <xdr:row>50</xdr:row>
      <xdr:rowOff>0</xdr:rowOff>
    </xdr:from>
    <xdr:to>
      <xdr:col>50</xdr:col>
      <xdr:colOff>276225</xdr:colOff>
      <xdr:row>52</xdr:row>
      <xdr:rowOff>0</xdr:rowOff>
    </xdr:to>
    <xdr:sp macro="" textlink="">
      <xdr:nvSpPr>
        <xdr:cNvPr id="785147" name="Rectangle 61">
          <a:extLst>
            <a:ext uri="{FF2B5EF4-FFF2-40B4-BE49-F238E27FC236}">
              <a16:creationId xmlns:a16="http://schemas.microsoft.com/office/drawing/2014/main" id="{00000000-0008-0000-0500-0000FBFA0B00}"/>
            </a:ext>
          </a:extLst>
        </xdr:cNvPr>
        <xdr:cNvSpPr>
          <a:spLocks noChangeArrowheads="1"/>
        </xdr:cNvSpPr>
      </xdr:nvSpPr>
      <xdr:spPr bwMode="auto">
        <a:xfrm>
          <a:off x="4324350" y="9515475"/>
          <a:ext cx="0" cy="323850"/>
        </a:xfrm>
        <a:prstGeom prst="rect">
          <a:avLst/>
        </a:prstGeom>
        <a:solidFill>
          <a:srgbClr val="FFFF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5</xdr:col>
      <xdr:colOff>314325</xdr:colOff>
      <xdr:row>50</xdr:row>
      <xdr:rowOff>0</xdr:rowOff>
    </xdr:from>
    <xdr:to>
      <xdr:col>5</xdr:col>
      <xdr:colOff>371475</xdr:colOff>
      <xdr:row>52</xdr:row>
      <xdr:rowOff>0</xdr:rowOff>
    </xdr:to>
    <xdr:sp macro="" textlink="">
      <xdr:nvSpPr>
        <xdr:cNvPr id="785148" name="Rectangle 127">
          <a:extLst>
            <a:ext uri="{FF2B5EF4-FFF2-40B4-BE49-F238E27FC236}">
              <a16:creationId xmlns:a16="http://schemas.microsoft.com/office/drawing/2014/main" id="{00000000-0008-0000-0500-0000FCFA0B00}"/>
            </a:ext>
          </a:extLst>
        </xdr:cNvPr>
        <xdr:cNvSpPr>
          <a:spLocks noChangeArrowheads="1"/>
        </xdr:cNvSpPr>
      </xdr:nvSpPr>
      <xdr:spPr bwMode="auto">
        <a:xfrm>
          <a:off x="1752600" y="9515475"/>
          <a:ext cx="0" cy="323850"/>
        </a:xfrm>
        <a:prstGeom prst="rect">
          <a:avLst/>
        </a:prstGeom>
        <a:solidFill>
          <a:srgbClr val="FF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5</xdr:col>
      <xdr:colOff>95250</xdr:colOff>
      <xdr:row>50</xdr:row>
      <xdr:rowOff>0</xdr:rowOff>
    </xdr:from>
    <xdr:to>
      <xdr:col>5</xdr:col>
      <xdr:colOff>161925</xdr:colOff>
      <xdr:row>52</xdr:row>
      <xdr:rowOff>0</xdr:rowOff>
    </xdr:to>
    <xdr:sp macro="" textlink="">
      <xdr:nvSpPr>
        <xdr:cNvPr id="785149" name="Rectangle 127">
          <a:extLst>
            <a:ext uri="{FF2B5EF4-FFF2-40B4-BE49-F238E27FC236}">
              <a16:creationId xmlns:a16="http://schemas.microsoft.com/office/drawing/2014/main" id="{00000000-0008-0000-0500-0000FDFA0B00}"/>
            </a:ext>
          </a:extLst>
        </xdr:cNvPr>
        <xdr:cNvSpPr>
          <a:spLocks noChangeArrowheads="1"/>
        </xdr:cNvSpPr>
      </xdr:nvSpPr>
      <xdr:spPr bwMode="auto">
        <a:xfrm>
          <a:off x="1752600" y="9515475"/>
          <a:ext cx="0" cy="323850"/>
        </a:xfrm>
        <a:prstGeom prst="rect">
          <a:avLst/>
        </a:prstGeom>
        <a:solidFill>
          <a:srgbClr val="FF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0</xdr:colOff>
      <xdr:row>14</xdr:row>
      <xdr:rowOff>75871</xdr:rowOff>
    </xdr:from>
    <xdr:to>
      <xdr:col>61</xdr:col>
      <xdr:colOff>381000</xdr:colOff>
      <xdr:row>36</xdr:row>
      <xdr:rowOff>47296</xdr:rowOff>
    </xdr:to>
    <xdr:pic>
      <xdr:nvPicPr>
        <xdr:cNvPr id="785150" name="55 Imagen">
          <a:extLst>
            <a:ext uri="{FF2B5EF4-FFF2-40B4-BE49-F238E27FC236}">
              <a16:creationId xmlns:a16="http://schemas.microsoft.com/office/drawing/2014/main" id="{00000000-0008-0000-0500-0000FEFA0B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r="8624"/>
        <a:stretch>
          <a:fillRect/>
        </a:stretch>
      </xdr:blipFill>
      <xdr:spPr bwMode="auto">
        <a:xfrm>
          <a:off x="0" y="2824983"/>
          <a:ext cx="6989379" cy="45959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25</xdr:col>
      <xdr:colOff>28614</xdr:colOff>
      <xdr:row>18</xdr:row>
      <xdr:rowOff>58200</xdr:rowOff>
    </xdr:from>
    <xdr:to>
      <xdr:col>56</xdr:col>
      <xdr:colOff>246529</xdr:colOff>
      <xdr:row>20</xdr:row>
      <xdr:rowOff>100853</xdr:rowOff>
    </xdr:to>
    <xdr:sp macro="" textlink="">
      <xdr:nvSpPr>
        <xdr:cNvPr id="37" name="36 CuadroTexto">
          <a:extLst>
            <a:ext uri="{FF2B5EF4-FFF2-40B4-BE49-F238E27FC236}">
              <a16:creationId xmlns:a16="http://schemas.microsoft.com/office/drawing/2014/main" id="{00000000-0008-0000-0500-000025000000}"/>
            </a:ext>
          </a:extLst>
        </xdr:cNvPr>
        <xdr:cNvSpPr txBox="1"/>
      </xdr:nvSpPr>
      <xdr:spPr>
        <a:xfrm>
          <a:off x="2867064" y="3449100"/>
          <a:ext cx="1932415" cy="4617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s-US" sz="1200" b="1">
              <a:solidFill>
                <a:srgbClr val="FFFF00"/>
              </a:solidFill>
            </a:rPr>
            <a:t>LA FRONTERA PR 67+0700</a:t>
          </a:r>
        </a:p>
      </xdr:txBody>
    </xdr:sp>
    <xdr:clientData/>
  </xdr:twoCellAnchor>
  <xdr:twoCellAnchor>
    <xdr:from>
      <xdr:col>0</xdr:col>
      <xdr:colOff>209550</xdr:colOff>
      <xdr:row>15</xdr:row>
      <xdr:rowOff>77252</xdr:rowOff>
    </xdr:from>
    <xdr:to>
      <xdr:col>8</xdr:col>
      <xdr:colOff>34925</xdr:colOff>
      <xdr:row>17</xdr:row>
      <xdr:rowOff>24335</xdr:rowOff>
    </xdr:to>
    <xdr:sp macro="" textlink="">
      <xdr:nvSpPr>
        <xdr:cNvPr id="38" name="37 CuadroTexto">
          <a:extLst>
            <a:ext uri="{FF2B5EF4-FFF2-40B4-BE49-F238E27FC236}">
              <a16:creationId xmlns:a16="http://schemas.microsoft.com/office/drawing/2014/main" id="{00000000-0008-0000-0500-000026000000}"/>
            </a:ext>
          </a:extLst>
        </xdr:cNvPr>
        <xdr:cNvSpPr txBox="1"/>
      </xdr:nvSpPr>
      <xdr:spPr>
        <a:xfrm>
          <a:off x="209550" y="2839502"/>
          <a:ext cx="1692275" cy="36618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s-US" sz="1200" b="1">
              <a:solidFill>
                <a:srgbClr val="FFFF00"/>
              </a:solidFill>
            </a:rPr>
            <a:t>LA UNIÓN PR 49+0000</a:t>
          </a:r>
        </a:p>
      </xdr:txBody>
    </xdr:sp>
    <xdr:clientData/>
  </xdr:twoCellAnchor>
  <xdr:twoCellAnchor>
    <xdr:from>
      <xdr:col>21</xdr:col>
      <xdr:colOff>42333</xdr:colOff>
      <xdr:row>34</xdr:row>
      <xdr:rowOff>29625</xdr:rowOff>
    </xdr:from>
    <xdr:to>
      <xdr:col>53</xdr:col>
      <xdr:colOff>15875</xdr:colOff>
      <xdr:row>35</xdr:row>
      <xdr:rowOff>188375</xdr:rowOff>
    </xdr:to>
    <xdr:sp macro="" textlink="">
      <xdr:nvSpPr>
        <xdr:cNvPr id="39" name="38 CuadroTexto">
          <a:extLst>
            <a:ext uri="{FF2B5EF4-FFF2-40B4-BE49-F238E27FC236}">
              <a16:creationId xmlns:a16="http://schemas.microsoft.com/office/drawing/2014/main" id="{00000000-0008-0000-0500-000027000000}"/>
            </a:ext>
          </a:extLst>
        </xdr:cNvPr>
        <xdr:cNvSpPr txBox="1"/>
      </xdr:nvSpPr>
      <xdr:spPr>
        <a:xfrm>
          <a:off x="2652183" y="6773325"/>
          <a:ext cx="1802342" cy="368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s-US" sz="1200" b="1">
              <a:solidFill>
                <a:srgbClr val="FFFF00"/>
              </a:solidFill>
            </a:rPr>
            <a:t>SONSÓN PR 103+0000</a:t>
          </a:r>
        </a:p>
      </xdr:txBody>
    </xdr:sp>
    <xdr:clientData/>
  </xdr:twoCellAnchor>
  <xdr:twoCellAnchor>
    <xdr:from>
      <xdr:col>11</xdr:col>
      <xdr:colOff>9525</xdr:colOff>
      <xdr:row>20</xdr:row>
      <xdr:rowOff>94191</xdr:rowOff>
    </xdr:from>
    <xdr:to>
      <xdr:col>34</xdr:col>
      <xdr:colOff>2117</xdr:colOff>
      <xdr:row>22</xdr:row>
      <xdr:rowOff>41275</xdr:rowOff>
    </xdr:to>
    <xdr:sp macro="" textlink="">
      <xdr:nvSpPr>
        <xdr:cNvPr id="40" name="39 CuadroTexto">
          <a:extLst>
            <a:ext uri="{FF2B5EF4-FFF2-40B4-BE49-F238E27FC236}">
              <a16:creationId xmlns:a16="http://schemas.microsoft.com/office/drawing/2014/main" id="{00000000-0008-0000-0500-000028000000}"/>
            </a:ext>
          </a:extLst>
        </xdr:cNvPr>
        <xdr:cNvSpPr txBox="1"/>
      </xdr:nvSpPr>
      <xdr:spPr>
        <a:xfrm>
          <a:off x="2047875" y="3904191"/>
          <a:ext cx="1307042" cy="36618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s-US" sz="1200" b="1">
              <a:solidFill>
                <a:srgbClr val="FFFF00"/>
              </a:solidFill>
            </a:rPr>
            <a:t>MESOPOTAMIA</a:t>
          </a:r>
        </a:p>
      </xdr:txBody>
    </xdr:sp>
    <xdr:clientData/>
  </xdr:twoCellAnchor>
  <xdr:twoCellAnchor>
    <xdr:from>
      <xdr:col>0</xdr:col>
      <xdr:colOff>1220100</xdr:colOff>
      <xdr:row>14</xdr:row>
      <xdr:rowOff>124284</xdr:rowOff>
    </xdr:from>
    <xdr:to>
      <xdr:col>51</xdr:col>
      <xdr:colOff>29474</xdr:colOff>
      <xdr:row>35</xdr:row>
      <xdr:rowOff>11396</xdr:rowOff>
    </xdr:to>
    <xdr:sp macro="" textlink="">
      <xdr:nvSpPr>
        <xdr:cNvPr id="41" name="40 Forma libre">
          <a:extLst>
            <a:ext uri="{FF2B5EF4-FFF2-40B4-BE49-F238E27FC236}">
              <a16:creationId xmlns:a16="http://schemas.microsoft.com/office/drawing/2014/main" id="{00000000-0008-0000-0500-000029000000}"/>
            </a:ext>
          </a:extLst>
        </xdr:cNvPr>
        <xdr:cNvSpPr/>
      </xdr:nvSpPr>
      <xdr:spPr>
        <a:xfrm>
          <a:off x="1220100" y="2873396"/>
          <a:ext cx="3069348" cy="4301457"/>
        </a:xfrm>
        <a:custGeom>
          <a:avLst/>
          <a:gdLst>
            <a:gd name="connsiteX0" fmla="*/ 0 w 2984500"/>
            <a:gd name="connsiteY0" fmla="*/ 52916 h 4572000"/>
            <a:gd name="connsiteX1" fmla="*/ 359833 w 2984500"/>
            <a:gd name="connsiteY1" fmla="*/ 52916 h 4572000"/>
            <a:gd name="connsiteX2" fmla="*/ 423333 w 2984500"/>
            <a:gd name="connsiteY2" fmla="*/ 31750 h 4572000"/>
            <a:gd name="connsiteX3" fmla="*/ 455083 w 2984500"/>
            <a:gd name="connsiteY3" fmla="*/ 21166 h 4572000"/>
            <a:gd name="connsiteX4" fmla="*/ 486833 w 2984500"/>
            <a:gd name="connsiteY4" fmla="*/ 0 h 4572000"/>
            <a:gd name="connsiteX5" fmla="*/ 571500 w 2984500"/>
            <a:gd name="connsiteY5" fmla="*/ 10583 h 4572000"/>
            <a:gd name="connsiteX6" fmla="*/ 592666 w 2984500"/>
            <a:gd name="connsiteY6" fmla="*/ 42333 h 4572000"/>
            <a:gd name="connsiteX7" fmla="*/ 624416 w 2984500"/>
            <a:gd name="connsiteY7" fmla="*/ 52916 h 4572000"/>
            <a:gd name="connsiteX8" fmla="*/ 687916 w 2984500"/>
            <a:gd name="connsiteY8" fmla="*/ 95250 h 4572000"/>
            <a:gd name="connsiteX9" fmla="*/ 804333 w 2984500"/>
            <a:gd name="connsiteY9" fmla="*/ 63500 h 4572000"/>
            <a:gd name="connsiteX10" fmla="*/ 910166 w 2984500"/>
            <a:gd name="connsiteY10" fmla="*/ 74083 h 4572000"/>
            <a:gd name="connsiteX11" fmla="*/ 931333 w 2984500"/>
            <a:gd name="connsiteY11" fmla="*/ 105833 h 4572000"/>
            <a:gd name="connsiteX12" fmla="*/ 1058333 w 2984500"/>
            <a:gd name="connsiteY12" fmla="*/ 169333 h 4572000"/>
            <a:gd name="connsiteX13" fmla="*/ 1153583 w 2984500"/>
            <a:gd name="connsiteY13" fmla="*/ 201083 h 4572000"/>
            <a:gd name="connsiteX14" fmla="*/ 1185333 w 2984500"/>
            <a:gd name="connsiteY14" fmla="*/ 211666 h 4572000"/>
            <a:gd name="connsiteX15" fmla="*/ 1217083 w 2984500"/>
            <a:gd name="connsiteY15" fmla="*/ 275166 h 4572000"/>
            <a:gd name="connsiteX16" fmla="*/ 1248833 w 2984500"/>
            <a:gd name="connsiteY16" fmla="*/ 285750 h 4572000"/>
            <a:gd name="connsiteX17" fmla="*/ 1280583 w 2984500"/>
            <a:gd name="connsiteY17" fmla="*/ 306916 h 4572000"/>
            <a:gd name="connsiteX18" fmla="*/ 1291166 w 2984500"/>
            <a:gd name="connsiteY18" fmla="*/ 338666 h 4572000"/>
            <a:gd name="connsiteX19" fmla="*/ 1322916 w 2984500"/>
            <a:gd name="connsiteY19" fmla="*/ 349250 h 4572000"/>
            <a:gd name="connsiteX20" fmla="*/ 1397000 w 2984500"/>
            <a:gd name="connsiteY20" fmla="*/ 381000 h 4572000"/>
            <a:gd name="connsiteX21" fmla="*/ 1428750 w 2984500"/>
            <a:gd name="connsiteY21" fmla="*/ 444500 h 4572000"/>
            <a:gd name="connsiteX22" fmla="*/ 1439333 w 2984500"/>
            <a:gd name="connsiteY22" fmla="*/ 476250 h 4572000"/>
            <a:gd name="connsiteX23" fmla="*/ 1428750 w 2984500"/>
            <a:gd name="connsiteY23" fmla="*/ 539750 h 4572000"/>
            <a:gd name="connsiteX24" fmla="*/ 1407583 w 2984500"/>
            <a:gd name="connsiteY24" fmla="*/ 571500 h 4572000"/>
            <a:gd name="connsiteX25" fmla="*/ 1397000 w 2984500"/>
            <a:gd name="connsiteY25" fmla="*/ 603250 h 4572000"/>
            <a:gd name="connsiteX26" fmla="*/ 1386416 w 2984500"/>
            <a:gd name="connsiteY26" fmla="*/ 677333 h 4572000"/>
            <a:gd name="connsiteX27" fmla="*/ 1407583 w 2984500"/>
            <a:gd name="connsiteY27" fmla="*/ 836083 h 4572000"/>
            <a:gd name="connsiteX28" fmla="*/ 1418166 w 2984500"/>
            <a:gd name="connsiteY28" fmla="*/ 878416 h 4572000"/>
            <a:gd name="connsiteX29" fmla="*/ 1439333 w 2984500"/>
            <a:gd name="connsiteY29" fmla="*/ 941916 h 4572000"/>
            <a:gd name="connsiteX30" fmla="*/ 1449916 w 2984500"/>
            <a:gd name="connsiteY30" fmla="*/ 973666 h 4572000"/>
            <a:gd name="connsiteX31" fmla="*/ 1471083 w 2984500"/>
            <a:gd name="connsiteY31" fmla="*/ 1005416 h 4572000"/>
            <a:gd name="connsiteX32" fmla="*/ 1481666 w 2984500"/>
            <a:gd name="connsiteY32" fmla="*/ 1037166 h 4572000"/>
            <a:gd name="connsiteX33" fmla="*/ 1524000 w 2984500"/>
            <a:gd name="connsiteY33" fmla="*/ 1100666 h 4572000"/>
            <a:gd name="connsiteX34" fmla="*/ 1534583 w 2984500"/>
            <a:gd name="connsiteY34" fmla="*/ 1132416 h 4572000"/>
            <a:gd name="connsiteX35" fmla="*/ 1598083 w 2984500"/>
            <a:gd name="connsiteY35" fmla="*/ 1111250 h 4572000"/>
            <a:gd name="connsiteX36" fmla="*/ 1651000 w 2984500"/>
            <a:gd name="connsiteY36" fmla="*/ 1153583 h 4572000"/>
            <a:gd name="connsiteX37" fmla="*/ 1714500 w 2984500"/>
            <a:gd name="connsiteY37" fmla="*/ 1185333 h 4572000"/>
            <a:gd name="connsiteX38" fmla="*/ 1746250 w 2984500"/>
            <a:gd name="connsiteY38" fmla="*/ 1206500 h 4572000"/>
            <a:gd name="connsiteX39" fmla="*/ 1809750 w 2984500"/>
            <a:gd name="connsiteY39" fmla="*/ 1227666 h 4572000"/>
            <a:gd name="connsiteX40" fmla="*/ 1852083 w 2984500"/>
            <a:gd name="connsiteY40" fmla="*/ 1270000 h 4572000"/>
            <a:gd name="connsiteX41" fmla="*/ 1873250 w 2984500"/>
            <a:gd name="connsiteY41" fmla="*/ 1301750 h 4572000"/>
            <a:gd name="connsiteX42" fmla="*/ 1905000 w 2984500"/>
            <a:gd name="connsiteY42" fmla="*/ 1322916 h 4572000"/>
            <a:gd name="connsiteX43" fmla="*/ 1926166 w 2984500"/>
            <a:gd name="connsiteY43" fmla="*/ 1354666 h 4572000"/>
            <a:gd name="connsiteX44" fmla="*/ 1957916 w 2984500"/>
            <a:gd name="connsiteY44" fmla="*/ 1365250 h 4572000"/>
            <a:gd name="connsiteX45" fmla="*/ 1968500 w 2984500"/>
            <a:gd name="connsiteY45" fmla="*/ 1397000 h 4572000"/>
            <a:gd name="connsiteX46" fmla="*/ 2000250 w 2984500"/>
            <a:gd name="connsiteY46" fmla="*/ 1418166 h 4572000"/>
            <a:gd name="connsiteX47" fmla="*/ 2042583 w 2984500"/>
            <a:gd name="connsiteY47" fmla="*/ 1481666 h 4572000"/>
            <a:gd name="connsiteX48" fmla="*/ 2074333 w 2984500"/>
            <a:gd name="connsiteY48" fmla="*/ 1545166 h 4572000"/>
            <a:gd name="connsiteX49" fmla="*/ 2084916 w 2984500"/>
            <a:gd name="connsiteY49" fmla="*/ 1576916 h 4572000"/>
            <a:gd name="connsiteX50" fmla="*/ 2116666 w 2984500"/>
            <a:gd name="connsiteY50" fmla="*/ 1598083 h 4572000"/>
            <a:gd name="connsiteX51" fmla="*/ 2137833 w 2984500"/>
            <a:gd name="connsiteY51" fmla="*/ 1629833 h 4572000"/>
            <a:gd name="connsiteX52" fmla="*/ 2169583 w 2984500"/>
            <a:gd name="connsiteY52" fmla="*/ 1693333 h 4572000"/>
            <a:gd name="connsiteX53" fmla="*/ 2180166 w 2984500"/>
            <a:gd name="connsiteY53" fmla="*/ 1725083 h 4572000"/>
            <a:gd name="connsiteX54" fmla="*/ 2190750 w 2984500"/>
            <a:gd name="connsiteY54" fmla="*/ 1862666 h 4572000"/>
            <a:gd name="connsiteX55" fmla="*/ 2211916 w 2984500"/>
            <a:gd name="connsiteY55" fmla="*/ 1894416 h 4572000"/>
            <a:gd name="connsiteX56" fmla="*/ 2233083 w 2984500"/>
            <a:gd name="connsiteY56" fmla="*/ 1957916 h 4572000"/>
            <a:gd name="connsiteX57" fmla="*/ 2264833 w 2984500"/>
            <a:gd name="connsiteY57" fmla="*/ 2169583 h 4572000"/>
            <a:gd name="connsiteX58" fmla="*/ 2264833 w 2984500"/>
            <a:gd name="connsiteY58" fmla="*/ 2169583 h 4572000"/>
            <a:gd name="connsiteX59" fmla="*/ 2275416 w 2984500"/>
            <a:gd name="connsiteY59" fmla="*/ 2233083 h 4572000"/>
            <a:gd name="connsiteX60" fmla="*/ 2317750 w 2984500"/>
            <a:gd name="connsiteY60" fmla="*/ 2296583 h 4572000"/>
            <a:gd name="connsiteX61" fmla="*/ 2328333 w 2984500"/>
            <a:gd name="connsiteY61" fmla="*/ 2328333 h 4572000"/>
            <a:gd name="connsiteX62" fmla="*/ 2286000 w 2984500"/>
            <a:gd name="connsiteY62" fmla="*/ 2391833 h 4572000"/>
            <a:gd name="connsiteX63" fmla="*/ 2317750 w 2984500"/>
            <a:gd name="connsiteY63" fmla="*/ 2614083 h 4572000"/>
            <a:gd name="connsiteX64" fmla="*/ 2328333 w 2984500"/>
            <a:gd name="connsiteY64" fmla="*/ 2645833 h 4572000"/>
            <a:gd name="connsiteX65" fmla="*/ 2338916 w 2984500"/>
            <a:gd name="connsiteY65" fmla="*/ 2677583 h 4572000"/>
            <a:gd name="connsiteX66" fmla="*/ 2370666 w 2984500"/>
            <a:gd name="connsiteY66" fmla="*/ 2688166 h 4572000"/>
            <a:gd name="connsiteX67" fmla="*/ 2391833 w 2984500"/>
            <a:gd name="connsiteY67" fmla="*/ 3058583 h 4572000"/>
            <a:gd name="connsiteX68" fmla="*/ 2413000 w 2984500"/>
            <a:gd name="connsiteY68" fmla="*/ 3122083 h 4572000"/>
            <a:gd name="connsiteX69" fmla="*/ 2455333 w 2984500"/>
            <a:gd name="connsiteY69" fmla="*/ 3164416 h 4572000"/>
            <a:gd name="connsiteX70" fmla="*/ 2487083 w 2984500"/>
            <a:gd name="connsiteY70" fmla="*/ 3196166 h 4572000"/>
            <a:gd name="connsiteX71" fmla="*/ 2550583 w 2984500"/>
            <a:gd name="connsiteY71" fmla="*/ 3217333 h 4572000"/>
            <a:gd name="connsiteX72" fmla="*/ 2825750 w 2984500"/>
            <a:gd name="connsiteY72" fmla="*/ 3206750 h 4572000"/>
            <a:gd name="connsiteX73" fmla="*/ 2889250 w 2984500"/>
            <a:gd name="connsiteY73" fmla="*/ 3217333 h 4572000"/>
            <a:gd name="connsiteX74" fmla="*/ 2878666 w 2984500"/>
            <a:gd name="connsiteY74" fmla="*/ 3280833 h 4572000"/>
            <a:gd name="connsiteX75" fmla="*/ 2815166 w 2984500"/>
            <a:gd name="connsiteY75" fmla="*/ 3312583 h 4572000"/>
            <a:gd name="connsiteX76" fmla="*/ 2794000 w 2984500"/>
            <a:gd name="connsiteY76" fmla="*/ 3344333 h 4572000"/>
            <a:gd name="connsiteX77" fmla="*/ 2762250 w 2984500"/>
            <a:gd name="connsiteY77" fmla="*/ 3365500 h 4572000"/>
            <a:gd name="connsiteX78" fmla="*/ 2751666 w 2984500"/>
            <a:gd name="connsiteY78" fmla="*/ 3397250 h 4572000"/>
            <a:gd name="connsiteX79" fmla="*/ 2762250 w 2984500"/>
            <a:gd name="connsiteY79" fmla="*/ 3492500 h 4572000"/>
            <a:gd name="connsiteX80" fmla="*/ 2783416 w 2984500"/>
            <a:gd name="connsiteY80" fmla="*/ 3556000 h 4572000"/>
            <a:gd name="connsiteX81" fmla="*/ 2794000 w 2984500"/>
            <a:gd name="connsiteY81" fmla="*/ 3598333 h 4572000"/>
            <a:gd name="connsiteX82" fmla="*/ 2804583 w 2984500"/>
            <a:gd name="connsiteY82" fmla="*/ 3873500 h 4572000"/>
            <a:gd name="connsiteX83" fmla="*/ 2846916 w 2984500"/>
            <a:gd name="connsiteY83" fmla="*/ 3937000 h 4572000"/>
            <a:gd name="connsiteX84" fmla="*/ 2868083 w 2984500"/>
            <a:gd name="connsiteY84" fmla="*/ 4000500 h 4572000"/>
            <a:gd name="connsiteX85" fmla="*/ 2878666 w 2984500"/>
            <a:gd name="connsiteY85" fmla="*/ 4032250 h 4572000"/>
            <a:gd name="connsiteX86" fmla="*/ 2889250 w 2984500"/>
            <a:gd name="connsiteY86" fmla="*/ 4064000 h 4572000"/>
            <a:gd name="connsiteX87" fmla="*/ 2899833 w 2984500"/>
            <a:gd name="connsiteY87" fmla="*/ 4307416 h 4572000"/>
            <a:gd name="connsiteX88" fmla="*/ 2921000 w 2984500"/>
            <a:gd name="connsiteY88" fmla="*/ 4370916 h 4572000"/>
            <a:gd name="connsiteX89" fmla="*/ 2931583 w 2984500"/>
            <a:gd name="connsiteY89" fmla="*/ 4402666 h 4572000"/>
            <a:gd name="connsiteX90" fmla="*/ 2952750 w 2984500"/>
            <a:gd name="connsiteY90" fmla="*/ 4476750 h 4572000"/>
            <a:gd name="connsiteX91" fmla="*/ 2973916 w 2984500"/>
            <a:gd name="connsiteY91" fmla="*/ 4540250 h 4572000"/>
            <a:gd name="connsiteX92" fmla="*/ 2984500 w 2984500"/>
            <a:gd name="connsiteY92" fmla="*/ 4572000 h 457200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 ang="0">
              <a:pos x="connsiteX32" y="connsiteY32"/>
            </a:cxn>
            <a:cxn ang="0">
              <a:pos x="connsiteX33" y="connsiteY33"/>
            </a:cxn>
            <a:cxn ang="0">
              <a:pos x="connsiteX34" y="connsiteY34"/>
            </a:cxn>
            <a:cxn ang="0">
              <a:pos x="connsiteX35" y="connsiteY35"/>
            </a:cxn>
            <a:cxn ang="0">
              <a:pos x="connsiteX36" y="connsiteY36"/>
            </a:cxn>
            <a:cxn ang="0">
              <a:pos x="connsiteX37" y="connsiteY37"/>
            </a:cxn>
            <a:cxn ang="0">
              <a:pos x="connsiteX38" y="connsiteY38"/>
            </a:cxn>
            <a:cxn ang="0">
              <a:pos x="connsiteX39" y="connsiteY39"/>
            </a:cxn>
            <a:cxn ang="0">
              <a:pos x="connsiteX40" y="connsiteY40"/>
            </a:cxn>
            <a:cxn ang="0">
              <a:pos x="connsiteX41" y="connsiteY41"/>
            </a:cxn>
            <a:cxn ang="0">
              <a:pos x="connsiteX42" y="connsiteY42"/>
            </a:cxn>
            <a:cxn ang="0">
              <a:pos x="connsiteX43" y="connsiteY43"/>
            </a:cxn>
            <a:cxn ang="0">
              <a:pos x="connsiteX44" y="connsiteY44"/>
            </a:cxn>
            <a:cxn ang="0">
              <a:pos x="connsiteX45" y="connsiteY45"/>
            </a:cxn>
            <a:cxn ang="0">
              <a:pos x="connsiteX46" y="connsiteY46"/>
            </a:cxn>
            <a:cxn ang="0">
              <a:pos x="connsiteX47" y="connsiteY47"/>
            </a:cxn>
            <a:cxn ang="0">
              <a:pos x="connsiteX48" y="connsiteY48"/>
            </a:cxn>
            <a:cxn ang="0">
              <a:pos x="connsiteX49" y="connsiteY49"/>
            </a:cxn>
            <a:cxn ang="0">
              <a:pos x="connsiteX50" y="connsiteY50"/>
            </a:cxn>
            <a:cxn ang="0">
              <a:pos x="connsiteX51" y="connsiteY51"/>
            </a:cxn>
            <a:cxn ang="0">
              <a:pos x="connsiteX52" y="connsiteY52"/>
            </a:cxn>
            <a:cxn ang="0">
              <a:pos x="connsiteX53" y="connsiteY53"/>
            </a:cxn>
            <a:cxn ang="0">
              <a:pos x="connsiteX54" y="connsiteY54"/>
            </a:cxn>
            <a:cxn ang="0">
              <a:pos x="connsiteX55" y="connsiteY55"/>
            </a:cxn>
            <a:cxn ang="0">
              <a:pos x="connsiteX56" y="connsiteY56"/>
            </a:cxn>
            <a:cxn ang="0">
              <a:pos x="connsiteX57" y="connsiteY57"/>
            </a:cxn>
            <a:cxn ang="0">
              <a:pos x="connsiteX58" y="connsiteY58"/>
            </a:cxn>
            <a:cxn ang="0">
              <a:pos x="connsiteX59" y="connsiteY59"/>
            </a:cxn>
            <a:cxn ang="0">
              <a:pos x="connsiteX60" y="connsiteY60"/>
            </a:cxn>
            <a:cxn ang="0">
              <a:pos x="connsiteX61" y="connsiteY61"/>
            </a:cxn>
            <a:cxn ang="0">
              <a:pos x="connsiteX62" y="connsiteY62"/>
            </a:cxn>
            <a:cxn ang="0">
              <a:pos x="connsiteX63" y="connsiteY63"/>
            </a:cxn>
            <a:cxn ang="0">
              <a:pos x="connsiteX64" y="connsiteY64"/>
            </a:cxn>
            <a:cxn ang="0">
              <a:pos x="connsiteX65" y="connsiteY65"/>
            </a:cxn>
            <a:cxn ang="0">
              <a:pos x="connsiteX66" y="connsiteY66"/>
            </a:cxn>
            <a:cxn ang="0">
              <a:pos x="connsiteX67" y="connsiteY67"/>
            </a:cxn>
            <a:cxn ang="0">
              <a:pos x="connsiteX68" y="connsiteY68"/>
            </a:cxn>
            <a:cxn ang="0">
              <a:pos x="connsiteX69" y="connsiteY69"/>
            </a:cxn>
            <a:cxn ang="0">
              <a:pos x="connsiteX70" y="connsiteY70"/>
            </a:cxn>
            <a:cxn ang="0">
              <a:pos x="connsiteX71" y="connsiteY71"/>
            </a:cxn>
            <a:cxn ang="0">
              <a:pos x="connsiteX72" y="connsiteY72"/>
            </a:cxn>
            <a:cxn ang="0">
              <a:pos x="connsiteX73" y="connsiteY73"/>
            </a:cxn>
            <a:cxn ang="0">
              <a:pos x="connsiteX74" y="connsiteY74"/>
            </a:cxn>
            <a:cxn ang="0">
              <a:pos x="connsiteX75" y="connsiteY75"/>
            </a:cxn>
            <a:cxn ang="0">
              <a:pos x="connsiteX76" y="connsiteY76"/>
            </a:cxn>
            <a:cxn ang="0">
              <a:pos x="connsiteX77" y="connsiteY77"/>
            </a:cxn>
            <a:cxn ang="0">
              <a:pos x="connsiteX78" y="connsiteY78"/>
            </a:cxn>
            <a:cxn ang="0">
              <a:pos x="connsiteX79" y="connsiteY79"/>
            </a:cxn>
            <a:cxn ang="0">
              <a:pos x="connsiteX80" y="connsiteY80"/>
            </a:cxn>
            <a:cxn ang="0">
              <a:pos x="connsiteX81" y="connsiteY81"/>
            </a:cxn>
            <a:cxn ang="0">
              <a:pos x="connsiteX82" y="connsiteY82"/>
            </a:cxn>
            <a:cxn ang="0">
              <a:pos x="connsiteX83" y="connsiteY83"/>
            </a:cxn>
            <a:cxn ang="0">
              <a:pos x="connsiteX84" y="connsiteY84"/>
            </a:cxn>
            <a:cxn ang="0">
              <a:pos x="connsiteX85" y="connsiteY85"/>
            </a:cxn>
            <a:cxn ang="0">
              <a:pos x="connsiteX86" y="connsiteY86"/>
            </a:cxn>
            <a:cxn ang="0">
              <a:pos x="connsiteX87" y="connsiteY87"/>
            </a:cxn>
            <a:cxn ang="0">
              <a:pos x="connsiteX88" y="connsiteY88"/>
            </a:cxn>
            <a:cxn ang="0">
              <a:pos x="connsiteX89" y="connsiteY89"/>
            </a:cxn>
            <a:cxn ang="0">
              <a:pos x="connsiteX90" y="connsiteY90"/>
            </a:cxn>
            <a:cxn ang="0">
              <a:pos x="connsiteX91" y="connsiteY91"/>
            </a:cxn>
            <a:cxn ang="0">
              <a:pos x="connsiteX92" y="connsiteY92"/>
            </a:cxn>
          </a:cxnLst>
          <a:rect l="l" t="t" r="r" b="b"/>
          <a:pathLst>
            <a:path w="2984500" h="4572000">
              <a:moveTo>
                <a:pt x="0" y="52916"/>
              </a:moveTo>
              <a:cubicBezTo>
                <a:pt x="155374" y="64869"/>
                <a:pt x="182191" y="72654"/>
                <a:pt x="359833" y="52916"/>
              </a:cubicBezTo>
              <a:cubicBezTo>
                <a:pt x="382008" y="50452"/>
                <a:pt x="402166" y="38806"/>
                <a:pt x="423333" y="31750"/>
              </a:cubicBezTo>
              <a:cubicBezTo>
                <a:pt x="433916" y="28222"/>
                <a:pt x="445801" y="27354"/>
                <a:pt x="455083" y="21166"/>
              </a:cubicBezTo>
              <a:lnTo>
                <a:pt x="486833" y="0"/>
              </a:lnTo>
              <a:cubicBezTo>
                <a:pt x="515055" y="3528"/>
                <a:pt x="545092" y="20"/>
                <a:pt x="571500" y="10583"/>
              </a:cubicBezTo>
              <a:cubicBezTo>
                <a:pt x="583310" y="15307"/>
                <a:pt x="582734" y="34387"/>
                <a:pt x="592666" y="42333"/>
              </a:cubicBezTo>
              <a:cubicBezTo>
                <a:pt x="601377" y="49302"/>
                <a:pt x="613833" y="49388"/>
                <a:pt x="624416" y="52916"/>
              </a:cubicBezTo>
              <a:cubicBezTo>
                <a:pt x="645583" y="67027"/>
                <a:pt x="663236" y="101420"/>
                <a:pt x="687916" y="95250"/>
              </a:cubicBezTo>
              <a:cubicBezTo>
                <a:pt x="783406" y="71377"/>
                <a:pt x="744985" y="83282"/>
                <a:pt x="804333" y="63500"/>
              </a:cubicBezTo>
              <a:cubicBezTo>
                <a:pt x="839611" y="67028"/>
                <a:pt x="876532" y="62872"/>
                <a:pt x="910166" y="74083"/>
              </a:cubicBezTo>
              <a:cubicBezTo>
                <a:pt x="922233" y="78105"/>
                <a:pt x="921760" y="97457"/>
                <a:pt x="931333" y="105833"/>
              </a:cubicBezTo>
              <a:cubicBezTo>
                <a:pt x="981833" y="150020"/>
                <a:pt x="998383" y="149350"/>
                <a:pt x="1058333" y="169333"/>
              </a:cubicBezTo>
              <a:lnTo>
                <a:pt x="1153583" y="201083"/>
              </a:lnTo>
              <a:lnTo>
                <a:pt x="1185333" y="211666"/>
              </a:lnTo>
              <a:cubicBezTo>
                <a:pt x="1192305" y="232583"/>
                <a:pt x="1198431" y="260244"/>
                <a:pt x="1217083" y="275166"/>
              </a:cubicBezTo>
              <a:cubicBezTo>
                <a:pt x="1225794" y="282135"/>
                <a:pt x="1238855" y="280761"/>
                <a:pt x="1248833" y="285750"/>
              </a:cubicBezTo>
              <a:cubicBezTo>
                <a:pt x="1260210" y="291438"/>
                <a:pt x="1270000" y="299861"/>
                <a:pt x="1280583" y="306916"/>
              </a:cubicBezTo>
              <a:cubicBezTo>
                <a:pt x="1284111" y="317499"/>
                <a:pt x="1283278" y="330778"/>
                <a:pt x="1291166" y="338666"/>
              </a:cubicBezTo>
              <a:cubicBezTo>
                <a:pt x="1299054" y="346554"/>
                <a:pt x="1312938" y="344261"/>
                <a:pt x="1322916" y="349250"/>
              </a:cubicBezTo>
              <a:cubicBezTo>
                <a:pt x="1396002" y="385793"/>
                <a:pt x="1308896" y="358973"/>
                <a:pt x="1397000" y="381000"/>
              </a:cubicBezTo>
              <a:cubicBezTo>
                <a:pt x="1423601" y="460804"/>
                <a:pt x="1387718" y="362436"/>
                <a:pt x="1428750" y="444500"/>
              </a:cubicBezTo>
              <a:cubicBezTo>
                <a:pt x="1433739" y="454478"/>
                <a:pt x="1435805" y="465667"/>
                <a:pt x="1439333" y="476250"/>
              </a:cubicBezTo>
              <a:cubicBezTo>
                <a:pt x="1435805" y="497417"/>
                <a:pt x="1435536" y="519393"/>
                <a:pt x="1428750" y="539750"/>
              </a:cubicBezTo>
              <a:cubicBezTo>
                <a:pt x="1424728" y="551817"/>
                <a:pt x="1413271" y="560123"/>
                <a:pt x="1407583" y="571500"/>
              </a:cubicBezTo>
              <a:cubicBezTo>
                <a:pt x="1402594" y="581478"/>
                <a:pt x="1400528" y="592667"/>
                <a:pt x="1397000" y="603250"/>
              </a:cubicBezTo>
              <a:cubicBezTo>
                <a:pt x="1393472" y="627944"/>
                <a:pt x="1386416" y="652388"/>
                <a:pt x="1386416" y="677333"/>
              </a:cubicBezTo>
              <a:cubicBezTo>
                <a:pt x="1386416" y="820888"/>
                <a:pt x="1386590" y="762605"/>
                <a:pt x="1407583" y="836083"/>
              </a:cubicBezTo>
              <a:cubicBezTo>
                <a:pt x="1411579" y="850069"/>
                <a:pt x="1413986" y="864484"/>
                <a:pt x="1418166" y="878416"/>
              </a:cubicBezTo>
              <a:cubicBezTo>
                <a:pt x="1424577" y="899787"/>
                <a:pt x="1432277" y="920749"/>
                <a:pt x="1439333" y="941916"/>
              </a:cubicBezTo>
              <a:lnTo>
                <a:pt x="1449916" y="973666"/>
              </a:lnTo>
              <a:cubicBezTo>
                <a:pt x="1453938" y="985733"/>
                <a:pt x="1464027" y="994833"/>
                <a:pt x="1471083" y="1005416"/>
              </a:cubicBezTo>
              <a:cubicBezTo>
                <a:pt x="1474611" y="1015999"/>
                <a:pt x="1476248" y="1027414"/>
                <a:pt x="1481666" y="1037166"/>
              </a:cubicBezTo>
              <a:cubicBezTo>
                <a:pt x="1494020" y="1059404"/>
                <a:pt x="1524000" y="1100666"/>
                <a:pt x="1524000" y="1100666"/>
              </a:cubicBezTo>
              <a:cubicBezTo>
                <a:pt x="1527528" y="1111249"/>
                <a:pt x="1523539" y="1130838"/>
                <a:pt x="1534583" y="1132416"/>
              </a:cubicBezTo>
              <a:cubicBezTo>
                <a:pt x="1556670" y="1135572"/>
                <a:pt x="1598083" y="1111250"/>
                <a:pt x="1598083" y="1111250"/>
              </a:cubicBezTo>
              <a:cubicBezTo>
                <a:pt x="1659893" y="1131853"/>
                <a:pt x="1603130" y="1105713"/>
                <a:pt x="1651000" y="1153583"/>
              </a:cubicBezTo>
              <a:cubicBezTo>
                <a:pt x="1671517" y="1174100"/>
                <a:pt x="1688676" y="1176725"/>
                <a:pt x="1714500" y="1185333"/>
              </a:cubicBezTo>
              <a:cubicBezTo>
                <a:pt x="1725083" y="1192389"/>
                <a:pt x="1734627" y="1201334"/>
                <a:pt x="1746250" y="1206500"/>
              </a:cubicBezTo>
              <a:cubicBezTo>
                <a:pt x="1766639" y="1215562"/>
                <a:pt x="1809750" y="1227666"/>
                <a:pt x="1809750" y="1227666"/>
              </a:cubicBezTo>
              <a:cubicBezTo>
                <a:pt x="1832840" y="1296938"/>
                <a:pt x="1800771" y="1228950"/>
                <a:pt x="1852083" y="1270000"/>
              </a:cubicBezTo>
              <a:cubicBezTo>
                <a:pt x="1862015" y="1277946"/>
                <a:pt x="1864256" y="1292756"/>
                <a:pt x="1873250" y="1301750"/>
              </a:cubicBezTo>
              <a:cubicBezTo>
                <a:pt x="1882244" y="1310744"/>
                <a:pt x="1894417" y="1315861"/>
                <a:pt x="1905000" y="1322916"/>
              </a:cubicBezTo>
              <a:cubicBezTo>
                <a:pt x="1912055" y="1333499"/>
                <a:pt x="1916234" y="1346720"/>
                <a:pt x="1926166" y="1354666"/>
              </a:cubicBezTo>
              <a:cubicBezTo>
                <a:pt x="1934877" y="1361635"/>
                <a:pt x="1950028" y="1357362"/>
                <a:pt x="1957916" y="1365250"/>
              </a:cubicBezTo>
              <a:cubicBezTo>
                <a:pt x="1965804" y="1373138"/>
                <a:pt x="1961531" y="1388289"/>
                <a:pt x="1968500" y="1397000"/>
              </a:cubicBezTo>
              <a:cubicBezTo>
                <a:pt x="1976446" y="1406932"/>
                <a:pt x="1989667" y="1411111"/>
                <a:pt x="2000250" y="1418166"/>
              </a:cubicBezTo>
              <a:cubicBezTo>
                <a:pt x="2014361" y="1439333"/>
                <a:pt x="2034539" y="1457532"/>
                <a:pt x="2042583" y="1481666"/>
              </a:cubicBezTo>
              <a:cubicBezTo>
                <a:pt x="2057188" y="1525483"/>
                <a:pt x="2046978" y="1504134"/>
                <a:pt x="2074333" y="1545166"/>
              </a:cubicBezTo>
              <a:cubicBezTo>
                <a:pt x="2077861" y="1555749"/>
                <a:pt x="2077947" y="1568205"/>
                <a:pt x="2084916" y="1576916"/>
              </a:cubicBezTo>
              <a:cubicBezTo>
                <a:pt x="2092862" y="1586848"/>
                <a:pt x="2107672" y="1589089"/>
                <a:pt x="2116666" y="1598083"/>
              </a:cubicBezTo>
              <a:cubicBezTo>
                <a:pt x="2125660" y="1607077"/>
                <a:pt x="2130777" y="1619250"/>
                <a:pt x="2137833" y="1629833"/>
              </a:cubicBezTo>
              <a:cubicBezTo>
                <a:pt x="2164434" y="1709637"/>
                <a:pt x="2128551" y="1611269"/>
                <a:pt x="2169583" y="1693333"/>
              </a:cubicBezTo>
              <a:cubicBezTo>
                <a:pt x="2174572" y="1703311"/>
                <a:pt x="2176638" y="1714500"/>
                <a:pt x="2180166" y="1725083"/>
              </a:cubicBezTo>
              <a:cubicBezTo>
                <a:pt x="2183694" y="1770944"/>
                <a:pt x="2182273" y="1817457"/>
                <a:pt x="2190750" y="1862666"/>
              </a:cubicBezTo>
              <a:cubicBezTo>
                <a:pt x="2193094" y="1875168"/>
                <a:pt x="2206750" y="1882793"/>
                <a:pt x="2211916" y="1894416"/>
              </a:cubicBezTo>
              <a:cubicBezTo>
                <a:pt x="2220978" y="1914805"/>
                <a:pt x="2233083" y="1957916"/>
                <a:pt x="2233083" y="1957916"/>
              </a:cubicBezTo>
              <a:cubicBezTo>
                <a:pt x="2245256" y="2128338"/>
                <a:pt x="2228008" y="2059109"/>
                <a:pt x="2264833" y="2169583"/>
              </a:cubicBezTo>
              <a:lnTo>
                <a:pt x="2264833" y="2169583"/>
              </a:lnTo>
              <a:cubicBezTo>
                <a:pt x="2268361" y="2190750"/>
                <a:pt x="2267163" y="2213275"/>
                <a:pt x="2275416" y="2233083"/>
              </a:cubicBezTo>
              <a:cubicBezTo>
                <a:pt x="2285200" y="2256565"/>
                <a:pt x="2317750" y="2296583"/>
                <a:pt x="2317750" y="2296583"/>
              </a:cubicBezTo>
              <a:cubicBezTo>
                <a:pt x="2321278" y="2307166"/>
                <a:pt x="2328333" y="2317177"/>
                <a:pt x="2328333" y="2328333"/>
              </a:cubicBezTo>
              <a:cubicBezTo>
                <a:pt x="2328333" y="2358966"/>
                <a:pt x="2305090" y="2372743"/>
                <a:pt x="2286000" y="2391833"/>
              </a:cubicBezTo>
              <a:cubicBezTo>
                <a:pt x="2298067" y="2572851"/>
                <a:pt x="2279812" y="2500268"/>
                <a:pt x="2317750" y="2614083"/>
              </a:cubicBezTo>
              <a:lnTo>
                <a:pt x="2328333" y="2645833"/>
              </a:lnTo>
              <a:cubicBezTo>
                <a:pt x="2331861" y="2656416"/>
                <a:pt x="2328333" y="2674055"/>
                <a:pt x="2338916" y="2677583"/>
              </a:cubicBezTo>
              <a:lnTo>
                <a:pt x="2370666" y="2688166"/>
              </a:lnTo>
              <a:cubicBezTo>
                <a:pt x="2419128" y="2833542"/>
                <a:pt x="2359038" y="2643179"/>
                <a:pt x="2391833" y="3058583"/>
              </a:cubicBezTo>
              <a:cubicBezTo>
                <a:pt x="2393589" y="3080825"/>
                <a:pt x="2405944" y="3100916"/>
                <a:pt x="2413000" y="3122083"/>
              </a:cubicBezTo>
              <a:cubicBezTo>
                <a:pt x="2427111" y="3164416"/>
                <a:pt x="2412999" y="3150305"/>
                <a:pt x="2455333" y="3164416"/>
              </a:cubicBezTo>
              <a:cubicBezTo>
                <a:pt x="2465916" y="3174999"/>
                <a:pt x="2473999" y="3188897"/>
                <a:pt x="2487083" y="3196166"/>
              </a:cubicBezTo>
              <a:cubicBezTo>
                <a:pt x="2506587" y="3207002"/>
                <a:pt x="2550583" y="3217333"/>
                <a:pt x="2550583" y="3217333"/>
              </a:cubicBezTo>
              <a:cubicBezTo>
                <a:pt x="2642305" y="3213805"/>
                <a:pt x="2733960" y="3206750"/>
                <a:pt x="2825750" y="3206750"/>
              </a:cubicBezTo>
              <a:cubicBezTo>
                <a:pt x="2847209" y="3206750"/>
                <a:pt x="2876777" y="3199871"/>
                <a:pt x="2889250" y="3217333"/>
              </a:cubicBezTo>
              <a:cubicBezTo>
                <a:pt x="2901723" y="3234795"/>
                <a:pt x="2888263" y="3261640"/>
                <a:pt x="2878666" y="3280833"/>
              </a:cubicBezTo>
              <a:cubicBezTo>
                <a:pt x="2870459" y="3297247"/>
                <a:pt x="2830194" y="3307574"/>
                <a:pt x="2815166" y="3312583"/>
              </a:cubicBezTo>
              <a:cubicBezTo>
                <a:pt x="2808111" y="3323166"/>
                <a:pt x="2802994" y="3335339"/>
                <a:pt x="2794000" y="3344333"/>
              </a:cubicBezTo>
              <a:cubicBezTo>
                <a:pt x="2785006" y="3353327"/>
                <a:pt x="2770196" y="3355568"/>
                <a:pt x="2762250" y="3365500"/>
              </a:cubicBezTo>
              <a:cubicBezTo>
                <a:pt x="2755281" y="3374211"/>
                <a:pt x="2755194" y="3386667"/>
                <a:pt x="2751666" y="3397250"/>
              </a:cubicBezTo>
              <a:cubicBezTo>
                <a:pt x="2755194" y="3429000"/>
                <a:pt x="2755985" y="3461175"/>
                <a:pt x="2762250" y="3492500"/>
              </a:cubicBezTo>
              <a:cubicBezTo>
                <a:pt x="2766626" y="3514378"/>
                <a:pt x="2776361" y="3534833"/>
                <a:pt x="2783416" y="3556000"/>
              </a:cubicBezTo>
              <a:cubicBezTo>
                <a:pt x="2788016" y="3569799"/>
                <a:pt x="2790472" y="3584222"/>
                <a:pt x="2794000" y="3598333"/>
              </a:cubicBezTo>
              <a:cubicBezTo>
                <a:pt x="2797528" y="3690055"/>
                <a:pt x="2790413" y="3782810"/>
                <a:pt x="2804583" y="3873500"/>
              </a:cubicBezTo>
              <a:cubicBezTo>
                <a:pt x="2808510" y="3898634"/>
                <a:pt x="2832805" y="3915833"/>
                <a:pt x="2846916" y="3937000"/>
              </a:cubicBezTo>
              <a:cubicBezTo>
                <a:pt x="2859292" y="3955564"/>
                <a:pt x="2861027" y="3979333"/>
                <a:pt x="2868083" y="4000500"/>
              </a:cubicBezTo>
              <a:lnTo>
                <a:pt x="2878666" y="4032250"/>
              </a:lnTo>
              <a:lnTo>
                <a:pt x="2889250" y="4064000"/>
              </a:lnTo>
              <a:cubicBezTo>
                <a:pt x="2892778" y="4145139"/>
                <a:pt x="2891476" y="4226632"/>
                <a:pt x="2899833" y="4307416"/>
              </a:cubicBezTo>
              <a:cubicBezTo>
                <a:pt x="2902129" y="4329609"/>
                <a:pt x="2913944" y="4349749"/>
                <a:pt x="2921000" y="4370916"/>
              </a:cubicBezTo>
              <a:lnTo>
                <a:pt x="2931583" y="4402666"/>
              </a:lnTo>
              <a:cubicBezTo>
                <a:pt x="2967149" y="4509367"/>
                <a:pt x="2912883" y="4343860"/>
                <a:pt x="2952750" y="4476750"/>
              </a:cubicBezTo>
              <a:cubicBezTo>
                <a:pt x="2959161" y="4498121"/>
                <a:pt x="2966860" y="4519083"/>
                <a:pt x="2973916" y="4540250"/>
              </a:cubicBezTo>
              <a:lnTo>
                <a:pt x="2984500" y="4572000"/>
              </a:lnTo>
            </a:path>
          </a:pathLst>
        </a:custGeom>
        <a:ln w="34925">
          <a:solidFill>
            <a:srgbClr val="FFFF00"/>
          </a:solidFill>
        </a:ln>
      </xdr:spPr>
      <xdr:style>
        <a:lnRef idx="1">
          <a:schemeClr val="accent1"/>
        </a:lnRef>
        <a:fillRef idx="0">
          <a:schemeClr val="accent1"/>
        </a:fillRef>
        <a:effectRef idx="0">
          <a:schemeClr val="accent1"/>
        </a:effectRef>
        <a:fontRef idx="minor">
          <a:schemeClr val="tx1"/>
        </a:fontRef>
      </xdr:style>
      <xdr:txBody>
        <a:bodyPr vertOverflow="clip" rtlCol="0" anchor="ctr"/>
        <a:lstStyle/>
        <a:p>
          <a:endParaRPr lang="es-CO"/>
        </a:p>
      </xdr:txBody>
    </xdr:sp>
    <xdr:clientData/>
  </xdr:twoCellAnchor>
  <xdr:twoCellAnchor>
    <xdr:from>
      <xdr:col>24</xdr:col>
      <xdr:colOff>14288</xdr:colOff>
      <xdr:row>19</xdr:row>
      <xdr:rowOff>61913</xdr:rowOff>
    </xdr:from>
    <xdr:to>
      <xdr:col>27</xdr:col>
      <xdr:colOff>20108</xdr:colOff>
      <xdr:row>19</xdr:row>
      <xdr:rowOff>206373</xdr:rowOff>
    </xdr:to>
    <xdr:sp macro="" textlink="">
      <xdr:nvSpPr>
        <xdr:cNvPr id="42" name="41 Explosión 1">
          <a:extLst>
            <a:ext uri="{FF2B5EF4-FFF2-40B4-BE49-F238E27FC236}">
              <a16:creationId xmlns:a16="http://schemas.microsoft.com/office/drawing/2014/main" id="{00000000-0008-0000-0500-00002A000000}"/>
            </a:ext>
          </a:extLst>
        </xdr:cNvPr>
        <xdr:cNvSpPr/>
      </xdr:nvSpPr>
      <xdr:spPr>
        <a:xfrm>
          <a:off x="2795588" y="3662363"/>
          <a:ext cx="177270" cy="144460"/>
        </a:xfrm>
        <a:prstGeom prst="irregularSeal1">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es-CO"/>
        </a:p>
      </xdr:txBody>
    </xdr:sp>
    <xdr:clientData/>
  </xdr:twoCellAnchor>
  <xdr:twoCellAnchor>
    <xdr:from>
      <xdr:col>0</xdr:col>
      <xdr:colOff>990588</xdr:colOff>
      <xdr:row>14</xdr:row>
      <xdr:rowOff>47625</xdr:rowOff>
    </xdr:from>
    <xdr:to>
      <xdr:col>0</xdr:col>
      <xdr:colOff>1212839</xdr:colOff>
      <xdr:row>15</xdr:row>
      <xdr:rowOff>37041</xdr:rowOff>
    </xdr:to>
    <xdr:sp macro="" textlink="">
      <xdr:nvSpPr>
        <xdr:cNvPr id="43" name="42 Explosión 1">
          <a:extLst>
            <a:ext uri="{FF2B5EF4-FFF2-40B4-BE49-F238E27FC236}">
              <a16:creationId xmlns:a16="http://schemas.microsoft.com/office/drawing/2014/main" id="{00000000-0008-0000-0500-00002B000000}"/>
            </a:ext>
          </a:extLst>
        </xdr:cNvPr>
        <xdr:cNvSpPr/>
      </xdr:nvSpPr>
      <xdr:spPr>
        <a:xfrm>
          <a:off x="990588" y="2600325"/>
          <a:ext cx="222251" cy="198966"/>
        </a:xfrm>
        <a:prstGeom prst="irregularSeal1">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es-CO"/>
        </a:p>
      </xdr:txBody>
    </xdr:sp>
    <xdr:clientData/>
  </xdr:twoCellAnchor>
  <xdr:twoCellAnchor>
    <xdr:from>
      <xdr:col>22</xdr:col>
      <xdr:colOff>31668</xdr:colOff>
      <xdr:row>19</xdr:row>
      <xdr:rowOff>190461</xdr:rowOff>
    </xdr:from>
    <xdr:to>
      <xdr:col>26</xdr:col>
      <xdr:colOff>42252</xdr:colOff>
      <xdr:row>20</xdr:row>
      <xdr:rowOff>179876</xdr:rowOff>
    </xdr:to>
    <xdr:sp macro="" textlink="">
      <xdr:nvSpPr>
        <xdr:cNvPr id="44" name="43 Explosión 1">
          <a:extLst>
            <a:ext uri="{FF2B5EF4-FFF2-40B4-BE49-F238E27FC236}">
              <a16:creationId xmlns:a16="http://schemas.microsoft.com/office/drawing/2014/main" id="{00000000-0008-0000-0500-00002C000000}"/>
            </a:ext>
          </a:extLst>
        </xdr:cNvPr>
        <xdr:cNvSpPr/>
      </xdr:nvSpPr>
      <xdr:spPr>
        <a:xfrm>
          <a:off x="2698668" y="3790911"/>
          <a:ext cx="239184" cy="198965"/>
        </a:xfrm>
        <a:prstGeom prst="irregularSeal1">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es-CO"/>
        </a:p>
      </xdr:txBody>
    </xdr:sp>
    <xdr:clientData/>
  </xdr:twoCellAnchor>
  <xdr:twoCellAnchor>
    <xdr:from>
      <xdr:col>51</xdr:col>
      <xdr:colOff>21178</xdr:colOff>
      <xdr:row>34</xdr:row>
      <xdr:rowOff>169321</xdr:rowOff>
    </xdr:from>
    <xdr:to>
      <xdr:col>55</xdr:col>
      <xdr:colOff>0</xdr:colOff>
      <xdr:row>35</xdr:row>
      <xdr:rowOff>158736</xdr:rowOff>
    </xdr:to>
    <xdr:sp macro="" textlink="">
      <xdr:nvSpPr>
        <xdr:cNvPr id="45" name="44 Explosión 1">
          <a:extLst>
            <a:ext uri="{FF2B5EF4-FFF2-40B4-BE49-F238E27FC236}">
              <a16:creationId xmlns:a16="http://schemas.microsoft.com/office/drawing/2014/main" id="{00000000-0008-0000-0500-00002D000000}"/>
            </a:ext>
          </a:extLst>
        </xdr:cNvPr>
        <xdr:cNvSpPr/>
      </xdr:nvSpPr>
      <xdr:spPr>
        <a:xfrm>
          <a:off x="4345528" y="6913021"/>
          <a:ext cx="207422" cy="198965"/>
        </a:xfrm>
        <a:prstGeom prst="irregularSeal1">
          <a:avLst/>
        </a:prstGeom>
        <a:solidFill>
          <a:srgbClr val="FFFF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es-CO"/>
        </a:p>
      </xdr:txBody>
    </xdr:sp>
    <xdr:clientData/>
  </xdr:twoCellAnchor>
  <xdr:twoCellAnchor>
    <xdr:from>
      <xdr:col>25</xdr:col>
      <xdr:colOff>21167</xdr:colOff>
      <xdr:row>19</xdr:row>
      <xdr:rowOff>158750</xdr:rowOff>
    </xdr:from>
    <xdr:to>
      <xdr:col>25</xdr:col>
      <xdr:colOff>21167</xdr:colOff>
      <xdr:row>20</xdr:row>
      <xdr:rowOff>63500</xdr:rowOff>
    </xdr:to>
    <xdr:sp macro="" textlink="">
      <xdr:nvSpPr>
        <xdr:cNvPr id="46" name="45 Forma libre">
          <a:extLst>
            <a:ext uri="{FF2B5EF4-FFF2-40B4-BE49-F238E27FC236}">
              <a16:creationId xmlns:a16="http://schemas.microsoft.com/office/drawing/2014/main" id="{00000000-0008-0000-0500-00002E000000}"/>
            </a:ext>
          </a:extLst>
        </xdr:cNvPr>
        <xdr:cNvSpPr/>
      </xdr:nvSpPr>
      <xdr:spPr>
        <a:xfrm>
          <a:off x="2859617" y="3759200"/>
          <a:ext cx="0" cy="114300"/>
        </a:xfrm>
        <a:custGeom>
          <a:avLst/>
          <a:gdLst>
            <a:gd name="connsiteX0" fmla="*/ 0 w 0"/>
            <a:gd name="connsiteY0" fmla="*/ 0 h 116417"/>
            <a:gd name="connsiteX1" fmla="*/ 0 w 0"/>
            <a:gd name="connsiteY1" fmla="*/ 116417 h 116417"/>
          </a:gdLst>
          <a:ahLst/>
          <a:cxnLst>
            <a:cxn ang="0">
              <a:pos x="connsiteX0" y="connsiteY0"/>
            </a:cxn>
            <a:cxn ang="0">
              <a:pos x="connsiteX1" y="connsiteY1"/>
            </a:cxn>
          </a:cxnLst>
          <a:rect l="l" t="t" r="r" b="b"/>
          <a:pathLst>
            <a:path h="116417">
              <a:moveTo>
                <a:pt x="0" y="0"/>
              </a:moveTo>
              <a:lnTo>
                <a:pt x="0" y="116417"/>
              </a:lnTo>
            </a:path>
          </a:pathLst>
        </a:custGeom>
        <a:ln w="25400">
          <a:solidFill>
            <a:srgbClr val="FFFF00"/>
          </a:solidFill>
        </a:ln>
      </xdr:spPr>
      <xdr:style>
        <a:lnRef idx="1">
          <a:schemeClr val="accent1"/>
        </a:lnRef>
        <a:fillRef idx="0">
          <a:schemeClr val="accent1"/>
        </a:fillRef>
        <a:effectRef idx="0">
          <a:schemeClr val="accent1"/>
        </a:effectRef>
        <a:fontRef idx="minor">
          <a:schemeClr val="tx1"/>
        </a:fontRef>
      </xdr:style>
      <xdr:txBody>
        <a:bodyPr vertOverflow="clip" rtlCol="0" anchor="ctr"/>
        <a:lstStyle/>
        <a:p>
          <a:endParaRPr lang="es-CO"/>
        </a:p>
      </xdr:txBody>
    </xdr:sp>
    <xdr:clientData/>
  </xdr:twoCellAnchor>
  <xdr:twoCellAnchor>
    <xdr:from>
      <xdr:col>0</xdr:col>
      <xdr:colOff>1207111</xdr:colOff>
      <xdr:row>14</xdr:row>
      <xdr:rowOff>112169</xdr:rowOff>
    </xdr:from>
    <xdr:to>
      <xdr:col>0</xdr:col>
      <xdr:colOff>1294424</xdr:colOff>
      <xdr:row>14</xdr:row>
      <xdr:rowOff>157888</xdr:rowOff>
    </xdr:to>
    <xdr:sp macro="" textlink="">
      <xdr:nvSpPr>
        <xdr:cNvPr id="47" name="Diagrama de flujo: proceso 50">
          <a:extLst>
            <a:ext uri="{FF2B5EF4-FFF2-40B4-BE49-F238E27FC236}">
              <a16:creationId xmlns:a16="http://schemas.microsoft.com/office/drawing/2014/main" id="{00000000-0008-0000-0500-00002F000000}"/>
            </a:ext>
          </a:extLst>
        </xdr:cNvPr>
        <xdr:cNvSpPr/>
      </xdr:nvSpPr>
      <xdr:spPr>
        <a:xfrm>
          <a:off x="1207111" y="2664869"/>
          <a:ext cx="87313" cy="45719"/>
        </a:xfrm>
        <a:prstGeom prst="flowChartProcess">
          <a:avLst/>
        </a:prstGeom>
        <a:solidFill>
          <a:srgbClr val="00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0</xdr:col>
      <xdr:colOff>1283073</xdr:colOff>
      <xdr:row>14</xdr:row>
      <xdr:rowOff>117662</xdr:rowOff>
    </xdr:from>
    <xdr:to>
      <xdr:col>0</xdr:col>
      <xdr:colOff>1370386</xdr:colOff>
      <xdr:row>14</xdr:row>
      <xdr:rowOff>163381</xdr:rowOff>
    </xdr:to>
    <xdr:sp macro="" textlink="">
      <xdr:nvSpPr>
        <xdr:cNvPr id="48" name="Diagrama de flujo: proceso 55">
          <a:extLst>
            <a:ext uri="{FF2B5EF4-FFF2-40B4-BE49-F238E27FC236}">
              <a16:creationId xmlns:a16="http://schemas.microsoft.com/office/drawing/2014/main" id="{00000000-0008-0000-0500-000030000000}"/>
            </a:ext>
          </a:extLst>
        </xdr:cNvPr>
        <xdr:cNvSpPr/>
      </xdr:nvSpPr>
      <xdr:spPr>
        <a:xfrm>
          <a:off x="1283073" y="2670362"/>
          <a:ext cx="87313" cy="45719"/>
        </a:xfrm>
        <a:prstGeom prst="flowChartProcess">
          <a:avLst/>
        </a:prstGeom>
        <a:solidFill>
          <a:srgbClr val="00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3</xdr:col>
      <xdr:colOff>17930</xdr:colOff>
      <xdr:row>14</xdr:row>
      <xdr:rowOff>90767</xdr:rowOff>
    </xdr:from>
    <xdr:to>
      <xdr:col>4</xdr:col>
      <xdr:colOff>49213</xdr:colOff>
      <xdr:row>14</xdr:row>
      <xdr:rowOff>136486</xdr:rowOff>
    </xdr:to>
    <xdr:sp macro="" textlink="">
      <xdr:nvSpPr>
        <xdr:cNvPr id="49" name="Diagrama de flujo: proceso 67">
          <a:extLst>
            <a:ext uri="{FF2B5EF4-FFF2-40B4-BE49-F238E27FC236}">
              <a16:creationId xmlns:a16="http://schemas.microsoft.com/office/drawing/2014/main" id="{00000000-0008-0000-0500-000031000000}"/>
            </a:ext>
          </a:extLst>
        </xdr:cNvPr>
        <xdr:cNvSpPr/>
      </xdr:nvSpPr>
      <xdr:spPr>
        <a:xfrm rot="20072796">
          <a:off x="1599080" y="2643467"/>
          <a:ext cx="88433" cy="45719"/>
        </a:xfrm>
        <a:prstGeom prst="flowChartProcess">
          <a:avLst/>
        </a:prstGeom>
        <a:solidFill>
          <a:srgbClr val="00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0</xdr:col>
      <xdr:colOff>1374962</xdr:colOff>
      <xdr:row>14</xdr:row>
      <xdr:rowOff>119903</xdr:rowOff>
    </xdr:from>
    <xdr:to>
      <xdr:col>0</xdr:col>
      <xdr:colOff>1462275</xdr:colOff>
      <xdr:row>14</xdr:row>
      <xdr:rowOff>165622</xdr:rowOff>
    </xdr:to>
    <xdr:sp macro="" textlink="">
      <xdr:nvSpPr>
        <xdr:cNvPr id="50" name="Diagrama de flujo: proceso 68">
          <a:extLst>
            <a:ext uri="{FF2B5EF4-FFF2-40B4-BE49-F238E27FC236}">
              <a16:creationId xmlns:a16="http://schemas.microsoft.com/office/drawing/2014/main" id="{00000000-0008-0000-0500-000032000000}"/>
            </a:ext>
          </a:extLst>
        </xdr:cNvPr>
        <xdr:cNvSpPr/>
      </xdr:nvSpPr>
      <xdr:spPr>
        <a:xfrm>
          <a:off x="1374962" y="2672603"/>
          <a:ext cx="87313" cy="45719"/>
        </a:xfrm>
        <a:prstGeom prst="flowChartProcess">
          <a:avLst/>
        </a:prstGeom>
        <a:solidFill>
          <a:srgbClr val="00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2</xdr:col>
      <xdr:colOff>8964</xdr:colOff>
      <xdr:row>14</xdr:row>
      <xdr:rowOff>109818</xdr:rowOff>
    </xdr:from>
    <xdr:to>
      <xdr:col>3</xdr:col>
      <xdr:colOff>40248</xdr:colOff>
      <xdr:row>14</xdr:row>
      <xdr:rowOff>155537</xdr:rowOff>
    </xdr:to>
    <xdr:sp macro="" textlink="">
      <xdr:nvSpPr>
        <xdr:cNvPr id="51" name="Diagrama de flujo: proceso 69">
          <a:extLst>
            <a:ext uri="{FF2B5EF4-FFF2-40B4-BE49-F238E27FC236}">
              <a16:creationId xmlns:a16="http://schemas.microsoft.com/office/drawing/2014/main" id="{00000000-0008-0000-0500-000033000000}"/>
            </a:ext>
          </a:extLst>
        </xdr:cNvPr>
        <xdr:cNvSpPr/>
      </xdr:nvSpPr>
      <xdr:spPr>
        <a:xfrm rot="21220144">
          <a:off x="1532964" y="2662518"/>
          <a:ext cx="88434" cy="45719"/>
        </a:xfrm>
        <a:prstGeom prst="flowChartProcess">
          <a:avLst/>
        </a:prstGeom>
        <a:solidFill>
          <a:srgbClr val="00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0</xdr:col>
      <xdr:colOff>1450041</xdr:colOff>
      <xdr:row>14</xdr:row>
      <xdr:rowOff>116541</xdr:rowOff>
    </xdr:from>
    <xdr:to>
      <xdr:col>2</xdr:col>
      <xdr:colOff>13354</xdr:colOff>
      <xdr:row>14</xdr:row>
      <xdr:rowOff>162260</xdr:rowOff>
    </xdr:to>
    <xdr:sp macro="" textlink="">
      <xdr:nvSpPr>
        <xdr:cNvPr id="52" name="Diagrama de flujo: proceso 70">
          <a:extLst>
            <a:ext uri="{FF2B5EF4-FFF2-40B4-BE49-F238E27FC236}">
              <a16:creationId xmlns:a16="http://schemas.microsoft.com/office/drawing/2014/main" id="{00000000-0008-0000-0500-000034000000}"/>
            </a:ext>
          </a:extLst>
        </xdr:cNvPr>
        <xdr:cNvSpPr/>
      </xdr:nvSpPr>
      <xdr:spPr>
        <a:xfrm>
          <a:off x="1450041" y="2669241"/>
          <a:ext cx="87313" cy="45719"/>
        </a:xfrm>
        <a:prstGeom prst="flowChartProcess">
          <a:avLst/>
        </a:prstGeom>
        <a:solidFill>
          <a:srgbClr val="00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8</xdr:col>
      <xdr:colOff>22625</xdr:colOff>
      <xdr:row>14</xdr:row>
      <xdr:rowOff>154759</xdr:rowOff>
    </xdr:from>
    <xdr:to>
      <xdr:col>9</xdr:col>
      <xdr:colOff>12314</xdr:colOff>
      <xdr:row>14</xdr:row>
      <xdr:rowOff>200478</xdr:rowOff>
    </xdr:to>
    <xdr:sp macro="" textlink="">
      <xdr:nvSpPr>
        <xdr:cNvPr id="53" name="Diagrama de flujo: proceso 71">
          <a:extLst>
            <a:ext uri="{FF2B5EF4-FFF2-40B4-BE49-F238E27FC236}">
              <a16:creationId xmlns:a16="http://schemas.microsoft.com/office/drawing/2014/main" id="{00000000-0008-0000-0500-000035000000}"/>
            </a:ext>
          </a:extLst>
        </xdr:cNvPr>
        <xdr:cNvSpPr/>
      </xdr:nvSpPr>
      <xdr:spPr>
        <a:xfrm rot="1831118">
          <a:off x="1889525" y="2707459"/>
          <a:ext cx="46839" cy="45719"/>
        </a:xfrm>
        <a:prstGeom prst="flowChartProcess">
          <a:avLst/>
        </a:prstGeom>
        <a:solidFill>
          <a:srgbClr val="00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7</xdr:col>
      <xdr:colOff>6724</xdr:colOff>
      <xdr:row>14</xdr:row>
      <xdr:rowOff>118783</xdr:rowOff>
    </xdr:from>
    <xdr:to>
      <xdr:col>8</xdr:col>
      <xdr:colOff>38008</xdr:colOff>
      <xdr:row>14</xdr:row>
      <xdr:rowOff>164502</xdr:rowOff>
    </xdr:to>
    <xdr:sp macro="" textlink="">
      <xdr:nvSpPr>
        <xdr:cNvPr id="54" name="Diagrama de flujo: proceso 72">
          <a:extLst>
            <a:ext uri="{FF2B5EF4-FFF2-40B4-BE49-F238E27FC236}">
              <a16:creationId xmlns:a16="http://schemas.microsoft.com/office/drawing/2014/main" id="{00000000-0008-0000-0500-000036000000}"/>
            </a:ext>
          </a:extLst>
        </xdr:cNvPr>
        <xdr:cNvSpPr/>
      </xdr:nvSpPr>
      <xdr:spPr>
        <a:xfrm rot="2072008">
          <a:off x="1816474" y="2671483"/>
          <a:ext cx="88434" cy="45719"/>
        </a:xfrm>
        <a:prstGeom prst="flowChartProcess">
          <a:avLst/>
        </a:prstGeom>
        <a:solidFill>
          <a:srgbClr val="00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5</xdr:col>
      <xdr:colOff>52667</xdr:colOff>
      <xdr:row>14</xdr:row>
      <xdr:rowOff>80682</xdr:rowOff>
    </xdr:from>
    <xdr:to>
      <xdr:col>7</xdr:col>
      <xdr:colOff>27921</xdr:colOff>
      <xdr:row>14</xdr:row>
      <xdr:rowOff>126401</xdr:rowOff>
    </xdr:to>
    <xdr:sp macro="" textlink="">
      <xdr:nvSpPr>
        <xdr:cNvPr id="55" name="Diagrama de flujo: proceso 73">
          <a:extLst>
            <a:ext uri="{FF2B5EF4-FFF2-40B4-BE49-F238E27FC236}">
              <a16:creationId xmlns:a16="http://schemas.microsoft.com/office/drawing/2014/main" id="{00000000-0008-0000-0500-000037000000}"/>
            </a:ext>
          </a:extLst>
        </xdr:cNvPr>
        <xdr:cNvSpPr/>
      </xdr:nvSpPr>
      <xdr:spPr>
        <a:xfrm rot="1401795">
          <a:off x="1748117" y="2633382"/>
          <a:ext cx="89554" cy="45719"/>
        </a:xfrm>
        <a:prstGeom prst="flowChartProcess">
          <a:avLst/>
        </a:prstGeom>
        <a:solidFill>
          <a:srgbClr val="00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4</xdr:col>
      <xdr:colOff>36980</xdr:colOff>
      <xdr:row>14</xdr:row>
      <xdr:rowOff>70596</xdr:rowOff>
    </xdr:from>
    <xdr:to>
      <xdr:col>6</xdr:col>
      <xdr:colOff>12234</xdr:colOff>
      <xdr:row>14</xdr:row>
      <xdr:rowOff>116315</xdr:rowOff>
    </xdr:to>
    <xdr:sp macro="" textlink="">
      <xdr:nvSpPr>
        <xdr:cNvPr id="56" name="Diagrama de flujo: proceso 74">
          <a:extLst>
            <a:ext uri="{FF2B5EF4-FFF2-40B4-BE49-F238E27FC236}">
              <a16:creationId xmlns:a16="http://schemas.microsoft.com/office/drawing/2014/main" id="{00000000-0008-0000-0500-000038000000}"/>
            </a:ext>
          </a:extLst>
        </xdr:cNvPr>
        <xdr:cNvSpPr/>
      </xdr:nvSpPr>
      <xdr:spPr>
        <a:xfrm rot="398547">
          <a:off x="1675280" y="2623296"/>
          <a:ext cx="89554" cy="45719"/>
        </a:xfrm>
        <a:prstGeom prst="flowChartProcess">
          <a:avLst/>
        </a:prstGeom>
        <a:solidFill>
          <a:srgbClr val="00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12</xdr:col>
      <xdr:colOff>42862</xdr:colOff>
      <xdr:row>14</xdr:row>
      <xdr:rowOff>157163</xdr:rowOff>
    </xdr:from>
    <xdr:to>
      <xdr:col>14</xdr:col>
      <xdr:colOff>16995</xdr:colOff>
      <xdr:row>14</xdr:row>
      <xdr:rowOff>202882</xdr:rowOff>
    </xdr:to>
    <xdr:sp macro="" textlink="">
      <xdr:nvSpPr>
        <xdr:cNvPr id="57" name="Diagrama de flujo: proceso 75">
          <a:extLst>
            <a:ext uri="{FF2B5EF4-FFF2-40B4-BE49-F238E27FC236}">
              <a16:creationId xmlns:a16="http://schemas.microsoft.com/office/drawing/2014/main" id="{00000000-0008-0000-0500-000039000000}"/>
            </a:ext>
          </a:extLst>
        </xdr:cNvPr>
        <xdr:cNvSpPr/>
      </xdr:nvSpPr>
      <xdr:spPr>
        <a:xfrm rot="2131573">
          <a:off x="2138362" y="2709863"/>
          <a:ext cx="88433" cy="45719"/>
        </a:xfrm>
        <a:prstGeom prst="flowChartProcess">
          <a:avLst/>
        </a:prstGeom>
        <a:solidFill>
          <a:srgbClr val="00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11</xdr:col>
      <xdr:colOff>28575</xdr:colOff>
      <xdr:row>14</xdr:row>
      <xdr:rowOff>123825</xdr:rowOff>
    </xdr:from>
    <xdr:to>
      <xdr:col>13</xdr:col>
      <xdr:colOff>2708</xdr:colOff>
      <xdr:row>14</xdr:row>
      <xdr:rowOff>169544</xdr:rowOff>
    </xdr:to>
    <xdr:sp macro="" textlink="">
      <xdr:nvSpPr>
        <xdr:cNvPr id="58" name="Diagrama de flujo: proceso 76">
          <a:extLst>
            <a:ext uri="{FF2B5EF4-FFF2-40B4-BE49-F238E27FC236}">
              <a16:creationId xmlns:a16="http://schemas.microsoft.com/office/drawing/2014/main" id="{00000000-0008-0000-0500-00003A000000}"/>
            </a:ext>
          </a:extLst>
        </xdr:cNvPr>
        <xdr:cNvSpPr/>
      </xdr:nvSpPr>
      <xdr:spPr>
        <a:xfrm rot="332554">
          <a:off x="2066925" y="2676525"/>
          <a:ext cx="88433" cy="45719"/>
        </a:xfrm>
        <a:prstGeom prst="flowChartProcess">
          <a:avLst/>
        </a:prstGeom>
        <a:solidFill>
          <a:srgbClr val="00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10</xdr:col>
      <xdr:colOff>23811</xdr:colOff>
      <xdr:row>14</xdr:row>
      <xdr:rowOff>128587</xdr:rowOff>
    </xdr:from>
    <xdr:to>
      <xdr:col>11</xdr:col>
      <xdr:colOff>55094</xdr:colOff>
      <xdr:row>14</xdr:row>
      <xdr:rowOff>174306</xdr:rowOff>
    </xdr:to>
    <xdr:sp macro="" textlink="">
      <xdr:nvSpPr>
        <xdr:cNvPr id="59" name="Diagrama de flujo: proceso 77">
          <a:extLst>
            <a:ext uri="{FF2B5EF4-FFF2-40B4-BE49-F238E27FC236}">
              <a16:creationId xmlns:a16="http://schemas.microsoft.com/office/drawing/2014/main" id="{00000000-0008-0000-0500-00003B000000}"/>
            </a:ext>
          </a:extLst>
        </xdr:cNvPr>
        <xdr:cNvSpPr/>
      </xdr:nvSpPr>
      <xdr:spPr>
        <a:xfrm rot="21020120">
          <a:off x="2005011" y="2681287"/>
          <a:ext cx="88433" cy="45719"/>
        </a:xfrm>
        <a:prstGeom prst="flowChartProcess">
          <a:avLst/>
        </a:prstGeom>
        <a:solidFill>
          <a:srgbClr val="00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8</xdr:col>
      <xdr:colOff>52388</xdr:colOff>
      <xdr:row>14</xdr:row>
      <xdr:rowOff>142874</xdr:rowOff>
    </xdr:from>
    <xdr:to>
      <xdr:col>10</xdr:col>
      <xdr:colOff>26521</xdr:colOff>
      <xdr:row>14</xdr:row>
      <xdr:rowOff>188593</xdr:rowOff>
    </xdr:to>
    <xdr:sp macro="" textlink="">
      <xdr:nvSpPr>
        <xdr:cNvPr id="60" name="Diagrama de flujo: proceso 78">
          <a:extLst>
            <a:ext uri="{FF2B5EF4-FFF2-40B4-BE49-F238E27FC236}">
              <a16:creationId xmlns:a16="http://schemas.microsoft.com/office/drawing/2014/main" id="{00000000-0008-0000-0500-00003C000000}"/>
            </a:ext>
          </a:extLst>
        </xdr:cNvPr>
        <xdr:cNvSpPr/>
      </xdr:nvSpPr>
      <xdr:spPr>
        <a:xfrm rot="20922158">
          <a:off x="1919288" y="2695574"/>
          <a:ext cx="88433" cy="45719"/>
        </a:xfrm>
        <a:prstGeom prst="flowChartProcess">
          <a:avLst/>
        </a:prstGeom>
        <a:solidFill>
          <a:srgbClr val="00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18</xdr:col>
      <xdr:colOff>38098</xdr:colOff>
      <xdr:row>15</xdr:row>
      <xdr:rowOff>123825</xdr:rowOff>
    </xdr:from>
    <xdr:to>
      <xdr:col>20</xdr:col>
      <xdr:colOff>12231</xdr:colOff>
      <xdr:row>15</xdr:row>
      <xdr:rowOff>169544</xdr:rowOff>
    </xdr:to>
    <xdr:sp macro="" textlink="">
      <xdr:nvSpPr>
        <xdr:cNvPr id="61" name="Diagrama de flujo: proceso 79">
          <a:extLst>
            <a:ext uri="{FF2B5EF4-FFF2-40B4-BE49-F238E27FC236}">
              <a16:creationId xmlns:a16="http://schemas.microsoft.com/office/drawing/2014/main" id="{00000000-0008-0000-0500-00003D000000}"/>
            </a:ext>
          </a:extLst>
        </xdr:cNvPr>
        <xdr:cNvSpPr/>
      </xdr:nvSpPr>
      <xdr:spPr>
        <a:xfrm rot="1825103">
          <a:off x="2476498" y="2886075"/>
          <a:ext cx="88433" cy="45719"/>
        </a:xfrm>
        <a:prstGeom prst="flowChartProcess">
          <a:avLst/>
        </a:prstGeom>
        <a:solidFill>
          <a:srgbClr val="00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18</xdr:col>
      <xdr:colOff>7069</xdr:colOff>
      <xdr:row>15</xdr:row>
      <xdr:rowOff>69130</xdr:rowOff>
    </xdr:from>
    <xdr:to>
      <xdr:col>18</xdr:col>
      <xdr:colOff>52788</xdr:colOff>
      <xdr:row>15</xdr:row>
      <xdr:rowOff>157563</xdr:rowOff>
    </xdr:to>
    <xdr:sp macro="" textlink="">
      <xdr:nvSpPr>
        <xdr:cNvPr id="62" name="Diagrama de flujo: proceso 80">
          <a:extLst>
            <a:ext uri="{FF2B5EF4-FFF2-40B4-BE49-F238E27FC236}">
              <a16:creationId xmlns:a16="http://schemas.microsoft.com/office/drawing/2014/main" id="{00000000-0008-0000-0500-00003E000000}"/>
            </a:ext>
          </a:extLst>
        </xdr:cNvPr>
        <xdr:cNvSpPr/>
      </xdr:nvSpPr>
      <xdr:spPr>
        <a:xfrm rot="3358090">
          <a:off x="2424112" y="2852737"/>
          <a:ext cx="88433" cy="45719"/>
        </a:xfrm>
        <a:prstGeom prst="flowChartProcess">
          <a:avLst/>
        </a:prstGeom>
        <a:solidFill>
          <a:srgbClr val="00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16</xdr:col>
      <xdr:colOff>38099</xdr:colOff>
      <xdr:row>15</xdr:row>
      <xdr:rowOff>52387</xdr:rowOff>
    </xdr:from>
    <xdr:to>
      <xdr:col>18</xdr:col>
      <xdr:colOff>12232</xdr:colOff>
      <xdr:row>15</xdr:row>
      <xdr:rowOff>98106</xdr:rowOff>
    </xdr:to>
    <xdr:sp macro="" textlink="">
      <xdr:nvSpPr>
        <xdr:cNvPr id="63" name="Diagrama de flujo: proceso 81">
          <a:extLst>
            <a:ext uri="{FF2B5EF4-FFF2-40B4-BE49-F238E27FC236}">
              <a16:creationId xmlns:a16="http://schemas.microsoft.com/office/drawing/2014/main" id="{00000000-0008-0000-0500-00003F000000}"/>
            </a:ext>
          </a:extLst>
        </xdr:cNvPr>
        <xdr:cNvSpPr/>
      </xdr:nvSpPr>
      <xdr:spPr>
        <a:xfrm rot="1282939">
          <a:off x="2362199" y="2814637"/>
          <a:ext cx="88433" cy="45719"/>
        </a:xfrm>
        <a:prstGeom prst="flowChartProcess">
          <a:avLst/>
        </a:prstGeom>
        <a:solidFill>
          <a:srgbClr val="00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15</xdr:col>
      <xdr:colOff>19049</xdr:colOff>
      <xdr:row>15</xdr:row>
      <xdr:rowOff>19051</xdr:rowOff>
    </xdr:from>
    <xdr:to>
      <xdr:col>16</xdr:col>
      <xdr:colOff>50332</xdr:colOff>
      <xdr:row>15</xdr:row>
      <xdr:rowOff>64770</xdr:rowOff>
    </xdr:to>
    <xdr:sp macro="" textlink="">
      <xdr:nvSpPr>
        <xdr:cNvPr id="64" name="Diagrama de flujo: proceso 82">
          <a:extLst>
            <a:ext uri="{FF2B5EF4-FFF2-40B4-BE49-F238E27FC236}">
              <a16:creationId xmlns:a16="http://schemas.microsoft.com/office/drawing/2014/main" id="{00000000-0008-0000-0500-000040000000}"/>
            </a:ext>
          </a:extLst>
        </xdr:cNvPr>
        <xdr:cNvSpPr/>
      </xdr:nvSpPr>
      <xdr:spPr>
        <a:xfrm rot="1137682">
          <a:off x="2285999" y="2781301"/>
          <a:ext cx="88433" cy="45719"/>
        </a:xfrm>
        <a:prstGeom prst="flowChartProcess">
          <a:avLst/>
        </a:prstGeom>
        <a:solidFill>
          <a:srgbClr val="00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14</xdr:col>
      <xdr:colOff>4763</xdr:colOff>
      <xdr:row>14</xdr:row>
      <xdr:rowOff>200026</xdr:rowOff>
    </xdr:from>
    <xdr:to>
      <xdr:col>15</xdr:col>
      <xdr:colOff>36046</xdr:colOff>
      <xdr:row>15</xdr:row>
      <xdr:rowOff>36195</xdr:rowOff>
    </xdr:to>
    <xdr:sp macro="" textlink="">
      <xdr:nvSpPr>
        <xdr:cNvPr id="65" name="Diagrama de flujo: proceso 83">
          <a:extLst>
            <a:ext uri="{FF2B5EF4-FFF2-40B4-BE49-F238E27FC236}">
              <a16:creationId xmlns:a16="http://schemas.microsoft.com/office/drawing/2014/main" id="{00000000-0008-0000-0500-000041000000}"/>
            </a:ext>
          </a:extLst>
        </xdr:cNvPr>
        <xdr:cNvSpPr/>
      </xdr:nvSpPr>
      <xdr:spPr>
        <a:xfrm rot="1173135">
          <a:off x="2214563" y="2752726"/>
          <a:ext cx="88433" cy="45719"/>
        </a:xfrm>
        <a:prstGeom prst="flowChartProcess">
          <a:avLst/>
        </a:prstGeom>
        <a:solidFill>
          <a:srgbClr val="00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21</xdr:col>
      <xdr:colOff>30882</xdr:colOff>
      <xdr:row>17</xdr:row>
      <xdr:rowOff>121520</xdr:rowOff>
    </xdr:from>
    <xdr:to>
      <xdr:col>22</xdr:col>
      <xdr:colOff>19451</xdr:colOff>
      <xdr:row>18</xdr:row>
      <xdr:rowOff>403</xdr:rowOff>
    </xdr:to>
    <xdr:sp macro="" textlink="">
      <xdr:nvSpPr>
        <xdr:cNvPr id="66" name="Diagrama de flujo: proceso 84">
          <a:extLst>
            <a:ext uri="{FF2B5EF4-FFF2-40B4-BE49-F238E27FC236}">
              <a16:creationId xmlns:a16="http://schemas.microsoft.com/office/drawing/2014/main" id="{00000000-0008-0000-0500-000042000000}"/>
            </a:ext>
          </a:extLst>
        </xdr:cNvPr>
        <xdr:cNvSpPr/>
      </xdr:nvSpPr>
      <xdr:spPr>
        <a:xfrm rot="15994209">
          <a:off x="2619375" y="3324227"/>
          <a:ext cx="88433" cy="45719"/>
        </a:xfrm>
        <a:prstGeom prst="flowChartProcess">
          <a:avLst/>
        </a:prstGeom>
        <a:solidFill>
          <a:srgbClr val="00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21</xdr:col>
      <xdr:colOff>26121</xdr:colOff>
      <xdr:row>17</xdr:row>
      <xdr:rowOff>35793</xdr:rowOff>
    </xdr:from>
    <xdr:to>
      <xdr:col>22</xdr:col>
      <xdr:colOff>14690</xdr:colOff>
      <xdr:row>17</xdr:row>
      <xdr:rowOff>124226</xdr:rowOff>
    </xdr:to>
    <xdr:sp macro="" textlink="">
      <xdr:nvSpPr>
        <xdr:cNvPr id="67" name="Diagrama de flujo: proceso 85">
          <a:extLst>
            <a:ext uri="{FF2B5EF4-FFF2-40B4-BE49-F238E27FC236}">
              <a16:creationId xmlns:a16="http://schemas.microsoft.com/office/drawing/2014/main" id="{00000000-0008-0000-0500-000043000000}"/>
            </a:ext>
          </a:extLst>
        </xdr:cNvPr>
        <xdr:cNvSpPr/>
      </xdr:nvSpPr>
      <xdr:spPr>
        <a:xfrm rot="5619005">
          <a:off x="2614614" y="3238500"/>
          <a:ext cx="88433" cy="45719"/>
        </a:xfrm>
        <a:prstGeom prst="flowChartProcess">
          <a:avLst/>
        </a:prstGeom>
        <a:solidFill>
          <a:srgbClr val="00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21</xdr:col>
      <xdr:colOff>49933</xdr:colOff>
      <xdr:row>16</xdr:row>
      <xdr:rowOff>173905</xdr:rowOff>
    </xdr:from>
    <xdr:to>
      <xdr:col>22</xdr:col>
      <xdr:colOff>38502</xdr:colOff>
      <xdr:row>17</xdr:row>
      <xdr:rowOff>52788</xdr:rowOff>
    </xdr:to>
    <xdr:sp macro="" textlink="">
      <xdr:nvSpPr>
        <xdr:cNvPr id="68" name="Diagrama de flujo: proceso 86">
          <a:extLst>
            <a:ext uri="{FF2B5EF4-FFF2-40B4-BE49-F238E27FC236}">
              <a16:creationId xmlns:a16="http://schemas.microsoft.com/office/drawing/2014/main" id="{00000000-0008-0000-0500-000044000000}"/>
            </a:ext>
          </a:extLst>
        </xdr:cNvPr>
        <xdr:cNvSpPr/>
      </xdr:nvSpPr>
      <xdr:spPr>
        <a:xfrm rot="7013233">
          <a:off x="2638426" y="3167062"/>
          <a:ext cx="88433" cy="45719"/>
        </a:xfrm>
        <a:prstGeom prst="flowChartProcess">
          <a:avLst/>
        </a:prstGeom>
        <a:solidFill>
          <a:srgbClr val="00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22</xdr:col>
      <xdr:colOff>21357</xdr:colOff>
      <xdr:row>16</xdr:row>
      <xdr:rowOff>92943</xdr:rowOff>
    </xdr:from>
    <xdr:to>
      <xdr:col>23</xdr:col>
      <xdr:colOff>9926</xdr:colOff>
      <xdr:row>16</xdr:row>
      <xdr:rowOff>181376</xdr:rowOff>
    </xdr:to>
    <xdr:sp macro="" textlink="">
      <xdr:nvSpPr>
        <xdr:cNvPr id="69" name="Diagrama de flujo: proceso 87">
          <a:extLst>
            <a:ext uri="{FF2B5EF4-FFF2-40B4-BE49-F238E27FC236}">
              <a16:creationId xmlns:a16="http://schemas.microsoft.com/office/drawing/2014/main" id="{00000000-0008-0000-0500-000045000000}"/>
            </a:ext>
          </a:extLst>
        </xdr:cNvPr>
        <xdr:cNvSpPr/>
      </xdr:nvSpPr>
      <xdr:spPr>
        <a:xfrm rot="5981490">
          <a:off x="2667000" y="3086100"/>
          <a:ext cx="88433" cy="45719"/>
        </a:xfrm>
        <a:prstGeom prst="flowChartProcess">
          <a:avLst/>
        </a:prstGeom>
        <a:solidFill>
          <a:srgbClr val="00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22</xdr:col>
      <xdr:colOff>2307</xdr:colOff>
      <xdr:row>16</xdr:row>
      <xdr:rowOff>26268</xdr:rowOff>
    </xdr:from>
    <xdr:to>
      <xdr:col>22</xdr:col>
      <xdr:colOff>48026</xdr:colOff>
      <xdr:row>16</xdr:row>
      <xdr:rowOff>114701</xdr:rowOff>
    </xdr:to>
    <xdr:sp macro="" textlink="">
      <xdr:nvSpPr>
        <xdr:cNvPr id="70" name="Diagrama de flujo: proceso 88">
          <a:extLst>
            <a:ext uri="{FF2B5EF4-FFF2-40B4-BE49-F238E27FC236}">
              <a16:creationId xmlns:a16="http://schemas.microsoft.com/office/drawing/2014/main" id="{00000000-0008-0000-0500-000046000000}"/>
            </a:ext>
          </a:extLst>
        </xdr:cNvPr>
        <xdr:cNvSpPr/>
      </xdr:nvSpPr>
      <xdr:spPr>
        <a:xfrm rot="3791227">
          <a:off x="2647950" y="3019425"/>
          <a:ext cx="88433" cy="45719"/>
        </a:xfrm>
        <a:prstGeom prst="flowChartProcess">
          <a:avLst/>
        </a:prstGeom>
        <a:solidFill>
          <a:srgbClr val="00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20</xdr:col>
      <xdr:colOff>47625</xdr:colOff>
      <xdr:row>15</xdr:row>
      <xdr:rowOff>204789</xdr:rowOff>
    </xdr:from>
    <xdr:to>
      <xdr:col>22</xdr:col>
      <xdr:colOff>21758</xdr:colOff>
      <xdr:row>16</xdr:row>
      <xdr:rowOff>40958</xdr:rowOff>
    </xdr:to>
    <xdr:sp macro="" textlink="">
      <xdr:nvSpPr>
        <xdr:cNvPr id="71" name="Diagrama de flujo: proceso 89">
          <a:extLst>
            <a:ext uri="{FF2B5EF4-FFF2-40B4-BE49-F238E27FC236}">
              <a16:creationId xmlns:a16="http://schemas.microsoft.com/office/drawing/2014/main" id="{00000000-0008-0000-0500-000047000000}"/>
            </a:ext>
          </a:extLst>
        </xdr:cNvPr>
        <xdr:cNvSpPr/>
      </xdr:nvSpPr>
      <xdr:spPr>
        <a:xfrm rot="1685804">
          <a:off x="2600325" y="2967039"/>
          <a:ext cx="88433" cy="45719"/>
        </a:xfrm>
        <a:prstGeom prst="flowChartProcess">
          <a:avLst/>
        </a:prstGeom>
        <a:solidFill>
          <a:srgbClr val="00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19</xdr:col>
      <xdr:colOff>38100</xdr:colOff>
      <xdr:row>15</xdr:row>
      <xdr:rowOff>171449</xdr:rowOff>
    </xdr:from>
    <xdr:to>
      <xdr:col>21</xdr:col>
      <xdr:colOff>12233</xdr:colOff>
      <xdr:row>16</xdr:row>
      <xdr:rowOff>7618</xdr:rowOff>
    </xdr:to>
    <xdr:sp macro="" textlink="">
      <xdr:nvSpPr>
        <xdr:cNvPr id="72" name="Diagrama de flujo: proceso 90">
          <a:extLst>
            <a:ext uri="{FF2B5EF4-FFF2-40B4-BE49-F238E27FC236}">
              <a16:creationId xmlns:a16="http://schemas.microsoft.com/office/drawing/2014/main" id="{00000000-0008-0000-0500-000048000000}"/>
            </a:ext>
          </a:extLst>
        </xdr:cNvPr>
        <xdr:cNvSpPr/>
      </xdr:nvSpPr>
      <xdr:spPr>
        <a:xfrm rot="2140543">
          <a:off x="2533650" y="2933699"/>
          <a:ext cx="88433" cy="45719"/>
        </a:xfrm>
        <a:prstGeom prst="flowChartProcess">
          <a:avLst/>
        </a:prstGeom>
        <a:solidFill>
          <a:srgbClr val="00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27</xdr:col>
      <xdr:colOff>4762</xdr:colOff>
      <xdr:row>19</xdr:row>
      <xdr:rowOff>133351</xdr:rowOff>
    </xdr:from>
    <xdr:to>
      <xdr:col>28</xdr:col>
      <xdr:colOff>36045</xdr:colOff>
      <xdr:row>19</xdr:row>
      <xdr:rowOff>179070</xdr:rowOff>
    </xdr:to>
    <xdr:sp macro="" textlink="">
      <xdr:nvSpPr>
        <xdr:cNvPr id="73" name="Diagrama de flujo: proceso 91">
          <a:extLst>
            <a:ext uri="{FF2B5EF4-FFF2-40B4-BE49-F238E27FC236}">
              <a16:creationId xmlns:a16="http://schemas.microsoft.com/office/drawing/2014/main" id="{00000000-0008-0000-0500-000049000000}"/>
            </a:ext>
          </a:extLst>
        </xdr:cNvPr>
        <xdr:cNvSpPr/>
      </xdr:nvSpPr>
      <xdr:spPr>
        <a:xfrm rot="1586846">
          <a:off x="2957512" y="3733801"/>
          <a:ext cx="88433" cy="45719"/>
        </a:xfrm>
        <a:prstGeom prst="flowChartProcess">
          <a:avLst/>
        </a:prstGeom>
        <a:solidFill>
          <a:srgbClr val="00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28</xdr:col>
      <xdr:colOff>19051</xdr:colOff>
      <xdr:row>19</xdr:row>
      <xdr:rowOff>166686</xdr:rowOff>
    </xdr:from>
    <xdr:to>
      <xdr:col>29</xdr:col>
      <xdr:colOff>50334</xdr:colOff>
      <xdr:row>20</xdr:row>
      <xdr:rowOff>2855</xdr:rowOff>
    </xdr:to>
    <xdr:sp macro="" textlink="">
      <xdr:nvSpPr>
        <xdr:cNvPr id="74" name="Diagrama de flujo: proceso 92">
          <a:extLst>
            <a:ext uri="{FF2B5EF4-FFF2-40B4-BE49-F238E27FC236}">
              <a16:creationId xmlns:a16="http://schemas.microsoft.com/office/drawing/2014/main" id="{00000000-0008-0000-0500-00004A000000}"/>
            </a:ext>
          </a:extLst>
        </xdr:cNvPr>
        <xdr:cNvSpPr/>
      </xdr:nvSpPr>
      <xdr:spPr>
        <a:xfrm rot="1078677">
          <a:off x="3028951" y="3767136"/>
          <a:ext cx="88433" cy="45719"/>
        </a:xfrm>
        <a:prstGeom prst="flowChartProcess">
          <a:avLst/>
        </a:prstGeom>
        <a:solidFill>
          <a:srgbClr val="00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23</xdr:col>
      <xdr:colOff>30882</xdr:colOff>
      <xdr:row>19</xdr:row>
      <xdr:rowOff>2456</xdr:rowOff>
    </xdr:from>
    <xdr:to>
      <xdr:col>24</xdr:col>
      <xdr:colOff>19451</xdr:colOff>
      <xdr:row>19</xdr:row>
      <xdr:rowOff>90889</xdr:rowOff>
    </xdr:to>
    <xdr:sp macro="" textlink="">
      <xdr:nvSpPr>
        <xdr:cNvPr id="75" name="Diagrama de flujo: proceso 93">
          <a:extLst>
            <a:ext uri="{FF2B5EF4-FFF2-40B4-BE49-F238E27FC236}">
              <a16:creationId xmlns:a16="http://schemas.microsoft.com/office/drawing/2014/main" id="{00000000-0008-0000-0500-00004B000000}"/>
            </a:ext>
          </a:extLst>
        </xdr:cNvPr>
        <xdr:cNvSpPr/>
      </xdr:nvSpPr>
      <xdr:spPr>
        <a:xfrm rot="2826615">
          <a:off x="2733675" y="3624263"/>
          <a:ext cx="88433" cy="45719"/>
        </a:xfrm>
        <a:prstGeom prst="flowChartProcess">
          <a:avLst/>
        </a:prstGeom>
        <a:solidFill>
          <a:srgbClr val="00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22</xdr:col>
      <xdr:colOff>45170</xdr:colOff>
      <xdr:row>18</xdr:row>
      <xdr:rowOff>140568</xdr:rowOff>
    </xdr:from>
    <xdr:to>
      <xdr:col>23</xdr:col>
      <xdr:colOff>33739</xdr:colOff>
      <xdr:row>19</xdr:row>
      <xdr:rowOff>19451</xdr:rowOff>
    </xdr:to>
    <xdr:sp macro="" textlink="">
      <xdr:nvSpPr>
        <xdr:cNvPr id="76" name="Diagrama de flujo: proceso 94">
          <a:extLst>
            <a:ext uri="{FF2B5EF4-FFF2-40B4-BE49-F238E27FC236}">
              <a16:creationId xmlns:a16="http://schemas.microsoft.com/office/drawing/2014/main" id="{00000000-0008-0000-0500-00004C000000}"/>
            </a:ext>
          </a:extLst>
        </xdr:cNvPr>
        <xdr:cNvSpPr/>
      </xdr:nvSpPr>
      <xdr:spPr>
        <a:xfrm rot="4031437">
          <a:off x="2690813" y="3552825"/>
          <a:ext cx="88433" cy="45719"/>
        </a:xfrm>
        <a:prstGeom prst="flowChartProcess">
          <a:avLst/>
        </a:prstGeom>
        <a:solidFill>
          <a:srgbClr val="00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22</xdr:col>
      <xdr:colOff>16596</xdr:colOff>
      <xdr:row>18</xdr:row>
      <xdr:rowOff>69132</xdr:rowOff>
    </xdr:from>
    <xdr:to>
      <xdr:col>23</xdr:col>
      <xdr:colOff>5165</xdr:colOff>
      <xdr:row>18</xdr:row>
      <xdr:rowOff>157565</xdr:rowOff>
    </xdr:to>
    <xdr:sp macro="" textlink="">
      <xdr:nvSpPr>
        <xdr:cNvPr id="77" name="Diagrama de flujo: proceso 95">
          <a:extLst>
            <a:ext uri="{FF2B5EF4-FFF2-40B4-BE49-F238E27FC236}">
              <a16:creationId xmlns:a16="http://schemas.microsoft.com/office/drawing/2014/main" id="{00000000-0008-0000-0500-00004D000000}"/>
            </a:ext>
          </a:extLst>
        </xdr:cNvPr>
        <xdr:cNvSpPr/>
      </xdr:nvSpPr>
      <xdr:spPr>
        <a:xfrm rot="4138517">
          <a:off x="2662239" y="3481389"/>
          <a:ext cx="88433" cy="45719"/>
        </a:xfrm>
        <a:prstGeom prst="flowChartProcess">
          <a:avLst/>
        </a:prstGeom>
        <a:solidFill>
          <a:srgbClr val="00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21</xdr:col>
      <xdr:colOff>45169</xdr:colOff>
      <xdr:row>17</xdr:row>
      <xdr:rowOff>202481</xdr:rowOff>
    </xdr:from>
    <xdr:to>
      <xdr:col>22</xdr:col>
      <xdr:colOff>33738</xdr:colOff>
      <xdr:row>18</xdr:row>
      <xdr:rowOff>81364</xdr:rowOff>
    </xdr:to>
    <xdr:sp macro="" textlink="">
      <xdr:nvSpPr>
        <xdr:cNvPr id="78" name="Diagrama de flujo: proceso 96">
          <a:extLst>
            <a:ext uri="{FF2B5EF4-FFF2-40B4-BE49-F238E27FC236}">
              <a16:creationId xmlns:a16="http://schemas.microsoft.com/office/drawing/2014/main" id="{00000000-0008-0000-0500-00004E000000}"/>
            </a:ext>
          </a:extLst>
        </xdr:cNvPr>
        <xdr:cNvSpPr/>
      </xdr:nvSpPr>
      <xdr:spPr>
        <a:xfrm rot="4390399">
          <a:off x="2633662" y="3405188"/>
          <a:ext cx="88433" cy="45719"/>
        </a:xfrm>
        <a:prstGeom prst="flowChartProcess">
          <a:avLst/>
        </a:prstGeom>
        <a:solidFill>
          <a:srgbClr val="00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36</xdr:col>
      <xdr:colOff>5315</xdr:colOff>
      <xdr:row>22</xdr:row>
      <xdr:rowOff>34791</xdr:rowOff>
    </xdr:from>
    <xdr:to>
      <xdr:col>36</xdr:col>
      <xdr:colOff>51034</xdr:colOff>
      <xdr:row>22</xdr:row>
      <xdr:rowOff>121218</xdr:rowOff>
    </xdr:to>
    <xdr:sp macro="" textlink="">
      <xdr:nvSpPr>
        <xdr:cNvPr id="79" name="Diagrama de flujo: proceso 97">
          <a:extLst>
            <a:ext uri="{FF2B5EF4-FFF2-40B4-BE49-F238E27FC236}">
              <a16:creationId xmlns:a16="http://schemas.microsoft.com/office/drawing/2014/main" id="{00000000-0008-0000-0500-00004F000000}"/>
            </a:ext>
          </a:extLst>
        </xdr:cNvPr>
        <xdr:cNvSpPr/>
      </xdr:nvSpPr>
      <xdr:spPr>
        <a:xfrm rot="4859322">
          <a:off x="3452061" y="4284245"/>
          <a:ext cx="86427" cy="45719"/>
        </a:xfrm>
        <a:prstGeom prst="flowChartProcess">
          <a:avLst/>
        </a:prstGeom>
        <a:solidFill>
          <a:srgbClr val="00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35</xdr:col>
      <xdr:colOff>42411</xdr:colOff>
      <xdr:row>21</xdr:row>
      <xdr:rowOff>167139</xdr:rowOff>
    </xdr:from>
    <xdr:to>
      <xdr:col>36</xdr:col>
      <xdr:colOff>32985</xdr:colOff>
      <xdr:row>22</xdr:row>
      <xdr:rowOff>43013</xdr:rowOff>
    </xdr:to>
    <xdr:sp macro="" textlink="">
      <xdr:nvSpPr>
        <xdr:cNvPr id="80" name="Diagrama de flujo: proceso 98">
          <a:extLst>
            <a:ext uri="{FF2B5EF4-FFF2-40B4-BE49-F238E27FC236}">
              <a16:creationId xmlns:a16="http://schemas.microsoft.com/office/drawing/2014/main" id="{00000000-0008-0000-0500-000050000000}"/>
            </a:ext>
          </a:extLst>
        </xdr:cNvPr>
        <xdr:cNvSpPr/>
      </xdr:nvSpPr>
      <xdr:spPr>
        <a:xfrm rot="3732269">
          <a:off x="3433511" y="4205539"/>
          <a:ext cx="85424" cy="47724"/>
        </a:xfrm>
        <a:prstGeom prst="flowChartProcess">
          <a:avLst/>
        </a:prstGeom>
        <a:solidFill>
          <a:srgbClr val="00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34</xdr:col>
      <xdr:colOff>54443</xdr:colOff>
      <xdr:row>21</xdr:row>
      <xdr:rowOff>98959</xdr:rowOff>
    </xdr:from>
    <xdr:to>
      <xdr:col>35</xdr:col>
      <xdr:colOff>45018</xdr:colOff>
      <xdr:row>21</xdr:row>
      <xdr:rowOff>185386</xdr:rowOff>
    </xdr:to>
    <xdr:sp macro="" textlink="">
      <xdr:nvSpPr>
        <xdr:cNvPr id="81" name="Diagrama de flujo: proceso 99">
          <a:extLst>
            <a:ext uri="{FF2B5EF4-FFF2-40B4-BE49-F238E27FC236}">
              <a16:creationId xmlns:a16="http://schemas.microsoft.com/office/drawing/2014/main" id="{00000000-0008-0000-0500-000051000000}"/>
            </a:ext>
          </a:extLst>
        </xdr:cNvPr>
        <xdr:cNvSpPr/>
      </xdr:nvSpPr>
      <xdr:spPr>
        <a:xfrm rot="3868007">
          <a:off x="3387892" y="4137860"/>
          <a:ext cx="86427" cy="47725"/>
        </a:xfrm>
        <a:prstGeom prst="flowChartProcess">
          <a:avLst/>
        </a:prstGeom>
        <a:solidFill>
          <a:srgbClr val="00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34</xdr:col>
      <xdr:colOff>1304</xdr:colOff>
      <xdr:row>21</xdr:row>
      <xdr:rowOff>25768</xdr:rowOff>
    </xdr:from>
    <xdr:to>
      <xdr:col>34</xdr:col>
      <xdr:colOff>47023</xdr:colOff>
      <xdr:row>21</xdr:row>
      <xdr:rowOff>112195</xdr:rowOff>
    </xdr:to>
    <xdr:sp macro="" textlink="">
      <xdr:nvSpPr>
        <xdr:cNvPr id="82" name="Diagrama de flujo: proceso 100">
          <a:extLst>
            <a:ext uri="{FF2B5EF4-FFF2-40B4-BE49-F238E27FC236}">
              <a16:creationId xmlns:a16="http://schemas.microsoft.com/office/drawing/2014/main" id="{00000000-0008-0000-0500-000052000000}"/>
            </a:ext>
          </a:extLst>
        </xdr:cNvPr>
        <xdr:cNvSpPr/>
      </xdr:nvSpPr>
      <xdr:spPr>
        <a:xfrm rot="3362167">
          <a:off x="3333750" y="4065672"/>
          <a:ext cx="86427" cy="45719"/>
        </a:xfrm>
        <a:prstGeom prst="flowChartProcess">
          <a:avLst/>
        </a:prstGeom>
        <a:solidFill>
          <a:srgbClr val="00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33</xdr:col>
      <xdr:colOff>8323</xdr:colOff>
      <xdr:row>20</xdr:row>
      <xdr:rowOff>163128</xdr:rowOff>
    </xdr:from>
    <xdr:to>
      <xdr:col>33</xdr:col>
      <xdr:colOff>54042</xdr:colOff>
      <xdr:row>21</xdr:row>
      <xdr:rowOff>39002</xdr:rowOff>
    </xdr:to>
    <xdr:sp macro="" textlink="">
      <xdr:nvSpPr>
        <xdr:cNvPr id="83" name="Diagrama de flujo: proceso 101">
          <a:extLst>
            <a:ext uri="{FF2B5EF4-FFF2-40B4-BE49-F238E27FC236}">
              <a16:creationId xmlns:a16="http://schemas.microsoft.com/office/drawing/2014/main" id="{00000000-0008-0000-0500-000053000000}"/>
            </a:ext>
          </a:extLst>
        </xdr:cNvPr>
        <xdr:cNvSpPr/>
      </xdr:nvSpPr>
      <xdr:spPr>
        <a:xfrm rot="3533635">
          <a:off x="3284121" y="3992980"/>
          <a:ext cx="85424" cy="45719"/>
        </a:xfrm>
        <a:prstGeom prst="flowChartProcess">
          <a:avLst/>
        </a:prstGeom>
        <a:solidFill>
          <a:srgbClr val="00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30</xdr:col>
      <xdr:colOff>29378</xdr:colOff>
      <xdr:row>20</xdr:row>
      <xdr:rowOff>13986</xdr:rowOff>
    </xdr:from>
    <xdr:to>
      <xdr:col>31</xdr:col>
      <xdr:colOff>19952</xdr:colOff>
      <xdr:row>20</xdr:row>
      <xdr:rowOff>100413</xdr:rowOff>
    </xdr:to>
    <xdr:sp macro="" textlink="">
      <xdr:nvSpPr>
        <xdr:cNvPr id="84" name="Diagrama de flujo: proceso 102">
          <a:extLst>
            <a:ext uri="{FF2B5EF4-FFF2-40B4-BE49-F238E27FC236}">
              <a16:creationId xmlns:a16="http://schemas.microsoft.com/office/drawing/2014/main" id="{00000000-0008-0000-0500-000054000000}"/>
            </a:ext>
          </a:extLst>
        </xdr:cNvPr>
        <xdr:cNvSpPr/>
      </xdr:nvSpPr>
      <xdr:spPr>
        <a:xfrm rot="2864506">
          <a:off x="3134226" y="3843338"/>
          <a:ext cx="86427" cy="47724"/>
        </a:xfrm>
        <a:prstGeom prst="flowChartProcess">
          <a:avLst/>
        </a:prstGeom>
        <a:solidFill>
          <a:srgbClr val="00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29</xdr:col>
      <xdr:colOff>29076</xdr:colOff>
      <xdr:row>20</xdr:row>
      <xdr:rowOff>9027</xdr:rowOff>
    </xdr:from>
    <xdr:to>
      <xdr:col>31</xdr:col>
      <xdr:colOff>5214</xdr:colOff>
      <xdr:row>20</xdr:row>
      <xdr:rowOff>54746</xdr:rowOff>
    </xdr:to>
    <xdr:sp macro="" textlink="">
      <xdr:nvSpPr>
        <xdr:cNvPr id="85" name="Diagrama de flujo: proceso 104">
          <a:extLst>
            <a:ext uri="{FF2B5EF4-FFF2-40B4-BE49-F238E27FC236}">
              <a16:creationId xmlns:a16="http://schemas.microsoft.com/office/drawing/2014/main" id="{00000000-0008-0000-0500-000055000000}"/>
            </a:ext>
          </a:extLst>
        </xdr:cNvPr>
        <xdr:cNvSpPr/>
      </xdr:nvSpPr>
      <xdr:spPr>
        <a:xfrm rot="2330212">
          <a:off x="3096126" y="3819027"/>
          <a:ext cx="90438" cy="45719"/>
        </a:xfrm>
        <a:prstGeom prst="flowChartProcess">
          <a:avLst/>
        </a:prstGeom>
        <a:solidFill>
          <a:srgbClr val="00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37</xdr:col>
      <xdr:colOff>10327</xdr:colOff>
      <xdr:row>23</xdr:row>
      <xdr:rowOff>145080</xdr:rowOff>
    </xdr:from>
    <xdr:to>
      <xdr:col>38</xdr:col>
      <xdr:colOff>901</xdr:colOff>
      <xdr:row>24</xdr:row>
      <xdr:rowOff>20954</xdr:rowOff>
    </xdr:to>
    <xdr:sp macro="" textlink="">
      <xdr:nvSpPr>
        <xdr:cNvPr id="86" name="Diagrama de flujo: proceso 105">
          <a:extLst>
            <a:ext uri="{FF2B5EF4-FFF2-40B4-BE49-F238E27FC236}">
              <a16:creationId xmlns:a16="http://schemas.microsoft.com/office/drawing/2014/main" id="{00000000-0008-0000-0500-000056000000}"/>
            </a:ext>
          </a:extLst>
        </xdr:cNvPr>
        <xdr:cNvSpPr/>
      </xdr:nvSpPr>
      <xdr:spPr>
        <a:xfrm rot="4845027">
          <a:off x="3515727" y="4602580"/>
          <a:ext cx="85424" cy="47724"/>
        </a:xfrm>
        <a:prstGeom prst="flowChartProcess">
          <a:avLst/>
        </a:prstGeom>
        <a:solidFill>
          <a:srgbClr val="00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37</xdr:col>
      <xdr:colOff>2306</xdr:colOff>
      <xdr:row>23</xdr:row>
      <xdr:rowOff>61862</xdr:rowOff>
    </xdr:from>
    <xdr:to>
      <xdr:col>37</xdr:col>
      <xdr:colOff>48025</xdr:colOff>
      <xdr:row>23</xdr:row>
      <xdr:rowOff>148289</xdr:rowOff>
    </xdr:to>
    <xdr:sp macro="" textlink="">
      <xdr:nvSpPr>
        <xdr:cNvPr id="87" name="Diagrama de flujo: proceso 106">
          <a:extLst>
            <a:ext uri="{FF2B5EF4-FFF2-40B4-BE49-F238E27FC236}">
              <a16:creationId xmlns:a16="http://schemas.microsoft.com/office/drawing/2014/main" id="{00000000-0008-0000-0500-000057000000}"/>
            </a:ext>
          </a:extLst>
        </xdr:cNvPr>
        <xdr:cNvSpPr/>
      </xdr:nvSpPr>
      <xdr:spPr>
        <a:xfrm rot="5400000">
          <a:off x="3506202" y="4520866"/>
          <a:ext cx="86427" cy="45719"/>
        </a:xfrm>
        <a:prstGeom prst="flowChartProcess">
          <a:avLst/>
        </a:prstGeom>
        <a:solidFill>
          <a:srgbClr val="00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36</xdr:col>
      <xdr:colOff>39405</xdr:colOff>
      <xdr:row>22</xdr:row>
      <xdr:rowOff>189195</xdr:rowOff>
    </xdr:from>
    <xdr:to>
      <xdr:col>37</xdr:col>
      <xdr:colOff>29979</xdr:colOff>
      <xdr:row>23</xdr:row>
      <xdr:rowOff>65070</xdr:rowOff>
    </xdr:to>
    <xdr:sp macro="" textlink="">
      <xdr:nvSpPr>
        <xdr:cNvPr id="88" name="Diagrama de flujo: proceso 107">
          <a:extLst>
            <a:ext uri="{FF2B5EF4-FFF2-40B4-BE49-F238E27FC236}">
              <a16:creationId xmlns:a16="http://schemas.microsoft.com/office/drawing/2014/main" id="{00000000-0008-0000-0500-000058000000}"/>
            </a:ext>
          </a:extLst>
        </xdr:cNvPr>
        <xdr:cNvSpPr/>
      </xdr:nvSpPr>
      <xdr:spPr>
        <a:xfrm rot="4554718">
          <a:off x="3487654" y="4437146"/>
          <a:ext cx="85425" cy="47724"/>
        </a:xfrm>
        <a:prstGeom prst="flowChartProcess">
          <a:avLst/>
        </a:prstGeom>
        <a:solidFill>
          <a:srgbClr val="00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39</xdr:col>
      <xdr:colOff>41410</xdr:colOff>
      <xdr:row>27</xdr:row>
      <xdr:rowOff>60857</xdr:rowOff>
    </xdr:from>
    <xdr:to>
      <xdr:col>40</xdr:col>
      <xdr:colOff>31984</xdr:colOff>
      <xdr:row>27</xdr:row>
      <xdr:rowOff>147284</xdr:rowOff>
    </xdr:to>
    <xdr:sp macro="" textlink="">
      <xdr:nvSpPr>
        <xdr:cNvPr id="89" name="Diagrama de flujo: proceso 108">
          <a:extLst>
            <a:ext uri="{FF2B5EF4-FFF2-40B4-BE49-F238E27FC236}">
              <a16:creationId xmlns:a16="http://schemas.microsoft.com/office/drawing/2014/main" id="{00000000-0008-0000-0500-000059000000}"/>
            </a:ext>
          </a:extLst>
        </xdr:cNvPr>
        <xdr:cNvSpPr/>
      </xdr:nvSpPr>
      <xdr:spPr>
        <a:xfrm rot="5026887">
          <a:off x="3660608" y="5357059"/>
          <a:ext cx="86427" cy="47724"/>
        </a:xfrm>
        <a:prstGeom prst="flowChartProcess">
          <a:avLst/>
        </a:prstGeom>
        <a:solidFill>
          <a:srgbClr val="00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36</xdr:col>
      <xdr:colOff>18347</xdr:colOff>
      <xdr:row>22</xdr:row>
      <xdr:rowOff>112995</xdr:rowOff>
    </xdr:from>
    <xdr:to>
      <xdr:col>37</xdr:col>
      <xdr:colOff>8921</xdr:colOff>
      <xdr:row>22</xdr:row>
      <xdr:rowOff>199422</xdr:rowOff>
    </xdr:to>
    <xdr:sp macro="" textlink="">
      <xdr:nvSpPr>
        <xdr:cNvPr id="90" name="Diagrama de flujo: proceso 109">
          <a:extLst>
            <a:ext uri="{FF2B5EF4-FFF2-40B4-BE49-F238E27FC236}">
              <a16:creationId xmlns:a16="http://schemas.microsoft.com/office/drawing/2014/main" id="{00000000-0008-0000-0500-00005A000000}"/>
            </a:ext>
          </a:extLst>
        </xdr:cNvPr>
        <xdr:cNvSpPr/>
      </xdr:nvSpPr>
      <xdr:spPr>
        <a:xfrm rot="4423127">
          <a:off x="3466095" y="4361447"/>
          <a:ext cx="86427" cy="47724"/>
        </a:xfrm>
        <a:prstGeom prst="flowChartProcess">
          <a:avLst/>
        </a:prstGeom>
        <a:solidFill>
          <a:srgbClr val="00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38</xdr:col>
      <xdr:colOff>301</xdr:colOff>
      <xdr:row>25</xdr:row>
      <xdr:rowOff>4714</xdr:rowOff>
    </xdr:from>
    <xdr:to>
      <xdr:col>38</xdr:col>
      <xdr:colOff>46020</xdr:colOff>
      <xdr:row>25</xdr:row>
      <xdr:rowOff>91141</xdr:rowOff>
    </xdr:to>
    <xdr:sp macro="" textlink="">
      <xdr:nvSpPr>
        <xdr:cNvPr id="91" name="Diagrama de flujo: proceso 110">
          <a:extLst>
            <a:ext uri="{FF2B5EF4-FFF2-40B4-BE49-F238E27FC236}">
              <a16:creationId xmlns:a16="http://schemas.microsoft.com/office/drawing/2014/main" id="{00000000-0008-0000-0500-00005B000000}"/>
            </a:ext>
          </a:extLst>
        </xdr:cNvPr>
        <xdr:cNvSpPr/>
      </xdr:nvSpPr>
      <xdr:spPr>
        <a:xfrm rot="15798131">
          <a:off x="3561347" y="4882818"/>
          <a:ext cx="86427" cy="45719"/>
        </a:xfrm>
        <a:prstGeom prst="flowChartProcess">
          <a:avLst/>
        </a:prstGeom>
        <a:solidFill>
          <a:srgbClr val="00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38</xdr:col>
      <xdr:colOff>27373</xdr:colOff>
      <xdr:row>24</xdr:row>
      <xdr:rowOff>147085</xdr:rowOff>
    </xdr:from>
    <xdr:to>
      <xdr:col>39</xdr:col>
      <xdr:colOff>17948</xdr:colOff>
      <xdr:row>25</xdr:row>
      <xdr:rowOff>22960</xdr:rowOff>
    </xdr:to>
    <xdr:sp macro="" textlink="">
      <xdr:nvSpPr>
        <xdr:cNvPr id="92" name="Diagrama de flujo: proceso 111">
          <a:extLst>
            <a:ext uri="{FF2B5EF4-FFF2-40B4-BE49-F238E27FC236}">
              <a16:creationId xmlns:a16="http://schemas.microsoft.com/office/drawing/2014/main" id="{00000000-0008-0000-0500-00005C000000}"/>
            </a:ext>
          </a:extLst>
        </xdr:cNvPr>
        <xdr:cNvSpPr/>
      </xdr:nvSpPr>
      <xdr:spPr>
        <a:xfrm rot="18121146">
          <a:off x="3589923" y="4814135"/>
          <a:ext cx="85425" cy="47725"/>
        </a:xfrm>
        <a:prstGeom prst="flowChartProcess">
          <a:avLst/>
        </a:prstGeom>
        <a:solidFill>
          <a:srgbClr val="00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37</xdr:col>
      <xdr:colOff>45146</xdr:colOff>
      <xdr:row>24</xdr:row>
      <xdr:rowOff>13736</xdr:rowOff>
    </xdr:from>
    <xdr:to>
      <xdr:col>38</xdr:col>
      <xdr:colOff>35720</xdr:colOff>
      <xdr:row>24</xdr:row>
      <xdr:rowOff>196616</xdr:rowOff>
    </xdr:to>
    <xdr:sp macro="" textlink="">
      <xdr:nvSpPr>
        <xdr:cNvPr id="93" name="Diagrama de flujo: proceso 113">
          <a:extLst>
            <a:ext uri="{FF2B5EF4-FFF2-40B4-BE49-F238E27FC236}">
              <a16:creationId xmlns:a16="http://schemas.microsoft.com/office/drawing/2014/main" id="{00000000-0008-0000-0500-00005D000000}"/>
            </a:ext>
          </a:extLst>
        </xdr:cNvPr>
        <xdr:cNvSpPr/>
      </xdr:nvSpPr>
      <xdr:spPr>
        <a:xfrm rot="4404803">
          <a:off x="3501818" y="4729514"/>
          <a:ext cx="182880" cy="47724"/>
        </a:xfrm>
        <a:prstGeom prst="flowChartProcess">
          <a:avLst/>
        </a:prstGeom>
        <a:solidFill>
          <a:srgbClr val="00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38</xdr:col>
      <xdr:colOff>22112</xdr:colOff>
      <xdr:row>25</xdr:row>
      <xdr:rowOff>165482</xdr:rowOff>
    </xdr:from>
    <xdr:to>
      <xdr:col>39</xdr:col>
      <xdr:colOff>12687</xdr:colOff>
      <xdr:row>26</xdr:row>
      <xdr:rowOff>10500</xdr:rowOff>
    </xdr:to>
    <xdr:sp macro="" textlink="">
      <xdr:nvSpPr>
        <xdr:cNvPr id="94" name="Diagrama de flujo: proceso 114">
          <a:extLst>
            <a:ext uri="{FF2B5EF4-FFF2-40B4-BE49-F238E27FC236}">
              <a16:creationId xmlns:a16="http://schemas.microsoft.com/office/drawing/2014/main" id="{00000000-0008-0000-0500-00005E000000}"/>
            </a:ext>
          </a:extLst>
        </xdr:cNvPr>
        <xdr:cNvSpPr/>
      </xdr:nvSpPr>
      <xdr:spPr>
        <a:xfrm rot="4669093">
          <a:off x="3600091" y="5026653"/>
          <a:ext cx="54568" cy="47725"/>
        </a:xfrm>
        <a:prstGeom prst="flowChartProcess">
          <a:avLst/>
        </a:prstGeom>
        <a:solidFill>
          <a:srgbClr val="00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38</xdr:col>
      <xdr:colOff>2308</xdr:colOff>
      <xdr:row>25</xdr:row>
      <xdr:rowOff>91941</xdr:rowOff>
    </xdr:from>
    <xdr:to>
      <xdr:col>38</xdr:col>
      <xdr:colOff>48027</xdr:colOff>
      <xdr:row>25</xdr:row>
      <xdr:rowOff>178368</xdr:rowOff>
    </xdr:to>
    <xdr:sp macro="" textlink="">
      <xdr:nvSpPr>
        <xdr:cNvPr id="95" name="Diagrama de flujo: proceso 115">
          <a:extLst>
            <a:ext uri="{FF2B5EF4-FFF2-40B4-BE49-F238E27FC236}">
              <a16:creationId xmlns:a16="http://schemas.microsoft.com/office/drawing/2014/main" id="{00000000-0008-0000-0500-00005F000000}"/>
            </a:ext>
          </a:extLst>
        </xdr:cNvPr>
        <xdr:cNvSpPr/>
      </xdr:nvSpPr>
      <xdr:spPr>
        <a:xfrm rot="4959554">
          <a:off x="3563354" y="4970045"/>
          <a:ext cx="86427" cy="45719"/>
        </a:xfrm>
        <a:prstGeom prst="flowChartProcess">
          <a:avLst/>
        </a:prstGeom>
        <a:solidFill>
          <a:srgbClr val="00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39</xdr:col>
      <xdr:colOff>25367</xdr:colOff>
      <xdr:row>26</xdr:row>
      <xdr:rowOff>64871</xdr:rowOff>
    </xdr:from>
    <xdr:to>
      <xdr:col>40</xdr:col>
      <xdr:colOff>15941</xdr:colOff>
      <xdr:row>26</xdr:row>
      <xdr:rowOff>151298</xdr:rowOff>
    </xdr:to>
    <xdr:sp macro="" textlink="">
      <xdr:nvSpPr>
        <xdr:cNvPr id="96" name="Diagrama de flujo: proceso 116">
          <a:extLst>
            <a:ext uri="{FF2B5EF4-FFF2-40B4-BE49-F238E27FC236}">
              <a16:creationId xmlns:a16="http://schemas.microsoft.com/office/drawing/2014/main" id="{00000000-0008-0000-0500-000060000000}"/>
            </a:ext>
          </a:extLst>
        </xdr:cNvPr>
        <xdr:cNvSpPr/>
      </xdr:nvSpPr>
      <xdr:spPr>
        <a:xfrm rot="3152983">
          <a:off x="3644565" y="5151523"/>
          <a:ext cx="86427" cy="47724"/>
        </a:xfrm>
        <a:prstGeom prst="flowChartProcess">
          <a:avLst/>
        </a:prstGeom>
        <a:solidFill>
          <a:srgbClr val="00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38</xdr:col>
      <xdr:colOff>42408</xdr:colOff>
      <xdr:row>26</xdr:row>
      <xdr:rowOff>1704</xdr:rowOff>
    </xdr:from>
    <xdr:to>
      <xdr:col>39</xdr:col>
      <xdr:colOff>32983</xdr:colOff>
      <xdr:row>26</xdr:row>
      <xdr:rowOff>88131</xdr:rowOff>
    </xdr:to>
    <xdr:sp macro="" textlink="">
      <xdr:nvSpPr>
        <xdr:cNvPr id="97" name="Diagrama de flujo: proceso 117">
          <a:extLst>
            <a:ext uri="{FF2B5EF4-FFF2-40B4-BE49-F238E27FC236}">
              <a16:creationId xmlns:a16="http://schemas.microsoft.com/office/drawing/2014/main" id="{00000000-0008-0000-0500-000061000000}"/>
            </a:ext>
          </a:extLst>
        </xdr:cNvPr>
        <xdr:cNvSpPr/>
      </xdr:nvSpPr>
      <xdr:spPr>
        <a:xfrm rot="4208476">
          <a:off x="3604457" y="5088355"/>
          <a:ext cx="86427" cy="47725"/>
        </a:xfrm>
        <a:prstGeom prst="flowChartProcess">
          <a:avLst/>
        </a:prstGeom>
        <a:solidFill>
          <a:srgbClr val="00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39</xdr:col>
      <xdr:colOff>35393</xdr:colOff>
      <xdr:row>26</xdr:row>
      <xdr:rowOff>205238</xdr:rowOff>
    </xdr:from>
    <xdr:to>
      <xdr:col>40</xdr:col>
      <xdr:colOff>25967</xdr:colOff>
      <xdr:row>27</xdr:row>
      <xdr:rowOff>81112</xdr:rowOff>
    </xdr:to>
    <xdr:sp macro="" textlink="">
      <xdr:nvSpPr>
        <xdr:cNvPr id="98" name="Diagrama de flujo: proceso 118">
          <a:extLst>
            <a:ext uri="{FF2B5EF4-FFF2-40B4-BE49-F238E27FC236}">
              <a16:creationId xmlns:a16="http://schemas.microsoft.com/office/drawing/2014/main" id="{00000000-0008-0000-0500-000062000000}"/>
            </a:ext>
          </a:extLst>
        </xdr:cNvPr>
        <xdr:cNvSpPr/>
      </xdr:nvSpPr>
      <xdr:spPr>
        <a:xfrm rot="4940861">
          <a:off x="3655093" y="5291388"/>
          <a:ext cx="85424" cy="47724"/>
        </a:xfrm>
        <a:prstGeom prst="flowChartProcess">
          <a:avLst/>
        </a:prstGeom>
        <a:solidFill>
          <a:srgbClr val="00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39</xdr:col>
      <xdr:colOff>37398</xdr:colOff>
      <xdr:row>26</xdr:row>
      <xdr:rowOff>132046</xdr:rowOff>
    </xdr:from>
    <xdr:to>
      <xdr:col>40</xdr:col>
      <xdr:colOff>27972</xdr:colOff>
      <xdr:row>27</xdr:row>
      <xdr:rowOff>7920</xdr:rowOff>
    </xdr:to>
    <xdr:sp macro="" textlink="">
      <xdr:nvSpPr>
        <xdr:cNvPr id="99" name="Diagrama de flujo: proceso 119">
          <a:extLst>
            <a:ext uri="{FF2B5EF4-FFF2-40B4-BE49-F238E27FC236}">
              <a16:creationId xmlns:a16="http://schemas.microsoft.com/office/drawing/2014/main" id="{00000000-0008-0000-0500-000063000000}"/>
            </a:ext>
          </a:extLst>
        </xdr:cNvPr>
        <xdr:cNvSpPr/>
      </xdr:nvSpPr>
      <xdr:spPr>
        <a:xfrm rot="5592153">
          <a:off x="3657098" y="5218196"/>
          <a:ext cx="85424" cy="47724"/>
        </a:xfrm>
        <a:prstGeom prst="flowChartProcess">
          <a:avLst/>
        </a:prstGeom>
        <a:solidFill>
          <a:srgbClr val="00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27</xdr:col>
      <xdr:colOff>53916</xdr:colOff>
      <xdr:row>19</xdr:row>
      <xdr:rowOff>162833</xdr:rowOff>
    </xdr:from>
    <xdr:to>
      <xdr:col>29</xdr:col>
      <xdr:colOff>34231</xdr:colOff>
      <xdr:row>20</xdr:row>
      <xdr:rowOff>2178</xdr:rowOff>
    </xdr:to>
    <xdr:sp macro="" textlink="">
      <xdr:nvSpPr>
        <xdr:cNvPr id="100" name="Diagrama de flujo: proceso 120">
          <a:extLst>
            <a:ext uri="{FF2B5EF4-FFF2-40B4-BE49-F238E27FC236}">
              <a16:creationId xmlns:a16="http://schemas.microsoft.com/office/drawing/2014/main" id="{00000000-0008-0000-0500-000064000000}"/>
            </a:ext>
          </a:extLst>
        </xdr:cNvPr>
        <xdr:cNvSpPr/>
      </xdr:nvSpPr>
      <xdr:spPr>
        <a:xfrm rot="18606262">
          <a:off x="3029526" y="3740423"/>
          <a:ext cx="48895" cy="94615"/>
        </a:xfrm>
        <a:prstGeom prst="flowChartProcess">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31</xdr:col>
      <xdr:colOff>5093</xdr:colOff>
      <xdr:row>20</xdr:row>
      <xdr:rowOff>130233</xdr:rowOff>
    </xdr:from>
    <xdr:to>
      <xdr:col>34</xdr:col>
      <xdr:colOff>21286</xdr:colOff>
      <xdr:row>20</xdr:row>
      <xdr:rowOff>180646</xdr:rowOff>
    </xdr:to>
    <xdr:sp macro="" textlink="">
      <xdr:nvSpPr>
        <xdr:cNvPr id="101" name="Diagrama de flujo: proceso 122">
          <a:extLst>
            <a:ext uri="{FF2B5EF4-FFF2-40B4-BE49-F238E27FC236}">
              <a16:creationId xmlns:a16="http://schemas.microsoft.com/office/drawing/2014/main" id="{00000000-0008-0000-0500-000065000000}"/>
            </a:ext>
          </a:extLst>
        </xdr:cNvPr>
        <xdr:cNvSpPr/>
      </xdr:nvSpPr>
      <xdr:spPr>
        <a:xfrm rot="2152109">
          <a:off x="3186443" y="3940233"/>
          <a:ext cx="187643" cy="50413"/>
        </a:xfrm>
        <a:prstGeom prst="flowChartProcess">
          <a:avLst/>
        </a:prstGeom>
        <a:solidFill>
          <a:srgbClr val="00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41</xdr:col>
      <xdr:colOff>40633</xdr:colOff>
      <xdr:row>28</xdr:row>
      <xdr:rowOff>123722</xdr:rowOff>
    </xdr:from>
    <xdr:to>
      <xdr:col>43</xdr:col>
      <xdr:colOff>12821</xdr:colOff>
      <xdr:row>28</xdr:row>
      <xdr:rowOff>172505</xdr:rowOff>
    </xdr:to>
    <xdr:sp macro="" textlink="">
      <xdr:nvSpPr>
        <xdr:cNvPr id="102" name="Diagrama de flujo: proceso 128">
          <a:extLst>
            <a:ext uri="{FF2B5EF4-FFF2-40B4-BE49-F238E27FC236}">
              <a16:creationId xmlns:a16="http://schemas.microsoft.com/office/drawing/2014/main" id="{00000000-0008-0000-0500-000066000000}"/>
            </a:ext>
          </a:extLst>
        </xdr:cNvPr>
        <xdr:cNvSpPr/>
      </xdr:nvSpPr>
      <xdr:spPr>
        <a:xfrm rot="1054079">
          <a:off x="3793483" y="5610122"/>
          <a:ext cx="86488" cy="48783"/>
        </a:xfrm>
        <a:prstGeom prst="flowChartProcess">
          <a:avLst/>
        </a:prstGeom>
        <a:solidFill>
          <a:srgbClr val="00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40</xdr:col>
      <xdr:colOff>26809</xdr:colOff>
      <xdr:row>28</xdr:row>
      <xdr:rowOff>94336</xdr:rowOff>
    </xdr:from>
    <xdr:to>
      <xdr:col>41</xdr:col>
      <xdr:colOff>52850</xdr:colOff>
      <xdr:row>28</xdr:row>
      <xdr:rowOff>143119</xdr:rowOff>
    </xdr:to>
    <xdr:sp macro="" textlink="">
      <xdr:nvSpPr>
        <xdr:cNvPr id="103" name="Diagrama de flujo: proceso 129">
          <a:extLst>
            <a:ext uri="{FF2B5EF4-FFF2-40B4-BE49-F238E27FC236}">
              <a16:creationId xmlns:a16="http://schemas.microsoft.com/office/drawing/2014/main" id="{00000000-0008-0000-0500-000067000000}"/>
            </a:ext>
          </a:extLst>
        </xdr:cNvPr>
        <xdr:cNvSpPr/>
      </xdr:nvSpPr>
      <xdr:spPr>
        <a:xfrm rot="1831375">
          <a:off x="3722509" y="5580736"/>
          <a:ext cx="83191" cy="48783"/>
        </a:xfrm>
        <a:prstGeom prst="flowChartProcess">
          <a:avLst/>
        </a:prstGeom>
        <a:solidFill>
          <a:srgbClr val="00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40</xdr:col>
      <xdr:colOff>5509</xdr:colOff>
      <xdr:row>28</xdr:row>
      <xdr:rowOff>19517</xdr:rowOff>
    </xdr:from>
    <xdr:to>
      <xdr:col>40</xdr:col>
      <xdr:colOff>54292</xdr:colOff>
      <xdr:row>28</xdr:row>
      <xdr:rowOff>103765</xdr:rowOff>
    </xdr:to>
    <xdr:sp macro="" textlink="">
      <xdr:nvSpPr>
        <xdr:cNvPr id="104" name="Diagrama de flujo: proceso 130">
          <a:extLst>
            <a:ext uri="{FF2B5EF4-FFF2-40B4-BE49-F238E27FC236}">
              <a16:creationId xmlns:a16="http://schemas.microsoft.com/office/drawing/2014/main" id="{00000000-0008-0000-0500-000068000000}"/>
            </a:ext>
          </a:extLst>
        </xdr:cNvPr>
        <xdr:cNvSpPr/>
      </xdr:nvSpPr>
      <xdr:spPr>
        <a:xfrm rot="4800348">
          <a:off x="3683477" y="5523649"/>
          <a:ext cx="84248" cy="48783"/>
        </a:xfrm>
        <a:prstGeom prst="flowChartProcess">
          <a:avLst/>
        </a:prstGeom>
        <a:solidFill>
          <a:srgbClr val="00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39</xdr:col>
      <xdr:colOff>49896</xdr:colOff>
      <xdr:row>27</xdr:row>
      <xdr:rowOff>142972</xdr:rowOff>
    </xdr:from>
    <xdr:to>
      <xdr:col>40</xdr:col>
      <xdr:colOff>42649</xdr:colOff>
      <xdr:row>28</xdr:row>
      <xdr:rowOff>19911</xdr:rowOff>
    </xdr:to>
    <xdr:sp macro="" textlink="">
      <xdr:nvSpPr>
        <xdr:cNvPr id="105" name="Diagrama de flujo: proceso 131">
          <a:extLst>
            <a:ext uri="{FF2B5EF4-FFF2-40B4-BE49-F238E27FC236}">
              <a16:creationId xmlns:a16="http://schemas.microsoft.com/office/drawing/2014/main" id="{00000000-0008-0000-0500-000069000000}"/>
            </a:ext>
          </a:extLst>
        </xdr:cNvPr>
        <xdr:cNvSpPr/>
      </xdr:nvSpPr>
      <xdr:spPr>
        <a:xfrm rot="5002211">
          <a:off x="3670153" y="5438115"/>
          <a:ext cx="86489" cy="49903"/>
        </a:xfrm>
        <a:prstGeom prst="flowChartProcess">
          <a:avLst/>
        </a:prstGeom>
        <a:solidFill>
          <a:srgbClr val="00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44</xdr:col>
      <xdr:colOff>11560</xdr:colOff>
      <xdr:row>28</xdr:row>
      <xdr:rowOff>133558</xdr:rowOff>
    </xdr:from>
    <xdr:to>
      <xdr:col>45</xdr:col>
      <xdr:colOff>39777</xdr:colOff>
      <xdr:row>28</xdr:row>
      <xdr:rowOff>182341</xdr:rowOff>
    </xdr:to>
    <xdr:sp macro="" textlink="">
      <xdr:nvSpPr>
        <xdr:cNvPr id="106" name="Diagrama de flujo: proceso 133">
          <a:extLst>
            <a:ext uri="{FF2B5EF4-FFF2-40B4-BE49-F238E27FC236}">
              <a16:creationId xmlns:a16="http://schemas.microsoft.com/office/drawing/2014/main" id="{00000000-0008-0000-0500-00006A000000}"/>
            </a:ext>
          </a:extLst>
        </xdr:cNvPr>
        <xdr:cNvSpPr/>
      </xdr:nvSpPr>
      <xdr:spPr>
        <a:xfrm>
          <a:off x="3935860" y="5619958"/>
          <a:ext cx="85367" cy="48783"/>
        </a:xfrm>
        <a:prstGeom prst="flowChartProcess">
          <a:avLst/>
        </a:prstGeom>
        <a:solidFill>
          <a:srgbClr val="00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42</xdr:col>
      <xdr:colOff>47853</xdr:colOff>
      <xdr:row>28</xdr:row>
      <xdr:rowOff>138102</xdr:rowOff>
    </xdr:from>
    <xdr:to>
      <xdr:col>44</xdr:col>
      <xdr:colOff>17864</xdr:colOff>
      <xdr:row>28</xdr:row>
      <xdr:rowOff>186885</xdr:rowOff>
    </xdr:to>
    <xdr:sp macro="" textlink="">
      <xdr:nvSpPr>
        <xdr:cNvPr id="107" name="Diagrama de flujo: proceso 134">
          <a:extLst>
            <a:ext uri="{FF2B5EF4-FFF2-40B4-BE49-F238E27FC236}">
              <a16:creationId xmlns:a16="http://schemas.microsoft.com/office/drawing/2014/main" id="{00000000-0008-0000-0500-00006B000000}"/>
            </a:ext>
          </a:extLst>
        </xdr:cNvPr>
        <xdr:cNvSpPr/>
      </xdr:nvSpPr>
      <xdr:spPr>
        <a:xfrm>
          <a:off x="3857853" y="5624502"/>
          <a:ext cx="84311" cy="48783"/>
        </a:xfrm>
        <a:prstGeom prst="flowChartProcess">
          <a:avLst/>
        </a:prstGeom>
        <a:solidFill>
          <a:srgbClr val="00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48</xdr:col>
      <xdr:colOff>54681</xdr:colOff>
      <xdr:row>32</xdr:row>
      <xdr:rowOff>91228</xdr:rowOff>
    </xdr:from>
    <xdr:to>
      <xdr:col>49</xdr:col>
      <xdr:colOff>52739</xdr:colOff>
      <xdr:row>33</xdr:row>
      <xdr:rowOff>158097</xdr:rowOff>
    </xdr:to>
    <xdr:sp macro="" textlink="">
      <xdr:nvSpPr>
        <xdr:cNvPr id="108" name="Diagrama de flujo: proceso 136">
          <a:extLst>
            <a:ext uri="{FF2B5EF4-FFF2-40B4-BE49-F238E27FC236}">
              <a16:creationId xmlns:a16="http://schemas.microsoft.com/office/drawing/2014/main" id="{00000000-0008-0000-0500-00006C000000}"/>
            </a:ext>
          </a:extLst>
        </xdr:cNvPr>
        <xdr:cNvSpPr/>
      </xdr:nvSpPr>
      <xdr:spPr>
        <a:xfrm rot="4831363">
          <a:off x="4035556" y="6735655"/>
          <a:ext cx="277076" cy="53894"/>
        </a:xfrm>
        <a:prstGeom prst="flowChartProcess">
          <a:avLst/>
        </a:prstGeom>
        <a:solidFill>
          <a:srgbClr val="FF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50</xdr:col>
      <xdr:colOff>22226</xdr:colOff>
      <xdr:row>34</xdr:row>
      <xdr:rowOff>100542</xdr:rowOff>
    </xdr:from>
    <xdr:to>
      <xdr:col>51</xdr:col>
      <xdr:colOff>12801</xdr:colOff>
      <xdr:row>34</xdr:row>
      <xdr:rowOff>186969</xdr:rowOff>
    </xdr:to>
    <xdr:sp macro="" textlink="">
      <xdr:nvSpPr>
        <xdr:cNvPr id="109" name="Diagrama de flujo: proceso 137">
          <a:extLst>
            <a:ext uri="{FF2B5EF4-FFF2-40B4-BE49-F238E27FC236}">
              <a16:creationId xmlns:a16="http://schemas.microsoft.com/office/drawing/2014/main" id="{00000000-0008-0000-0500-00006D000000}"/>
            </a:ext>
          </a:extLst>
        </xdr:cNvPr>
        <xdr:cNvSpPr/>
      </xdr:nvSpPr>
      <xdr:spPr>
        <a:xfrm rot="3907876">
          <a:off x="4270075" y="6863593"/>
          <a:ext cx="86427" cy="47725"/>
        </a:xfrm>
        <a:prstGeom prst="flowChartProcess">
          <a:avLst/>
        </a:prstGeom>
        <a:solidFill>
          <a:srgbClr val="00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46</xdr:col>
      <xdr:colOff>37042</xdr:colOff>
      <xdr:row>28</xdr:row>
      <xdr:rowOff>138517</xdr:rowOff>
    </xdr:from>
    <xdr:to>
      <xdr:col>48</xdr:col>
      <xdr:colOff>7051</xdr:colOff>
      <xdr:row>28</xdr:row>
      <xdr:rowOff>187300</xdr:rowOff>
    </xdr:to>
    <xdr:sp macro="" textlink="">
      <xdr:nvSpPr>
        <xdr:cNvPr id="110" name="Diagrama de flujo: proceso 138">
          <a:extLst>
            <a:ext uri="{FF2B5EF4-FFF2-40B4-BE49-F238E27FC236}">
              <a16:creationId xmlns:a16="http://schemas.microsoft.com/office/drawing/2014/main" id="{00000000-0008-0000-0500-00006E000000}"/>
            </a:ext>
          </a:extLst>
        </xdr:cNvPr>
        <xdr:cNvSpPr/>
      </xdr:nvSpPr>
      <xdr:spPr>
        <a:xfrm>
          <a:off x="4075642" y="5624917"/>
          <a:ext cx="84309" cy="48783"/>
        </a:xfrm>
        <a:prstGeom prst="flowChartProcess">
          <a:avLst/>
        </a:prstGeom>
        <a:solidFill>
          <a:srgbClr val="00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45</xdr:col>
      <xdr:colOff>30693</xdr:colOff>
      <xdr:row>28</xdr:row>
      <xdr:rowOff>132480</xdr:rowOff>
    </xdr:from>
    <xdr:to>
      <xdr:col>47</xdr:col>
      <xdr:colOff>703</xdr:colOff>
      <xdr:row>28</xdr:row>
      <xdr:rowOff>176904</xdr:rowOff>
    </xdr:to>
    <xdr:sp macro="" textlink="">
      <xdr:nvSpPr>
        <xdr:cNvPr id="111" name="Diagrama de flujo: proceso 139">
          <a:extLst>
            <a:ext uri="{FF2B5EF4-FFF2-40B4-BE49-F238E27FC236}">
              <a16:creationId xmlns:a16="http://schemas.microsoft.com/office/drawing/2014/main" id="{00000000-0008-0000-0500-00006F000000}"/>
            </a:ext>
          </a:extLst>
        </xdr:cNvPr>
        <xdr:cNvSpPr/>
      </xdr:nvSpPr>
      <xdr:spPr>
        <a:xfrm rot="328493">
          <a:off x="4012143" y="5618880"/>
          <a:ext cx="84310" cy="44424"/>
        </a:xfrm>
        <a:prstGeom prst="flowChartProcess">
          <a:avLst/>
        </a:prstGeom>
        <a:solidFill>
          <a:srgbClr val="00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48</xdr:col>
      <xdr:colOff>7914</xdr:colOff>
      <xdr:row>31</xdr:row>
      <xdr:rowOff>127086</xdr:rowOff>
    </xdr:from>
    <xdr:to>
      <xdr:col>49</xdr:col>
      <xdr:colOff>7917</xdr:colOff>
      <xdr:row>32</xdr:row>
      <xdr:rowOff>100416</xdr:rowOff>
    </xdr:to>
    <xdr:sp macro="" textlink="">
      <xdr:nvSpPr>
        <xdr:cNvPr id="113" name="Diagrama de flujo: proceso 136">
          <a:extLst>
            <a:ext uri="{FF2B5EF4-FFF2-40B4-BE49-F238E27FC236}">
              <a16:creationId xmlns:a16="http://schemas.microsoft.com/office/drawing/2014/main" id="{00000000-0008-0000-0500-000071000000}"/>
            </a:ext>
          </a:extLst>
        </xdr:cNvPr>
        <xdr:cNvSpPr/>
      </xdr:nvSpPr>
      <xdr:spPr>
        <a:xfrm rot="4414595">
          <a:off x="4097951" y="6304999"/>
          <a:ext cx="182880" cy="57153"/>
        </a:xfrm>
        <a:prstGeom prst="flowChartProcess">
          <a:avLst/>
        </a:prstGeom>
        <a:solidFill>
          <a:srgbClr val="FF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49</xdr:col>
      <xdr:colOff>29497</xdr:colOff>
      <xdr:row>33</xdr:row>
      <xdr:rowOff>142588</xdr:rowOff>
    </xdr:from>
    <xdr:to>
      <xdr:col>50</xdr:col>
      <xdr:colOff>19380</xdr:colOff>
      <xdr:row>34</xdr:row>
      <xdr:rowOff>9510</xdr:rowOff>
    </xdr:to>
    <xdr:sp macro="" textlink="">
      <xdr:nvSpPr>
        <xdr:cNvPr id="116" name="Diagrama de flujo: proceso 137">
          <a:extLst>
            <a:ext uri="{FF2B5EF4-FFF2-40B4-BE49-F238E27FC236}">
              <a16:creationId xmlns:a16="http://schemas.microsoft.com/office/drawing/2014/main" id="{00000000-0008-0000-0500-000074000000}"/>
            </a:ext>
          </a:extLst>
        </xdr:cNvPr>
        <xdr:cNvSpPr/>
      </xdr:nvSpPr>
      <xdr:spPr>
        <a:xfrm rot="4912490" flipH="1" flipV="1">
          <a:off x="4162094" y="6901336"/>
          <a:ext cx="77129" cy="45719"/>
        </a:xfrm>
        <a:prstGeom prst="flowChartProcess">
          <a:avLst/>
        </a:prstGeom>
        <a:solidFill>
          <a:srgbClr val="00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47</xdr:col>
      <xdr:colOff>9853</xdr:colOff>
      <xdr:row>28</xdr:row>
      <xdr:rowOff>177180</xdr:rowOff>
    </xdr:from>
    <xdr:to>
      <xdr:col>50</xdr:col>
      <xdr:colOff>1027</xdr:colOff>
      <xdr:row>31</xdr:row>
      <xdr:rowOff>128096</xdr:rowOff>
    </xdr:to>
    <xdr:sp macro="" textlink="">
      <xdr:nvSpPr>
        <xdr:cNvPr id="2" name="Forma libre 1">
          <a:extLst>
            <a:ext uri="{FF2B5EF4-FFF2-40B4-BE49-F238E27FC236}">
              <a16:creationId xmlns:a16="http://schemas.microsoft.com/office/drawing/2014/main" id="{00000000-0008-0000-0500-000002000000}"/>
            </a:ext>
          </a:extLst>
        </xdr:cNvPr>
        <xdr:cNvSpPr/>
      </xdr:nvSpPr>
      <xdr:spPr bwMode="auto">
        <a:xfrm>
          <a:off x="4046482" y="5869189"/>
          <a:ext cx="158683" cy="581536"/>
        </a:xfrm>
        <a:custGeom>
          <a:avLst/>
          <a:gdLst>
            <a:gd name="connsiteX0" fmla="*/ 65690 w 158683"/>
            <a:gd name="connsiteY0" fmla="*/ 3467 h 581536"/>
            <a:gd name="connsiteX1" fmla="*/ 105104 w 158683"/>
            <a:gd name="connsiteY1" fmla="*/ 3467 h 581536"/>
            <a:gd name="connsiteX2" fmla="*/ 124811 w 158683"/>
            <a:gd name="connsiteY2" fmla="*/ 10036 h 581536"/>
            <a:gd name="connsiteX3" fmla="*/ 131380 w 158683"/>
            <a:gd name="connsiteY3" fmla="*/ 19889 h 581536"/>
            <a:gd name="connsiteX4" fmla="*/ 151087 w 158683"/>
            <a:gd name="connsiteY4" fmla="*/ 33027 h 581536"/>
            <a:gd name="connsiteX5" fmla="*/ 154371 w 158683"/>
            <a:gd name="connsiteY5" fmla="*/ 79010 h 581536"/>
            <a:gd name="connsiteX6" fmla="*/ 144518 w 158683"/>
            <a:gd name="connsiteY6" fmla="*/ 82294 h 581536"/>
            <a:gd name="connsiteX7" fmla="*/ 134664 w 158683"/>
            <a:gd name="connsiteY7" fmla="*/ 88863 h 581536"/>
            <a:gd name="connsiteX8" fmla="*/ 108388 w 158683"/>
            <a:gd name="connsiteY8" fmla="*/ 95432 h 581536"/>
            <a:gd name="connsiteX9" fmla="*/ 88681 w 158683"/>
            <a:gd name="connsiteY9" fmla="*/ 108570 h 581536"/>
            <a:gd name="connsiteX10" fmla="*/ 42699 w 158683"/>
            <a:gd name="connsiteY10" fmla="*/ 131561 h 581536"/>
            <a:gd name="connsiteX11" fmla="*/ 0 w 158683"/>
            <a:gd name="connsiteY11" fmla="*/ 170975 h 581536"/>
            <a:gd name="connsiteX12" fmla="*/ 6569 w 158683"/>
            <a:gd name="connsiteY12" fmla="*/ 243234 h 581536"/>
            <a:gd name="connsiteX13" fmla="*/ 19707 w 158683"/>
            <a:gd name="connsiteY13" fmla="*/ 285932 h 581536"/>
            <a:gd name="connsiteX14" fmla="*/ 22992 w 158683"/>
            <a:gd name="connsiteY14" fmla="*/ 302355 h 581536"/>
            <a:gd name="connsiteX15" fmla="*/ 32845 w 158683"/>
            <a:gd name="connsiteY15" fmla="*/ 351622 h 581536"/>
            <a:gd name="connsiteX16" fmla="*/ 36130 w 158683"/>
            <a:gd name="connsiteY16" fmla="*/ 414027 h 581536"/>
            <a:gd name="connsiteX17" fmla="*/ 42699 w 158683"/>
            <a:gd name="connsiteY17" fmla="*/ 433734 h 581536"/>
            <a:gd name="connsiteX18" fmla="*/ 45983 w 158683"/>
            <a:gd name="connsiteY18" fmla="*/ 453441 h 581536"/>
            <a:gd name="connsiteX19" fmla="*/ 49268 w 158683"/>
            <a:gd name="connsiteY19" fmla="*/ 463294 h 581536"/>
            <a:gd name="connsiteX20" fmla="*/ 52552 w 158683"/>
            <a:gd name="connsiteY20" fmla="*/ 548691 h 581536"/>
            <a:gd name="connsiteX21" fmla="*/ 55837 w 158683"/>
            <a:gd name="connsiteY21" fmla="*/ 561829 h 581536"/>
            <a:gd name="connsiteX22" fmla="*/ 55837 w 158683"/>
            <a:gd name="connsiteY22" fmla="*/ 581536 h 581536"/>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Lst>
          <a:rect l="l" t="t" r="r" b="b"/>
          <a:pathLst>
            <a:path w="158683" h="581536">
              <a:moveTo>
                <a:pt x="65690" y="3467"/>
              </a:moveTo>
              <a:cubicBezTo>
                <a:pt x="85508" y="-497"/>
                <a:pt x="82404" y="-1772"/>
                <a:pt x="105104" y="3467"/>
              </a:cubicBezTo>
              <a:cubicBezTo>
                <a:pt x="111851" y="5024"/>
                <a:pt x="124811" y="10036"/>
                <a:pt x="124811" y="10036"/>
              </a:cubicBezTo>
              <a:cubicBezTo>
                <a:pt x="127001" y="13320"/>
                <a:pt x="128409" y="17290"/>
                <a:pt x="131380" y="19889"/>
              </a:cubicBezTo>
              <a:cubicBezTo>
                <a:pt x="137322" y="25088"/>
                <a:pt x="151087" y="33027"/>
                <a:pt x="151087" y="33027"/>
              </a:cubicBezTo>
              <a:cubicBezTo>
                <a:pt x="156886" y="50428"/>
                <a:pt x="163051" y="59478"/>
                <a:pt x="154371" y="79010"/>
              </a:cubicBezTo>
              <a:cubicBezTo>
                <a:pt x="152965" y="82174"/>
                <a:pt x="147802" y="81199"/>
                <a:pt x="144518" y="82294"/>
              </a:cubicBezTo>
              <a:cubicBezTo>
                <a:pt x="141233" y="84484"/>
                <a:pt x="138195" y="87098"/>
                <a:pt x="134664" y="88863"/>
              </a:cubicBezTo>
              <a:cubicBezTo>
                <a:pt x="127927" y="92232"/>
                <a:pt x="114641" y="94182"/>
                <a:pt x="108388" y="95432"/>
              </a:cubicBezTo>
              <a:cubicBezTo>
                <a:pt x="101819" y="99811"/>
                <a:pt x="95742" y="105039"/>
                <a:pt x="88681" y="108570"/>
              </a:cubicBezTo>
              <a:cubicBezTo>
                <a:pt x="73354" y="116234"/>
                <a:pt x="57156" y="122361"/>
                <a:pt x="42699" y="131561"/>
              </a:cubicBezTo>
              <a:cubicBezTo>
                <a:pt x="31669" y="138580"/>
                <a:pt x="10636" y="160340"/>
                <a:pt x="0" y="170975"/>
              </a:cubicBezTo>
              <a:cubicBezTo>
                <a:pt x="2190" y="195061"/>
                <a:pt x="2482" y="219396"/>
                <a:pt x="6569" y="243234"/>
              </a:cubicBezTo>
              <a:cubicBezTo>
                <a:pt x="9085" y="257911"/>
                <a:pt x="16786" y="271330"/>
                <a:pt x="19707" y="285932"/>
              </a:cubicBezTo>
              <a:cubicBezTo>
                <a:pt x="20802" y="291406"/>
                <a:pt x="22022" y="296857"/>
                <a:pt x="22992" y="302355"/>
              </a:cubicBezTo>
              <a:cubicBezTo>
                <a:pt x="31023" y="347863"/>
                <a:pt x="25118" y="328436"/>
                <a:pt x="32845" y="351622"/>
              </a:cubicBezTo>
              <a:cubicBezTo>
                <a:pt x="33940" y="372424"/>
                <a:pt x="33648" y="393345"/>
                <a:pt x="36130" y="414027"/>
              </a:cubicBezTo>
              <a:cubicBezTo>
                <a:pt x="36955" y="420902"/>
                <a:pt x="42699" y="433734"/>
                <a:pt x="42699" y="433734"/>
              </a:cubicBezTo>
              <a:cubicBezTo>
                <a:pt x="43794" y="440303"/>
                <a:pt x="44538" y="446940"/>
                <a:pt x="45983" y="453441"/>
              </a:cubicBezTo>
              <a:cubicBezTo>
                <a:pt x="46734" y="456821"/>
                <a:pt x="49030" y="459840"/>
                <a:pt x="49268" y="463294"/>
              </a:cubicBezTo>
              <a:cubicBezTo>
                <a:pt x="51228" y="491713"/>
                <a:pt x="50657" y="520267"/>
                <a:pt x="52552" y="548691"/>
              </a:cubicBezTo>
              <a:cubicBezTo>
                <a:pt x="52852" y="553195"/>
                <a:pt x="55388" y="557337"/>
                <a:pt x="55837" y="561829"/>
              </a:cubicBezTo>
              <a:cubicBezTo>
                <a:pt x="56491" y="568365"/>
                <a:pt x="55837" y="574967"/>
                <a:pt x="55837" y="581536"/>
              </a:cubicBezTo>
            </a:path>
          </a:pathLst>
        </a:custGeom>
        <a:noFill/>
        <a:ln w="38100"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s-CO"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981075</xdr:colOff>
      <xdr:row>47</xdr:row>
      <xdr:rowOff>0</xdr:rowOff>
    </xdr:from>
    <xdr:to>
      <xdr:col>1</xdr:col>
      <xdr:colOff>0</xdr:colOff>
      <xdr:row>48</xdr:row>
      <xdr:rowOff>0</xdr:rowOff>
    </xdr:to>
    <xdr:sp macro="" textlink="">
      <xdr:nvSpPr>
        <xdr:cNvPr id="756822" name="Rectangle 12">
          <a:extLst>
            <a:ext uri="{FF2B5EF4-FFF2-40B4-BE49-F238E27FC236}">
              <a16:creationId xmlns:a16="http://schemas.microsoft.com/office/drawing/2014/main" id="{00000000-0008-0000-0600-0000568C0B00}"/>
            </a:ext>
          </a:extLst>
        </xdr:cNvPr>
        <xdr:cNvSpPr>
          <a:spLocks noChangeArrowheads="1"/>
        </xdr:cNvSpPr>
      </xdr:nvSpPr>
      <xdr:spPr bwMode="auto">
        <a:xfrm>
          <a:off x="981075" y="5219700"/>
          <a:ext cx="733425" cy="161925"/>
        </a:xfrm>
        <a:prstGeom prst="rect">
          <a:avLst/>
        </a:prstGeom>
        <a:solidFill>
          <a:srgbClr val="00FF00"/>
        </a:solidFill>
        <a:ln w="9525">
          <a:solidFill>
            <a:srgbClr val="000000"/>
          </a:solidFill>
          <a:miter lim="800000"/>
          <a:headEnd/>
          <a:tailEnd/>
        </a:ln>
      </xdr:spPr>
    </xdr:sp>
    <xdr:clientData/>
  </xdr:twoCellAnchor>
  <xdr:twoCellAnchor>
    <xdr:from>
      <xdr:col>0</xdr:col>
      <xdr:colOff>981075</xdr:colOff>
      <xdr:row>48</xdr:row>
      <xdr:rowOff>0</xdr:rowOff>
    </xdr:from>
    <xdr:to>
      <xdr:col>1</xdr:col>
      <xdr:colOff>0</xdr:colOff>
      <xdr:row>49</xdr:row>
      <xdr:rowOff>0</xdr:rowOff>
    </xdr:to>
    <xdr:sp macro="" textlink="">
      <xdr:nvSpPr>
        <xdr:cNvPr id="756823" name="Rectangle 13">
          <a:extLst>
            <a:ext uri="{FF2B5EF4-FFF2-40B4-BE49-F238E27FC236}">
              <a16:creationId xmlns:a16="http://schemas.microsoft.com/office/drawing/2014/main" id="{00000000-0008-0000-0600-0000578C0B00}"/>
            </a:ext>
          </a:extLst>
        </xdr:cNvPr>
        <xdr:cNvSpPr>
          <a:spLocks noChangeArrowheads="1"/>
        </xdr:cNvSpPr>
      </xdr:nvSpPr>
      <xdr:spPr bwMode="auto">
        <a:xfrm>
          <a:off x="981075" y="5381625"/>
          <a:ext cx="733425" cy="161925"/>
        </a:xfrm>
        <a:prstGeom prst="rect">
          <a:avLst/>
        </a:prstGeom>
        <a:solidFill>
          <a:srgbClr val="FFFF00"/>
        </a:solidFill>
        <a:ln w="9525">
          <a:solidFill>
            <a:srgbClr val="000000"/>
          </a:solidFill>
          <a:miter lim="800000"/>
          <a:headEnd/>
          <a:tailEnd/>
        </a:ln>
      </xdr:spPr>
    </xdr:sp>
    <xdr:clientData/>
  </xdr:twoCellAnchor>
  <xdr:twoCellAnchor>
    <xdr:from>
      <xdr:col>0</xdr:col>
      <xdr:colOff>981075</xdr:colOff>
      <xdr:row>49</xdr:row>
      <xdr:rowOff>0</xdr:rowOff>
    </xdr:from>
    <xdr:to>
      <xdr:col>1</xdr:col>
      <xdr:colOff>0</xdr:colOff>
      <xdr:row>50</xdr:row>
      <xdr:rowOff>0</xdr:rowOff>
    </xdr:to>
    <xdr:sp macro="" textlink="">
      <xdr:nvSpPr>
        <xdr:cNvPr id="756824" name="Rectangle 14">
          <a:extLst>
            <a:ext uri="{FF2B5EF4-FFF2-40B4-BE49-F238E27FC236}">
              <a16:creationId xmlns:a16="http://schemas.microsoft.com/office/drawing/2014/main" id="{00000000-0008-0000-0600-0000588C0B00}"/>
            </a:ext>
          </a:extLst>
        </xdr:cNvPr>
        <xdr:cNvSpPr>
          <a:spLocks noChangeArrowheads="1"/>
        </xdr:cNvSpPr>
      </xdr:nvSpPr>
      <xdr:spPr bwMode="auto">
        <a:xfrm>
          <a:off x="981075" y="5543550"/>
          <a:ext cx="733425" cy="161925"/>
        </a:xfrm>
        <a:prstGeom prst="rect">
          <a:avLst/>
        </a:prstGeom>
        <a:solidFill>
          <a:srgbClr val="FF0000"/>
        </a:solidFill>
        <a:ln w="9525">
          <a:solidFill>
            <a:srgbClr val="000000"/>
          </a:solidFill>
          <a:miter lim="800000"/>
          <a:headEnd/>
          <a:tailEnd/>
        </a:ln>
      </xdr:spPr>
    </xdr:sp>
    <xdr:clientData/>
  </xdr:twoCellAnchor>
  <xdr:twoCellAnchor>
    <xdr:from>
      <xdr:col>2</xdr:col>
      <xdr:colOff>28575</xdr:colOff>
      <xdr:row>15</xdr:row>
      <xdr:rowOff>57150</xdr:rowOff>
    </xdr:from>
    <xdr:to>
      <xdr:col>2</xdr:col>
      <xdr:colOff>2200275</xdr:colOff>
      <xdr:row>24</xdr:row>
      <xdr:rowOff>95250</xdr:rowOff>
    </xdr:to>
    <xdr:graphicFrame macro="">
      <xdr:nvGraphicFramePr>
        <xdr:cNvPr id="756825" name="Gráfico 2">
          <a:extLst>
            <a:ext uri="{FF2B5EF4-FFF2-40B4-BE49-F238E27FC236}">
              <a16:creationId xmlns:a16="http://schemas.microsoft.com/office/drawing/2014/main" id="{00000000-0008-0000-0600-0000598C0B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1</xdr:col>
      <xdr:colOff>57150</xdr:colOff>
      <xdr:row>15</xdr:row>
      <xdr:rowOff>85725</xdr:rowOff>
    </xdr:from>
    <xdr:to>
      <xdr:col>1</xdr:col>
      <xdr:colOff>2239707</xdr:colOff>
      <xdr:row>24</xdr:row>
      <xdr:rowOff>136924</xdr:rowOff>
    </xdr:to>
    <xdr:pic>
      <xdr:nvPicPr>
        <xdr:cNvPr id="2" name="Imagen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2"/>
        <a:stretch>
          <a:fillRect/>
        </a:stretch>
      </xdr:blipFill>
      <xdr:spPr>
        <a:xfrm>
          <a:off x="1771650" y="3190875"/>
          <a:ext cx="2182557" cy="1670449"/>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9525</xdr:colOff>
      <xdr:row>40</xdr:row>
      <xdr:rowOff>9525</xdr:rowOff>
    </xdr:from>
    <xdr:to>
      <xdr:col>2</xdr:col>
      <xdr:colOff>19050</xdr:colOff>
      <xdr:row>42</xdr:row>
      <xdr:rowOff>9525</xdr:rowOff>
    </xdr:to>
    <xdr:sp macro="" textlink="">
      <xdr:nvSpPr>
        <xdr:cNvPr id="789010" name="Line 21">
          <a:extLst>
            <a:ext uri="{FF2B5EF4-FFF2-40B4-BE49-F238E27FC236}">
              <a16:creationId xmlns:a16="http://schemas.microsoft.com/office/drawing/2014/main" id="{00000000-0008-0000-0800-0000120A0C00}"/>
            </a:ext>
          </a:extLst>
        </xdr:cNvPr>
        <xdr:cNvSpPr>
          <a:spLocks noChangeShapeType="1"/>
        </xdr:cNvSpPr>
      </xdr:nvSpPr>
      <xdr:spPr bwMode="auto">
        <a:xfrm>
          <a:off x="9525" y="7648575"/>
          <a:ext cx="1295400" cy="3714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35</xdr:col>
      <xdr:colOff>104775</xdr:colOff>
      <xdr:row>49</xdr:row>
      <xdr:rowOff>142875</xdr:rowOff>
    </xdr:from>
    <xdr:to>
      <xdr:col>35</xdr:col>
      <xdr:colOff>57150</xdr:colOff>
      <xdr:row>49</xdr:row>
      <xdr:rowOff>142875</xdr:rowOff>
    </xdr:to>
    <xdr:sp macro="" textlink="">
      <xdr:nvSpPr>
        <xdr:cNvPr id="789011" name="Rectangle 37">
          <a:extLst>
            <a:ext uri="{FF2B5EF4-FFF2-40B4-BE49-F238E27FC236}">
              <a16:creationId xmlns:a16="http://schemas.microsoft.com/office/drawing/2014/main" id="{00000000-0008-0000-0800-0000130A0C00}"/>
            </a:ext>
          </a:extLst>
        </xdr:cNvPr>
        <xdr:cNvSpPr>
          <a:spLocks noChangeArrowheads="1"/>
        </xdr:cNvSpPr>
      </xdr:nvSpPr>
      <xdr:spPr bwMode="auto">
        <a:xfrm>
          <a:off x="3228975" y="9239250"/>
          <a:ext cx="0" cy="0"/>
        </a:xfrm>
        <a:prstGeom prst="rect">
          <a:avLst/>
        </a:prstGeom>
        <a:solidFill>
          <a:srgbClr val="339933"/>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35</xdr:col>
      <xdr:colOff>190500</xdr:colOff>
      <xdr:row>49</xdr:row>
      <xdr:rowOff>142875</xdr:rowOff>
    </xdr:from>
    <xdr:to>
      <xdr:col>35</xdr:col>
      <xdr:colOff>57150</xdr:colOff>
      <xdr:row>49</xdr:row>
      <xdr:rowOff>142875</xdr:rowOff>
    </xdr:to>
    <xdr:sp macro="" textlink="">
      <xdr:nvSpPr>
        <xdr:cNvPr id="789012" name="Rectangle 38">
          <a:extLst>
            <a:ext uri="{FF2B5EF4-FFF2-40B4-BE49-F238E27FC236}">
              <a16:creationId xmlns:a16="http://schemas.microsoft.com/office/drawing/2014/main" id="{00000000-0008-0000-0800-0000140A0C00}"/>
            </a:ext>
          </a:extLst>
        </xdr:cNvPr>
        <xdr:cNvSpPr>
          <a:spLocks noChangeArrowheads="1"/>
        </xdr:cNvSpPr>
      </xdr:nvSpPr>
      <xdr:spPr bwMode="auto">
        <a:xfrm>
          <a:off x="3228975" y="9239250"/>
          <a:ext cx="0" cy="0"/>
        </a:xfrm>
        <a:prstGeom prst="rect">
          <a:avLst/>
        </a:prstGeom>
        <a:solidFill>
          <a:srgbClr val="339933"/>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34</xdr:col>
      <xdr:colOff>104775</xdr:colOff>
      <xdr:row>49</xdr:row>
      <xdr:rowOff>142875</xdr:rowOff>
    </xdr:from>
    <xdr:to>
      <xdr:col>34</xdr:col>
      <xdr:colOff>57150</xdr:colOff>
      <xdr:row>49</xdr:row>
      <xdr:rowOff>142875</xdr:rowOff>
    </xdr:to>
    <xdr:sp macro="" textlink="">
      <xdr:nvSpPr>
        <xdr:cNvPr id="789013" name="Rectangle 39">
          <a:extLst>
            <a:ext uri="{FF2B5EF4-FFF2-40B4-BE49-F238E27FC236}">
              <a16:creationId xmlns:a16="http://schemas.microsoft.com/office/drawing/2014/main" id="{00000000-0008-0000-0800-0000150A0C00}"/>
            </a:ext>
          </a:extLst>
        </xdr:cNvPr>
        <xdr:cNvSpPr>
          <a:spLocks noChangeArrowheads="1"/>
        </xdr:cNvSpPr>
      </xdr:nvSpPr>
      <xdr:spPr bwMode="auto">
        <a:xfrm>
          <a:off x="3171825" y="9239250"/>
          <a:ext cx="0" cy="0"/>
        </a:xfrm>
        <a:prstGeom prst="rect">
          <a:avLst/>
        </a:prstGeom>
        <a:solidFill>
          <a:srgbClr val="339933"/>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34</xdr:col>
      <xdr:colOff>238125</xdr:colOff>
      <xdr:row>49</xdr:row>
      <xdr:rowOff>142875</xdr:rowOff>
    </xdr:from>
    <xdr:to>
      <xdr:col>34</xdr:col>
      <xdr:colOff>57150</xdr:colOff>
      <xdr:row>49</xdr:row>
      <xdr:rowOff>142875</xdr:rowOff>
    </xdr:to>
    <xdr:sp macro="" textlink="">
      <xdr:nvSpPr>
        <xdr:cNvPr id="789014" name="Rectangle 40">
          <a:extLst>
            <a:ext uri="{FF2B5EF4-FFF2-40B4-BE49-F238E27FC236}">
              <a16:creationId xmlns:a16="http://schemas.microsoft.com/office/drawing/2014/main" id="{00000000-0008-0000-0800-0000160A0C00}"/>
            </a:ext>
          </a:extLst>
        </xdr:cNvPr>
        <xdr:cNvSpPr>
          <a:spLocks noChangeArrowheads="1"/>
        </xdr:cNvSpPr>
      </xdr:nvSpPr>
      <xdr:spPr bwMode="auto">
        <a:xfrm>
          <a:off x="3171825" y="9239250"/>
          <a:ext cx="0" cy="0"/>
        </a:xfrm>
        <a:prstGeom prst="rect">
          <a:avLst/>
        </a:prstGeom>
        <a:solidFill>
          <a:srgbClr val="339933"/>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34</xdr:col>
      <xdr:colOff>295275</xdr:colOff>
      <xdr:row>49</xdr:row>
      <xdr:rowOff>142875</xdr:rowOff>
    </xdr:from>
    <xdr:to>
      <xdr:col>34</xdr:col>
      <xdr:colOff>57150</xdr:colOff>
      <xdr:row>49</xdr:row>
      <xdr:rowOff>142875</xdr:rowOff>
    </xdr:to>
    <xdr:sp macro="" textlink="">
      <xdr:nvSpPr>
        <xdr:cNvPr id="789015" name="Rectangle 41">
          <a:extLst>
            <a:ext uri="{FF2B5EF4-FFF2-40B4-BE49-F238E27FC236}">
              <a16:creationId xmlns:a16="http://schemas.microsoft.com/office/drawing/2014/main" id="{00000000-0008-0000-0800-0000170A0C00}"/>
            </a:ext>
          </a:extLst>
        </xdr:cNvPr>
        <xdr:cNvSpPr>
          <a:spLocks noChangeArrowheads="1"/>
        </xdr:cNvSpPr>
      </xdr:nvSpPr>
      <xdr:spPr bwMode="auto">
        <a:xfrm>
          <a:off x="3171825" y="9239250"/>
          <a:ext cx="0" cy="0"/>
        </a:xfrm>
        <a:prstGeom prst="rect">
          <a:avLst/>
        </a:prstGeom>
        <a:solidFill>
          <a:srgbClr val="339933"/>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35</xdr:col>
      <xdr:colOff>9525</xdr:colOff>
      <xdr:row>49</xdr:row>
      <xdr:rowOff>142875</xdr:rowOff>
    </xdr:from>
    <xdr:to>
      <xdr:col>35</xdr:col>
      <xdr:colOff>47625</xdr:colOff>
      <xdr:row>49</xdr:row>
      <xdr:rowOff>142875</xdr:rowOff>
    </xdr:to>
    <xdr:sp macro="" textlink="">
      <xdr:nvSpPr>
        <xdr:cNvPr id="789016" name="Rectangle 42">
          <a:extLst>
            <a:ext uri="{FF2B5EF4-FFF2-40B4-BE49-F238E27FC236}">
              <a16:creationId xmlns:a16="http://schemas.microsoft.com/office/drawing/2014/main" id="{00000000-0008-0000-0800-0000180A0C00}"/>
            </a:ext>
          </a:extLst>
        </xdr:cNvPr>
        <xdr:cNvSpPr>
          <a:spLocks noChangeArrowheads="1"/>
        </xdr:cNvSpPr>
      </xdr:nvSpPr>
      <xdr:spPr bwMode="auto">
        <a:xfrm>
          <a:off x="3181350" y="9239250"/>
          <a:ext cx="38100" cy="0"/>
        </a:xfrm>
        <a:prstGeom prst="rect">
          <a:avLst/>
        </a:prstGeom>
        <a:solidFill>
          <a:srgbClr val="339933"/>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35</xdr:col>
      <xdr:colOff>66675</xdr:colOff>
      <xdr:row>49</xdr:row>
      <xdr:rowOff>142875</xdr:rowOff>
    </xdr:from>
    <xdr:to>
      <xdr:col>35</xdr:col>
      <xdr:colOff>57150</xdr:colOff>
      <xdr:row>49</xdr:row>
      <xdr:rowOff>142875</xdr:rowOff>
    </xdr:to>
    <xdr:sp macro="" textlink="">
      <xdr:nvSpPr>
        <xdr:cNvPr id="789017" name="Rectangle 43">
          <a:extLst>
            <a:ext uri="{FF2B5EF4-FFF2-40B4-BE49-F238E27FC236}">
              <a16:creationId xmlns:a16="http://schemas.microsoft.com/office/drawing/2014/main" id="{00000000-0008-0000-0800-0000190A0C00}"/>
            </a:ext>
          </a:extLst>
        </xdr:cNvPr>
        <xdr:cNvSpPr>
          <a:spLocks noChangeArrowheads="1"/>
        </xdr:cNvSpPr>
      </xdr:nvSpPr>
      <xdr:spPr bwMode="auto">
        <a:xfrm>
          <a:off x="3228975" y="9239250"/>
          <a:ext cx="0" cy="0"/>
        </a:xfrm>
        <a:prstGeom prst="rect">
          <a:avLst/>
        </a:prstGeom>
        <a:solidFill>
          <a:srgbClr val="339933"/>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35</xdr:col>
      <xdr:colOff>276225</xdr:colOff>
      <xdr:row>49</xdr:row>
      <xdr:rowOff>142875</xdr:rowOff>
    </xdr:from>
    <xdr:to>
      <xdr:col>36</xdr:col>
      <xdr:colOff>0</xdr:colOff>
      <xdr:row>49</xdr:row>
      <xdr:rowOff>142875</xdr:rowOff>
    </xdr:to>
    <xdr:sp macro="" textlink="">
      <xdr:nvSpPr>
        <xdr:cNvPr id="789018" name="Rectangle 44">
          <a:extLst>
            <a:ext uri="{FF2B5EF4-FFF2-40B4-BE49-F238E27FC236}">
              <a16:creationId xmlns:a16="http://schemas.microsoft.com/office/drawing/2014/main" id="{00000000-0008-0000-0800-00001A0A0C00}"/>
            </a:ext>
          </a:extLst>
        </xdr:cNvPr>
        <xdr:cNvSpPr>
          <a:spLocks noChangeArrowheads="1"/>
        </xdr:cNvSpPr>
      </xdr:nvSpPr>
      <xdr:spPr bwMode="auto">
        <a:xfrm>
          <a:off x="3228975" y="9239250"/>
          <a:ext cx="0" cy="0"/>
        </a:xfrm>
        <a:prstGeom prst="rect">
          <a:avLst/>
        </a:prstGeom>
        <a:solidFill>
          <a:srgbClr val="339933"/>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49</xdr:col>
      <xdr:colOff>104775</xdr:colOff>
      <xdr:row>49</xdr:row>
      <xdr:rowOff>142875</xdr:rowOff>
    </xdr:from>
    <xdr:to>
      <xdr:col>49</xdr:col>
      <xdr:colOff>57150</xdr:colOff>
      <xdr:row>49</xdr:row>
      <xdr:rowOff>142875</xdr:rowOff>
    </xdr:to>
    <xdr:sp macro="" textlink="">
      <xdr:nvSpPr>
        <xdr:cNvPr id="789019" name="Rectangle 45">
          <a:extLst>
            <a:ext uri="{FF2B5EF4-FFF2-40B4-BE49-F238E27FC236}">
              <a16:creationId xmlns:a16="http://schemas.microsoft.com/office/drawing/2014/main" id="{00000000-0008-0000-0800-00001B0A0C00}"/>
            </a:ext>
          </a:extLst>
        </xdr:cNvPr>
        <xdr:cNvSpPr>
          <a:spLocks noChangeArrowheads="1"/>
        </xdr:cNvSpPr>
      </xdr:nvSpPr>
      <xdr:spPr bwMode="auto">
        <a:xfrm>
          <a:off x="4029075" y="9239250"/>
          <a:ext cx="0" cy="0"/>
        </a:xfrm>
        <a:prstGeom prst="rect">
          <a:avLst/>
        </a:prstGeom>
        <a:solidFill>
          <a:srgbClr val="339933"/>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49</xdr:col>
      <xdr:colOff>200025</xdr:colOff>
      <xdr:row>49</xdr:row>
      <xdr:rowOff>142875</xdr:rowOff>
    </xdr:from>
    <xdr:to>
      <xdr:col>49</xdr:col>
      <xdr:colOff>57150</xdr:colOff>
      <xdr:row>49</xdr:row>
      <xdr:rowOff>142875</xdr:rowOff>
    </xdr:to>
    <xdr:sp macro="" textlink="">
      <xdr:nvSpPr>
        <xdr:cNvPr id="789020" name="Rectangle 46">
          <a:extLst>
            <a:ext uri="{FF2B5EF4-FFF2-40B4-BE49-F238E27FC236}">
              <a16:creationId xmlns:a16="http://schemas.microsoft.com/office/drawing/2014/main" id="{00000000-0008-0000-0800-00001C0A0C00}"/>
            </a:ext>
          </a:extLst>
        </xdr:cNvPr>
        <xdr:cNvSpPr>
          <a:spLocks noChangeArrowheads="1"/>
        </xdr:cNvSpPr>
      </xdr:nvSpPr>
      <xdr:spPr bwMode="auto">
        <a:xfrm>
          <a:off x="4029075" y="9239250"/>
          <a:ext cx="0" cy="0"/>
        </a:xfrm>
        <a:prstGeom prst="rect">
          <a:avLst/>
        </a:prstGeom>
        <a:solidFill>
          <a:srgbClr val="339933"/>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49</xdr:col>
      <xdr:colOff>266700</xdr:colOff>
      <xdr:row>49</xdr:row>
      <xdr:rowOff>142875</xdr:rowOff>
    </xdr:from>
    <xdr:to>
      <xdr:col>49</xdr:col>
      <xdr:colOff>57150</xdr:colOff>
      <xdr:row>49</xdr:row>
      <xdr:rowOff>142875</xdr:rowOff>
    </xdr:to>
    <xdr:sp macro="" textlink="">
      <xdr:nvSpPr>
        <xdr:cNvPr id="789021" name="Rectangle 47">
          <a:extLst>
            <a:ext uri="{FF2B5EF4-FFF2-40B4-BE49-F238E27FC236}">
              <a16:creationId xmlns:a16="http://schemas.microsoft.com/office/drawing/2014/main" id="{00000000-0008-0000-0800-00001D0A0C00}"/>
            </a:ext>
          </a:extLst>
        </xdr:cNvPr>
        <xdr:cNvSpPr>
          <a:spLocks noChangeArrowheads="1"/>
        </xdr:cNvSpPr>
      </xdr:nvSpPr>
      <xdr:spPr bwMode="auto">
        <a:xfrm>
          <a:off x="4029075" y="9239250"/>
          <a:ext cx="0" cy="0"/>
        </a:xfrm>
        <a:prstGeom prst="rect">
          <a:avLst/>
        </a:prstGeom>
        <a:solidFill>
          <a:srgbClr val="339933"/>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50</xdr:col>
      <xdr:colOff>304800</xdr:colOff>
      <xdr:row>49</xdr:row>
      <xdr:rowOff>142875</xdr:rowOff>
    </xdr:from>
    <xdr:to>
      <xdr:col>50</xdr:col>
      <xdr:colOff>57150</xdr:colOff>
      <xdr:row>49</xdr:row>
      <xdr:rowOff>142875</xdr:rowOff>
    </xdr:to>
    <xdr:sp macro="" textlink="">
      <xdr:nvSpPr>
        <xdr:cNvPr id="789022" name="Rectangle 49">
          <a:extLst>
            <a:ext uri="{FF2B5EF4-FFF2-40B4-BE49-F238E27FC236}">
              <a16:creationId xmlns:a16="http://schemas.microsoft.com/office/drawing/2014/main" id="{00000000-0008-0000-0800-00001E0A0C00}"/>
            </a:ext>
          </a:extLst>
        </xdr:cNvPr>
        <xdr:cNvSpPr>
          <a:spLocks noChangeArrowheads="1"/>
        </xdr:cNvSpPr>
      </xdr:nvSpPr>
      <xdr:spPr bwMode="auto">
        <a:xfrm>
          <a:off x="4086225" y="9239250"/>
          <a:ext cx="0" cy="0"/>
        </a:xfrm>
        <a:prstGeom prst="rect">
          <a:avLst/>
        </a:prstGeom>
        <a:solidFill>
          <a:srgbClr val="FFFF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51</xdr:col>
      <xdr:colOff>190500</xdr:colOff>
      <xdr:row>49</xdr:row>
      <xdr:rowOff>142875</xdr:rowOff>
    </xdr:from>
    <xdr:to>
      <xdr:col>51</xdr:col>
      <xdr:colOff>57150</xdr:colOff>
      <xdr:row>49</xdr:row>
      <xdr:rowOff>142875</xdr:rowOff>
    </xdr:to>
    <xdr:sp macro="" textlink="">
      <xdr:nvSpPr>
        <xdr:cNvPr id="789023" name="Rectangle 50">
          <a:extLst>
            <a:ext uri="{FF2B5EF4-FFF2-40B4-BE49-F238E27FC236}">
              <a16:creationId xmlns:a16="http://schemas.microsoft.com/office/drawing/2014/main" id="{00000000-0008-0000-0800-00001F0A0C00}"/>
            </a:ext>
          </a:extLst>
        </xdr:cNvPr>
        <xdr:cNvSpPr>
          <a:spLocks noChangeArrowheads="1"/>
        </xdr:cNvSpPr>
      </xdr:nvSpPr>
      <xdr:spPr bwMode="auto">
        <a:xfrm>
          <a:off x="4143375" y="9239250"/>
          <a:ext cx="0" cy="0"/>
        </a:xfrm>
        <a:prstGeom prst="rect">
          <a:avLst/>
        </a:prstGeom>
        <a:solidFill>
          <a:srgbClr val="339933"/>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51</xdr:col>
      <xdr:colOff>609600</xdr:colOff>
      <xdr:row>51</xdr:row>
      <xdr:rowOff>0</xdr:rowOff>
    </xdr:from>
    <xdr:to>
      <xdr:col>51</xdr:col>
      <xdr:colOff>57150</xdr:colOff>
      <xdr:row>51</xdr:row>
      <xdr:rowOff>0</xdr:rowOff>
    </xdr:to>
    <xdr:sp macro="" textlink="">
      <xdr:nvSpPr>
        <xdr:cNvPr id="789024" name="Line 2210">
          <a:extLst>
            <a:ext uri="{FF2B5EF4-FFF2-40B4-BE49-F238E27FC236}">
              <a16:creationId xmlns:a16="http://schemas.microsoft.com/office/drawing/2014/main" id="{00000000-0008-0000-0800-0000200A0C00}"/>
            </a:ext>
          </a:extLst>
        </xdr:cNvPr>
        <xdr:cNvSpPr>
          <a:spLocks noChangeShapeType="1"/>
        </xdr:cNvSpPr>
      </xdr:nvSpPr>
      <xdr:spPr bwMode="auto">
        <a:xfrm>
          <a:off x="4143375" y="9429750"/>
          <a:ext cx="0" cy="0"/>
        </a:xfrm>
        <a:prstGeom prst="line">
          <a:avLst/>
        </a:prstGeom>
        <a:noFill/>
        <a:ln w="24765">
          <a:solidFill>
            <a:srgbClr val="FF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76200</xdr:colOff>
      <xdr:row>51</xdr:row>
      <xdr:rowOff>190500</xdr:rowOff>
    </xdr:from>
    <xdr:to>
      <xdr:col>33</xdr:col>
      <xdr:colOff>123825</xdr:colOff>
      <xdr:row>53</xdr:row>
      <xdr:rowOff>190500</xdr:rowOff>
    </xdr:to>
    <xdr:sp macro="" textlink="">
      <xdr:nvSpPr>
        <xdr:cNvPr id="789025" name="Rectangle 61">
          <a:extLst>
            <a:ext uri="{FF2B5EF4-FFF2-40B4-BE49-F238E27FC236}">
              <a16:creationId xmlns:a16="http://schemas.microsoft.com/office/drawing/2014/main" id="{00000000-0008-0000-0800-0000210A0C00}"/>
            </a:ext>
          </a:extLst>
        </xdr:cNvPr>
        <xdr:cNvSpPr>
          <a:spLocks noChangeArrowheads="1"/>
        </xdr:cNvSpPr>
      </xdr:nvSpPr>
      <xdr:spPr bwMode="auto">
        <a:xfrm>
          <a:off x="3114675" y="9553575"/>
          <a:ext cx="0" cy="314325"/>
        </a:xfrm>
        <a:prstGeom prst="rect">
          <a:avLst/>
        </a:prstGeom>
        <a:solidFill>
          <a:srgbClr val="FFFF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35</xdr:col>
      <xdr:colOff>200025</xdr:colOff>
      <xdr:row>58</xdr:row>
      <xdr:rowOff>0</xdr:rowOff>
    </xdr:from>
    <xdr:to>
      <xdr:col>35</xdr:col>
      <xdr:colOff>257175</xdr:colOff>
      <xdr:row>60</xdr:row>
      <xdr:rowOff>9525</xdr:rowOff>
    </xdr:to>
    <xdr:sp macro="" textlink="">
      <xdr:nvSpPr>
        <xdr:cNvPr id="789026" name="Rectangle 61">
          <a:extLst>
            <a:ext uri="{FF2B5EF4-FFF2-40B4-BE49-F238E27FC236}">
              <a16:creationId xmlns:a16="http://schemas.microsoft.com/office/drawing/2014/main" id="{00000000-0008-0000-0800-0000220A0C00}"/>
            </a:ext>
          </a:extLst>
        </xdr:cNvPr>
        <xdr:cNvSpPr>
          <a:spLocks noChangeArrowheads="1"/>
        </xdr:cNvSpPr>
      </xdr:nvSpPr>
      <xdr:spPr bwMode="auto">
        <a:xfrm>
          <a:off x="3228975" y="10496550"/>
          <a:ext cx="0" cy="323850"/>
        </a:xfrm>
        <a:prstGeom prst="rect">
          <a:avLst/>
        </a:prstGeom>
        <a:solidFill>
          <a:srgbClr val="FFFF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34</xdr:col>
      <xdr:colOff>104775</xdr:colOff>
      <xdr:row>58</xdr:row>
      <xdr:rowOff>0</xdr:rowOff>
    </xdr:from>
    <xdr:to>
      <xdr:col>34</xdr:col>
      <xdr:colOff>238125</xdr:colOff>
      <xdr:row>60</xdr:row>
      <xdr:rowOff>0</xdr:rowOff>
    </xdr:to>
    <xdr:sp macro="" textlink="">
      <xdr:nvSpPr>
        <xdr:cNvPr id="789027" name="Rectangle 61">
          <a:extLst>
            <a:ext uri="{FF2B5EF4-FFF2-40B4-BE49-F238E27FC236}">
              <a16:creationId xmlns:a16="http://schemas.microsoft.com/office/drawing/2014/main" id="{00000000-0008-0000-0800-0000230A0C00}"/>
            </a:ext>
          </a:extLst>
        </xdr:cNvPr>
        <xdr:cNvSpPr>
          <a:spLocks noChangeArrowheads="1"/>
        </xdr:cNvSpPr>
      </xdr:nvSpPr>
      <xdr:spPr bwMode="auto">
        <a:xfrm>
          <a:off x="3171825" y="10496550"/>
          <a:ext cx="0" cy="314325"/>
        </a:xfrm>
        <a:prstGeom prst="rect">
          <a:avLst/>
        </a:prstGeom>
        <a:solidFill>
          <a:srgbClr val="FFFF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35</xdr:col>
      <xdr:colOff>114300</xdr:colOff>
      <xdr:row>58</xdr:row>
      <xdr:rowOff>0</xdr:rowOff>
    </xdr:from>
    <xdr:to>
      <xdr:col>35</xdr:col>
      <xdr:colOff>161925</xdr:colOff>
      <xdr:row>60</xdr:row>
      <xdr:rowOff>0</xdr:rowOff>
    </xdr:to>
    <xdr:sp macro="" textlink="">
      <xdr:nvSpPr>
        <xdr:cNvPr id="789028" name="Rectangle 127">
          <a:extLst>
            <a:ext uri="{FF2B5EF4-FFF2-40B4-BE49-F238E27FC236}">
              <a16:creationId xmlns:a16="http://schemas.microsoft.com/office/drawing/2014/main" id="{00000000-0008-0000-0800-0000240A0C00}"/>
            </a:ext>
          </a:extLst>
        </xdr:cNvPr>
        <xdr:cNvSpPr>
          <a:spLocks noChangeArrowheads="1"/>
        </xdr:cNvSpPr>
      </xdr:nvSpPr>
      <xdr:spPr bwMode="auto">
        <a:xfrm>
          <a:off x="3228975" y="10496550"/>
          <a:ext cx="0" cy="314325"/>
        </a:xfrm>
        <a:prstGeom prst="rect">
          <a:avLst/>
        </a:prstGeom>
        <a:solidFill>
          <a:srgbClr val="FF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190500</xdr:colOff>
      <xdr:row>58</xdr:row>
      <xdr:rowOff>0</xdr:rowOff>
    </xdr:from>
    <xdr:to>
      <xdr:col>33</xdr:col>
      <xdr:colOff>238125</xdr:colOff>
      <xdr:row>60</xdr:row>
      <xdr:rowOff>0</xdr:rowOff>
    </xdr:to>
    <xdr:sp macro="" textlink="">
      <xdr:nvSpPr>
        <xdr:cNvPr id="789029" name="Rectangle 61">
          <a:extLst>
            <a:ext uri="{FF2B5EF4-FFF2-40B4-BE49-F238E27FC236}">
              <a16:creationId xmlns:a16="http://schemas.microsoft.com/office/drawing/2014/main" id="{00000000-0008-0000-0800-0000250A0C00}"/>
            </a:ext>
          </a:extLst>
        </xdr:cNvPr>
        <xdr:cNvSpPr>
          <a:spLocks noChangeArrowheads="1"/>
        </xdr:cNvSpPr>
      </xdr:nvSpPr>
      <xdr:spPr bwMode="auto">
        <a:xfrm>
          <a:off x="3114675" y="10496550"/>
          <a:ext cx="0" cy="314325"/>
        </a:xfrm>
        <a:prstGeom prst="rect">
          <a:avLst/>
        </a:prstGeom>
        <a:solidFill>
          <a:srgbClr val="FFFF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49</xdr:col>
      <xdr:colOff>99488</xdr:colOff>
      <xdr:row>48</xdr:row>
      <xdr:rowOff>1072</xdr:rowOff>
    </xdr:from>
    <xdr:to>
      <xdr:col>49</xdr:col>
      <xdr:colOff>160447</xdr:colOff>
      <xdr:row>50</xdr:row>
      <xdr:rowOff>3338</xdr:rowOff>
    </xdr:to>
    <xdr:sp macro="" textlink="">
      <xdr:nvSpPr>
        <xdr:cNvPr id="22" name="Rectangle 59">
          <a:extLst>
            <a:ext uri="{FF2B5EF4-FFF2-40B4-BE49-F238E27FC236}">
              <a16:creationId xmlns:a16="http://schemas.microsoft.com/office/drawing/2014/main" id="{00000000-0008-0000-0800-000016000000}"/>
            </a:ext>
          </a:extLst>
        </xdr:cNvPr>
        <xdr:cNvSpPr>
          <a:spLocks noChangeArrowheads="1"/>
        </xdr:cNvSpPr>
      </xdr:nvSpPr>
      <xdr:spPr bwMode="auto">
        <a:xfrm>
          <a:off x="4033313" y="8925997"/>
          <a:ext cx="0" cy="316591"/>
        </a:xfrm>
        <a:prstGeom prst="rect">
          <a:avLst/>
        </a:prstGeom>
        <a:solidFill>
          <a:srgbClr val="00AE01"/>
        </a:solidFill>
        <a:ln>
          <a:noFill/>
        </a:ln>
      </xdr:spPr>
      <xdr:txBody>
        <a:bodyPr rtlCol="0"/>
        <a:lstStyle/>
        <a:p>
          <a:pPr marL="0" indent="0" algn="ctr" rtl="1">
            <a:defRPr sz="1000"/>
          </a:pPr>
          <a:r>
            <a:rPr lang="es-AR" sz="1100">
              <a:latin typeface="+mn-lt"/>
              <a:ea typeface="+mn-ea"/>
              <a:cs typeface="+mn-cs"/>
            </a:rPr>
            <a:t> </a:t>
          </a:r>
        </a:p>
      </xdr:txBody>
    </xdr:sp>
    <xdr:clientData/>
  </xdr:twoCellAnchor>
  <xdr:twoCellAnchor>
    <xdr:from>
      <xdr:col>51</xdr:col>
      <xdr:colOff>99488</xdr:colOff>
      <xdr:row>48</xdr:row>
      <xdr:rowOff>1071</xdr:rowOff>
    </xdr:from>
    <xdr:to>
      <xdr:col>51</xdr:col>
      <xdr:colOff>160447</xdr:colOff>
      <xdr:row>50</xdr:row>
      <xdr:rowOff>3337</xdr:rowOff>
    </xdr:to>
    <xdr:sp macro="" textlink="">
      <xdr:nvSpPr>
        <xdr:cNvPr id="23" name="Rectangle 59">
          <a:extLst>
            <a:ext uri="{FF2B5EF4-FFF2-40B4-BE49-F238E27FC236}">
              <a16:creationId xmlns:a16="http://schemas.microsoft.com/office/drawing/2014/main" id="{00000000-0008-0000-0800-000017000000}"/>
            </a:ext>
          </a:extLst>
        </xdr:cNvPr>
        <xdr:cNvSpPr>
          <a:spLocks noChangeArrowheads="1"/>
        </xdr:cNvSpPr>
      </xdr:nvSpPr>
      <xdr:spPr bwMode="auto">
        <a:xfrm>
          <a:off x="4147613" y="8925996"/>
          <a:ext cx="0" cy="316591"/>
        </a:xfrm>
        <a:prstGeom prst="rect">
          <a:avLst/>
        </a:prstGeom>
        <a:solidFill>
          <a:srgbClr val="00AE01"/>
        </a:solidFill>
        <a:ln>
          <a:noFill/>
        </a:ln>
      </xdr:spPr>
      <xdr:txBody>
        <a:bodyPr rtlCol="0"/>
        <a:lstStyle/>
        <a:p>
          <a:pPr marL="0" indent="0" algn="ctr" rtl="1">
            <a:defRPr sz="1000"/>
          </a:pPr>
          <a:r>
            <a:rPr lang="es-AR" sz="1100">
              <a:latin typeface="+mn-lt"/>
              <a:ea typeface="+mn-ea"/>
              <a:cs typeface="+mn-cs"/>
            </a:rPr>
            <a:t> </a:t>
          </a:r>
        </a:p>
      </xdr:txBody>
    </xdr:sp>
    <xdr:clientData/>
  </xdr:twoCellAnchor>
  <xdr:twoCellAnchor>
    <xdr:from>
      <xdr:col>51</xdr:col>
      <xdr:colOff>192619</xdr:colOff>
      <xdr:row>48</xdr:row>
      <xdr:rowOff>1065</xdr:rowOff>
    </xdr:from>
    <xdr:to>
      <xdr:col>51</xdr:col>
      <xdr:colOff>253578</xdr:colOff>
      <xdr:row>50</xdr:row>
      <xdr:rowOff>3331</xdr:rowOff>
    </xdr:to>
    <xdr:sp macro="" textlink="">
      <xdr:nvSpPr>
        <xdr:cNvPr id="24" name="Rectangle 59">
          <a:extLst>
            <a:ext uri="{FF2B5EF4-FFF2-40B4-BE49-F238E27FC236}">
              <a16:creationId xmlns:a16="http://schemas.microsoft.com/office/drawing/2014/main" id="{00000000-0008-0000-0800-000018000000}"/>
            </a:ext>
          </a:extLst>
        </xdr:cNvPr>
        <xdr:cNvSpPr>
          <a:spLocks noChangeArrowheads="1"/>
        </xdr:cNvSpPr>
      </xdr:nvSpPr>
      <xdr:spPr bwMode="auto">
        <a:xfrm>
          <a:off x="4145494" y="8925990"/>
          <a:ext cx="0" cy="316591"/>
        </a:xfrm>
        <a:prstGeom prst="rect">
          <a:avLst/>
        </a:prstGeom>
        <a:solidFill>
          <a:srgbClr val="FF0000"/>
        </a:solidFill>
        <a:ln w="9525">
          <a:noFill/>
          <a:miter lim="800000"/>
          <a:headEnd/>
          <a:tailEnd/>
        </a:ln>
      </xdr:spPr>
      <xdr:txBody>
        <a:bodyPr vertOverflow="clip" wrap="square" lIns="27432" tIns="22860" rIns="0" bIns="0" anchor="t" upright="1"/>
        <a:lstStyle/>
        <a:p>
          <a:pPr algn="l" rtl="1">
            <a:defRPr sz="1000"/>
          </a:pPr>
          <a:r>
            <a:rPr lang="es-AR" sz="1000" b="0" i="0" strike="noStrike">
              <a:solidFill>
                <a:srgbClr val="00FF00"/>
              </a:solidFill>
              <a:latin typeface="Arial"/>
              <a:cs typeface="Arial"/>
            </a:rPr>
            <a:t> </a:t>
          </a:r>
        </a:p>
      </xdr:txBody>
    </xdr:sp>
    <xdr:clientData/>
  </xdr:twoCellAnchor>
  <xdr:twoCellAnchor>
    <xdr:from>
      <xdr:col>51</xdr:col>
      <xdr:colOff>619125</xdr:colOff>
      <xdr:row>51</xdr:row>
      <xdr:rowOff>0</xdr:rowOff>
    </xdr:from>
    <xdr:to>
      <xdr:col>51</xdr:col>
      <xdr:colOff>57150</xdr:colOff>
      <xdr:row>51</xdr:row>
      <xdr:rowOff>0</xdr:rowOff>
    </xdr:to>
    <xdr:sp macro="" textlink="">
      <xdr:nvSpPr>
        <xdr:cNvPr id="789033" name="Line 2210">
          <a:extLst>
            <a:ext uri="{FF2B5EF4-FFF2-40B4-BE49-F238E27FC236}">
              <a16:creationId xmlns:a16="http://schemas.microsoft.com/office/drawing/2014/main" id="{00000000-0008-0000-0800-0000290A0C00}"/>
            </a:ext>
          </a:extLst>
        </xdr:cNvPr>
        <xdr:cNvSpPr>
          <a:spLocks noChangeShapeType="1"/>
        </xdr:cNvSpPr>
      </xdr:nvSpPr>
      <xdr:spPr bwMode="auto">
        <a:xfrm>
          <a:off x="4143375" y="9429750"/>
          <a:ext cx="0" cy="0"/>
        </a:xfrm>
        <a:prstGeom prst="line">
          <a:avLst/>
        </a:prstGeom>
        <a:noFill/>
        <a:ln w="24765">
          <a:solidFill>
            <a:srgbClr val="FF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85725</xdr:colOff>
      <xdr:row>49</xdr:row>
      <xdr:rowOff>190500</xdr:rowOff>
    </xdr:from>
    <xdr:to>
      <xdr:col>33</xdr:col>
      <xdr:colOff>142875</xdr:colOff>
      <xdr:row>51</xdr:row>
      <xdr:rowOff>190500</xdr:rowOff>
    </xdr:to>
    <xdr:sp macro="" textlink="">
      <xdr:nvSpPr>
        <xdr:cNvPr id="789034" name="Rectangle 61">
          <a:extLst>
            <a:ext uri="{FF2B5EF4-FFF2-40B4-BE49-F238E27FC236}">
              <a16:creationId xmlns:a16="http://schemas.microsoft.com/office/drawing/2014/main" id="{00000000-0008-0000-0800-00002A0A0C00}"/>
            </a:ext>
          </a:extLst>
        </xdr:cNvPr>
        <xdr:cNvSpPr>
          <a:spLocks noChangeArrowheads="1"/>
        </xdr:cNvSpPr>
      </xdr:nvSpPr>
      <xdr:spPr bwMode="auto">
        <a:xfrm>
          <a:off x="3114675" y="9239250"/>
          <a:ext cx="0" cy="314325"/>
        </a:xfrm>
        <a:prstGeom prst="rect">
          <a:avLst/>
        </a:prstGeom>
        <a:solidFill>
          <a:srgbClr val="FFFF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34</xdr:col>
      <xdr:colOff>66675</xdr:colOff>
      <xdr:row>49</xdr:row>
      <xdr:rowOff>190500</xdr:rowOff>
    </xdr:from>
    <xdr:to>
      <xdr:col>34</xdr:col>
      <xdr:colOff>180975</xdr:colOff>
      <xdr:row>52</xdr:row>
      <xdr:rowOff>0</xdr:rowOff>
    </xdr:to>
    <xdr:sp macro="" textlink="">
      <xdr:nvSpPr>
        <xdr:cNvPr id="789035" name="Rectangle 61">
          <a:extLst>
            <a:ext uri="{FF2B5EF4-FFF2-40B4-BE49-F238E27FC236}">
              <a16:creationId xmlns:a16="http://schemas.microsoft.com/office/drawing/2014/main" id="{00000000-0008-0000-0800-00002B0A0C00}"/>
            </a:ext>
          </a:extLst>
        </xdr:cNvPr>
        <xdr:cNvSpPr>
          <a:spLocks noChangeArrowheads="1"/>
        </xdr:cNvSpPr>
      </xdr:nvSpPr>
      <xdr:spPr bwMode="auto">
        <a:xfrm>
          <a:off x="3171825" y="9239250"/>
          <a:ext cx="0" cy="314325"/>
        </a:xfrm>
        <a:prstGeom prst="rect">
          <a:avLst/>
        </a:prstGeom>
        <a:solidFill>
          <a:srgbClr val="FFFF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5</xdr:col>
      <xdr:colOff>228600</xdr:colOff>
      <xdr:row>50</xdr:row>
      <xdr:rowOff>0</xdr:rowOff>
    </xdr:from>
    <xdr:to>
      <xdr:col>5</xdr:col>
      <xdr:colOff>276225</xdr:colOff>
      <xdr:row>52</xdr:row>
      <xdr:rowOff>9525</xdr:rowOff>
    </xdr:to>
    <xdr:sp macro="" textlink="">
      <xdr:nvSpPr>
        <xdr:cNvPr id="789036" name="Rectangle 61">
          <a:extLst>
            <a:ext uri="{FF2B5EF4-FFF2-40B4-BE49-F238E27FC236}">
              <a16:creationId xmlns:a16="http://schemas.microsoft.com/office/drawing/2014/main" id="{00000000-0008-0000-0800-00002C0A0C00}"/>
            </a:ext>
          </a:extLst>
        </xdr:cNvPr>
        <xdr:cNvSpPr>
          <a:spLocks noChangeArrowheads="1"/>
        </xdr:cNvSpPr>
      </xdr:nvSpPr>
      <xdr:spPr bwMode="auto">
        <a:xfrm>
          <a:off x="1514475" y="9239250"/>
          <a:ext cx="0" cy="323850"/>
        </a:xfrm>
        <a:prstGeom prst="rect">
          <a:avLst/>
        </a:prstGeom>
        <a:solidFill>
          <a:srgbClr val="FFFF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49</xdr:col>
      <xdr:colOff>123825</xdr:colOff>
      <xdr:row>49</xdr:row>
      <xdr:rowOff>190500</xdr:rowOff>
    </xdr:from>
    <xdr:to>
      <xdr:col>49</xdr:col>
      <xdr:colOff>200025</xdr:colOff>
      <xdr:row>52</xdr:row>
      <xdr:rowOff>0</xdr:rowOff>
    </xdr:to>
    <xdr:sp macro="" textlink="">
      <xdr:nvSpPr>
        <xdr:cNvPr id="789037" name="Rectangle 61">
          <a:extLst>
            <a:ext uri="{FF2B5EF4-FFF2-40B4-BE49-F238E27FC236}">
              <a16:creationId xmlns:a16="http://schemas.microsoft.com/office/drawing/2014/main" id="{00000000-0008-0000-0800-00002D0A0C00}"/>
            </a:ext>
          </a:extLst>
        </xdr:cNvPr>
        <xdr:cNvSpPr>
          <a:spLocks noChangeArrowheads="1"/>
        </xdr:cNvSpPr>
      </xdr:nvSpPr>
      <xdr:spPr bwMode="auto">
        <a:xfrm>
          <a:off x="4029075" y="9239250"/>
          <a:ext cx="0" cy="314325"/>
        </a:xfrm>
        <a:prstGeom prst="rect">
          <a:avLst/>
        </a:prstGeom>
        <a:solidFill>
          <a:srgbClr val="FFFF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35</xdr:col>
      <xdr:colOff>276225</xdr:colOff>
      <xdr:row>49</xdr:row>
      <xdr:rowOff>190500</xdr:rowOff>
    </xdr:from>
    <xdr:to>
      <xdr:col>35</xdr:col>
      <xdr:colOff>352425</xdr:colOff>
      <xdr:row>52</xdr:row>
      <xdr:rowOff>0</xdr:rowOff>
    </xdr:to>
    <xdr:sp macro="" textlink="">
      <xdr:nvSpPr>
        <xdr:cNvPr id="789038" name="Rectangle 61">
          <a:extLst>
            <a:ext uri="{FF2B5EF4-FFF2-40B4-BE49-F238E27FC236}">
              <a16:creationId xmlns:a16="http://schemas.microsoft.com/office/drawing/2014/main" id="{00000000-0008-0000-0800-00002E0A0C00}"/>
            </a:ext>
          </a:extLst>
        </xdr:cNvPr>
        <xdr:cNvSpPr>
          <a:spLocks noChangeArrowheads="1"/>
        </xdr:cNvSpPr>
      </xdr:nvSpPr>
      <xdr:spPr bwMode="auto">
        <a:xfrm>
          <a:off x="3228975" y="9239250"/>
          <a:ext cx="0" cy="314325"/>
        </a:xfrm>
        <a:prstGeom prst="rect">
          <a:avLst/>
        </a:prstGeom>
        <a:solidFill>
          <a:srgbClr val="FFFF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33</xdr:col>
      <xdr:colOff>219075</xdr:colOff>
      <xdr:row>49</xdr:row>
      <xdr:rowOff>190500</xdr:rowOff>
    </xdr:from>
    <xdr:to>
      <xdr:col>33</xdr:col>
      <xdr:colOff>266700</xdr:colOff>
      <xdr:row>51</xdr:row>
      <xdr:rowOff>190500</xdr:rowOff>
    </xdr:to>
    <xdr:sp macro="" textlink="">
      <xdr:nvSpPr>
        <xdr:cNvPr id="789039" name="Rectangle 61">
          <a:extLst>
            <a:ext uri="{FF2B5EF4-FFF2-40B4-BE49-F238E27FC236}">
              <a16:creationId xmlns:a16="http://schemas.microsoft.com/office/drawing/2014/main" id="{00000000-0008-0000-0800-00002F0A0C00}"/>
            </a:ext>
          </a:extLst>
        </xdr:cNvPr>
        <xdr:cNvSpPr>
          <a:spLocks noChangeArrowheads="1"/>
        </xdr:cNvSpPr>
      </xdr:nvSpPr>
      <xdr:spPr bwMode="auto">
        <a:xfrm>
          <a:off x="3114675" y="9239250"/>
          <a:ext cx="0" cy="314325"/>
        </a:xfrm>
        <a:prstGeom prst="rect">
          <a:avLst/>
        </a:prstGeom>
        <a:solidFill>
          <a:srgbClr val="FFFF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50</xdr:col>
      <xdr:colOff>200025</xdr:colOff>
      <xdr:row>50</xdr:row>
      <xdr:rowOff>0</xdr:rowOff>
    </xdr:from>
    <xdr:to>
      <xdr:col>50</xdr:col>
      <xdr:colOff>276225</xdr:colOff>
      <xdr:row>52</xdr:row>
      <xdr:rowOff>0</xdr:rowOff>
    </xdr:to>
    <xdr:sp macro="" textlink="">
      <xdr:nvSpPr>
        <xdr:cNvPr id="789040" name="Rectangle 61">
          <a:extLst>
            <a:ext uri="{FF2B5EF4-FFF2-40B4-BE49-F238E27FC236}">
              <a16:creationId xmlns:a16="http://schemas.microsoft.com/office/drawing/2014/main" id="{00000000-0008-0000-0800-0000300A0C00}"/>
            </a:ext>
          </a:extLst>
        </xdr:cNvPr>
        <xdr:cNvSpPr>
          <a:spLocks noChangeArrowheads="1"/>
        </xdr:cNvSpPr>
      </xdr:nvSpPr>
      <xdr:spPr bwMode="auto">
        <a:xfrm>
          <a:off x="4086225" y="9239250"/>
          <a:ext cx="0" cy="314325"/>
        </a:xfrm>
        <a:prstGeom prst="rect">
          <a:avLst/>
        </a:prstGeom>
        <a:solidFill>
          <a:srgbClr val="FFFF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5</xdr:col>
      <xdr:colOff>314325</xdr:colOff>
      <xdr:row>50</xdr:row>
      <xdr:rowOff>0</xdr:rowOff>
    </xdr:from>
    <xdr:to>
      <xdr:col>5</xdr:col>
      <xdr:colOff>371475</xdr:colOff>
      <xdr:row>52</xdr:row>
      <xdr:rowOff>0</xdr:rowOff>
    </xdr:to>
    <xdr:sp macro="" textlink="">
      <xdr:nvSpPr>
        <xdr:cNvPr id="789041" name="Rectangle 127">
          <a:extLst>
            <a:ext uri="{FF2B5EF4-FFF2-40B4-BE49-F238E27FC236}">
              <a16:creationId xmlns:a16="http://schemas.microsoft.com/office/drawing/2014/main" id="{00000000-0008-0000-0800-0000310A0C00}"/>
            </a:ext>
          </a:extLst>
        </xdr:cNvPr>
        <xdr:cNvSpPr>
          <a:spLocks noChangeArrowheads="1"/>
        </xdr:cNvSpPr>
      </xdr:nvSpPr>
      <xdr:spPr bwMode="auto">
        <a:xfrm>
          <a:off x="1514475" y="9239250"/>
          <a:ext cx="0" cy="314325"/>
        </a:xfrm>
        <a:prstGeom prst="rect">
          <a:avLst/>
        </a:prstGeom>
        <a:solidFill>
          <a:srgbClr val="FF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5</xdr:col>
      <xdr:colOff>95250</xdr:colOff>
      <xdr:row>50</xdr:row>
      <xdr:rowOff>0</xdr:rowOff>
    </xdr:from>
    <xdr:to>
      <xdr:col>5</xdr:col>
      <xdr:colOff>161925</xdr:colOff>
      <xdr:row>52</xdr:row>
      <xdr:rowOff>0</xdr:rowOff>
    </xdr:to>
    <xdr:sp macro="" textlink="">
      <xdr:nvSpPr>
        <xdr:cNvPr id="789042" name="Rectangle 127">
          <a:extLst>
            <a:ext uri="{FF2B5EF4-FFF2-40B4-BE49-F238E27FC236}">
              <a16:creationId xmlns:a16="http://schemas.microsoft.com/office/drawing/2014/main" id="{00000000-0008-0000-0800-0000320A0C00}"/>
            </a:ext>
          </a:extLst>
        </xdr:cNvPr>
        <xdr:cNvSpPr>
          <a:spLocks noChangeArrowheads="1"/>
        </xdr:cNvSpPr>
      </xdr:nvSpPr>
      <xdr:spPr bwMode="auto">
        <a:xfrm>
          <a:off x="1514475" y="9239250"/>
          <a:ext cx="0" cy="314325"/>
        </a:xfrm>
        <a:prstGeom prst="rect">
          <a:avLst/>
        </a:prstGeom>
        <a:solidFill>
          <a:srgbClr val="FF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38100</xdr:colOff>
      <xdr:row>11</xdr:row>
      <xdr:rowOff>161925</xdr:rowOff>
    </xdr:from>
    <xdr:to>
      <xdr:col>63</xdr:col>
      <xdr:colOff>47625</xdr:colOff>
      <xdr:row>36</xdr:row>
      <xdr:rowOff>114300</xdr:rowOff>
    </xdr:to>
    <xdr:pic>
      <xdr:nvPicPr>
        <xdr:cNvPr id="789043" name="39 Imagen">
          <a:extLst>
            <a:ext uri="{FF2B5EF4-FFF2-40B4-BE49-F238E27FC236}">
              <a16:creationId xmlns:a16="http://schemas.microsoft.com/office/drawing/2014/main" id="{00000000-0008-0000-0800-0000330A0C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 y="2286000"/>
          <a:ext cx="7600950" cy="4714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26</xdr:col>
      <xdr:colOff>50837</xdr:colOff>
      <xdr:row>18</xdr:row>
      <xdr:rowOff>86778</xdr:rowOff>
    </xdr:from>
    <xdr:to>
      <xdr:col>30</xdr:col>
      <xdr:colOff>44488</xdr:colOff>
      <xdr:row>19</xdr:row>
      <xdr:rowOff>97360</xdr:rowOff>
    </xdr:to>
    <xdr:sp macro="" textlink="">
      <xdr:nvSpPr>
        <xdr:cNvPr id="36" name="35 Explosión 1">
          <a:extLst>
            <a:ext uri="{FF2B5EF4-FFF2-40B4-BE49-F238E27FC236}">
              <a16:creationId xmlns:a16="http://schemas.microsoft.com/office/drawing/2014/main" id="{00000000-0008-0000-0800-000024000000}"/>
            </a:ext>
          </a:extLst>
        </xdr:cNvPr>
        <xdr:cNvSpPr/>
      </xdr:nvSpPr>
      <xdr:spPr>
        <a:xfrm>
          <a:off x="2708312" y="3544353"/>
          <a:ext cx="222251" cy="201082"/>
        </a:xfrm>
        <a:prstGeom prst="irregularSeal1">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es-CO"/>
        </a:p>
      </xdr:txBody>
    </xdr:sp>
    <xdr:clientData/>
  </xdr:twoCellAnchor>
  <xdr:twoCellAnchor>
    <xdr:from>
      <xdr:col>28</xdr:col>
      <xdr:colOff>36021</xdr:colOff>
      <xdr:row>16</xdr:row>
      <xdr:rowOff>123817</xdr:rowOff>
    </xdr:from>
    <xdr:to>
      <xdr:col>57</xdr:col>
      <xdr:colOff>104774</xdr:colOff>
      <xdr:row>19</xdr:row>
      <xdr:rowOff>66675</xdr:rowOff>
    </xdr:to>
    <xdr:sp macro="" textlink="">
      <xdr:nvSpPr>
        <xdr:cNvPr id="37" name="36 CuadroTexto">
          <a:extLst>
            <a:ext uri="{FF2B5EF4-FFF2-40B4-BE49-F238E27FC236}">
              <a16:creationId xmlns:a16="http://schemas.microsoft.com/office/drawing/2014/main" id="{00000000-0008-0000-0800-000025000000}"/>
            </a:ext>
          </a:extLst>
        </xdr:cNvPr>
        <xdr:cNvSpPr txBox="1"/>
      </xdr:nvSpPr>
      <xdr:spPr>
        <a:xfrm>
          <a:off x="2807796" y="3200392"/>
          <a:ext cx="2430953" cy="51435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s-US" sz="1200" b="1">
              <a:solidFill>
                <a:srgbClr val="FFFF00"/>
              </a:solidFill>
            </a:rPr>
            <a:t>LA FRONTERA PR 67+0700</a:t>
          </a:r>
        </a:p>
      </xdr:txBody>
    </xdr:sp>
    <xdr:clientData/>
  </xdr:twoCellAnchor>
  <xdr:twoCellAnchor>
    <xdr:from>
      <xdr:col>0</xdr:col>
      <xdr:colOff>247650</xdr:colOff>
      <xdr:row>13</xdr:row>
      <xdr:rowOff>153450</xdr:rowOff>
    </xdr:from>
    <xdr:to>
      <xdr:col>13</xdr:col>
      <xdr:colOff>0</xdr:colOff>
      <xdr:row>15</xdr:row>
      <xdr:rowOff>142867</xdr:rowOff>
    </xdr:to>
    <xdr:sp macro="" textlink="">
      <xdr:nvSpPr>
        <xdr:cNvPr id="38" name="37 CuadroTexto">
          <a:extLst>
            <a:ext uri="{FF2B5EF4-FFF2-40B4-BE49-F238E27FC236}">
              <a16:creationId xmlns:a16="http://schemas.microsoft.com/office/drawing/2014/main" id="{00000000-0008-0000-0800-000026000000}"/>
            </a:ext>
          </a:extLst>
        </xdr:cNvPr>
        <xdr:cNvSpPr txBox="1"/>
      </xdr:nvSpPr>
      <xdr:spPr>
        <a:xfrm>
          <a:off x="247650" y="2658525"/>
          <a:ext cx="1666875" cy="3704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s-US" sz="1200" b="1">
              <a:solidFill>
                <a:srgbClr val="FFFF00"/>
              </a:solidFill>
            </a:rPr>
            <a:t>LA UNIÓN PR 49+0000</a:t>
          </a:r>
        </a:p>
      </xdr:txBody>
    </xdr:sp>
    <xdr:clientData/>
  </xdr:twoCellAnchor>
  <xdr:twoCellAnchor>
    <xdr:from>
      <xdr:col>25</xdr:col>
      <xdr:colOff>9525</xdr:colOff>
      <xdr:row>34</xdr:row>
      <xdr:rowOff>52909</xdr:rowOff>
    </xdr:from>
    <xdr:to>
      <xdr:col>54</xdr:col>
      <xdr:colOff>19050</xdr:colOff>
      <xdr:row>36</xdr:row>
      <xdr:rowOff>42326</xdr:rowOff>
    </xdr:to>
    <xdr:sp macro="" textlink="">
      <xdr:nvSpPr>
        <xdr:cNvPr id="39" name="38 CuadroTexto">
          <a:extLst>
            <a:ext uri="{FF2B5EF4-FFF2-40B4-BE49-F238E27FC236}">
              <a16:creationId xmlns:a16="http://schemas.microsoft.com/office/drawing/2014/main" id="{00000000-0008-0000-0800-000027000000}"/>
            </a:ext>
          </a:extLst>
        </xdr:cNvPr>
        <xdr:cNvSpPr txBox="1"/>
      </xdr:nvSpPr>
      <xdr:spPr>
        <a:xfrm>
          <a:off x="2609850" y="6558484"/>
          <a:ext cx="1666875" cy="3704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s-US" sz="1200" b="1">
              <a:solidFill>
                <a:srgbClr val="FFFF00"/>
              </a:solidFill>
            </a:rPr>
            <a:t>SONSÓN PR 103+0000</a:t>
          </a:r>
        </a:p>
      </xdr:txBody>
    </xdr:sp>
    <xdr:clientData/>
  </xdr:twoCellAnchor>
  <xdr:twoCellAnchor>
    <xdr:from>
      <xdr:col>13</xdr:col>
      <xdr:colOff>39687</xdr:colOff>
      <xdr:row>19</xdr:row>
      <xdr:rowOff>19051</xdr:rowOff>
    </xdr:from>
    <xdr:to>
      <xdr:col>36</xdr:col>
      <xdr:colOff>28575</xdr:colOff>
      <xdr:row>21</xdr:row>
      <xdr:rowOff>8468</xdr:rowOff>
    </xdr:to>
    <xdr:sp macro="" textlink="">
      <xdr:nvSpPr>
        <xdr:cNvPr id="40" name="39 CuadroTexto">
          <a:extLst>
            <a:ext uri="{FF2B5EF4-FFF2-40B4-BE49-F238E27FC236}">
              <a16:creationId xmlns:a16="http://schemas.microsoft.com/office/drawing/2014/main" id="{00000000-0008-0000-0800-000028000000}"/>
            </a:ext>
          </a:extLst>
        </xdr:cNvPr>
        <xdr:cNvSpPr txBox="1"/>
      </xdr:nvSpPr>
      <xdr:spPr>
        <a:xfrm>
          <a:off x="1954212" y="3667126"/>
          <a:ext cx="1303338" cy="3704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s-US" sz="1200" b="1">
              <a:solidFill>
                <a:srgbClr val="FFFF00"/>
              </a:solidFill>
            </a:rPr>
            <a:t>MESOPOTAMIA</a:t>
          </a:r>
        </a:p>
      </xdr:txBody>
    </xdr:sp>
    <xdr:clientData/>
  </xdr:twoCellAnchor>
  <xdr:twoCellAnchor>
    <xdr:from>
      <xdr:col>2</xdr:col>
      <xdr:colOff>0</xdr:colOff>
      <xdr:row>12</xdr:row>
      <xdr:rowOff>95251</xdr:rowOff>
    </xdr:from>
    <xdr:to>
      <xdr:col>54</xdr:col>
      <xdr:colOff>35719</xdr:colOff>
      <xdr:row>35</xdr:row>
      <xdr:rowOff>57151</xdr:rowOff>
    </xdr:to>
    <xdr:sp macro="" textlink="">
      <xdr:nvSpPr>
        <xdr:cNvPr id="41" name="40 Forma libre">
          <a:extLst>
            <a:ext uri="{FF2B5EF4-FFF2-40B4-BE49-F238E27FC236}">
              <a16:creationId xmlns:a16="http://schemas.microsoft.com/office/drawing/2014/main" id="{00000000-0008-0000-0800-000029000000}"/>
            </a:ext>
          </a:extLst>
        </xdr:cNvPr>
        <xdr:cNvSpPr/>
      </xdr:nvSpPr>
      <xdr:spPr>
        <a:xfrm>
          <a:off x="1285875" y="2409826"/>
          <a:ext cx="3007519" cy="4343400"/>
        </a:xfrm>
        <a:custGeom>
          <a:avLst/>
          <a:gdLst>
            <a:gd name="connsiteX0" fmla="*/ 0 w 2984500"/>
            <a:gd name="connsiteY0" fmla="*/ 52916 h 4572000"/>
            <a:gd name="connsiteX1" fmla="*/ 359833 w 2984500"/>
            <a:gd name="connsiteY1" fmla="*/ 52916 h 4572000"/>
            <a:gd name="connsiteX2" fmla="*/ 423333 w 2984500"/>
            <a:gd name="connsiteY2" fmla="*/ 31750 h 4572000"/>
            <a:gd name="connsiteX3" fmla="*/ 455083 w 2984500"/>
            <a:gd name="connsiteY3" fmla="*/ 21166 h 4572000"/>
            <a:gd name="connsiteX4" fmla="*/ 486833 w 2984500"/>
            <a:gd name="connsiteY4" fmla="*/ 0 h 4572000"/>
            <a:gd name="connsiteX5" fmla="*/ 571500 w 2984500"/>
            <a:gd name="connsiteY5" fmla="*/ 10583 h 4572000"/>
            <a:gd name="connsiteX6" fmla="*/ 592666 w 2984500"/>
            <a:gd name="connsiteY6" fmla="*/ 42333 h 4572000"/>
            <a:gd name="connsiteX7" fmla="*/ 624416 w 2984500"/>
            <a:gd name="connsiteY7" fmla="*/ 52916 h 4572000"/>
            <a:gd name="connsiteX8" fmla="*/ 687916 w 2984500"/>
            <a:gd name="connsiteY8" fmla="*/ 95250 h 4572000"/>
            <a:gd name="connsiteX9" fmla="*/ 804333 w 2984500"/>
            <a:gd name="connsiteY9" fmla="*/ 63500 h 4572000"/>
            <a:gd name="connsiteX10" fmla="*/ 910166 w 2984500"/>
            <a:gd name="connsiteY10" fmla="*/ 74083 h 4572000"/>
            <a:gd name="connsiteX11" fmla="*/ 931333 w 2984500"/>
            <a:gd name="connsiteY11" fmla="*/ 105833 h 4572000"/>
            <a:gd name="connsiteX12" fmla="*/ 1058333 w 2984500"/>
            <a:gd name="connsiteY12" fmla="*/ 169333 h 4572000"/>
            <a:gd name="connsiteX13" fmla="*/ 1153583 w 2984500"/>
            <a:gd name="connsiteY13" fmla="*/ 201083 h 4572000"/>
            <a:gd name="connsiteX14" fmla="*/ 1185333 w 2984500"/>
            <a:gd name="connsiteY14" fmla="*/ 211666 h 4572000"/>
            <a:gd name="connsiteX15" fmla="*/ 1217083 w 2984500"/>
            <a:gd name="connsiteY15" fmla="*/ 275166 h 4572000"/>
            <a:gd name="connsiteX16" fmla="*/ 1248833 w 2984500"/>
            <a:gd name="connsiteY16" fmla="*/ 285750 h 4572000"/>
            <a:gd name="connsiteX17" fmla="*/ 1280583 w 2984500"/>
            <a:gd name="connsiteY17" fmla="*/ 306916 h 4572000"/>
            <a:gd name="connsiteX18" fmla="*/ 1291166 w 2984500"/>
            <a:gd name="connsiteY18" fmla="*/ 338666 h 4572000"/>
            <a:gd name="connsiteX19" fmla="*/ 1322916 w 2984500"/>
            <a:gd name="connsiteY19" fmla="*/ 349250 h 4572000"/>
            <a:gd name="connsiteX20" fmla="*/ 1397000 w 2984500"/>
            <a:gd name="connsiteY20" fmla="*/ 381000 h 4572000"/>
            <a:gd name="connsiteX21" fmla="*/ 1428750 w 2984500"/>
            <a:gd name="connsiteY21" fmla="*/ 444500 h 4572000"/>
            <a:gd name="connsiteX22" fmla="*/ 1439333 w 2984500"/>
            <a:gd name="connsiteY22" fmla="*/ 476250 h 4572000"/>
            <a:gd name="connsiteX23" fmla="*/ 1428750 w 2984500"/>
            <a:gd name="connsiteY23" fmla="*/ 539750 h 4572000"/>
            <a:gd name="connsiteX24" fmla="*/ 1407583 w 2984500"/>
            <a:gd name="connsiteY24" fmla="*/ 571500 h 4572000"/>
            <a:gd name="connsiteX25" fmla="*/ 1397000 w 2984500"/>
            <a:gd name="connsiteY25" fmla="*/ 603250 h 4572000"/>
            <a:gd name="connsiteX26" fmla="*/ 1386416 w 2984500"/>
            <a:gd name="connsiteY26" fmla="*/ 677333 h 4572000"/>
            <a:gd name="connsiteX27" fmla="*/ 1407583 w 2984500"/>
            <a:gd name="connsiteY27" fmla="*/ 836083 h 4572000"/>
            <a:gd name="connsiteX28" fmla="*/ 1418166 w 2984500"/>
            <a:gd name="connsiteY28" fmla="*/ 878416 h 4572000"/>
            <a:gd name="connsiteX29" fmla="*/ 1439333 w 2984500"/>
            <a:gd name="connsiteY29" fmla="*/ 941916 h 4572000"/>
            <a:gd name="connsiteX30" fmla="*/ 1449916 w 2984500"/>
            <a:gd name="connsiteY30" fmla="*/ 973666 h 4572000"/>
            <a:gd name="connsiteX31" fmla="*/ 1471083 w 2984500"/>
            <a:gd name="connsiteY31" fmla="*/ 1005416 h 4572000"/>
            <a:gd name="connsiteX32" fmla="*/ 1481666 w 2984500"/>
            <a:gd name="connsiteY32" fmla="*/ 1037166 h 4572000"/>
            <a:gd name="connsiteX33" fmla="*/ 1524000 w 2984500"/>
            <a:gd name="connsiteY33" fmla="*/ 1100666 h 4572000"/>
            <a:gd name="connsiteX34" fmla="*/ 1534583 w 2984500"/>
            <a:gd name="connsiteY34" fmla="*/ 1132416 h 4572000"/>
            <a:gd name="connsiteX35" fmla="*/ 1598083 w 2984500"/>
            <a:gd name="connsiteY35" fmla="*/ 1111250 h 4572000"/>
            <a:gd name="connsiteX36" fmla="*/ 1651000 w 2984500"/>
            <a:gd name="connsiteY36" fmla="*/ 1153583 h 4572000"/>
            <a:gd name="connsiteX37" fmla="*/ 1714500 w 2984500"/>
            <a:gd name="connsiteY37" fmla="*/ 1185333 h 4572000"/>
            <a:gd name="connsiteX38" fmla="*/ 1746250 w 2984500"/>
            <a:gd name="connsiteY38" fmla="*/ 1206500 h 4572000"/>
            <a:gd name="connsiteX39" fmla="*/ 1809750 w 2984500"/>
            <a:gd name="connsiteY39" fmla="*/ 1227666 h 4572000"/>
            <a:gd name="connsiteX40" fmla="*/ 1852083 w 2984500"/>
            <a:gd name="connsiteY40" fmla="*/ 1270000 h 4572000"/>
            <a:gd name="connsiteX41" fmla="*/ 1873250 w 2984500"/>
            <a:gd name="connsiteY41" fmla="*/ 1301750 h 4572000"/>
            <a:gd name="connsiteX42" fmla="*/ 1905000 w 2984500"/>
            <a:gd name="connsiteY42" fmla="*/ 1322916 h 4572000"/>
            <a:gd name="connsiteX43" fmla="*/ 1926166 w 2984500"/>
            <a:gd name="connsiteY43" fmla="*/ 1354666 h 4572000"/>
            <a:gd name="connsiteX44" fmla="*/ 1957916 w 2984500"/>
            <a:gd name="connsiteY44" fmla="*/ 1365250 h 4572000"/>
            <a:gd name="connsiteX45" fmla="*/ 1968500 w 2984500"/>
            <a:gd name="connsiteY45" fmla="*/ 1397000 h 4572000"/>
            <a:gd name="connsiteX46" fmla="*/ 2000250 w 2984500"/>
            <a:gd name="connsiteY46" fmla="*/ 1418166 h 4572000"/>
            <a:gd name="connsiteX47" fmla="*/ 2042583 w 2984500"/>
            <a:gd name="connsiteY47" fmla="*/ 1481666 h 4572000"/>
            <a:gd name="connsiteX48" fmla="*/ 2074333 w 2984500"/>
            <a:gd name="connsiteY48" fmla="*/ 1545166 h 4572000"/>
            <a:gd name="connsiteX49" fmla="*/ 2084916 w 2984500"/>
            <a:gd name="connsiteY49" fmla="*/ 1576916 h 4572000"/>
            <a:gd name="connsiteX50" fmla="*/ 2116666 w 2984500"/>
            <a:gd name="connsiteY50" fmla="*/ 1598083 h 4572000"/>
            <a:gd name="connsiteX51" fmla="*/ 2137833 w 2984500"/>
            <a:gd name="connsiteY51" fmla="*/ 1629833 h 4572000"/>
            <a:gd name="connsiteX52" fmla="*/ 2169583 w 2984500"/>
            <a:gd name="connsiteY52" fmla="*/ 1693333 h 4572000"/>
            <a:gd name="connsiteX53" fmla="*/ 2180166 w 2984500"/>
            <a:gd name="connsiteY53" fmla="*/ 1725083 h 4572000"/>
            <a:gd name="connsiteX54" fmla="*/ 2190750 w 2984500"/>
            <a:gd name="connsiteY54" fmla="*/ 1862666 h 4572000"/>
            <a:gd name="connsiteX55" fmla="*/ 2211916 w 2984500"/>
            <a:gd name="connsiteY55" fmla="*/ 1894416 h 4572000"/>
            <a:gd name="connsiteX56" fmla="*/ 2233083 w 2984500"/>
            <a:gd name="connsiteY56" fmla="*/ 1957916 h 4572000"/>
            <a:gd name="connsiteX57" fmla="*/ 2264833 w 2984500"/>
            <a:gd name="connsiteY57" fmla="*/ 2169583 h 4572000"/>
            <a:gd name="connsiteX58" fmla="*/ 2264833 w 2984500"/>
            <a:gd name="connsiteY58" fmla="*/ 2169583 h 4572000"/>
            <a:gd name="connsiteX59" fmla="*/ 2275416 w 2984500"/>
            <a:gd name="connsiteY59" fmla="*/ 2233083 h 4572000"/>
            <a:gd name="connsiteX60" fmla="*/ 2317750 w 2984500"/>
            <a:gd name="connsiteY60" fmla="*/ 2296583 h 4572000"/>
            <a:gd name="connsiteX61" fmla="*/ 2328333 w 2984500"/>
            <a:gd name="connsiteY61" fmla="*/ 2328333 h 4572000"/>
            <a:gd name="connsiteX62" fmla="*/ 2286000 w 2984500"/>
            <a:gd name="connsiteY62" fmla="*/ 2391833 h 4572000"/>
            <a:gd name="connsiteX63" fmla="*/ 2317750 w 2984500"/>
            <a:gd name="connsiteY63" fmla="*/ 2614083 h 4572000"/>
            <a:gd name="connsiteX64" fmla="*/ 2328333 w 2984500"/>
            <a:gd name="connsiteY64" fmla="*/ 2645833 h 4572000"/>
            <a:gd name="connsiteX65" fmla="*/ 2338916 w 2984500"/>
            <a:gd name="connsiteY65" fmla="*/ 2677583 h 4572000"/>
            <a:gd name="connsiteX66" fmla="*/ 2370666 w 2984500"/>
            <a:gd name="connsiteY66" fmla="*/ 2688166 h 4572000"/>
            <a:gd name="connsiteX67" fmla="*/ 2391833 w 2984500"/>
            <a:gd name="connsiteY67" fmla="*/ 3058583 h 4572000"/>
            <a:gd name="connsiteX68" fmla="*/ 2413000 w 2984500"/>
            <a:gd name="connsiteY68" fmla="*/ 3122083 h 4572000"/>
            <a:gd name="connsiteX69" fmla="*/ 2455333 w 2984500"/>
            <a:gd name="connsiteY69" fmla="*/ 3164416 h 4572000"/>
            <a:gd name="connsiteX70" fmla="*/ 2487083 w 2984500"/>
            <a:gd name="connsiteY70" fmla="*/ 3196166 h 4572000"/>
            <a:gd name="connsiteX71" fmla="*/ 2550583 w 2984500"/>
            <a:gd name="connsiteY71" fmla="*/ 3217333 h 4572000"/>
            <a:gd name="connsiteX72" fmla="*/ 2825750 w 2984500"/>
            <a:gd name="connsiteY72" fmla="*/ 3206750 h 4572000"/>
            <a:gd name="connsiteX73" fmla="*/ 2889250 w 2984500"/>
            <a:gd name="connsiteY73" fmla="*/ 3217333 h 4572000"/>
            <a:gd name="connsiteX74" fmla="*/ 2878666 w 2984500"/>
            <a:gd name="connsiteY74" fmla="*/ 3280833 h 4572000"/>
            <a:gd name="connsiteX75" fmla="*/ 2815166 w 2984500"/>
            <a:gd name="connsiteY75" fmla="*/ 3312583 h 4572000"/>
            <a:gd name="connsiteX76" fmla="*/ 2794000 w 2984500"/>
            <a:gd name="connsiteY76" fmla="*/ 3344333 h 4572000"/>
            <a:gd name="connsiteX77" fmla="*/ 2762250 w 2984500"/>
            <a:gd name="connsiteY77" fmla="*/ 3365500 h 4572000"/>
            <a:gd name="connsiteX78" fmla="*/ 2751666 w 2984500"/>
            <a:gd name="connsiteY78" fmla="*/ 3397250 h 4572000"/>
            <a:gd name="connsiteX79" fmla="*/ 2762250 w 2984500"/>
            <a:gd name="connsiteY79" fmla="*/ 3492500 h 4572000"/>
            <a:gd name="connsiteX80" fmla="*/ 2783416 w 2984500"/>
            <a:gd name="connsiteY80" fmla="*/ 3556000 h 4572000"/>
            <a:gd name="connsiteX81" fmla="*/ 2794000 w 2984500"/>
            <a:gd name="connsiteY81" fmla="*/ 3598333 h 4572000"/>
            <a:gd name="connsiteX82" fmla="*/ 2804583 w 2984500"/>
            <a:gd name="connsiteY82" fmla="*/ 3873500 h 4572000"/>
            <a:gd name="connsiteX83" fmla="*/ 2846916 w 2984500"/>
            <a:gd name="connsiteY83" fmla="*/ 3937000 h 4572000"/>
            <a:gd name="connsiteX84" fmla="*/ 2868083 w 2984500"/>
            <a:gd name="connsiteY84" fmla="*/ 4000500 h 4572000"/>
            <a:gd name="connsiteX85" fmla="*/ 2878666 w 2984500"/>
            <a:gd name="connsiteY85" fmla="*/ 4032250 h 4572000"/>
            <a:gd name="connsiteX86" fmla="*/ 2889250 w 2984500"/>
            <a:gd name="connsiteY86" fmla="*/ 4064000 h 4572000"/>
            <a:gd name="connsiteX87" fmla="*/ 2899833 w 2984500"/>
            <a:gd name="connsiteY87" fmla="*/ 4307416 h 4572000"/>
            <a:gd name="connsiteX88" fmla="*/ 2921000 w 2984500"/>
            <a:gd name="connsiteY88" fmla="*/ 4370916 h 4572000"/>
            <a:gd name="connsiteX89" fmla="*/ 2931583 w 2984500"/>
            <a:gd name="connsiteY89" fmla="*/ 4402666 h 4572000"/>
            <a:gd name="connsiteX90" fmla="*/ 2952750 w 2984500"/>
            <a:gd name="connsiteY90" fmla="*/ 4476750 h 4572000"/>
            <a:gd name="connsiteX91" fmla="*/ 2973916 w 2984500"/>
            <a:gd name="connsiteY91" fmla="*/ 4540250 h 4572000"/>
            <a:gd name="connsiteX92" fmla="*/ 2984500 w 2984500"/>
            <a:gd name="connsiteY92" fmla="*/ 4572000 h 457200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 ang="0">
              <a:pos x="connsiteX32" y="connsiteY32"/>
            </a:cxn>
            <a:cxn ang="0">
              <a:pos x="connsiteX33" y="connsiteY33"/>
            </a:cxn>
            <a:cxn ang="0">
              <a:pos x="connsiteX34" y="connsiteY34"/>
            </a:cxn>
            <a:cxn ang="0">
              <a:pos x="connsiteX35" y="connsiteY35"/>
            </a:cxn>
            <a:cxn ang="0">
              <a:pos x="connsiteX36" y="connsiteY36"/>
            </a:cxn>
            <a:cxn ang="0">
              <a:pos x="connsiteX37" y="connsiteY37"/>
            </a:cxn>
            <a:cxn ang="0">
              <a:pos x="connsiteX38" y="connsiteY38"/>
            </a:cxn>
            <a:cxn ang="0">
              <a:pos x="connsiteX39" y="connsiteY39"/>
            </a:cxn>
            <a:cxn ang="0">
              <a:pos x="connsiteX40" y="connsiteY40"/>
            </a:cxn>
            <a:cxn ang="0">
              <a:pos x="connsiteX41" y="connsiteY41"/>
            </a:cxn>
            <a:cxn ang="0">
              <a:pos x="connsiteX42" y="connsiteY42"/>
            </a:cxn>
            <a:cxn ang="0">
              <a:pos x="connsiteX43" y="connsiteY43"/>
            </a:cxn>
            <a:cxn ang="0">
              <a:pos x="connsiteX44" y="connsiteY44"/>
            </a:cxn>
            <a:cxn ang="0">
              <a:pos x="connsiteX45" y="connsiteY45"/>
            </a:cxn>
            <a:cxn ang="0">
              <a:pos x="connsiteX46" y="connsiteY46"/>
            </a:cxn>
            <a:cxn ang="0">
              <a:pos x="connsiteX47" y="connsiteY47"/>
            </a:cxn>
            <a:cxn ang="0">
              <a:pos x="connsiteX48" y="connsiteY48"/>
            </a:cxn>
            <a:cxn ang="0">
              <a:pos x="connsiteX49" y="connsiteY49"/>
            </a:cxn>
            <a:cxn ang="0">
              <a:pos x="connsiteX50" y="connsiteY50"/>
            </a:cxn>
            <a:cxn ang="0">
              <a:pos x="connsiteX51" y="connsiteY51"/>
            </a:cxn>
            <a:cxn ang="0">
              <a:pos x="connsiteX52" y="connsiteY52"/>
            </a:cxn>
            <a:cxn ang="0">
              <a:pos x="connsiteX53" y="connsiteY53"/>
            </a:cxn>
            <a:cxn ang="0">
              <a:pos x="connsiteX54" y="connsiteY54"/>
            </a:cxn>
            <a:cxn ang="0">
              <a:pos x="connsiteX55" y="connsiteY55"/>
            </a:cxn>
            <a:cxn ang="0">
              <a:pos x="connsiteX56" y="connsiteY56"/>
            </a:cxn>
            <a:cxn ang="0">
              <a:pos x="connsiteX57" y="connsiteY57"/>
            </a:cxn>
            <a:cxn ang="0">
              <a:pos x="connsiteX58" y="connsiteY58"/>
            </a:cxn>
            <a:cxn ang="0">
              <a:pos x="connsiteX59" y="connsiteY59"/>
            </a:cxn>
            <a:cxn ang="0">
              <a:pos x="connsiteX60" y="connsiteY60"/>
            </a:cxn>
            <a:cxn ang="0">
              <a:pos x="connsiteX61" y="connsiteY61"/>
            </a:cxn>
            <a:cxn ang="0">
              <a:pos x="connsiteX62" y="connsiteY62"/>
            </a:cxn>
            <a:cxn ang="0">
              <a:pos x="connsiteX63" y="connsiteY63"/>
            </a:cxn>
            <a:cxn ang="0">
              <a:pos x="connsiteX64" y="connsiteY64"/>
            </a:cxn>
            <a:cxn ang="0">
              <a:pos x="connsiteX65" y="connsiteY65"/>
            </a:cxn>
            <a:cxn ang="0">
              <a:pos x="connsiteX66" y="connsiteY66"/>
            </a:cxn>
            <a:cxn ang="0">
              <a:pos x="connsiteX67" y="connsiteY67"/>
            </a:cxn>
            <a:cxn ang="0">
              <a:pos x="connsiteX68" y="connsiteY68"/>
            </a:cxn>
            <a:cxn ang="0">
              <a:pos x="connsiteX69" y="connsiteY69"/>
            </a:cxn>
            <a:cxn ang="0">
              <a:pos x="connsiteX70" y="connsiteY70"/>
            </a:cxn>
            <a:cxn ang="0">
              <a:pos x="connsiteX71" y="connsiteY71"/>
            </a:cxn>
            <a:cxn ang="0">
              <a:pos x="connsiteX72" y="connsiteY72"/>
            </a:cxn>
            <a:cxn ang="0">
              <a:pos x="connsiteX73" y="connsiteY73"/>
            </a:cxn>
            <a:cxn ang="0">
              <a:pos x="connsiteX74" y="connsiteY74"/>
            </a:cxn>
            <a:cxn ang="0">
              <a:pos x="connsiteX75" y="connsiteY75"/>
            </a:cxn>
            <a:cxn ang="0">
              <a:pos x="connsiteX76" y="connsiteY76"/>
            </a:cxn>
            <a:cxn ang="0">
              <a:pos x="connsiteX77" y="connsiteY77"/>
            </a:cxn>
            <a:cxn ang="0">
              <a:pos x="connsiteX78" y="connsiteY78"/>
            </a:cxn>
            <a:cxn ang="0">
              <a:pos x="connsiteX79" y="connsiteY79"/>
            </a:cxn>
            <a:cxn ang="0">
              <a:pos x="connsiteX80" y="connsiteY80"/>
            </a:cxn>
            <a:cxn ang="0">
              <a:pos x="connsiteX81" y="connsiteY81"/>
            </a:cxn>
            <a:cxn ang="0">
              <a:pos x="connsiteX82" y="connsiteY82"/>
            </a:cxn>
            <a:cxn ang="0">
              <a:pos x="connsiteX83" y="connsiteY83"/>
            </a:cxn>
            <a:cxn ang="0">
              <a:pos x="connsiteX84" y="connsiteY84"/>
            </a:cxn>
            <a:cxn ang="0">
              <a:pos x="connsiteX85" y="connsiteY85"/>
            </a:cxn>
            <a:cxn ang="0">
              <a:pos x="connsiteX86" y="connsiteY86"/>
            </a:cxn>
            <a:cxn ang="0">
              <a:pos x="connsiteX87" y="connsiteY87"/>
            </a:cxn>
            <a:cxn ang="0">
              <a:pos x="connsiteX88" y="connsiteY88"/>
            </a:cxn>
            <a:cxn ang="0">
              <a:pos x="connsiteX89" y="connsiteY89"/>
            </a:cxn>
            <a:cxn ang="0">
              <a:pos x="connsiteX90" y="connsiteY90"/>
            </a:cxn>
            <a:cxn ang="0">
              <a:pos x="connsiteX91" y="connsiteY91"/>
            </a:cxn>
            <a:cxn ang="0">
              <a:pos x="connsiteX92" y="connsiteY92"/>
            </a:cxn>
          </a:cxnLst>
          <a:rect l="l" t="t" r="r" b="b"/>
          <a:pathLst>
            <a:path w="2984500" h="4572000">
              <a:moveTo>
                <a:pt x="0" y="52916"/>
              </a:moveTo>
              <a:cubicBezTo>
                <a:pt x="155374" y="64869"/>
                <a:pt x="182191" y="72654"/>
                <a:pt x="359833" y="52916"/>
              </a:cubicBezTo>
              <a:cubicBezTo>
                <a:pt x="382008" y="50452"/>
                <a:pt x="402166" y="38806"/>
                <a:pt x="423333" y="31750"/>
              </a:cubicBezTo>
              <a:cubicBezTo>
                <a:pt x="433916" y="28222"/>
                <a:pt x="445801" y="27354"/>
                <a:pt x="455083" y="21166"/>
              </a:cubicBezTo>
              <a:lnTo>
                <a:pt x="486833" y="0"/>
              </a:lnTo>
              <a:cubicBezTo>
                <a:pt x="515055" y="3528"/>
                <a:pt x="545092" y="20"/>
                <a:pt x="571500" y="10583"/>
              </a:cubicBezTo>
              <a:cubicBezTo>
                <a:pt x="583310" y="15307"/>
                <a:pt x="582734" y="34387"/>
                <a:pt x="592666" y="42333"/>
              </a:cubicBezTo>
              <a:cubicBezTo>
                <a:pt x="601377" y="49302"/>
                <a:pt x="613833" y="49388"/>
                <a:pt x="624416" y="52916"/>
              </a:cubicBezTo>
              <a:cubicBezTo>
                <a:pt x="645583" y="67027"/>
                <a:pt x="663236" y="101420"/>
                <a:pt x="687916" y="95250"/>
              </a:cubicBezTo>
              <a:cubicBezTo>
                <a:pt x="783406" y="71377"/>
                <a:pt x="744985" y="83282"/>
                <a:pt x="804333" y="63500"/>
              </a:cubicBezTo>
              <a:cubicBezTo>
                <a:pt x="839611" y="67028"/>
                <a:pt x="876532" y="62872"/>
                <a:pt x="910166" y="74083"/>
              </a:cubicBezTo>
              <a:cubicBezTo>
                <a:pt x="922233" y="78105"/>
                <a:pt x="921760" y="97457"/>
                <a:pt x="931333" y="105833"/>
              </a:cubicBezTo>
              <a:cubicBezTo>
                <a:pt x="981833" y="150020"/>
                <a:pt x="998383" y="149350"/>
                <a:pt x="1058333" y="169333"/>
              </a:cubicBezTo>
              <a:lnTo>
                <a:pt x="1153583" y="201083"/>
              </a:lnTo>
              <a:lnTo>
                <a:pt x="1185333" y="211666"/>
              </a:lnTo>
              <a:cubicBezTo>
                <a:pt x="1192305" y="232583"/>
                <a:pt x="1198431" y="260244"/>
                <a:pt x="1217083" y="275166"/>
              </a:cubicBezTo>
              <a:cubicBezTo>
                <a:pt x="1225794" y="282135"/>
                <a:pt x="1238855" y="280761"/>
                <a:pt x="1248833" y="285750"/>
              </a:cubicBezTo>
              <a:cubicBezTo>
                <a:pt x="1260210" y="291438"/>
                <a:pt x="1270000" y="299861"/>
                <a:pt x="1280583" y="306916"/>
              </a:cubicBezTo>
              <a:cubicBezTo>
                <a:pt x="1284111" y="317499"/>
                <a:pt x="1283278" y="330778"/>
                <a:pt x="1291166" y="338666"/>
              </a:cubicBezTo>
              <a:cubicBezTo>
                <a:pt x="1299054" y="346554"/>
                <a:pt x="1312938" y="344261"/>
                <a:pt x="1322916" y="349250"/>
              </a:cubicBezTo>
              <a:cubicBezTo>
                <a:pt x="1396002" y="385793"/>
                <a:pt x="1308896" y="358973"/>
                <a:pt x="1397000" y="381000"/>
              </a:cubicBezTo>
              <a:cubicBezTo>
                <a:pt x="1423601" y="460804"/>
                <a:pt x="1387718" y="362436"/>
                <a:pt x="1428750" y="444500"/>
              </a:cubicBezTo>
              <a:cubicBezTo>
                <a:pt x="1433739" y="454478"/>
                <a:pt x="1435805" y="465667"/>
                <a:pt x="1439333" y="476250"/>
              </a:cubicBezTo>
              <a:cubicBezTo>
                <a:pt x="1435805" y="497417"/>
                <a:pt x="1435536" y="519393"/>
                <a:pt x="1428750" y="539750"/>
              </a:cubicBezTo>
              <a:cubicBezTo>
                <a:pt x="1424728" y="551817"/>
                <a:pt x="1413271" y="560123"/>
                <a:pt x="1407583" y="571500"/>
              </a:cubicBezTo>
              <a:cubicBezTo>
                <a:pt x="1402594" y="581478"/>
                <a:pt x="1400528" y="592667"/>
                <a:pt x="1397000" y="603250"/>
              </a:cubicBezTo>
              <a:cubicBezTo>
                <a:pt x="1393472" y="627944"/>
                <a:pt x="1386416" y="652388"/>
                <a:pt x="1386416" y="677333"/>
              </a:cubicBezTo>
              <a:cubicBezTo>
                <a:pt x="1386416" y="820888"/>
                <a:pt x="1386590" y="762605"/>
                <a:pt x="1407583" y="836083"/>
              </a:cubicBezTo>
              <a:cubicBezTo>
                <a:pt x="1411579" y="850069"/>
                <a:pt x="1413986" y="864484"/>
                <a:pt x="1418166" y="878416"/>
              </a:cubicBezTo>
              <a:cubicBezTo>
                <a:pt x="1424577" y="899787"/>
                <a:pt x="1432277" y="920749"/>
                <a:pt x="1439333" y="941916"/>
              </a:cubicBezTo>
              <a:lnTo>
                <a:pt x="1449916" y="973666"/>
              </a:lnTo>
              <a:cubicBezTo>
                <a:pt x="1453938" y="985733"/>
                <a:pt x="1464027" y="994833"/>
                <a:pt x="1471083" y="1005416"/>
              </a:cubicBezTo>
              <a:cubicBezTo>
                <a:pt x="1474611" y="1015999"/>
                <a:pt x="1476248" y="1027414"/>
                <a:pt x="1481666" y="1037166"/>
              </a:cubicBezTo>
              <a:cubicBezTo>
                <a:pt x="1494020" y="1059404"/>
                <a:pt x="1524000" y="1100666"/>
                <a:pt x="1524000" y="1100666"/>
              </a:cubicBezTo>
              <a:cubicBezTo>
                <a:pt x="1527528" y="1111249"/>
                <a:pt x="1523539" y="1130838"/>
                <a:pt x="1534583" y="1132416"/>
              </a:cubicBezTo>
              <a:cubicBezTo>
                <a:pt x="1556670" y="1135572"/>
                <a:pt x="1598083" y="1111250"/>
                <a:pt x="1598083" y="1111250"/>
              </a:cubicBezTo>
              <a:cubicBezTo>
                <a:pt x="1659893" y="1131853"/>
                <a:pt x="1603130" y="1105713"/>
                <a:pt x="1651000" y="1153583"/>
              </a:cubicBezTo>
              <a:cubicBezTo>
                <a:pt x="1671517" y="1174100"/>
                <a:pt x="1688676" y="1176725"/>
                <a:pt x="1714500" y="1185333"/>
              </a:cubicBezTo>
              <a:cubicBezTo>
                <a:pt x="1725083" y="1192389"/>
                <a:pt x="1734627" y="1201334"/>
                <a:pt x="1746250" y="1206500"/>
              </a:cubicBezTo>
              <a:cubicBezTo>
                <a:pt x="1766639" y="1215562"/>
                <a:pt x="1809750" y="1227666"/>
                <a:pt x="1809750" y="1227666"/>
              </a:cubicBezTo>
              <a:cubicBezTo>
                <a:pt x="1832840" y="1296938"/>
                <a:pt x="1800771" y="1228950"/>
                <a:pt x="1852083" y="1270000"/>
              </a:cubicBezTo>
              <a:cubicBezTo>
                <a:pt x="1862015" y="1277946"/>
                <a:pt x="1864256" y="1292756"/>
                <a:pt x="1873250" y="1301750"/>
              </a:cubicBezTo>
              <a:cubicBezTo>
                <a:pt x="1882244" y="1310744"/>
                <a:pt x="1894417" y="1315861"/>
                <a:pt x="1905000" y="1322916"/>
              </a:cubicBezTo>
              <a:cubicBezTo>
                <a:pt x="1912055" y="1333499"/>
                <a:pt x="1916234" y="1346720"/>
                <a:pt x="1926166" y="1354666"/>
              </a:cubicBezTo>
              <a:cubicBezTo>
                <a:pt x="1934877" y="1361635"/>
                <a:pt x="1950028" y="1357362"/>
                <a:pt x="1957916" y="1365250"/>
              </a:cubicBezTo>
              <a:cubicBezTo>
                <a:pt x="1965804" y="1373138"/>
                <a:pt x="1961531" y="1388289"/>
                <a:pt x="1968500" y="1397000"/>
              </a:cubicBezTo>
              <a:cubicBezTo>
                <a:pt x="1976446" y="1406932"/>
                <a:pt x="1989667" y="1411111"/>
                <a:pt x="2000250" y="1418166"/>
              </a:cubicBezTo>
              <a:cubicBezTo>
                <a:pt x="2014361" y="1439333"/>
                <a:pt x="2034539" y="1457532"/>
                <a:pt x="2042583" y="1481666"/>
              </a:cubicBezTo>
              <a:cubicBezTo>
                <a:pt x="2057188" y="1525483"/>
                <a:pt x="2046978" y="1504134"/>
                <a:pt x="2074333" y="1545166"/>
              </a:cubicBezTo>
              <a:cubicBezTo>
                <a:pt x="2077861" y="1555749"/>
                <a:pt x="2077947" y="1568205"/>
                <a:pt x="2084916" y="1576916"/>
              </a:cubicBezTo>
              <a:cubicBezTo>
                <a:pt x="2092862" y="1586848"/>
                <a:pt x="2107672" y="1589089"/>
                <a:pt x="2116666" y="1598083"/>
              </a:cubicBezTo>
              <a:cubicBezTo>
                <a:pt x="2125660" y="1607077"/>
                <a:pt x="2130777" y="1619250"/>
                <a:pt x="2137833" y="1629833"/>
              </a:cubicBezTo>
              <a:cubicBezTo>
                <a:pt x="2164434" y="1709637"/>
                <a:pt x="2128551" y="1611269"/>
                <a:pt x="2169583" y="1693333"/>
              </a:cubicBezTo>
              <a:cubicBezTo>
                <a:pt x="2174572" y="1703311"/>
                <a:pt x="2176638" y="1714500"/>
                <a:pt x="2180166" y="1725083"/>
              </a:cubicBezTo>
              <a:cubicBezTo>
                <a:pt x="2183694" y="1770944"/>
                <a:pt x="2182273" y="1817457"/>
                <a:pt x="2190750" y="1862666"/>
              </a:cubicBezTo>
              <a:cubicBezTo>
                <a:pt x="2193094" y="1875168"/>
                <a:pt x="2206750" y="1882793"/>
                <a:pt x="2211916" y="1894416"/>
              </a:cubicBezTo>
              <a:cubicBezTo>
                <a:pt x="2220978" y="1914805"/>
                <a:pt x="2233083" y="1957916"/>
                <a:pt x="2233083" y="1957916"/>
              </a:cubicBezTo>
              <a:cubicBezTo>
                <a:pt x="2245256" y="2128338"/>
                <a:pt x="2228008" y="2059109"/>
                <a:pt x="2264833" y="2169583"/>
              </a:cubicBezTo>
              <a:lnTo>
                <a:pt x="2264833" y="2169583"/>
              </a:lnTo>
              <a:cubicBezTo>
                <a:pt x="2268361" y="2190750"/>
                <a:pt x="2267163" y="2213275"/>
                <a:pt x="2275416" y="2233083"/>
              </a:cubicBezTo>
              <a:cubicBezTo>
                <a:pt x="2285200" y="2256565"/>
                <a:pt x="2317750" y="2296583"/>
                <a:pt x="2317750" y="2296583"/>
              </a:cubicBezTo>
              <a:cubicBezTo>
                <a:pt x="2321278" y="2307166"/>
                <a:pt x="2328333" y="2317177"/>
                <a:pt x="2328333" y="2328333"/>
              </a:cubicBezTo>
              <a:cubicBezTo>
                <a:pt x="2328333" y="2358966"/>
                <a:pt x="2305090" y="2372743"/>
                <a:pt x="2286000" y="2391833"/>
              </a:cubicBezTo>
              <a:cubicBezTo>
                <a:pt x="2298067" y="2572851"/>
                <a:pt x="2279812" y="2500268"/>
                <a:pt x="2317750" y="2614083"/>
              </a:cubicBezTo>
              <a:lnTo>
                <a:pt x="2328333" y="2645833"/>
              </a:lnTo>
              <a:cubicBezTo>
                <a:pt x="2331861" y="2656416"/>
                <a:pt x="2328333" y="2674055"/>
                <a:pt x="2338916" y="2677583"/>
              </a:cubicBezTo>
              <a:lnTo>
                <a:pt x="2370666" y="2688166"/>
              </a:lnTo>
              <a:cubicBezTo>
                <a:pt x="2419128" y="2833542"/>
                <a:pt x="2359038" y="2643179"/>
                <a:pt x="2391833" y="3058583"/>
              </a:cubicBezTo>
              <a:cubicBezTo>
                <a:pt x="2393589" y="3080825"/>
                <a:pt x="2405944" y="3100916"/>
                <a:pt x="2413000" y="3122083"/>
              </a:cubicBezTo>
              <a:cubicBezTo>
                <a:pt x="2427111" y="3164416"/>
                <a:pt x="2412999" y="3150305"/>
                <a:pt x="2455333" y="3164416"/>
              </a:cubicBezTo>
              <a:cubicBezTo>
                <a:pt x="2465916" y="3174999"/>
                <a:pt x="2473999" y="3188897"/>
                <a:pt x="2487083" y="3196166"/>
              </a:cubicBezTo>
              <a:cubicBezTo>
                <a:pt x="2506587" y="3207002"/>
                <a:pt x="2550583" y="3217333"/>
                <a:pt x="2550583" y="3217333"/>
              </a:cubicBezTo>
              <a:cubicBezTo>
                <a:pt x="2642305" y="3213805"/>
                <a:pt x="2733960" y="3206750"/>
                <a:pt x="2825750" y="3206750"/>
              </a:cubicBezTo>
              <a:cubicBezTo>
                <a:pt x="2847209" y="3206750"/>
                <a:pt x="2876777" y="3199871"/>
                <a:pt x="2889250" y="3217333"/>
              </a:cubicBezTo>
              <a:cubicBezTo>
                <a:pt x="2901723" y="3234795"/>
                <a:pt x="2888263" y="3261640"/>
                <a:pt x="2878666" y="3280833"/>
              </a:cubicBezTo>
              <a:cubicBezTo>
                <a:pt x="2870459" y="3297247"/>
                <a:pt x="2830194" y="3307574"/>
                <a:pt x="2815166" y="3312583"/>
              </a:cubicBezTo>
              <a:cubicBezTo>
                <a:pt x="2808111" y="3323166"/>
                <a:pt x="2802994" y="3335339"/>
                <a:pt x="2794000" y="3344333"/>
              </a:cubicBezTo>
              <a:cubicBezTo>
                <a:pt x="2785006" y="3353327"/>
                <a:pt x="2770196" y="3355568"/>
                <a:pt x="2762250" y="3365500"/>
              </a:cubicBezTo>
              <a:cubicBezTo>
                <a:pt x="2755281" y="3374211"/>
                <a:pt x="2755194" y="3386667"/>
                <a:pt x="2751666" y="3397250"/>
              </a:cubicBezTo>
              <a:cubicBezTo>
                <a:pt x="2755194" y="3429000"/>
                <a:pt x="2755985" y="3461175"/>
                <a:pt x="2762250" y="3492500"/>
              </a:cubicBezTo>
              <a:cubicBezTo>
                <a:pt x="2766626" y="3514378"/>
                <a:pt x="2776361" y="3534833"/>
                <a:pt x="2783416" y="3556000"/>
              </a:cubicBezTo>
              <a:cubicBezTo>
                <a:pt x="2788016" y="3569799"/>
                <a:pt x="2790472" y="3584222"/>
                <a:pt x="2794000" y="3598333"/>
              </a:cubicBezTo>
              <a:cubicBezTo>
                <a:pt x="2797528" y="3690055"/>
                <a:pt x="2790413" y="3782810"/>
                <a:pt x="2804583" y="3873500"/>
              </a:cubicBezTo>
              <a:cubicBezTo>
                <a:pt x="2808510" y="3898634"/>
                <a:pt x="2832805" y="3915833"/>
                <a:pt x="2846916" y="3937000"/>
              </a:cubicBezTo>
              <a:cubicBezTo>
                <a:pt x="2859292" y="3955564"/>
                <a:pt x="2861027" y="3979333"/>
                <a:pt x="2868083" y="4000500"/>
              </a:cubicBezTo>
              <a:lnTo>
                <a:pt x="2878666" y="4032250"/>
              </a:lnTo>
              <a:lnTo>
                <a:pt x="2889250" y="4064000"/>
              </a:lnTo>
              <a:cubicBezTo>
                <a:pt x="2892778" y="4145139"/>
                <a:pt x="2891476" y="4226632"/>
                <a:pt x="2899833" y="4307416"/>
              </a:cubicBezTo>
              <a:cubicBezTo>
                <a:pt x="2902129" y="4329609"/>
                <a:pt x="2913944" y="4349749"/>
                <a:pt x="2921000" y="4370916"/>
              </a:cubicBezTo>
              <a:lnTo>
                <a:pt x="2931583" y="4402666"/>
              </a:lnTo>
              <a:cubicBezTo>
                <a:pt x="2967149" y="4509367"/>
                <a:pt x="2912883" y="4343860"/>
                <a:pt x="2952750" y="4476750"/>
              </a:cubicBezTo>
              <a:cubicBezTo>
                <a:pt x="2959161" y="4498121"/>
                <a:pt x="2966860" y="4519083"/>
                <a:pt x="2973916" y="4540250"/>
              </a:cubicBezTo>
              <a:lnTo>
                <a:pt x="2984500" y="4572000"/>
              </a:lnTo>
            </a:path>
          </a:pathLst>
        </a:custGeom>
        <a:ln w="34925">
          <a:solidFill>
            <a:srgbClr val="FFFF00"/>
          </a:solidFill>
        </a:ln>
      </xdr:spPr>
      <xdr:style>
        <a:lnRef idx="1">
          <a:schemeClr val="accent1"/>
        </a:lnRef>
        <a:fillRef idx="0">
          <a:schemeClr val="accent1"/>
        </a:fillRef>
        <a:effectRef idx="0">
          <a:schemeClr val="accent1"/>
        </a:effectRef>
        <a:fontRef idx="minor">
          <a:schemeClr val="tx1"/>
        </a:fontRef>
      </xdr:style>
      <xdr:txBody>
        <a:bodyPr vertOverflow="clip" rtlCol="0" anchor="ctr"/>
        <a:lstStyle/>
        <a:p>
          <a:endParaRPr lang="es-CO"/>
        </a:p>
      </xdr:txBody>
    </xdr:sp>
    <xdr:clientData/>
  </xdr:twoCellAnchor>
  <xdr:twoCellAnchor>
    <xdr:from>
      <xdr:col>53</xdr:col>
      <xdr:colOff>7259</xdr:colOff>
      <xdr:row>34</xdr:row>
      <xdr:rowOff>80114</xdr:rowOff>
    </xdr:from>
    <xdr:to>
      <xdr:col>55</xdr:col>
      <xdr:colOff>33618</xdr:colOff>
      <xdr:row>35</xdr:row>
      <xdr:rowOff>90696</xdr:rowOff>
    </xdr:to>
    <xdr:sp macro="" textlink="">
      <xdr:nvSpPr>
        <xdr:cNvPr id="42" name="41 Explosión 1">
          <a:extLst>
            <a:ext uri="{FF2B5EF4-FFF2-40B4-BE49-F238E27FC236}">
              <a16:creationId xmlns:a16="http://schemas.microsoft.com/office/drawing/2014/main" id="{00000000-0008-0000-0800-00002A000000}"/>
            </a:ext>
          </a:extLst>
        </xdr:cNvPr>
        <xdr:cNvSpPr/>
      </xdr:nvSpPr>
      <xdr:spPr>
        <a:xfrm>
          <a:off x="4207784" y="6585689"/>
          <a:ext cx="140659" cy="201082"/>
        </a:xfrm>
        <a:prstGeom prst="irregularSeal1">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es-CO"/>
        </a:p>
      </xdr:txBody>
    </xdr:sp>
    <xdr:clientData/>
  </xdr:twoCellAnchor>
  <xdr:twoCellAnchor>
    <xdr:from>
      <xdr:col>27</xdr:col>
      <xdr:colOff>28575</xdr:colOff>
      <xdr:row>17</xdr:row>
      <xdr:rowOff>114302</xdr:rowOff>
    </xdr:from>
    <xdr:to>
      <xdr:col>30</xdr:col>
      <xdr:colOff>38100</xdr:colOff>
      <xdr:row>18</xdr:row>
      <xdr:rowOff>66676</xdr:rowOff>
    </xdr:to>
    <xdr:sp macro="" textlink="">
      <xdr:nvSpPr>
        <xdr:cNvPr id="43" name="42 Explosión 1">
          <a:extLst>
            <a:ext uri="{FF2B5EF4-FFF2-40B4-BE49-F238E27FC236}">
              <a16:creationId xmlns:a16="http://schemas.microsoft.com/office/drawing/2014/main" id="{00000000-0008-0000-0800-00002B000000}"/>
            </a:ext>
          </a:extLst>
        </xdr:cNvPr>
        <xdr:cNvSpPr/>
      </xdr:nvSpPr>
      <xdr:spPr>
        <a:xfrm>
          <a:off x="2743200" y="3381377"/>
          <a:ext cx="180975" cy="142874"/>
        </a:xfrm>
        <a:prstGeom prst="irregularSeal1">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es-CO"/>
        </a:p>
      </xdr:txBody>
    </xdr:sp>
    <xdr:clientData/>
  </xdr:twoCellAnchor>
  <xdr:twoCellAnchor>
    <xdr:from>
      <xdr:col>0</xdr:col>
      <xdr:colOff>1095363</xdr:colOff>
      <xdr:row>12</xdr:row>
      <xdr:rowOff>38101</xdr:rowOff>
    </xdr:from>
    <xdr:to>
      <xdr:col>2</xdr:col>
      <xdr:colOff>31739</xdr:colOff>
      <xdr:row>13</xdr:row>
      <xdr:rowOff>48683</xdr:rowOff>
    </xdr:to>
    <xdr:sp macro="" textlink="">
      <xdr:nvSpPr>
        <xdr:cNvPr id="44" name="43 Explosión 1">
          <a:extLst>
            <a:ext uri="{FF2B5EF4-FFF2-40B4-BE49-F238E27FC236}">
              <a16:creationId xmlns:a16="http://schemas.microsoft.com/office/drawing/2014/main" id="{00000000-0008-0000-0800-00002C000000}"/>
            </a:ext>
          </a:extLst>
        </xdr:cNvPr>
        <xdr:cNvSpPr/>
      </xdr:nvSpPr>
      <xdr:spPr>
        <a:xfrm>
          <a:off x="1095363" y="2352676"/>
          <a:ext cx="222251" cy="201082"/>
        </a:xfrm>
        <a:prstGeom prst="irregularSeal1">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es-CO"/>
        </a:p>
      </xdr:txBody>
    </xdr:sp>
    <xdr:clientData/>
  </xdr:twoCellAnchor>
  <xdr:twoCellAnchor>
    <xdr:from>
      <xdr:col>29</xdr:col>
      <xdr:colOff>9525</xdr:colOff>
      <xdr:row>18</xdr:row>
      <xdr:rowOff>28576</xdr:rowOff>
    </xdr:from>
    <xdr:to>
      <xdr:col>29</xdr:col>
      <xdr:colOff>9525</xdr:colOff>
      <xdr:row>18</xdr:row>
      <xdr:rowOff>144993</xdr:rowOff>
    </xdr:to>
    <xdr:sp macro="" textlink="">
      <xdr:nvSpPr>
        <xdr:cNvPr id="45" name="44 Forma libre">
          <a:extLst>
            <a:ext uri="{FF2B5EF4-FFF2-40B4-BE49-F238E27FC236}">
              <a16:creationId xmlns:a16="http://schemas.microsoft.com/office/drawing/2014/main" id="{00000000-0008-0000-0800-00002D000000}"/>
            </a:ext>
          </a:extLst>
        </xdr:cNvPr>
        <xdr:cNvSpPr/>
      </xdr:nvSpPr>
      <xdr:spPr>
        <a:xfrm>
          <a:off x="2838450" y="3486151"/>
          <a:ext cx="0" cy="116417"/>
        </a:xfrm>
        <a:custGeom>
          <a:avLst/>
          <a:gdLst>
            <a:gd name="connsiteX0" fmla="*/ 0 w 0"/>
            <a:gd name="connsiteY0" fmla="*/ 0 h 116417"/>
            <a:gd name="connsiteX1" fmla="*/ 0 w 0"/>
            <a:gd name="connsiteY1" fmla="*/ 116417 h 116417"/>
          </a:gdLst>
          <a:ahLst/>
          <a:cxnLst>
            <a:cxn ang="0">
              <a:pos x="connsiteX0" y="connsiteY0"/>
            </a:cxn>
            <a:cxn ang="0">
              <a:pos x="connsiteX1" y="connsiteY1"/>
            </a:cxn>
          </a:cxnLst>
          <a:rect l="l" t="t" r="r" b="b"/>
          <a:pathLst>
            <a:path h="116417">
              <a:moveTo>
                <a:pt x="0" y="0"/>
              </a:moveTo>
              <a:lnTo>
                <a:pt x="0" y="116417"/>
              </a:lnTo>
            </a:path>
          </a:pathLst>
        </a:custGeom>
        <a:ln w="25400">
          <a:solidFill>
            <a:srgbClr val="FFFF00"/>
          </a:solidFill>
        </a:ln>
      </xdr:spPr>
      <xdr:style>
        <a:lnRef idx="1">
          <a:schemeClr val="accent1"/>
        </a:lnRef>
        <a:fillRef idx="0">
          <a:schemeClr val="accent1"/>
        </a:fillRef>
        <a:effectRef idx="0">
          <a:schemeClr val="accent1"/>
        </a:effectRef>
        <a:fontRef idx="minor">
          <a:schemeClr val="tx1"/>
        </a:fontRef>
      </xdr:style>
      <xdr:txBody>
        <a:bodyPr vertOverflow="clip" rtlCol="0" anchor="ctr"/>
        <a:lstStyle/>
        <a:p>
          <a:endParaRPr lang="es-CO"/>
        </a:p>
      </xdr:txBody>
    </xdr:sp>
    <xdr:clientData/>
  </xdr:twoCellAnchor>
  <xdr:twoCellAnchor>
    <xdr:from>
      <xdr:col>33</xdr:col>
      <xdr:colOff>26613</xdr:colOff>
      <xdr:row>18</xdr:row>
      <xdr:rowOff>130726</xdr:rowOff>
    </xdr:from>
    <xdr:to>
      <xdr:col>35</xdr:col>
      <xdr:colOff>20060</xdr:colOff>
      <xdr:row>18</xdr:row>
      <xdr:rowOff>185297</xdr:rowOff>
    </xdr:to>
    <xdr:sp macro="" textlink="">
      <xdr:nvSpPr>
        <xdr:cNvPr id="47" name="Diagrama de flujo: proceso 49">
          <a:extLst>
            <a:ext uri="{FF2B5EF4-FFF2-40B4-BE49-F238E27FC236}">
              <a16:creationId xmlns:a16="http://schemas.microsoft.com/office/drawing/2014/main" id="{00000000-0008-0000-0800-00002F000000}"/>
            </a:ext>
          </a:extLst>
        </xdr:cNvPr>
        <xdr:cNvSpPr/>
      </xdr:nvSpPr>
      <xdr:spPr>
        <a:xfrm rot="2445048">
          <a:off x="3084138" y="3588301"/>
          <a:ext cx="107747" cy="54571"/>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32</xdr:col>
      <xdr:colOff>17858</xdr:colOff>
      <xdr:row>18</xdr:row>
      <xdr:rowOff>83874</xdr:rowOff>
    </xdr:from>
    <xdr:to>
      <xdr:col>33</xdr:col>
      <xdr:colOff>46963</xdr:colOff>
      <xdr:row>18</xdr:row>
      <xdr:rowOff>128269</xdr:rowOff>
    </xdr:to>
    <xdr:sp macro="" textlink="">
      <xdr:nvSpPr>
        <xdr:cNvPr id="48" name="Diagrama de flujo: proceso 52">
          <a:extLst>
            <a:ext uri="{FF2B5EF4-FFF2-40B4-BE49-F238E27FC236}">
              <a16:creationId xmlns:a16="http://schemas.microsoft.com/office/drawing/2014/main" id="{00000000-0008-0000-0800-000030000000}"/>
            </a:ext>
          </a:extLst>
        </xdr:cNvPr>
        <xdr:cNvSpPr/>
      </xdr:nvSpPr>
      <xdr:spPr>
        <a:xfrm rot="1618315">
          <a:off x="3018233" y="3541449"/>
          <a:ext cx="86255" cy="44395"/>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30</xdr:col>
      <xdr:colOff>44514</xdr:colOff>
      <xdr:row>18</xdr:row>
      <xdr:rowOff>49489</xdr:rowOff>
    </xdr:from>
    <xdr:to>
      <xdr:col>32</xdr:col>
      <xdr:colOff>27810</xdr:colOff>
      <xdr:row>18</xdr:row>
      <xdr:rowOff>104167</xdr:rowOff>
    </xdr:to>
    <xdr:sp macro="" textlink="">
      <xdr:nvSpPr>
        <xdr:cNvPr id="49" name="Diagrama de flujo: proceso 53">
          <a:extLst>
            <a:ext uri="{FF2B5EF4-FFF2-40B4-BE49-F238E27FC236}">
              <a16:creationId xmlns:a16="http://schemas.microsoft.com/office/drawing/2014/main" id="{00000000-0008-0000-0800-000031000000}"/>
            </a:ext>
          </a:extLst>
        </xdr:cNvPr>
        <xdr:cNvSpPr/>
      </xdr:nvSpPr>
      <xdr:spPr>
        <a:xfrm rot="1134812">
          <a:off x="2930589" y="3507064"/>
          <a:ext cx="97596" cy="54678"/>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34</xdr:col>
      <xdr:colOff>21932</xdr:colOff>
      <xdr:row>18</xdr:row>
      <xdr:rowOff>177167</xdr:rowOff>
    </xdr:from>
    <xdr:to>
      <xdr:col>35</xdr:col>
      <xdr:colOff>51037</xdr:colOff>
      <xdr:row>19</xdr:row>
      <xdr:rowOff>31063</xdr:rowOff>
    </xdr:to>
    <xdr:sp macro="" textlink="">
      <xdr:nvSpPr>
        <xdr:cNvPr id="50" name="Diagrama de flujo: proceso 54">
          <a:extLst>
            <a:ext uri="{FF2B5EF4-FFF2-40B4-BE49-F238E27FC236}">
              <a16:creationId xmlns:a16="http://schemas.microsoft.com/office/drawing/2014/main" id="{00000000-0008-0000-0800-000032000000}"/>
            </a:ext>
          </a:extLst>
        </xdr:cNvPr>
        <xdr:cNvSpPr/>
      </xdr:nvSpPr>
      <xdr:spPr>
        <a:xfrm rot="2272105">
          <a:off x="3136607" y="3634742"/>
          <a:ext cx="86255" cy="44396"/>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43</xdr:col>
      <xdr:colOff>53139</xdr:colOff>
      <xdr:row>27</xdr:row>
      <xdr:rowOff>111981</xdr:rowOff>
    </xdr:from>
    <xdr:to>
      <xdr:col>44</xdr:col>
      <xdr:colOff>43714</xdr:colOff>
      <xdr:row>28</xdr:row>
      <xdr:rowOff>8794</xdr:rowOff>
    </xdr:to>
    <xdr:sp macro="" textlink="">
      <xdr:nvSpPr>
        <xdr:cNvPr id="51" name="Diagrama de flujo: proceso 55">
          <a:extLst>
            <a:ext uri="{FF2B5EF4-FFF2-40B4-BE49-F238E27FC236}">
              <a16:creationId xmlns:a16="http://schemas.microsoft.com/office/drawing/2014/main" id="{00000000-0008-0000-0800-000033000000}"/>
            </a:ext>
          </a:extLst>
        </xdr:cNvPr>
        <xdr:cNvSpPr/>
      </xdr:nvSpPr>
      <xdr:spPr>
        <a:xfrm rot="4528713">
          <a:off x="3662370" y="5303850"/>
          <a:ext cx="87313" cy="47725"/>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44</xdr:col>
      <xdr:colOff>20240</xdr:colOff>
      <xdr:row>27</xdr:row>
      <xdr:rowOff>187805</xdr:rowOff>
    </xdr:from>
    <xdr:to>
      <xdr:col>45</xdr:col>
      <xdr:colOff>6428</xdr:colOff>
      <xdr:row>28</xdr:row>
      <xdr:rowOff>84618</xdr:rowOff>
    </xdr:to>
    <xdr:sp macro="" textlink="">
      <xdr:nvSpPr>
        <xdr:cNvPr id="52" name="Diagrama de flujo: proceso 56">
          <a:extLst>
            <a:ext uri="{FF2B5EF4-FFF2-40B4-BE49-F238E27FC236}">
              <a16:creationId xmlns:a16="http://schemas.microsoft.com/office/drawing/2014/main" id="{00000000-0008-0000-0800-000034000000}"/>
            </a:ext>
          </a:extLst>
        </xdr:cNvPr>
        <xdr:cNvSpPr/>
      </xdr:nvSpPr>
      <xdr:spPr>
        <a:xfrm rot="3337139">
          <a:off x="3684427" y="5381868"/>
          <a:ext cx="87313" cy="43338"/>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45</xdr:col>
      <xdr:colOff>8968</xdr:colOff>
      <xdr:row>28</xdr:row>
      <xdr:rowOff>56514</xdr:rowOff>
    </xdr:from>
    <xdr:to>
      <xdr:col>46</xdr:col>
      <xdr:colOff>36750</xdr:colOff>
      <xdr:row>28</xdr:row>
      <xdr:rowOff>102233</xdr:rowOff>
    </xdr:to>
    <xdr:sp macro="" textlink="">
      <xdr:nvSpPr>
        <xdr:cNvPr id="53" name="Diagrama de flujo: proceso 57">
          <a:extLst>
            <a:ext uri="{FF2B5EF4-FFF2-40B4-BE49-F238E27FC236}">
              <a16:creationId xmlns:a16="http://schemas.microsoft.com/office/drawing/2014/main" id="{00000000-0008-0000-0800-000035000000}"/>
            </a:ext>
          </a:extLst>
        </xdr:cNvPr>
        <xdr:cNvSpPr/>
      </xdr:nvSpPr>
      <xdr:spPr>
        <a:xfrm rot="1566772">
          <a:off x="3752293" y="5419089"/>
          <a:ext cx="84932" cy="45719"/>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50</xdr:col>
      <xdr:colOff>17859</xdr:colOff>
      <xdr:row>28</xdr:row>
      <xdr:rowOff>71438</xdr:rowOff>
    </xdr:from>
    <xdr:to>
      <xdr:col>51</xdr:col>
      <xdr:colOff>45641</xdr:colOff>
      <xdr:row>28</xdr:row>
      <xdr:rowOff>117157</xdr:rowOff>
    </xdr:to>
    <xdr:sp macro="" textlink="">
      <xdr:nvSpPr>
        <xdr:cNvPr id="54" name="Diagrama de flujo: proceso 58">
          <a:extLst>
            <a:ext uri="{FF2B5EF4-FFF2-40B4-BE49-F238E27FC236}">
              <a16:creationId xmlns:a16="http://schemas.microsoft.com/office/drawing/2014/main" id="{00000000-0008-0000-0800-000036000000}"/>
            </a:ext>
          </a:extLst>
        </xdr:cNvPr>
        <xdr:cNvSpPr/>
      </xdr:nvSpPr>
      <xdr:spPr>
        <a:xfrm>
          <a:off x="4046934" y="5434013"/>
          <a:ext cx="84932" cy="45719"/>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49</xdr:col>
      <xdr:colOff>3571</xdr:colOff>
      <xdr:row>28</xdr:row>
      <xdr:rowOff>69055</xdr:rowOff>
    </xdr:from>
    <xdr:to>
      <xdr:col>50</xdr:col>
      <xdr:colOff>31353</xdr:colOff>
      <xdr:row>28</xdr:row>
      <xdr:rowOff>114774</xdr:rowOff>
    </xdr:to>
    <xdr:sp macro="" textlink="">
      <xdr:nvSpPr>
        <xdr:cNvPr id="55" name="Diagrama de flujo: proceso 59">
          <a:extLst>
            <a:ext uri="{FF2B5EF4-FFF2-40B4-BE49-F238E27FC236}">
              <a16:creationId xmlns:a16="http://schemas.microsoft.com/office/drawing/2014/main" id="{00000000-0008-0000-0800-000037000000}"/>
            </a:ext>
          </a:extLst>
        </xdr:cNvPr>
        <xdr:cNvSpPr/>
      </xdr:nvSpPr>
      <xdr:spPr>
        <a:xfrm>
          <a:off x="3975496" y="5431630"/>
          <a:ext cx="84932" cy="45719"/>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46</xdr:col>
      <xdr:colOff>25004</xdr:colOff>
      <xdr:row>28</xdr:row>
      <xdr:rowOff>78580</xdr:rowOff>
    </xdr:from>
    <xdr:to>
      <xdr:col>47</xdr:col>
      <xdr:colOff>52786</xdr:colOff>
      <xdr:row>28</xdr:row>
      <xdr:rowOff>124299</xdr:rowOff>
    </xdr:to>
    <xdr:sp macro="" textlink="">
      <xdr:nvSpPr>
        <xdr:cNvPr id="56" name="Diagrama de flujo: proceso 60">
          <a:extLst>
            <a:ext uri="{FF2B5EF4-FFF2-40B4-BE49-F238E27FC236}">
              <a16:creationId xmlns:a16="http://schemas.microsoft.com/office/drawing/2014/main" id="{00000000-0008-0000-0800-000038000000}"/>
            </a:ext>
          </a:extLst>
        </xdr:cNvPr>
        <xdr:cNvSpPr/>
      </xdr:nvSpPr>
      <xdr:spPr>
        <a:xfrm rot="326624">
          <a:off x="3825479" y="5441155"/>
          <a:ext cx="84932" cy="45719"/>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47</xdr:col>
      <xdr:colOff>42863</xdr:colOff>
      <xdr:row>28</xdr:row>
      <xdr:rowOff>72628</xdr:rowOff>
    </xdr:from>
    <xdr:to>
      <xdr:col>49</xdr:col>
      <xdr:colOff>11113</xdr:colOff>
      <xdr:row>28</xdr:row>
      <xdr:rowOff>118347</xdr:rowOff>
    </xdr:to>
    <xdr:sp macro="" textlink="">
      <xdr:nvSpPr>
        <xdr:cNvPr id="57" name="Diagrama de flujo: proceso 61">
          <a:extLst>
            <a:ext uri="{FF2B5EF4-FFF2-40B4-BE49-F238E27FC236}">
              <a16:creationId xmlns:a16="http://schemas.microsoft.com/office/drawing/2014/main" id="{00000000-0008-0000-0800-000039000000}"/>
            </a:ext>
          </a:extLst>
        </xdr:cNvPr>
        <xdr:cNvSpPr/>
      </xdr:nvSpPr>
      <xdr:spPr>
        <a:xfrm>
          <a:off x="3900488" y="5435203"/>
          <a:ext cx="82550" cy="45719"/>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51</xdr:col>
      <xdr:colOff>17860</xdr:colOff>
      <xdr:row>28</xdr:row>
      <xdr:rowOff>71436</xdr:rowOff>
    </xdr:from>
    <xdr:to>
      <xdr:col>52</xdr:col>
      <xdr:colOff>45641</xdr:colOff>
      <xdr:row>28</xdr:row>
      <xdr:rowOff>117155</xdr:rowOff>
    </xdr:to>
    <xdr:sp macro="" textlink="">
      <xdr:nvSpPr>
        <xdr:cNvPr id="58" name="Diagrama de flujo: proceso 62">
          <a:extLst>
            <a:ext uri="{FF2B5EF4-FFF2-40B4-BE49-F238E27FC236}">
              <a16:creationId xmlns:a16="http://schemas.microsoft.com/office/drawing/2014/main" id="{00000000-0008-0000-0800-00003A000000}"/>
            </a:ext>
          </a:extLst>
        </xdr:cNvPr>
        <xdr:cNvSpPr/>
      </xdr:nvSpPr>
      <xdr:spPr>
        <a:xfrm rot="21356180">
          <a:off x="4104085" y="5434011"/>
          <a:ext cx="84931" cy="45719"/>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52</xdr:col>
      <xdr:colOff>15866</xdr:colOff>
      <xdr:row>28</xdr:row>
      <xdr:rowOff>111944</xdr:rowOff>
    </xdr:from>
    <xdr:to>
      <xdr:col>53</xdr:col>
      <xdr:colOff>11041</xdr:colOff>
      <xdr:row>28</xdr:row>
      <xdr:rowOff>177988</xdr:rowOff>
    </xdr:to>
    <xdr:sp macro="" textlink="">
      <xdr:nvSpPr>
        <xdr:cNvPr id="59" name="Diagrama de flujo: proceso 63">
          <a:extLst>
            <a:ext uri="{FF2B5EF4-FFF2-40B4-BE49-F238E27FC236}">
              <a16:creationId xmlns:a16="http://schemas.microsoft.com/office/drawing/2014/main" id="{00000000-0008-0000-0800-00003B000000}"/>
            </a:ext>
          </a:extLst>
        </xdr:cNvPr>
        <xdr:cNvSpPr/>
      </xdr:nvSpPr>
      <xdr:spPr>
        <a:xfrm rot="6192053">
          <a:off x="4152382" y="5481378"/>
          <a:ext cx="66044" cy="52325"/>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51</xdr:col>
      <xdr:colOff>19050</xdr:colOff>
      <xdr:row>28</xdr:row>
      <xdr:rowOff>167876</xdr:rowOff>
    </xdr:from>
    <xdr:to>
      <xdr:col>52</xdr:col>
      <xdr:colOff>46831</xdr:colOff>
      <xdr:row>29</xdr:row>
      <xdr:rowOff>23095</xdr:rowOff>
    </xdr:to>
    <xdr:sp macro="" textlink="">
      <xdr:nvSpPr>
        <xdr:cNvPr id="60" name="Diagrama de flujo: proceso 64">
          <a:extLst>
            <a:ext uri="{FF2B5EF4-FFF2-40B4-BE49-F238E27FC236}">
              <a16:creationId xmlns:a16="http://schemas.microsoft.com/office/drawing/2014/main" id="{00000000-0008-0000-0800-00003C000000}"/>
            </a:ext>
          </a:extLst>
        </xdr:cNvPr>
        <xdr:cNvSpPr/>
      </xdr:nvSpPr>
      <xdr:spPr>
        <a:xfrm rot="9127205">
          <a:off x="4105275" y="5530451"/>
          <a:ext cx="84931" cy="45719"/>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50</xdr:col>
      <xdr:colOff>50564</xdr:colOff>
      <xdr:row>31</xdr:row>
      <xdr:rowOff>50641</xdr:rowOff>
    </xdr:from>
    <xdr:to>
      <xdr:col>51</xdr:col>
      <xdr:colOff>36752</xdr:colOff>
      <xdr:row>31</xdr:row>
      <xdr:rowOff>137954</xdr:rowOff>
    </xdr:to>
    <xdr:sp macro="" textlink="">
      <xdr:nvSpPr>
        <xdr:cNvPr id="61" name="Diagrama de flujo: proceso 65">
          <a:extLst>
            <a:ext uri="{FF2B5EF4-FFF2-40B4-BE49-F238E27FC236}">
              <a16:creationId xmlns:a16="http://schemas.microsoft.com/office/drawing/2014/main" id="{00000000-0008-0000-0800-00003D000000}"/>
            </a:ext>
          </a:extLst>
        </xdr:cNvPr>
        <xdr:cNvSpPr/>
      </xdr:nvSpPr>
      <xdr:spPr>
        <a:xfrm rot="5711254">
          <a:off x="4057651" y="6006704"/>
          <a:ext cx="87313" cy="43338"/>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50</xdr:col>
      <xdr:colOff>18417</xdr:colOff>
      <xdr:row>29</xdr:row>
      <xdr:rowOff>125651</xdr:rowOff>
    </xdr:from>
    <xdr:to>
      <xdr:col>51</xdr:col>
      <xdr:colOff>4605</xdr:colOff>
      <xdr:row>30</xdr:row>
      <xdr:rowOff>22464</xdr:rowOff>
    </xdr:to>
    <xdr:sp macro="" textlink="">
      <xdr:nvSpPr>
        <xdr:cNvPr id="62" name="Diagrama de flujo: proceso 66">
          <a:extLst>
            <a:ext uri="{FF2B5EF4-FFF2-40B4-BE49-F238E27FC236}">
              <a16:creationId xmlns:a16="http://schemas.microsoft.com/office/drawing/2014/main" id="{00000000-0008-0000-0800-00003E000000}"/>
            </a:ext>
          </a:extLst>
        </xdr:cNvPr>
        <xdr:cNvSpPr/>
      </xdr:nvSpPr>
      <xdr:spPr>
        <a:xfrm rot="4554077">
          <a:off x="4025504" y="5700714"/>
          <a:ext cx="87313" cy="43338"/>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50</xdr:col>
      <xdr:colOff>10081</xdr:colOff>
      <xdr:row>29</xdr:row>
      <xdr:rowOff>45878</xdr:rowOff>
    </xdr:from>
    <xdr:to>
      <xdr:col>50</xdr:col>
      <xdr:colOff>55800</xdr:colOff>
      <xdr:row>29</xdr:row>
      <xdr:rowOff>133191</xdr:rowOff>
    </xdr:to>
    <xdr:sp macro="" textlink="">
      <xdr:nvSpPr>
        <xdr:cNvPr id="63" name="Diagrama de flujo: proceso 67">
          <a:extLst>
            <a:ext uri="{FF2B5EF4-FFF2-40B4-BE49-F238E27FC236}">
              <a16:creationId xmlns:a16="http://schemas.microsoft.com/office/drawing/2014/main" id="{00000000-0008-0000-0800-00003F000000}"/>
            </a:ext>
          </a:extLst>
        </xdr:cNvPr>
        <xdr:cNvSpPr/>
      </xdr:nvSpPr>
      <xdr:spPr>
        <a:xfrm rot="5400000">
          <a:off x="4018359" y="5619750"/>
          <a:ext cx="87313" cy="45719"/>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50</xdr:col>
      <xdr:colOff>10716</xdr:colOff>
      <xdr:row>29</xdr:row>
      <xdr:rowOff>22622</xdr:rowOff>
    </xdr:from>
    <xdr:to>
      <xdr:col>51</xdr:col>
      <xdr:colOff>38498</xdr:colOff>
      <xdr:row>29</xdr:row>
      <xdr:rowOff>68341</xdr:rowOff>
    </xdr:to>
    <xdr:sp macro="" textlink="">
      <xdr:nvSpPr>
        <xdr:cNvPr id="64" name="Diagrama de flujo: proceso 68">
          <a:extLst>
            <a:ext uri="{FF2B5EF4-FFF2-40B4-BE49-F238E27FC236}">
              <a16:creationId xmlns:a16="http://schemas.microsoft.com/office/drawing/2014/main" id="{00000000-0008-0000-0800-000040000000}"/>
            </a:ext>
          </a:extLst>
        </xdr:cNvPr>
        <xdr:cNvSpPr/>
      </xdr:nvSpPr>
      <xdr:spPr>
        <a:xfrm rot="8207649">
          <a:off x="4039791" y="5575697"/>
          <a:ext cx="84932" cy="45719"/>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50</xdr:col>
      <xdr:colOff>53578</xdr:colOff>
      <xdr:row>30</xdr:row>
      <xdr:rowOff>160734</xdr:rowOff>
    </xdr:from>
    <xdr:to>
      <xdr:col>51</xdr:col>
      <xdr:colOff>39766</xdr:colOff>
      <xdr:row>31</xdr:row>
      <xdr:rowOff>57547</xdr:rowOff>
    </xdr:to>
    <xdr:sp macro="" textlink="">
      <xdr:nvSpPr>
        <xdr:cNvPr id="65" name="Diagrama de flujo: proceso 69">
          <a:extLst>
            <a:ext uri="{FF2B5EF4-FFF2-40B4-BE49-F238E27FC236}">
              <a16:creationId xmlns:a16="http://schemas.microsoft.com/office/drawing/2014/main" id="{00000000-0008-0000-0800-000041000000}"/>
            </a:ext>
          </a:extLst>
        </xdr:cNvPr>
        <xdr:cNvSpPr/>
      </xdr:nvSpPr>
      <xdr:spPr>
        <a:xfrm rot="5400000">
          <a:off x="4060665" y="5926297"/>
          <a:ext cx="87313" cy="43338"/>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50</xdr:col>
      <xdr:colOff>51198</xdr:colOff>
      <xdr:row>30</xdr:row>
      <xdr:rowOff>80963</xdr:rowOff>
    </xdr:from>
    <xdr:to>
      <xdr:col>51</xdr:col>
      <xdr:colOff>37386</xdr:colOff>
      <xdr:row>30</xdr:row>
      <xdr:rowOff>168276</xdr:rowOff>
    </xdr:to>
    <xdr:sp macro="" textlink="">
      <xdr:nvSpPr>
        <xdr:cNvPr id="66" name="Diagrama de flujo: proceso 70">
          <a:extLst>
            <a:ext uri="{FF2B5EF4-FFF2-40B4-BE49-F238E27FC236}">
              <a16:creationId xmlns:a16="http://schemas.microsoft.com/office/drawing/2014/main" id="{00000000-0008-0000-0800-000042000000}"/>
            </a:ext>
          </a:extLst>
        </xdr:cNvPr>
        <xdr:cNvSpPr/>
      </xdr:nvSpPr>
      <xdr:spPr>
        <a:xfrm rot="5400000">
          <a:off x="4058285" y="5846526"/>
          <a:ext cx="87313" cy="43338"/>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50</xdr:col>
      <xdr:colOff>42862</xdr:colOff>
      <xdr:row>30</xdr:row>
      <xdr:rowOff>1192</xdr:rowOff>
    </xdr:from>
    <xdr:to>
      <xdr:col>51</xdr:col>
      <xdr:colOff>29050</xdr:colOff>
      <xdr:row>30</xdr:row>
      <xdr:rowOff>88505</xdr:rowOff>
    </xdr:to>
    <xdr:sp macro="" textlink="">
      <xdr:nvSpPr>
        <xdr:cNvPr id="67" name="Diagrama de flujo: proceso 71">
          <a:extLst>
            <a:ext uri="{FF2B5EF4-FFF2-40B4-BE49-F238E27FC236}">
              <a16:creationId xmlns:a16="http://schemas.microsoft.com/office/drawing/2014/main" id="{00000000-0008-0000-0800-000043000000}"/>
            </a:ext>
          </a:extLst>
        </xdr:cNvPr>
        <xdr:cNvSpPr/>
      </xdr:nvSpPr>
      <xdr:spPr>
        <a:xfrm rot="4473524">
          <a:off x="4049949" y="5766755"/>
          <a:ext cx="87313" cy="43338"/>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52</xdr:col>
      <xdr:colOff>28574</xdr:colOff>
      <xdr:row>28</xdr:row>
      <xdr:rowOff>58339</xdr:rowOff>
    </xdr:from>
    <xdr:to>
      <xdr:col>53</xdr:col>
      <xdr:colOff>14762</xdr:colOff>
      <xdr:row>28</xdr:row>
      <xdr:rowOff>145652</xdr:rowOff>
    </xdr:to>
    <xdr:sp macro="" textlink="">
      <xdr:nvSpPr>
        <xdr:cNvPr id="68" name="Diagrama de flujo: proceso 72">
          <a:extLst>
            <a:ext uri="{FF2B5EF4-FFF2-40B4-BE49-F238E27FC236}">
              <a16:creationId xmlns:a16="http://schemas.microsoft.com/office/drawing/2014/main" id="{00000000-0008-0000-0800-000044000000}"/>
            </a:ext>
          </a:extLst>
        </xdr:cNvPr>
        <xdr:cNvSpPr/>
      </xdr:nvSpPr>
      <xdr:spPr>
        <a:xfrm rot="4554077">
          <a:off x="4149961" y="5442902"/>
          <a:ext cx="87313" cy="43338"/>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52</xdr:col>
      <xdr:colOff>5953</xdr:colOff>
      <xdr:row>32</xdr:row>
      <xdr:rowOff>47625</xdr:rowOff>
    </xdr:from>
    <xdr:to>
      <xdr:col>52</xdr:col>
      <xdr:colOff>51672</xdr:colOff>
      <xdr:row>32</xdr:row>
      <xdr:rowOff>134938</xdr:rowOff>
    </xdr:to>
    <xdr:sp macro="" textlink="">
      <xdr:nvSpPr>
        <xdr:cNvPr id="69" name="Diagrama de flujo: proceso 74">
          <a:extLst>
            <a:ext uri="{FF2B5EF4-FFF2-40B4-BE49-F238E27FC236}">
              <a16:creationId xmlns:a16="http://schemas.microsoft.com/office/drawing/2014/main" id="{00000000-0008-0000-0800-000045000000}"/>
            </a:ext>
          </a:extLst>
        </xdr:cNvPr>
        <xdr:cNvSpPr/>
      </xdr:nvSpPr>
      <xdr:spPr>
        <a:xfrm rot="4168677">
          <a:off x="4128531" y="6192997"/>
          <a:ext cx="87313" cy="45719"/>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52</xdr:col>
      <xdr:colOff>39291</xdr:colOff>
      <xdr:row>32</xdr:row>
      <xdr:rowOff>128589</xdr:rowOff>
    </xdr:from>
    <xdr:to>
      <xdr:col>53</xdr:col>
      <xdr:colOff>25479</xdr:colOff>
      <xdr:row>33</xdr:row>
      <xdr:rowOff>25402</xdr:rowOff>
    </xdr:to>
    <xdr:sp macro="" textlink="">
      <xdr:nvSpPr>
        <xdr:cNvPr id="70" name="Diagrama de flujo: proceso 75">
          <a:extLst>
            <a:ext uri="{FF2B5EF4-FFF2-40B4-BE49-F238E27FC236}">
              <a16:creationId xmlns:a16="http://schemas.microsoft.com/office/drawing/2014/main" id="{00000000-0008-0000-0800-000046000000}"/>
            </a:ext>
          </a:extLst>
        </xdr:cNvPr>
        <xdr:cNvSpPr/>
      </xdr:nvSpPr>
      <xdr:spPr>
        <a:xfrm rot="5026943">
          <a:off x="4160678" y="6275152"/>
          <a:ext cx="87313" cy="43338"/>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51</xdr:col>
      <xdr:colOff>36909</xdr:colOff>
      <xdr:row>31</xdr:row>
      <xdr:rowOff>179784</xdr:rowOff>
    </xdr:from>
    <xdr:to>
      <xdr:col>52</xdr:col>
      <xdr:colOff>23096</xdr:colOff>
      <xdr:row>32</xdr:row>
      <xdr:rowOff>76597</xdr:rowOff>
    </xdr:to>
    <xdr:sp macro="" textlink="">
      <xdr:nvSpPr>
        <xdr:cNvPr id="71" name="Diagrama de flujo: proceso 76">
          <a:extLst>
            <a:ext uri="{FF2B5EF4-FFF2-40B4-BE49-F238E27FC236}">
              <a16:creationId xmlns:a16="http://schemas.microsoft.com/office/drawing/2014/main" id="{00000000-0008-0000-0800-000047000000}"/>
            </a:ext>
          </a:extLst>
        </xdr:cNvPr>
        <xdr:cNvSpPr/>
      </xdr:nvSpPr>
      <xdr:spPr>
        <a:xfrm rot="3480997">
          <a:off x="4101146" y="6135847"/>
          <a:ext cx="87313" cy="43337"/>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51</xdr:col>
      <xdr:colOff>4764</xdr:colOff>
      <xdr:row>31</xdr:row>
      <xdr:rowOff>123825</xdr:rowOff>
    </xdr:from>
    <xdr:to>
      <xdr:col>51</xdr:col>
      <xdr:colOff>50483</xdr:colOff>
      <xdr:row>32</xdr:row>
      <xdr:rowOff>20638</xdr:rowOff>
    </xdr:to>
    <xdr:sp macro="" textlink="">
      <xdr:nvSpPr>
        <xdr:cNvPr id="72" name="Diagrama de flujo: proceso 77">
          <a:extLst>
            <a:ext uri="{FF2B5EF4-FFF2-40B4-BE49-F238E27FC236}">
              <a16:creationId xmlns:a16="http://schemas.microsoft.com/office/drawing/2014/main" id="{00000000-0008-0000-0800-000048000000}"/>
            </a:ext>
          </a:extLst>
        </xdr:cNvPr>
        <xdr:cNvSpPr/>
      </xdr:nvSpPr>
      <xdr:spPr>
        <a:xfrm rot="4047140">
          <a:off x="4070192" y="6078697"/>
          <a:ext cx="87313" cy="45719"/>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52</xdr:col>
      <xdr:colOff>47625</xdr:colOff>
      <xdr:row>33</xdr:row>
      <xdr:rowOff>130969</xdr:rowOff>
    </xdr:from>
    <xdr:to>
      <xdr:col>53</xdr:col>
      <xdr:colOff>33813</xdr:colOff>
      <xdr:row>34</xdr:row>
      <xdr:rowOff>27782</xdr:rowOff>
    </xdr:to>
    <xdr:sp macro="" textlink="">
      <xdr:nvSpPr>
        <xdr:cNvPr id="73" name="Diagrama de flujo: proceso 78">
          <a:extLst>
            <a:ext uri="{FF2B5EF4-FFF2-40B4-BE49-F238E27FC236}">
              <a16:creationId xmlns:a16="http://schemas.microsoft.com/office/drawing/2014/main" id="{00000000-0008-0000-0800-000049000000}"/>
            </a:ext>
          </a:extLst>
        </xdr:cNvPr>
        <xdr:cNvSpPr/>
      </xdr:nvSpPr>
      <xdr:spPr>
        <a:xfrm rot="4554077">
          <a:off x="4169012" y="6468032"/>
          <a:ext cx="87313" cy="43338"/>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52</xdr:col>
      <xdr:colOff>45244</xdr:colOff>
      <xdr:row>33</xdr:row>
      <xdr:rowOff>110729</xdr:rowOff>
    </xdr:from>
    <xdr:to>
      <xdr:col>53</xdr:col>
      <xdr:colOff>31432</xdr:colOff>
      <xdr:row>34</xdr:row>
      <xdr:rowOff>7542</xdr:rowOff>
    </xdr:to>
    <xdr:sp macro="" textlink="">
      <xdr:nvSpPr>
        <xdr:cNvPr id="74" name="Diagrama de flujo: proceso 79">
          <a:extLst>
            <a:ext uri="{FF2B5EF4-FFF2-40B4-BE49-F238E27FC236}">
              <a16:creationId xmlns:a16="http://schemas.microsoft.com/office/drawing/2014/main" id="{00000000-0008-0000-0800-00004A000000}"/>
            </a:ext>
          </a:extLst>
        </xdr:cNvPr>
        <xdr:cNvSpPr/>
      </xdr:nvSpPr>
      <xdr:spPr>
        <a:xfrm rot="5400000">
          <a:off x="4166631" y="6447792"/>
          <a:ext cx="87313" cy="43338"/>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52</xdr:col>
      <xdr:colOff>42863</xdr:colOff>
      <xdr:row>33</xdr:row>
      <xdr:rowOff>25004</xdr:rowOff>
    </xdr:from>
    <xdr:to>
      <xdr:col>53</xdr:col>
      <xdr:colOff>29051</xdr:colOff>
      <xdr:row>33</xdr:row>
      <xdr:rowOff>112317</xdr:rowOff>
    </xdr:to>
    <xdr:sp macro="" textlink="">
      <xdr:nvSpPr>
        <xdr:cNvPr id="75" name="Diagrama de flujo: proceso 80">
          <a:extLst>
            <a:ext uri="{FF2B5EF4-FFF2-40B4-BE49-F238E27FC236}">
              <a16:creationId xmlns:a16="http://schemas.microsoft.com/office/drawing/2014/main" id="{00000000-0008-0000-0800-00004B000000}"/>
            </a:ext>
          </a:extLst>
        </xdr:cNvPr>
        <xdr:cNvSpPr/>
      </xdr:nvSpPr>
      <xdr:spPr>
        <a:xfrm rot="5116485">
          <a:off x="4164250" y="6362067"/>
          <a:ext cx="87313" cy="43338"/>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53</xdr:col>
      <xdr:colOff>17859</xdr:colOff>
      <xdr:row>34</xdr:row>
      <xdr:rowOff>17861</xdr:rowOff>
    </xdr:from>
    <xdr:to>
      <xdr:col>54</xdr:col>
      <xdr:colOff>4047</xdr:colOff>
      <xdr:row>34</xdr:row>
      <xdr:rowOff>105174</xdr:rowOff>
    </xdr:to>
    <xdr:sp macro="" textlink="">
      <xdr:nvSpPr>
        <xdr:cNvPr id="76" name="Diagrama de flujo: proceso 81">
          <a:extLst>
            <a:ext uri="{FF2B5EF4-FFF2-40B4-BE49-F238E27FC236}">
              <a16:creationId xmlns:a16="http://schemas.microsoft.com/office/drawing/2014/main" id="{00000000-0008-0000-0800-00004C000000}"/>
            </a:ext>
          </a:extLst>
        </xdr:cNvPr>
        <xdr:cNvSpPr/>
      </xdr:nvSpPr>
      <xdr:spPr>
        <a:xfrm rot="3755807">
          <a:off x="4196396" y="6545424"/>
          <a:ext cx="87313" cy="43338"/>
        </a:xfrm>
        <a:prstGeom prst="flowChartProcess">
          <a:avLst/>
        </a:prstGeom>
        <a:solidFill>
          <a:srgbClr val="00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43</xdr:col>
      <xdr:colOff>23813</xdr:colOff>
      <xdr:row>25</xdr:row>
      <xdr:rowOff>154782</xdr:rowOff>
    </xdr:from>
    <xdr:to>
      <xdr:col>44</xdr:col>
      <xdr:colOff>14388</xdr:colOff>
      <xdr:row>26</xdr:row>
      <xdr:rowOff>51595</xdr:rowOff>
    </xdr:to>
    <xdr:sp macro="" textlink="">
      <xdr:nvSpPr>
        <xdr:cNvPr id="77" name="Diagrama de flujo: proceso 82">
          <a:extLst>
            <a:ext uri="{FF2B5EF4-FFF2-40B4-BE49-F238E27FC236}">
              <a16:creationId xmlns:a16="http://schemas.microsoft.com/office/drawing/2014/main" id="{00000000-0008-0000-0800-00004D000000}"/>
            </a:ext>
          </a:extLst>
        </xdr:cNvPr>
        <xdr:cNvSpPr/>
      </xdr:nvSpPr>
      <xdr:spPr>
        <a:xfrm rot="4528713">
          <a:off x="3633044" y="4965651"/>
          <a:ext cx="87313" cy="47725"/>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43</xdr:col>
      <xdr:colOff>33338</xdr:colOff>
      <xdr:row>26</xdr:row>
      <xdr:rowOff>45243</xdr:rowOff>
    </xdr:from>
    <xdr:to>
      <xdr:col>44</xdr:col>
      <xdr:colOff>23913</xdr:colOff>
      <xdr:row>26</xdr:row>
      <xdr:rowOff>132556</xdr:rowOff>
    </xdr:to>
    <xdr:sp macro="" textlink="">
      <xdr:nvSpPr>
        <xdr:cNvPr id="78" name="Diagrama de flujo: proceso 83">
          <a:extLst>
            <a:ext uri="{FF2B5EF4-FFF2-40B4-BE49-F238E27FC236}">
              <a16:creationId xmlns:a16="http://schemas.microsoft.com/office/drawing/2014/main" id="{00000000-0008-0000-0800-00004E000000}"/>
            </a:ext>
          </a:extLst>
        </xdr:cNvPr>
        <xdr:cNvSpPr/>
      </xdr:nvSpPr>
      <xdr:spPr>
        <a:xfrm rot="5400000">
          <a:off x="3642569" y="5046612"/>
          <a:ext cx="87313" cy="47725"/>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43</xdr:col>
      <xdr:colOff>36909</xdr:colOff>
      <xdr:row>26</xdr:row>
      <xdr:rowOff>138112</xdr:rowOff>
    </xdr:from>
    <xdr:to>
      <xdr:col>44</xdr:col>
      <xdr:colOff>27484</xdr:colOff>
      <xdr:row>27</xdr:row>
      <xdr:rowOff>34925</xdr:rowOff>
    </xdr:to>
    <xdr:sp macro="" textlink="">
      <xdr:nvSpPr>
        <xdr:cNvPr id="79" name="Diagrama de flujo: proceso 84">
          <a:extLst>
            <a:ext uri="{FF2B5EF4-FFF2-40B4-BE49-F238E27FC236}">
              <a16:creationId xmlns:a16="http://schemas.microsoft.com/office/drawing/2014/main" id="{00000000-0008-0000-0800-00004F000000}"/>
            </a:ext>
          </a:extLst>
        </xdr:cNvPr>
        <xdr:cNvSpPr/>
      </xdr:nvSpPr>
      <xdr:spPr>
        <a:xfrm rot="5400000">
          <a:off x="3646140" y="5139481"/>
          <a:ext cx="87313" cy="47725"/>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43</xdr:col>
      <xdr:colOff>34529</xdr:colOff>
      <xdr:row>27</xdr:row>
      <xdr:rowOff>28574</xdr:rowOff>
    </xdr:from>
    <xdr:to>
      <xdr:col>44</xdr:col>
      <xdr:colOff>25104</xdr:colOff>
      <xdr:row>27</xdr:row>
      <xdr:rowOff>115887</xdr:rowOff>
    </xdr:to>
    <xdr:sp macro="" textlink="">
      <xdr:nvSpPr>
        <xdr:cNvPr id="80" name="Diagrama de flujo: proceso 85">
          <a:extLst>
            <a:ext uri="{FF2B5EF4-FFF2-40B4-BE49-F238E27FC236}">
              <a16:creationId xmlns:a16="http://schemas.microsoft.com/office/drawing/2014/main" id="{00000000-0008-0000-0800-000050000000}"/>
            </a:ext>
          </a:extLst>
        </xdr:cNvPr>
        <xdr:cNvSpPr/>
      </xdr:nvSpPr>
      <xdr:spPr>
        <a:xfrm rot="4840941">
          <a:off x="3643760" y="5220443"/>
          <a:ext cx="87313" cy="47725"/>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42</xdr:col>
      <xdr:colOff>1</xdr:colOff>
      <xdr:row>24</xdr:row>
      <xdr:rowOff>136922</xdr:rowOff>
    </xdr:from>
    <xdr:to>
      <xdr:col>42</xdr:col>
      <xdr:colOff>50108</xdr:colOff>
      <xdr:row>25</xdr:row>
      <xdr:rowOff>33735</xdr:rowOff>
    </xdr:to>
    <xdr:sp macro="" textlink="">
      <xdr:nvSpPr>
        <xdr:cNvPr id="81" name="Diagrama de flujo: proceso 86">
          <a:extLst>
            <a:ext uri="{FF2B5EF4-FFF2-40B4-BE49-F238E27FC236}">
              <a16:creationId xmlns:a16="http://schemas.microsoft.com/office/drawing/2014/main" id="{00000000-0008-0000-0800-000051000000}"/>
            </a:ext>
          </a:extLst>
        </xdr:cNvPr>
        <xdr:cNvSpPr/>
      </xdr:nvSpPr>
      <xdr:spPr>
        <a:xfrm rot="5128935">
          <a:off x="3553273" y="4756100"/>
          <a:ext cx="87313" cy="50107"/>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42</xdr:col>
      <xdr:colOff>3573</xdr:colOff>
      <xdr:row>25</xdr:row>
      <xdr:rowOff>15479</xdr:rowOff>
    </xdr:from>
    <xdr:to>
      <xdr:col>42</xdr:col>
      <xdr:colOff>53680</xdr:colOff>
      <xdr:row>25</xdr:row>
      <xdr:rowOff>102792</xdr:rowOff>
    </xdr:to>
    <xdr:sp macro="" textlink="">
      <xdr:nvSpPr>
        <xdr:cNvPr id="82" name="Diagrama de flujo: proceso 87">
          <a:extLst>
            <a:ext uri="{FF2B5EF4-FFF2-40B4-BE49-F238E27FC236}">
              <a16:creationId xmlns:a16="http://schemas.microsoft.com/office/drawing/2014/main" id="{00000000-0008-0000-0800-000052000000}"/>
            </a:ext>
          </a:extLst>
        </xdr:cNvPr>
        <xdr:cNvSpPr/>
      </xdr:nvSpPr>
      <xdr:spPr>
        <a:xfrm rot="4528713">
          <a:off x="3556845" y="4825157"/>
          <a:ext cx="87313" cy="50107"/>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42</xdr:col>
      <xdr:colOff>42863</xdr:colOff>
      <xdr:row>25</xdr:row>
      <xdr:rowOff>96441</xdr:rowOff>
    </xdr:from>
    <xdr:to>
      <xdr:col>43</xdr:col>
      <xdr:colOff>33439</xdr:colOff>
      <xdr:row>25</xdr:row>
      <xdr:rowOff>183754</xdr:rowOff>
    </xdr:to>
    <xdr:sp macro="" textlink="">
      <xdr:nvSpPr>
        <xdr:cNvPr id="83" name="Diagrama de flujo: proceso 88">
          <a:extLst>
            <a:ext uri="{FF2B5EF4-FFF2-40B4-BE49-F238E27FC236}">
              <a16:creationId xmlns:a16="http://schemas.microsoft.com/office/drawing/2014/main" id="{00000000-0008-0000-0800-000053000000}"/>
            </a:ext>
          </a:extLst>
        </xdr:cNvPr>
        <xdr:cNvSpPr/>
      </xdr:nvSpPr>
      <xdr:spPr>
        <a:xfrm rot="3620934">
          <a:off x="3594944" y="4907310"/>
          <a:ext cx="87313" cy="47726"/>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42</xdr:col>
      <xdr:colOff>23813</xdr:colOff>
      <xdr:row>24</xdr:row>
      <xdr:rowOff>11906</xdr:rowOff>
    </xdr:from>
    <xdr:to>
      <xdr:col>43</xdr:col>
      <xdr:colOff>14389</xdr:colOff>
      <xdr:row>24</xdr:row>
      <xdr:rowOff>99219</xdr:rowOff>
    </xdr:to>
    <xdr:sp macro="" textlink="">
      <xdr:nvSpPr>
        <xdr:cNvPr id="84" name="Diagrama de flujo: proceso 89">
          <a:extLst>
            <a:ext uri="{FF2B5EF4-FFF2-40B4-BE49-F238E27FC236}">
              <a16:creationId xmlns:a16="http://schemas.microsoft.com/office/drawing/2014/main" id="{00000000-0008-0000-0800-000054000000}"/>
            </a:ext>
          </a:extLst>
        </xdr:cNvPr>
        <xdr:cNvSpPr/>
      </xdr:nvSpPr>
      <xdr:spPr>
        <a:xfrm rot="7642088">
          <a:off x="3575894" y="4632275"/>
          <a:ext cx="87313" cy="47726"/>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41</xdr:col>
      <xdr:colOff>45244</xdr:colOff>
      <xdr:row>24</xdr:row>
      <xdr:rowOff>51197</xdr:rowOff>
    </xdr:from>
    <xdr:to>
      <xdr:col>42</xdr:col>
      <xdr:colOff>35820</xdr:colOff>
      <xdr:row>24</xdr:row>
      <xdr:rowOff>138510</xdr:rowOff>
    </xdr:to>
    <xdr:sp macro="" textlink="">
      <xdr:nvSpPr>
        <xdr:cNvPr id="85" name="Diagrama de flujo: proceso 90">
          <a:extLst>
            <a:ext uri="{FF2B5EF4-FFF2-40B4-BE49-F238E27FC236}">
              <a16:creationId xmlns:a16="http://schemas.microsoft.com/office/drawing/2014/main" id="{00000000-0008-0000-0800-000055000000}"/>
            </a:ext>
          </a:extLst>
        </xdr:cNvPr>
        <xdr:cNvSpPr/>
      </xdr:nvSpPr>
      <xdr:spPr>
        <a:xfrm rot="4940042">
          <a:off x="3540175" y="4671566"/>
          <a:ext cx="87313" cy="47726"/>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41</xdr:col>
      <xdr:colOff>37042</xdr:colOff>
      <xdr:row>23</xdr:row>
      <xdr:rowOff>47626</xdr:rowOff>
    </xdr:from>
    <xdr:to>
      <xdr:col>42</xdr:col>
      <xdr:colOff>23230</xdr:colOff>
      <xdr:row>23</xdr:row>
      <xdr:rowOff>134939</xdr:rowOff>
    </xdr:to>
    <xdr:sp macro="" textlink="">
      <xdr:nvSpPr>
        <xdr:cNvPr id="86" name="Diagrama de flujo: proceso 91">
          <a:extLst>
            <a:ext uri="{FF2B5EF4-FFF2-40B4-BE49-F238E27FC236}">
              <a16:creationId xmlns:a16="http://schemas.microsoft.com/office/drawing/2014/main" id="{00000000-0008-0000-0800-000056000000}"/>
            </a:ext>
          </a:extLst>
        </xdr:cNvPr>
        <xdr:cNvSpPr/>
      </xdr:nvSpPr>
      <xdr:spPr>
        <a:xfrm rot="4872694">
          <a:off x="3529779" y="4479689"/>
          <a:ext cx="87313" cy="43338"/>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41</xdr:col>
      <xdr:colOff>20110</xdr:colOff>
      <xdr:row>22</xdr:row>
      <xdr:rowOff>157692</xdr:rowOff>
    </xdr:from>
    <xdr:to>
      <xdr:col>42</xdr:col>
      <xdr:colOff>6298</xdr:colOff>
      <xdr:row>23</xdr:row>
      <xdr:rowOff>54505</xdr:rowOff>
    </xdr:to>
    <xdr:sp macro="" textlink="">
      <xdr:nvSpPr>
        <xdr:cNvPr id="87" name="Diagrama de flujo: proceso 92">
          <a:extLst>
            <a:ext uri="{FF2B5EF4-FFF2-40B4-BE49-F238E27FC236}">
              <a16:creationId xmlns:a16="http://schemas.microsoft.com/office/drawing/2014/main" id="{00000000-0008-0000-0800-000057000000}"/>
            </a:ext>
          </a:extLst>
        </xdr:cNvPr>
        <xdr:cNvSpPr/>
      </xdr:nvSpPr>
      <xdr:spPr>
        <a:xfrm rot="3716382">
          <a:off x="3512847" y="4399255"/>
          <a:ext cx="87313" cy="43338"/>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41</xdr:col>
      <xdr:colOff>8467</xdr:colOff>
      <xdr:row>22</xdr:row>
      <xdr:rowOff>77259</xdr:rowOff>
    </xdr:from>
    <xdr:to>
      <xdr:col>41</xdr:col>
      <xdr:colOff>52863</xdr:colOff>
      <xdr:row>22</xdr:row>
      <xdr:rowOff>164572</xdr:rowOff>
    </xdr:to>
    <xdr:sp macro="" textlink="">
      <xdr:nvSpPr>
        <xdr:cNvPr id="88" name="Diagrama de flujo: proceso 93">
          <a:extLst>
            <a:ext uri="{FF2B5EF4-FFF2-40B4-BE49-F238E27FC236}">
              <a16:creationId xmlns:a16="http://schemas.microsoft.com/office/drawing/2014/main" id="{00000000-0008-0000-0800-000058000000}"/>
            </a:ext>
          </a:extLst>
        </xdr:cNvPr>
        <xdr:cNvSpPr/>
      </xdr:nvSpPr>
      <xdr:spPr>
        <a:xfrm rot="5400000">
          <a:off x="3501733" y="4318293"/>
          <a:ext cx="87313" cy="44396"/>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41</xdr:col>
      <xdr:colOff>2117</xdr:colOff>
      <xdr:row>22</xdr:row>
      <xdr:rowOff>2118</xdr:rowOff>
    </xdr:from>
    <xdr:to>
      <xdr:col>41</xdr:col>
      <xdr:colOff>46513</xdr:colOff>
      <xdr:row>22</xdr:row>
      <xdr:rowOff>89431</xdr:rowOff>
    </xdr:to>
    <xdr:sp macro="" textlink="">
      <xdr:nvSpPr>
        <xdr:cNvPr id="89" name="Diagrama de flujo: proceso 94">
          <a:extLst>
            <a:ext uri="{FF2B5EF4-FFF2-40B4-BE49-F238E27FC236}">
              <a16:creationId xmlns:a16="http://schemas.microsoft.com/office/drawing/2014/main" id="{00000000-0008-0000-0800-000059000000}"/>
            </a:ext>
          </a:extLst>
        </xdr:cNvPr>
        <xdr:cNvSpPr/>
      </xdr:nvSpPr>
      <xdr:spPr>
        <a:xfrm rot="4401981">
          <a:off x="3495383" y="4243152"/>
          <a:ext cx="87313" cy="44396"/>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42</xdr:col>
      <xdr:colOff>15876</xdr:colOff>
      <xdr:row>23</xdr:row>
      <xdr:rowOff>127001</xdr:rowOff>
    </xdr:from>
    <xdr:to>
      <xdr:col>43</xdr:col>
      <xdr:colOff>2063</xdr:colOff>
      <xdr:row>24</xdr:row>
      <xdr:rowOff>23814</xdr:rowOff>
    </xdr:to>
    <xdr:sp macro="" textlink="">
      <xdr:nvSpPr>
        <xdr:cNvPr id="90" name="Diagrama de flujo: proceso 95">
          <a:extLst>
            <a:ext uri="{FF2B5EF4-FFF2-40B4-BE49-F238E27FC236}">
              <a16:creationId xmlns:a16="http://schemas.microsoft.com/office/drawing/2014/main" id="{00000000-0008-0000-0800-00005A000000}"/>
            </a:ext>
          </a:extLst>
        </xdr:cNvPr>
        <xdr:cNvSpPr/>
      </xdr:nvSpPr>
      <xdr:spPr>
        <a:xfrm rot="3489414">
          <a:off x="3565763" y="4559064"/>
          <a:ext cx="87313" cy="43337"/>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twoCellAnchor>
    <xdr:from>
      <xdr:col>7</xdr:col>
      <xdr:colOff>35624</xdr:colOff>
      <xdr:row>12</xdr:row>
      <xdr:rowOff>90931</xdr:rowOff>
    </xdr:from>
    <xdr:to>
      <xdr:col>10</xdr:col>
      <xdr:colOff>19050</xdr:colOff>
      <xdr:row>12</xdr:row>
      <xdr:rowOff>180974</xdr:rowOff>
    </xdr:to>
    <xdr:sp macro="" textlink="">
      <xdr:nvSpPr>
        <xdr:cNvPr id="92" name="Diagrama de flujo: proceso 53">
          <a:extLst>
            <a:ext uri="{FF2B5EF4-FFF2-40B4-BE49-F238E27FC236}">
              <a16:creationId xmlns:a16="http://schemas.microsoft.com/office/drawing/2014/main" id="{00000000-0008-0000-0800-00005C000000}"/>
            </a:ext>
          </a:extLst>
        </xdr:cNvPr>
        <xdr:cNvSpPr/>
      </xdr:nvSpPr>
      <xdr:spPr>
        <a:xfrm flipV="1">
          <a:off x="1607249" y="2405506"/>
          <a:ext cx="154876" cy="90043"/>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981075</xdr:colOff>
      <xdr:row>27</xdr:row>
      <xdr:rowOff>0</xdr:rowOff>
    </xdr:from>
    <xdr:to>
      <xdr:col>1</xdr:col>
      <xdr:colOff>0</xdr:colOff>
      <xdr:row>28</xdr:row>
      <xdr:rowOff>0</xdr:rowOff>
    </xdr:to>
    <xdr:sp macro="" textlink="">
      <xdr:nvSpPr>
        <xdr:cNvPr id="692522" name="Rectangle 1">
          <a:extLst>
            <a:ext uri="{FF2B5EF4-FFF2-40B4-BE49-F238E27FC236}">
              <a16:creationId xmlns:a16="http://schemas.microsoft.com/office/drawing/2014/main" id="{00000000-0008-0000-0900-00002A910A00}"/>
            </a:ext>
          </a:extLst>
        </xdr:cNvPr>
        <xdr:cNvSpPr>
          <a:spLocks noChangeArrowheads="1"/>
        </xdr:cNvSpPr>
      </xdr:nvSpPr>
      <xdr:spPr bwMode="auto">
        <a:xfrm>
          <a:off x="981075" y="4743450"/>
          <a:ext cx="733425" cy="161925"/>
        </a:xfrm>
        <a:prstGeom prst="rect">
          <a:avLst/>
        </a:prstGeom>
        <a:solidFill>
          <a:srgbClr val="00FF00"/>
        </a:solidFill>
        <a:ln w="9525">
          <a:solidFill>
            <a:srgbClr val="000000"/>
          </a:solidFill>
          <a:miter lim="800000"/>
          <a:headEnd/>
          <a:tailEnd/>
        </a:ln>
      </xdr:spPr>
    </xdr:sp>
    <xdr:clientData/>
  </xdr:twoCellAnchor>
  <xdr:twoCellAnchor>
    <xdr:from>
      <xdr:col>0</xdr:col>
      <xdr:colOff>981075</xdr:colOff>
      <xdr:row>28</xdr:row>
      <xdr:rowOff>0</xdr:rowOff>
    </xdr:from>
    <xdr:to>
      <xdr:col>1</xdr:col>
      <xdr:colOff>0</xdr:colOff>
      <xdr:row>29</xdr:row>
      <xdr:rowOff>0</xdr:rowOff>
    </xdr:to>
    <xdr:sp macro="" textlink="">
      <xdr:nvSpPr>
        <xdr:cNvPr id="692523" name="Rectangle 2">
          <a:extLst>
            <a:ext uri="{FF2B5EF4-FFF2-40B4-BE49-F238E27FC236}">
              <a16:creationId xmlns:a16="http://schemas.microsoft.com/office/drawing/2014/main" id="{00000000-0008-0000-0900-00002B910A00}"/>
            </a:ext>
          </a:extLst>
        </xdr:cNvPr>
        <xdr:cNvSpPr>
          <a:spLocks noChangeArrowheads="1"/>
        </xdr:cNvSpPr>
      </xdr:nvSpPr>
      <xdr:spPr bwMode="auto">
        <a:xfrm>
          <a:off x="981075" y="4905375"/>
          <a:ext cx="733425" cy="161925"/>
        </a:xfrm>
        <a:prstGeom prst="rect">
          <a:avLst/>
        </a:prstGeom>
        <a:solidFill>
          <a:srgbClr val="FFFF00"/>
        </a:solidFill>
        <a:ln w="9525">
          <a:solidFill>
            <a:srgbClr val="000000"/>
          </a:solidFill>
          <a:miter lim="800000"/>
          <a:headEnd/>
          <a:tailEnd/>
        </a:ln>
      </xdr:spPr>
    </xdr:sp>
    <xdr:clientData/>
  </xdr:twoCellAnchor>
  <xdr:twoCellAnchor>
    <xdr:from>
      <xdr:col>0</xdr:col>
      <xdr:colOff>981075</xdr:colOff>
      <xdr:row>29</xdr:row>
      <xdr:rowOff>0</xdr:rowOff>
    </xdr:from>
    <xdr:to>
      <xdr:col>1</xdr:col>
      <xdr:colOff>0</xdr:colOff>
      <xdr:row>30</xdr:row>
      <xdr:rowOff>0</xdr:rowOff>
    </xdr:to>
    <xdr:sp macro="" textlink="">
      <xdr:nvSpPr>
        <xdr:cNvPr id="692524" name="Rectangle 3">
          <a:extLst>
            <a:ext uri="{FF2B5EF4-FFF2-40B4-BE49-F238E27FC236}">
              <a16:creationId xmlns:a16="http://schemas.microsoft.com/office/drawing/2014/main" id="{00000000-0008-0000-0900-00002C910A00}"/>
            </a:ext>
          </a:extLst>
        </xdr:cNvPr>
        <xdr:cNvSpPr>
          <a:spLocks noChangeArrowheads="1"/>
        </xdr:cNvSpPr>
      </xdr:nvSpPr>
      <xdr:spPr bwMode="auto">
        <a:xfrm>
          <a:off x="981075" y="5067300"/>
          <a:ext cx="733425" cy="161925"/>
        </a:xfrm>
        <a:prstGeom prst="rect">
          <a:avLst/>
        </a:prstGeom>
        <a:solidFill>
          <a:srgbClr val="CC9CCC"/>
        </a:solidFill>
        <a:ln w="9525">
          <a:solidFill>
            <a:srgbClr val="000000"/>
          </a:solidFill>
          <a:miter lim="800000"/>
          <a:headEnd/>
          <a:tailEnd/>
        </a:ln>
      </xdr:spPr>
    </xdr:sp>
    <xdr:clientData/>
  </xdr:twoCellAnchor>
  <xdr:twoCellAnchor>
    <xdr:from>
      <xdr:col>0</xdr:col>
      <xdr:colOff>981075</xdr:colOff>
      <xdr:row>26</xdr:row>
      <xdr:rowOff>0</xdr:rowOff>
    </xdr:from>
    <xdr:to>
      <xdr:col>1</xdr:col>
      <xdr:colOff>0</xdr:colOff>
      <xdr:row>27</xdr:row>
      <xdr:rowOff>0</xdr:rowOff>
    </xdr:to>
    <xdr:sp macro="" textlink="">
      <xdr:nvSpPr>
        <xdr:cNvPr id="692525" name="Rectangle 4">
          <a:extLst>
            <a:ext uri="{FF2B5EF4-FFF2-40B4-BE49-F238E27FC236}">
              <a16:creationId xmlns:a16="http://schemas.microsoft.com/office/drawing/2014/main" id="{00000000-0008-0000-0900-00002D910A00}"/>
            </a:ext>
          </a:extLst>
        </xdr:cNvPr>
        <xdr:cNvSpPr>
          <a:spLocks noChangeArrowheads="1"/>
        </xdr:cNvSpPr>
      </xdr:nvSpPr>
      <xdr:spPr bwMode="auto">
        <a:xfrm>
          <a:off x="981075" y="4581525"/>
          <a:ext cx="733425" cy="161925"/>
        </a:xfrm>
        <a:prstGeom prst="rect">
          <a:avLst/>
        </a:prstGeom>
        <a:solidFill>
          <a:srgbClr val="A6CAF0"/>
        </a:solidFill>
        <a:ln w="9525">
          <a:solidFill>
            <a:srgbClr val="000000"/>
          </a:solidFill>
          <a:miter lim="800000"/>
          <a:headEnd/>
          <a:tailEnd/>
        </a:ln>
      </xdr:spPr>
    </xdr:sp>
    <xdr:clientData/>
  </xdr:twoCellAnchor>
  <xdr:twoCellAnchor>
    <xdr:from>
      <xdr:col>0</xdr:col>
      <xdr:colOff>981075</xdr:colOff>
      <xdr:row>30</xdr:row>
      <xdr:rowOff>0</xdr:rowOff>
    </xdr:from>
    <xdr:to>
      <xdr:col>1</xdr:col>
      <xdr:colOff>0</xdr:colOff>
      <xdr:row>31</xdr:row>
      <xdr:rowOff>0</xdr:rowOff>
    </xdr:to>
    <xdr:sp macro="" textlink="">
      <xdr:nvSpPr>
        <xdr:cNvPr id="692526" name="Rectangle 5">
          <a:extLst>
            <a:ext uri="{FF2B5EF4-FFF2-40B4-BE49-F238E27FC236}">
              <a16:creationId xmlns:a16="http://schemas.microsoft.com/office/drawing/2014/main" id="{00000000-0008-0000-0900-00002E910A00}"/>
            </a:ext>
          </a:extLst>
        </xdr:cNvPr>
        <xdr:cNvSpPr>
          <a:spLocks noChangeArrowheads="1"/>
        </xdr:cNvSpPr>
      </xdr:nvSpPr>
      <xdr:spPr bwMode="auto">
        <a:xfrm>
          <a:off x="981075" y="5229225"/>
          <a:ext cx="733425" cy="161925"/>
        </a:xfrm>
        <a:prstGeom prst="rect">
          <a:avLst/>
        </a:prstGeom>
        <a:solidFill>
          <a:srgbClr val="FF0000"/>
        </a:solidFill>
        <a:ln w="9525">
          <a:solidFill>
            <a:srgbClr val="000000"/>
          </a:solidFill>
          <a:miter lim="800000"/>
          <a:headEnd/>
          <a:tailEnd/>
        </a:ln>
      </xdr:spPr>
    </xdr:sp>
    <xdr:clientData/>
  </xdr:twoCellAnchor>
  <xdr:twoCellAnchor>
    <xdr:from>
      <xdr:col>2</xdr:col>
      <xdr:colOff>57150</xdr:colOff>
      <xdr:row>14</xdr:row>
      <xdr:rowOff>85725</xdr:rowOff>
    </xdr:from>
    <xdr:to>
      <xdr:col>2</xdr:col>
      <xdr:colOff>2114550</xdr:colOff>
      <xdr:row>23</xdr:row>
      <xdr:rowOff>85725</xdr:rowOff>
    </xdr:to>
    <xdr:graphicFrame macro="">
      <xdr:nvGraphicFramePr>
        <xdr:cNvPr id="692528" name="Gráfico 3">
          <a:extLst>
            <a:ext uri="{FF2B5EF4-FFF2-40B4-BE49-F238E27FC236}">
              <a16:creationId xmlns:a16="http://schemas.microsoft.com/office/drawing/2014/main" id="{00000000-0008-0000-0900-000030910A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1</xdr:col>
      <xdr:colOff>66675</xdr:colOff>
      <xdr:row>14</xdr:row>
      <xdr:rowOff>85725</xdr:rowOff>
    </xdr:from>
    <xdr:to>
      <xdr:col>1</xdr:col>
      <xdr:colOff>2139495</xdr:colOff>
      <xdr:row>23</xdr:row>
      <xdr:rowOff>97663</xdr:rowOff>
    </xdr:to>
    <xdr:pic>
      <xdr:nvPicPr>
        <xdr:cNvPr id="2" name="Imagen 1">
          <a:extLst>
            <a:ext uri="{FF2B5EF4-FFF2-40B4-BE49-F238E27FC236}">
              <a16:creationId xmlns:a16="http://schemas.microsoft.com/office/drawing/2014/main" id="{00000000-0008-0000-0900-000002000000}"/>
            </a:ext>
          </a:extLst>
        </xdr:cNvPr>
        <xdr:cNvPicPr>
          <a:picLocks noChangeAspect="1"/>
        </xdr:cNvPicPr>
      </xdr:nvPicPr>
      <xdr:blipFill>
        <a:blip xmlns:r="http://schemas.openxmlformats.org/officeDocument/2006/relationships" r:embed="rId2"/>
        <a:stretch>
          <a:fillRect/>
        </a:stretch>
      </xdr:blipFill>
      <xdr:spPr>
        <a:xfrm>
          <a:off x="1781175" y="2714625"/>
          <a:ext cx="2072820" cy="1469263"/>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409575</xdr:colOff>
      <xdr:row>30</xdr:row>
      <xdr:rowOff>180975</xdr:rowOff>
    </xdr:from>
    <xdr:to>
      <xdr:col>1</xdr:col>
      <xdr:colOff>561975</xdr:colOff>
      <xdr:row>31</xdr:row>
      <xdr:rowOff>123825</xdr:rowOff>
    </xdr:to>
    <xdr:sp macro="" textlink="">
      <xdr:nvSpPr>
        <xdr:cNvPr id="780122" name="Object 1" hidden="1">
          <a:extLst>
            <a:ext uri="{FF2B5EF4-FFF2-40B4-BE49-F238E27FC236}">
              <a16:creationId xmlns:a16="http://schemas.microsoft.com/office/drawing/2014/main" id="{00000000-0008-0000-0A00-00005AE70B00}"/>
            </a:ext>
          </a:extLst>
        </xdr:cNvPr>
        <xdr:cNvSpPr>
          <a:spLocks noChangeArrowheads="1"/>
        </xdr:cNvSpPr>
      </xdr:nvSpPr>
      <xdr:spPr bwMode="auto">
        <a:xfrm>
          <a:off x="1171575" y="5915025"/>
          <a:ext cx="15240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352425</xdr:colOff>
      <xdr:row>31</xdr:row>
      <xdr:rowOff>190500</xdr:rowOff>
    </xdr:from>
    <xdr:to>
      <xdr:col>1</xdr:col>
      <xdr:colOff>609600</xdr:colOff>
      <xdr:row>33</xdr:row>
      <xdr:rowOff>47625</xdr:rowOff>
    </xdr:to>
    <xdr:sp macro="" textlink="">
      <xdr:nvSpPr>
        <xdr:cNvPr id="780123" name="Object 2" hidden="1">
          <a:extLst>
            <a:ext uri="{FF2B5EF4-FFF2-40B4-BE49-F238E27FC236}">
              <a16:creationId xmlns:a16="http://schemas.microsoft.com/office/drawing/2014/main" id="{00000000-0008-0000-0A00-00005BE70B00}"/>
            </a:ext>
          </a:extLst>
        </xdr:cNvPr>
        <xdr:cNvSpPr>
          <a:spLocks noChangeArrowheads="1"/>
        </xdr:cNvSpPr>
      </xdr:nvSpPr>
      <xdr:spPr bwMode="auto">
        <a:xfrm>
          <a:off x="1114425" y="6115050"/>
          <a:ext cx="257175"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0</xdr:col>
      <xdr:colOff>0</xdr:colOff>
      <xdr:row>9</xdr:row>
      <xdr:rowOff>19050</xdr:rowOff>
    </xdr:from>
    <xdr:to>
      <xdr:col>11</xdr:col>
      <xdr:colOff>104780</xdr:colOff>
      <xdr:row>33</xdr:row>
      <xdr:rowOff>161925</xdr:rowOff>
    </xdr:to>
    <xdr:grpSp>
      <xdr:nvGrpSpPr>
        <xdr:cNvPr id="780124" name="Grupo 2">
          <a:extLst>
            <a:ext uri="{FF2B5EF4-FFF2-40B4-BE49-F238E27FC236}">
              <a16:creationId xmlns:a16="http://schemas.microsoft.com/office/drawing/2014/main" id="{00000000-0008-0000-0A00-00005CE70B00}"/>
            </a:ext>
          </a:extLst>
        </xdr:cNvPr>
        <xdr:cNvGrpSpPr>
          <a:grpSpLocks/>
        </xdr:cNvGrpSpPr>
      </xdr:nvGrpSpPr>
      <xdr:grpSpPr bwMode="auto">
        <a:xfrm>
          <a:off x="0" y="1752600"/>
          <a:ext cx="9086855" cy="4714875"/>
          <a:chOff x="216" y="1733550"/>
          <a:chExt cx="9069270" cy="4714875"/>
        </a:xfrm>
      </xdr:grpSpPr>
      <xdr:sp macro="" textlink="">
        <xdr:nvSpPr>
          <xdr:cNvPr id="2" name="Rectangle 3">
            <a:extLst>
              <a:ext uri="{FF2B5EF4-FFF2-40B4-BE49-F238E27FC236}">
                <a16:creationId xmlns:a16="http://schemas.microsoft.com/office/drawing/2014/main" id="{00000000-0008-0000-0A00-000002000000}"/>
              </a:ext>
            </a:extLst>
          </xdr:cNvPr>
          <xdr:cNvSpPr>
            <a:spLocks noChangeArrowheads="1"/>
          </xdr:cNvSpPr>
        </xdr:nvSpPr>
        <xdr:spPr bwMode="auto">
          <a:xfrm>
            <a:off x="2605021" y="3152775"/>
            <a:ext cx="133092" cy="371475"/>
          </a:xfrm>
          <a:prstGeom prst="rect">
            <a:avLst/>
          </a:prstGeom>
          <a:noFill/>
          <a:ln w="9525">
            <a:noFill/>
            <a:miter lim="800000"/>
            <a:headEnd/>
            <a:tailEnd/>
          </a:ln>
          <a:effectLst/>
        </xdr:spPr>
        <xdr:txBody>
          <a:bodyPr vertOverflow="clip" wrap="square" lIns="27432" tIns="18288" rIns="27432" bIns="0" anchor="t" upright="1"/>
          <a:lstStyle/>
          <a:p>
            <a:pPr algn="ctr" rtl="0">
              <a:defRPr sz="1000"/>
            </a:pPr>
            <a:endParaRPr lang="es-ES_tradnl" sz="800" b="0" i="0" strike="noStrike">
              <a:solidFill>
                <a:srgbClr val="000000"/>
              </a:solidFill>
              <a:latin typeface="Arial"/>
              <a:cs typeface="Arial"/>
            </a:endParaRPr>
          </a:p>
          <a:p>
            <a:pPr algn="ctr" rtl="0">
              <a:defRPr sz="1000"/>
            </a:pPr>
            <a:endParaRPr lang="es-ES_tradnl" sz="800" b="0" i="0" strike="noStrike">
              <a:solidFill>
                <a:srgbClr val="000000"/>
              </a:solidFill>
              <a:latin typeface="Arial"/>
              <a:cs typeface="Arial"/>
            </a:endParaRPr>
          </a:p>
        </xdr:txBody>
      </xdr:sp>
      <xdr:sp macro="" textlink="">
        <xdr:nvSpPr>
          <xdr:cNvPr id="780130" name="Rectangle 14">
            <a:extLst>
              <a:ext uri="{FF2B5EF4-FFF2-40B4-BE49-F238E27FC236}">
                <a16:creationId xmlns:a16="http://schemas.microsoft.com/office/drawing/2014/main" id="{00000000-0008-0000-0A00-000062E70B00}"/>
              </a:ext>
            </a:extLst>
          </xdr:cNvPr>
          <xdr:cNvSpPr>
            <a:spLocks noChangeArrowheads="1"/>
          </xdr:cNvSpPr>
        </xdr:nvSpPr>
        <xdr:spPr bwMode="auto">
          <a:xfrm flipH="1">
            <a:off x="2838450" y="3057525"/>
            <a:ext cx="19050" cy="9525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780131" name="Rectangle 85">
            <a:extLst>
              <a:ext uri="{FF2B5EF4-FFF2-40B4-BE49-F238E27FC236}">
                <a16:creationId xmlns:a16="http://schemas.microsoft.com/office/drawing/2014/main" id="{00000000-0008-0000-0A00-000063E70B00}"/>
              </a:ext>
            </a:extLst>
          </xdr:cNvPr>
          <xdr:cNvSpPr>
            <a:spLocks noChangeArrowheads="1"/>
          </xdr:cNvSpPr>
        </xdr:nvSpPr>
        <xdr:spPr bwMode="auto">
          <a:xfrm>
            <a:off x="5918200" y="2962275"/>
            <a:ext cx="95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sp macro="" textlink="">
        <xdr:nvSpPr>
          <xdr:cNvPr id="780132" name="Rectangle 87">
            <a:extLst>
              <a:ext uri="{FF2B5EF4-FFF2-40B4-BE49-F238E27FC236}">
                <a16:creationId xmlns:a16="http://schemas.microsoft.com/office/drawing/2014/main" id="{00000000-0008-0000-0A00-000064E70B00}"/>
              </a:ext>
            </a:extLst>
          </xdr:cNvPr>
          <xdr:cNvSpPr>
            <a:spLocks noChangeArrowheads="1"/>
          </xdr:cNvSpPr>
        </xdr:nvSpPr>
        <xdr:spPr bwMode="auto">
          <a:xfrm>
            <a:off x="5927725" y="3543300"/>
            <a:ext cx="0" cy="75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pic>
        <xdr:nvPicPr>
          <xdr:cNvPr id="780133" name="Picture 2">
            <a:extLst>
              <a:ext uri="{FF2B5EF4-FFF2-40B4-BE49-F238E27FC236}">
                <a16:creationId xmlns:a16="http://schemas.microsoft.com/office/drawing/2014/main" id="{00000000-0008-0000-0A00-000065E70B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14425" y="6096000"/>
            <a:ext cx="257175"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780134" name="8 Imagen">
            <a:extLst>
              <a:ext uri="{FF2B5EF4-FFF2-40B4-BE49-F238E27FC236}">
                <a16:creationId xmlns:a16="http://schemas.microsoft.com/office/drawing/2014/main" id="{00000000-0008-0000-0A00-000066E70B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r="13756"/>
          <a:stretch>
            <a:fillRect/>
          </a:stretch>
        </xdr:blipFill>
        <xdr:spPr bwMode="auto">
          <a:xfrm>
            <a:off x="216" y="1733550"/>
            <a:ext cx="6550025" cy="4714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10" name="9 CuadroTexto">
            <a:extLst>
              <a:ext uri="{FF2B5EF4-FFF2-40B4-BE49-F238E27FC236}">
                <a16:creationId xmlns:a16="http://schemas.microsoft.com/office/drawing/2014/main" id="{00000000-0008-0000-0A00-00000A000000}"/>
              </a:ext>
            </a:extLst>
          </xdr:cNvPr>
          <xdr:cNvSpPr txBox="1"/>
        </xdr:nvSpPr>
        <xdr:spPr>
          <a:xfrm>
            <a:off x="2766632" y="2619375"/>
            <a:ext cx="1901313" cy="3714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s-US" sz="1200" b="1">
                <a:solidFill>
                  <a:srgbClr val="FFFF00"/>
                </a:solidFill>
              </a:rPr>
              <a:t>LA FRONTERA PR 67+0700</a:t>
            </a:r>
          </a:p>
        </xdr:txBody>
      </xdr:sp>
      <xdr:sp macro="" textlink="">
        <xdr:nvSpPr>
          <xdr:cNvPr id="11" name="10 CuadroTexto">
            <a:extLst>
              <a:ext uri="{FF2B5EF4-FFF2-40B4-BE49-F238E27FC236}">
                <a16:creationId xmlns:a16="http://schemas.microsoft.com/office/drawing/2014/main" id="{00000000-0008-0000-0A00-00000B000000}"/>
              </a:ext>
            </a:extLst>
          </xdr:cNvPr>
          <xdr:cNvSpPr txBox="1"/>
        </xdr:nvSpPr>
        <xdr:spPr>
          <a:xfrm>
            <a:off x="209366" y="2000250"/>
            <a:ext cx="1663649" cy="3714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s-US" sz="1200" b="1">
                <a:solidFill>
                  <a:srgbClr val="FFFF00"/>
                </a:solidFill>
              </a:rPr>
              <a:t>LA UNIÓN PR 49+0000</a:t>
            </a:r>
          </a:p>
        </xdr:txBody>
      </xdr:sp>
      <xdr:sp macro="" textlink="">
        <xdr:nvSpPr>
          <xdr:cNvPr id="12" name="11 CuadroTexto">
            <a:extLst>
              <a:ext uri="{FF2B5EF4-FFF2-40B4-BE49-F238E27FC236}">
                <a16:creationId xmlns:a16="http://schemas.microsoft.com/office/drawing/2014/main" id="{00000000-0008-0000-0A00-00000C000000}"/>
              </a:ext>
            </a:extLst>
          </xdr:cNvPr>
          <xdr:cNvSpPr txBox="1"/>
        </xdr:nvSpPr>
        <xdr:spPr>
          <a:xfrm>
            <a:off x="2576501" y="5981700"/>
            <a:ext cx="1654143" cy="3619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s-US" sz="1200" b="1">
                <a:solidFill>
                  <a:srgbClr val="FFFF00"/>
                </a:solidFill>
              </a:rPr>
              <a:t>SONSÓN PR 103+0000</a:t>
            </a:r>
          </a:p>
        </xdr:txBody>
      </xdr:sp>
      <xdr:sp macro="" textlink="">
        <xdr:nvSpPr>
          <xdr:cNvPr id="13" name="12 CuadroTexto">
            <a:extLst>
              <a:ext uri="{FF2B5EF4-FFF2-40B4-BE49-F238E27FC236}">
                <a16:creationId xmlns:a16="http://schemas.microsoft.com/office/drawing/2014/main" id="{00000000-0008-0000-0A00-00000D000000}"/>
              </a:ext>
            </a:extLst>
          </xdr:cNvPr>
          <xdr:cNvSpPr txBox="1"/>
        </xdr:nvSpPr>
        <xdr:spPr>
          <a:xfrm>
            <a:off x="2006107" y="3228975"/>
            <a:ext cx="1216841" cy="3714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s-US" sz="1200" b="1">
                <a:solidFill>
                  <a:srgbClr val="FFFF00"/>
                </a:solidFill>
              </a:rPr>
              <a:t>MESOPOTAMIA</a:t>
            </a:r>
          </a:p>
        </xdr:txBody>
      </xdr:sp>
      <xdr:sp macro="" textlink="">
        <xdr:nvSpPr>
          <xdr:cNvPr id="14" name="13 Forma libre">
            <a:extLst>
              <a:ext uri="{FF2B5EF4-FFF2-40B4-BE49-F238E27FC236}">
                <a16:creationId xmlns:a16="http://schemas.microsoft.com/office/drawing/2014/main" id="{00000000-0008-0000-0A00-00000E000000}"/>
              </a:ext>
            </a:extLst>
          </xdr:cNvPr>
          <xdr:cNvSpPr/>
        </xdr:nvSpPr>
        <xdr:spPr>
          <a:xfrm>
            <a:off x="1217062" y="1838325"/>
            <a:ext cx="3032595" cy="4333875"/>
          </a:xfrm>
          <a:custGeom>
            <a:avLst/>
            <a:gdLst>
              <a:gd name="connsiteX0" fmla="*/ 0 w 2984500"/>
              <a:gd name="connsiteY0" fmla="*/ 52916 h 4572000"/>
              <a:gd name="connsiteX1" fmla="*/ 359833 w 2984500"/>
              <a:gd name="connsiteY1" fmla="*/ 52916 h 4572000"/>
              <a:gd name="connsiteX2" fmla="*/ 423333 w 2984500"/>
              <a:gd name="connsiteY2" fmla="*/ 31750 h 4572000"/>
              <a:gd name="connsiteX3" fmla="*/ 455083 w 2984500"/>
              <a:gd name="connsiteY3" fmla="*/ 21166 h 4572000"/>
              <a:gd name="connsiteX4" fmla="*/ 486833 w 2984500"/>
              <a:gd name="connsiteY4" fmla="*/ 0 h 4572000"/>
              <a:gd name="connsiteX5" fmla="*/ 571500 w 2984500"/>
              <a:gd name="connsiteY5" fmla="*/ 10583 h 4572000"/>
              <a:gd name="connsiteX6" fmla="*/ 592666 w 2984500"/>
              <a:gd name="connsiteY6" fmla="*/ 42333 h 4572000"/>
              <a:gd name="connsiteX7" fmla="*/ 624416 w 2984500"/>
              <a:gd name="connsiteY7" fmla="*/ 52916 h 4572000"/>
              <a:gd name="connsiteX8" fmla="*/ 687916 w 2984500"/>
              <a:gd name="connsiteY8" fmla="*/ 95250 h 4572000"/>
              <a:gd name="connsiteX9" fmla="*/ 804333 w 2984500"/>
              <a:gd name="connsiteY9" fmla="*/ 63500 h 4572000"/>
              <a:gd name="connsiteX10" fmla="*/ 910166 w 2984500"/>
              <a:gd name="connsiteY10" fmla="*/ 74083 h 4572000"/>
              <a:gd name="connsiteX11" fmla="*/ 931333 w 2984500"/>
              <a:gd name="connsiteY11" fmla="*/ 105833 h 4572000"/>
              <a:gd name="connsiteX12" fmla="*/ 1058333 w 2984500"/>
              <a:gd name="connsiteY12" fmla="*/ 169333 h 4572000"/>
              <a:gd name="connsiteX13" fmla="*/ 1153583 w 2984500"/>
              <a:gd name="connsiteY13" fmla="*/ 201083 h 4572000"/>
              <a:gd name="connsiteX14" fmla="*/ 1185333 w 2984500"/>
              <a:gd name="connsiteY14" fmla="*/ 211666 h 4572000"/>
              <a:gd name="connsiteX15" fmla="*/ 1217083 w 2984500"/>
              <a:gd name="connsiteY15" fmla="*/ 275166 h 4572000"/>
              <a:gd name="connsiteX16" fmla="*/ 1248833 w 2984500"/>
              <a:gd name="connsiteY16" fmla="*/ 285750 h 4572000"/>
              <a:gd name="connsiteX17" fmla="*/ 1280583 w 2984500"/>
              <a:gd name="connsiteY17" fmla="*/ 306916 h 4572000"/>
              <a:gd name="connsiteX18" fmla="*/ 1291166 w 2984500"/>
              <a:gd name="connsiteY18" fmla="*/ 338666 h 4572000"/>
              <a:gd name="connsiteX19" fmla="*/ 1322916 w 2984500"/>
              <a:gd name="connsiteY19" fmla="*/ 349250 h 4572000"/>
              <a:gd name="connsiteX20" fmla="*/ 1397000 w 2984500"/>
              <a:gd name="connsiteY20" fmla="*/ 381000 h 4572000"/>
              <a:gd name="connsiteX21" fmla="*/ 1428750 w 2984500"/>
              <a:gd name="connsiteY21" fmla="*/ 444500 h 4572000"/>
              <a:gd name="connsiteX22" fmla="*/ 1439333 w 2984500"/>
              <a:gd name="connsiteY22" fmla="*/ 476250 h 4572000"/>
              <a:gd name="connsiteX23" fmla="*/ 1428750 w 2984500"/>
              <a:gd name="connsiteY23" fmla="*/ 539750 h 4572000"/>
              <a:gd name="connsiteX24" fmla="*/ 1407583 w 2984500"/>
              <a:gd name="connsiteY24" fmla="*/ 571500 h 4572000"/>
              <a:gd name="connsiteX25" fmla="*/ 1397000 w 2984500"/>
              <a:gd name="connsiteY25" fmla="*/ 603250 h 4572000"/>
              <a:gd name="connsiteX26" fmla="*/ 1386416 w 2984500"/>
              <a:gd name="connsiteY26" fmla="*/ 677333 h 4572000"/>
              <a:gd name="connsiteX27" fmla="*/ 1407583 w 2984500"/>
              <a:gd name="connsiteY27" fmla="*/ 836083 h 4572000"/>
              <a:gd name="connsiteX28" fmla="*/ 1418166 w 2984500"/>
              <a:gd name="connsiteY28" fmla="*/ 878416 h 4572000"/>
              <a:gd name="connsiteX29" fmla="*/ 1439333 w 2984500"/>
              <a:gd name="connsiteY29" fmla="*/ 941916 h 4572000"/>
              <a:gd name="connsiteX30" fmla="*/ 1449916 w 2984500"/>
              <a:gd name="connsiteY30" fmla="*/ 973666 h 4572000"/>
              <a:gd name="connsiteX31" fmla="*/ 1471083 w 2984500"/>
              <a:gd name="connsiteY31" fmla="*/ 1005416 h 4572000"/>
              <a:gd name="connsiteX32" fmla="*/ 1481666 w 2984500"/>
              <a:gd name="connsiteY32" fmla="*/ 1037166 h 4572000"/>
              <a:gd name="connsiteX33" fmla="*/ 1524000 w 2984500"/>
              <a:gd name="connsiteY33" fmla="*/ 1100666 h 4572000"/>
              <a:gd name="connsiteX34" fmla="*/ 1534583 w 2984500"/>
              <a:gd name="connsiteY34" fmla="*/ 1132416 h 4572000"/>
              <a:gd name="connsiteX35" fmla="*/ 1598083 w 2984500"/>
              <a:gd name="connsiteY35" fmla="*/ 1111250 h 4572000"/>
              <a:gd name="connsiteX36" fmla="*/ 1651000 w 2984500"/>
              <a:gd name="connsiteY36" fmla="*/ 1153583 h 4572000"/>
              <a:gd name="connsiteX37" fmla="*/ 1714500 w 2984500"/>
              <a:gd name="connsiteY37" fmla="*/ 1185333 h 4572000"/>
              <a:gd name="connsiteX38" fmla="*/ 1746250 w 2984500"/>
              <a:gd name="connsiteY38" fmla="*/ 1206500 h 4572000"/>
              <a:gd name="connsiteX39" fmla="*/ 1809750 w 2984500"/>
              <a:gd name="connsiteY39" fmla="*/ 1227666 h 4572000"/>
              <a:gd name="connsiteX40" fmla="*/ 1852083 w 2984500"/>
              <a:gd name="connsiteY40" fmla="*/ 1270000 h 4572000"/>
              <a:gd name="connsiteX41" fmla="*/ 1873250 w 2984500"/>
              <a:gd name="connsiteY41" fmla="*/ 1301750 h 4572000"/>
              <a:gd name="connsiteX42" fmla="*/ 1905000 w 2984500"/>
              <a:gd name="connsiteY42" fmla="*/ 1322916 h 4572000"/>
              <a:gd name="connsiteX43" fmla="*/ 1926166 w 2984500"/>
              <a:gd name="connsiteY43" fmla="*/ 1354666 h 4572000"/>
              <a:gd name="connsiteX44" fmla="*/ 1957916 w 2984500"/>
              <a:gd name="connsiteY44" fmla="*/ 1365250 h 4572000"/>
              <a:gd name="connsiteX45" fmla="*/ 1968500 w 2984500"/>
              <a:gd name="connsiteY45" fmla="*/ 1397000 h 4572000"/>
              <a:gd name="connsiteX46" fmla="*/ 2000250 w 2984500"/>
              <a:gd name="connsiteY46" fmla="*/ 1418166 h 4572000"/>
              <a:gd name="connsiteX47" fmla="*/ 2042583 w 2984500"/>
              <a:gd name="connsiteY47" fmla="*/ 1481666 h 4572000"/>
              <a:gd name="connsiteX48" fmla="*/ 2074333 w 2984500"/>
              <a:gd name="connsiteY48" fmla="*/ 1545166 h 4572000"/>
              <a:gd name="connsiteX49" fmla="*/ 2084916 w 2984500"/>
              <a:gd name="connsiteY49" fmla="*/ 1576916 h 4572000"/>
              <a:gd name="connsiteX50" fmla="*/ 2116666 w 2984500"/>
              <a:gd name="connsiteY50" fmla="*/ 1598083 h 4572000"/>
              <a:gd name="connsiteX51" fmla="*/ 2137833 w 2984500"/>
              <a:gd name="connsiteY51" fmla="*/ 1629833 h 4572000"/>
              <a:gd name="connsiteX52" fmla="*/ 2169583 w 2984500"/>
              <a:gd name="connsiteY52" fmla="*/ 1693333 h 4572000"/>
              <a:gd name="connsiteX53" fmla="*/ 2180166 w 2984500"/>
              <a:gd name="connsiteY53" fmla="*/ 1725083 h 4572000"/>
              <a:gd name="connsiteX54" fmla="*/ 2190750 w 2984500"/>
              <a:gd name="connsiteY54" fmla="*/ 1862666 h 4572000"/>
              <a:gd name="connsiteX55" fmla="*/ 2211916 w 2984500"/>
              <a:gd name="connsiteY55" fmla="*/ 1894416 h 4572000"/>
              <a:gd name="connsiteX56" fmla="*/ 2233083 w 2984500"/>
              <a:gd name="connsiteY56" fmla="*/ 1957916 h 4572000"/>
              <a:gd name="connsiteX57" fmla="*/ 2264833 w 2984500"/>
              <a:gd name="connsiteY57" fmla="*/ 2169583 h 4572000"/>
              <a:gd name="connsiteX58" fmla="*/ 2264833 w 2984500"/>
              <a:gd name="connsiteY58" fmla="*/ 2169583 h 4572000"/>
              <a:gd name="connsiteX59" fmla="*/ 2275416 w 2984500"/>
              <a:gd name="connsiteY59" fmla="*/ 2233083 h 4572000"/>
              <a:gd name="connsiteX60" fmla="*/ 2317750 w 2984500"/>
              <a:gd name="connsiteY60" fmla="*/ 2296583 h 4572000"/>
              <a:gd name="connsiteX61" fmla="*/ 2328333 w 2984500"/>
              <a:gd name="connsiteY61" fmla="*/ 2328333 h 4572000"/>
              <a:gd name="connsiteX62" fmla="*/ 2286000 w 2984500"/>
              <a:gd name="connsiteY62" fmla="*/ 2391833 h 4572000"/>
              <a:gd name="connsiteX63" fmla="*/ 2317750 w 2984500"/>
              <a:gd name="connsiteY63" fmla="*/ 2614083 h 4572000"/>
              <a:gd name="connsiteX64" fmla="*/ 2328333 w 2984500"/>
              <a:gd name="connsiteY64" fmla="*/ 2645833 h 4572000"/>
              <a:gd name="connsiteX65" fmla="*/ 2338916 w 2984500"/>
              <a:gd name="connsiteY65" fmla="*/ 2677583 h 4572000"/>
              <a:gd name="connsiteX66" fmla="*/ 2370666 w 2984500"/>
              <a:gd name="connsiteY66" fmla="*/ 2688166 h 4572000"/>
              <a:gd name="connsiteX67" fmla="*/ 2391833 w 2984500"/>
              <a:gd name="connsiteY67" fmla="*/ 3058583 h 4572000"/>
              <a:gd name="connsiteX68" fmla="*/ 2413000 w 2984500"/>
              <a:gd name="connsiteY68" fmla="*/ 3122083 h 4572000"/>
              <a:gd name="connsiteX69" fmla="*/ 2455333 w 2984500"/>
              <a:gd name="connsiteY69" fmla="*/ 3164416 h 4572000"/>
              <a:gd name="connsiteX70" fmla="*/ 2487083 w 2984500"/>
              <a:gd name="connsiteY70" fmla="*/ 3196166 h 4572000"/>
              <a:gd name="connsiteX71" fmla="*/ 2550583 w 2984500"/>
              <a:gd name="connsiteY71" fmla="*/ 3217333 h 4572000"/>
              <a:gd name="connsiteX72" fmla="*/ 2825750 w 2984500"/>
              <a:gd name="connsiteY72" fmla="*/ 3206750 h 4572000"/>
              <a:gd name="connsiteX73" fmla="*/ 2889250 w 2984500"/>
              <a:gd name="connsiteY73" fmla="*/ 3217333 h 4572000"/>
              <a:gd name="connsiteX74" fmla="*/ 2878666 w 2984500"/>
              <a:gd name="connsiteY74" fmla="*/ 3280833 h 4572000"/>
              <a:gd name="connsiteX75" fmla="*/ 2815166 w 2984500"/>
              <a:gd name="connsiteY75" fmla="*/ 3312583 h 4572000"/>
              <a:gd name="connsiteX76" fmla="*/ 2794000 w 2984500"/>
              <a:gd name="connsiteY76" fmla="*/ 3344333 h 4572000"/>
              <a:gd name="connsiteX77" fmla="*/ 2762250 w 2984500"/>
              <a:gd name="connsiteY77" fmla="*/ 3365500 h 4572000"/>
              <a:gd name="connsiteX78" fmla="*/ 2751666 w 2984500"/>
              <a:gd name="connsiteY78" fmla="*/ 3397250 h 4572000"/>
              <a:gd name="connsiteX79" fmla="*/ 2762250 w 2984500"/>
              <a:gd name="connsiteY79" fmla="*/ 3492500 h 4572000"/>
              <a:gd name="connsiteX80" fmla="*/ 2783416 w 2984500"/>
              <a:gd name="connsiteY80" fmla="*/ 3556000 h 4572000"/>
              <a:gd name="connsiteX81" fmla="*/ 2794000 w 2984500"/>
              <a:gd name="connsiteY81" fmla="*/ 3598333 h 4572000"/>
              <a:gd name="connsiteX82" fmla="*/ 2804583 w 2984500"/>
              <a:gd name="connsiteY82" fmla="*/ 3873500 h 4572000"/>
              <a:gd name="connsiteX83" fmla="*/ 2846916 w 2984500"/>
              <a:gd name="connsiteY83" fmla="*/ 3937000 h 4572000"/>
              <a:gd name="connsiteX84" fmla="*/ 2868083 w 2984500"/>
              <a:gd name="connsiteY84" fmla="*/ 4000500 h 4572000"/>
              <a:gd name="connsiteX85" fmla="*/ 2878666 w 2984500"/>
              <a:gd name="connsiteY85" fmla="*/ 4032250 h 4572000"/>
              <a:gd name="connsiteX86" fmla="*/ 2889250 w 2984500"/>
              <a:gd name="connsiteY86" fmla="*/ 4064000 h 4572000"/>
              <a:gd name="connsiteX87" fmla="*/ 2899833 w 2984500"/>
              <a:gd name="connsiteY87" fmla="*/ 4307416 h 4572000"/>
              <a:gd name="connsiteX88" fmla="*/ 2921000 w 2984500"/>
              <a:gd name="connsiteY88" fmla="*/ 4370916 h 4572000"/>
              <a:gd name="connsiteX89" fmla="*/ 2931583 w 2984500"/>
              <a:gd name="connsiteY89" fmla="*/ 4402666 h 4572000"/>
              <a:gd name="connsiteX90" fmla="*/ 2952750 w 2984500"/>
              <a:gd name="connsiteY90" fmla="*/ 4476750 h 4572000"/>
              <a:gd name="connsiteX91" fmla="*/ 2973916 w 2984500"/>
              <a:gd name="connsiteY91" fmla="*/ 4540250 h 4572000"/>
              <a:gd name="connsiteX92" fmla="*/ 2984500 w 2984500"/>
              <a:gd name="connsiteY92" fmla="*/ 4572000 h 4572000"/>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 ang="0">
                <a:pos x="connsiteX32" y="connsiteY32"/>
              </a:cxn>
              <a:cxn ang="0">
                <a:pos x="connsiteX33" y="connsiteY33"/>
              </a:cxn>
              <a:cxn ang="0">
                <a:pos x="connsiteX34" y="connsiteY34"/>
              </a:cxn>
              <a:cxn ang="0">
                <a:pos x="connsiteX35" y="connsiteY35"/>
              </a:cxn>
              <a:cxn ang="0">
                <a:pos x="connsiteX36" y="connsiteY36"/>
              </a:cxn>
              <a:cxn ang="0">
                <a:pos x="connsiteX37" y="connsiteY37"/>
              </a:cxn>
              <a:cxn ang="0">
                <a:pos x="connsiteX38" y="connsiteY38"/>
              </a:cxn>
              <a:cxn ang="0">
                <a:pos x="connsiteX39" y="connsiteY39"/>
              </a:cxn>
              <a:cxn ang="0">
                <a:pos x="connsiteX40" y="connsiteY40"/>
              </a:cxn>
              <a:cxn ang="0">
                <a:pos x="connsiteX41" y="connsiteY41"/>
              </a:cxn>
              <a:cxn ang="0">
                <a:pos x="connsiteX42" y="connsiteY42"/>
              </a:cxn>
              <a:cxn ang="0">
                <a:pos x="connsiteX43" y="connsiteY43"/>
              </a:cxn>
              <a:cxn ang="0">
                <a:pos x="connsiteX44" y="connsiteY44"/>
              </a:cxn>
              <a:cxn ang="0">
                <a:pos x="connsiteX45" y="connsiteY45"/>
              </a:cxn>
              <a:cxn ang="0">
                <a:pos x="connsiteX46" y="connsiteY46"/>
              </a:cxn>
              <a:cxn ang="0">
                <a:pos x="connsiteX47" y="connsiteY47"/>
              </a:cxn>
              <a:cxn ang="0">
                <a:pos x="connsiteX48" y="connsiteY48"/>
              </a:cxn>
              <a:cxn ang="0">
                <a:pos x="connsiteX49" y="connsiteY49"/>
              </a:cxn>
              <a:cxn ang="0">
                <a:pos x="connsiteX50" y="connsiteY50"/>
              </a:cxn>
              <a:cxn ang="0">
                <a:pos x="connsiteX51" y="connsiteY51"/>
              </a:cxn>
              <a:cxn ang="0">
                <a:pos x="connsiteX52" y="connsiteY52"/>
              </a:cxn>
              <a:cxn ang="0">
                <a:pos x="connsiteX53" y="connsiteY53"/>
              </a:cxn>
              <a:cxn ang="0">
                <a:pos x="connsiteX54" y="connsiteY54"/>
              </a:cxn>
              <a:cxn ang="0">
                <a:pos x="connsiteX55" y="connsiteY55"/>
              </a:cxn>
              <a:cxn ang="0">
                <a:pos x="connsiteX56" y="connsiteY56"/>
              </a:cxn>
              <a:cxn ang="0">
                <a:pos x="connsiteX57" y="connsiteY57"/>
              </a:cxn>
              <a:cxn ang="0">
                <a:pos x="connsiteX58" y="connsiteY58"/>
              </a:cxn>
              <a:cxn ang="0">
                <a:pos x="connsiteX59" y="connsiteY59"/>
              </a:cxn>
              <a:cxn ang="0">
                <a:pos x="connsiteX60" y="connsiteY60"/>
              </a:cxn>
              <a:cxn ang="0">
                <a:pos x="connsiteX61" y="connsiteY61"/>
              </a:cxn>
              <a:cxn ang="0">
                <a:pos x="connsiteX62" y="connsiteY62"/>
              </a:cxn>
              <a:cxn ang="0">
                <a:pos x="connsiteX63" y="connsiteY63"/>
              </a:cxn>
              <a:cxn ang="0">
                <a:pos x="connsiteX64" y="connsiteY64"/>
              </a:cxn>
              <a:cxn ang="0">
                <a:pos x="connsiteX65" y="connsiteY65"/>
              </a:cxn>
              <a:cxn ang="0">
                <a:pos x="connsiteX66" y="connsiteY66"/>
              </a:cxn>
              <a:cxn ang="0">
                <a:pos x="connsiteX67" y="connsiteY67"/>
              </a:cxn>
              <a:cxn ang="0">
                <a:pos x="connsiteX68" y="connsiteY68"/>
              </a:cxn>
              <a:cxn ang="0">
                <a:pos x="connsiteX69" y="connsiteY69"/>
              </a:cxn>
              <a:cxn ang="0">
                <a:pos x="connsiteX70" y="connsiteY70"/>
              </a:cxn>
              <a:cxn ang="0">
                <a:pos x="connsiteX71" y="connsiteY71"/>
              </a:cxn>
              <a:cxn ang="0">
                <a:pos x="connsiteX72" y="connsiteY72"/>
              </a:cxn>
              <a:cxn ang="0">
                <a:pos x="connsiteX73" y="connsiteY73"/>
              </a:cxn>
              <a:cxn ang="0">
                <a:pos x="connsiteX74" y="connsiteY74"/>
              </a:cxn>
              <a:cxn ang="0">
                <a:pos x="connsiteX75" y="connsiteY75"/>
              </a:cxn>
              <a:cxn ang="0">
                <a:pos x="connsiteX76" y="connsiteY76"/>
              </a:cxn>
              <a:cxn ang="0">
                <a:pos x="connsiteX77" y="connsiteY77"/>
              </a:cxn>
              <a:cxn ang="0">
                <a:pos x="connsiteX78" y="connsiteY78"/>
              </a:cxn>
              <a:cxn ang="0">
                <a:pos x="connsiteX79" y="connsiteY79"/>
              </a:cxn>
              <a:cxn ang="0">
                <a:pos x="connsiteX80" y="connsiteY80"/>
              </a:cxn>
              <a:cxn ang="0">
                <a:pos x="connsiteX81" y="connsiteY81"/>
              </a:cxn>
              <a:cxn ang="0">
                <a:pos x="connsiteX82" y="connsiteY82"/>
              </a:cxn>
              <a:cxn ang="0">
                <a:pos x="connsiteX83" y="connsiteY83"/>
              </a:cxn>
              <a:cxn ang="0">
                <a:pos x="connsiteX84" y="connsiteY84"/>
              </a:cxn>
              <a:cxn ang="0">
                <a:pos x="connsiteX85" y="connsiteY85"/>
              </a:cxn>
              <a:cxn ang="0">
                <a:pos x="connsiteX86" y="connsiteY86"/>
              </a:cxn>
              <a:cxn ang="0">
                <a:pos x="connsiteX87" y="connsiteY87"/>
              </a:cxn>
              <a:cxn ang="0">
                <a:pos x="connsiteX88" y="connsiteY88"/>
              </a:cxn>
              <a:cxn ang="0">
                <a:pos x="connsiteX89" y="connsiteY89"/>
              </a:cxn>
              <a:cxn ang="0">
                <a:pos x="connsiteX90" y="connsiteY90"/>
              </a:cxn>
              <a:cxn ang="0">
                <a:pos x="connsiteX91" y="connsiteY91"/>
              </a:cxn>
              <a:cxn ang="0">
                <a:pos x="connsiteX92" y="connsiteY92"/>
              </a:cxn>
            </a:cxnLst>
            <a:rect l="l" t="t" r="r" b="b"/>
            <a:pathLst>
              <a:path w="2984500" h="4572000">
                <a:moveTo>
                  <a:pt x="0" y="52916"/>
                </a:moveTo>
                <a:cubicBezTo>
                  <a:pt x="155374" y="64869"/>
                  <a:pt x="182191" y="72654"/>
                  <a:pt x="359833" y="52916"/>
                </a:cubicBezTo>
                <a:cubicBezTo>
                  <a:pt x="382008" y="50452"/>
                  <a:pt x="402166" y="38806"/>
                  <a:pt x="423333" y="31750"/>
                </a:cubicBezTo>
                <a:cubicBezTo>
                  <a:pt x="433916" y="28222"/>
                  <a:pt x="445801" y="27354"/>
                  <a:pt x="455083" y="21166"/>
                </a:cubicBezTo>
                <a:lnTo>
                  <a:pt x="486833" y="0"/>
                </a:lnTo>
                <a:cubicBezTo>
                  <a:pt x="515055" y="3528"/>
                  <a:pt x="545092" y="20"/>
                  <a:pt x="571500" y="10583"/>
                </a:cubicBezTo>
                <a:cubicBezTo>
                  <a:pt x="583310" y="15307"/>
                  <a:pt x="582734" y="34387"/>
                  <a:pt x="592666" y="42333"/>
                </a:cubicBezTo>
                <a:cubicBezTo>
                  <a:pt x="601377" y="49302"/>
                  <a:pt x="613833" y="49388"/>
                  <a:pt x="624416" y="52916"/>
                </a:cubicBezTo>
                <a:cubicBezTo>
                  <a:pt x="645583" y="67027"/>
                  <a:pt x="663236" y="101420"/>
                  <a:pt x="687916" y="95250"/>
                </a:cubicBezTo>
                <a:cubicBezTo>
                  <a:pt x="783406" y="71377"/>
                  <a:pt x="744985" y="83282"/>
                  <a:pt x="804333" y="63500"/>
                </a:cubicBezTo>
                <a:cubicBezTo>
                  <a:pt x="839611" y="67028"/>
                  <a:pt x="876532" y="62872"/>
                  <a:pt x="910166" y="74083"/>
                </a:cubicBezTo>
                <a:cubicBezTo>
                  <a:pt x="922233" y="78105"/>
                  <a:pt x="921760" y="97457"/>
                  <a:pt x="931333" y="105833"/>
                </a:cubicBezTo>
                <a:cubicBezTo>
                  <a:pt x="981833" y="150020"/>
                  <a:pt x="998383" y="149350"/>
                  <a:pt x="1058333" y="169333"/>
                </a:cubicBezTo>
                <a:lnTo>
                  <a:pt x="1153583" y="201083"/>
                </a:lnTo>
                <a:lnTo>
                  <a:pt x="1185333" y="211666"/>
                </a:lnTo>
                <a:cubicBezTo>
                  <a:pt x="1192305" y="232583"/>
                  <a:pt x="1198431" y="260244"/>
                  <a:pt x="1217083" y="275166"/>
                </a:cubicBezTo>
                <a:cubicBezTo>
                  <a:pt x="1225794" y="282135"/>
                  <a:pt x="1238855" y="280761"/>
                  <a:pt x="1248833" y="285750"/>
                </a:cubicBezTo>
                <a:cubicBezTo>
                  <a:pt x="1260210" y="291438"/>
                  <a:pt x="1270000" y="299861"/>
                  <a:pt x="1280583" y="306916"/>
                </a:cubicBezTo>
                <a:cubicBezTo>
                  <a:pt x="1284111" y="317499"/>
                  <a:pt x="1283278" y="330778"/>
                  <a:pt x="1291166" y="338666"/>
                </a:cubicBezTo>
                <a:cubicBezTo>
                  <a:pt x="1299054" y="346554"/>
                  <a:pt x="1312938" y="344261"/>
                  <a:pt x="1322916" y="349250"/>
                </a:cubicBezTo>
                <a:cubicBezTo>
                  <a:pt x="1396002" y="385793"/>
                  <a:pt x="1308896" y="358973"/>
                  <a:pt x="1397000" y="381000"/>
                </a:cubicBezTo>
                <a:cubicBezTo>
                  <a:pt x="1423601" y="460804"/>
                  <a:pt x="1387718" y="362436"/>
                  <a:pt x="1428750" y="444500"/>
                </a:cubicBezTo>
                <a:cubicBezTo>
                  <a:pt x="1433739" y="454478"/>
                  <a:pt x="1435805" y="465667"/>
                  <a:pt x="1439333" y="476250"/>
                </a:cubicBezTo>
                <a:cubicBezTo>
                  <a:pt x="1435805" y="497417"/>
                  <a:pt x="1435536" y="519393"/>
                  <a:pt x="1428750" y="539750"/>
                </a:cubicBezTo>
                <a:cubicBezTo>
                  <a:pt x="1424728" y="551817"/>
                  <a:pt x="1413271" y="560123"/>
                  <a:pt x="1407583" y="571500"/>
                </a:cubicBezTo>
                <a:cubicBezTo>
                  <a:pt x="1402594" y="581478"/>
                  <a:pt x="1400528" y="592667"/>
                  <a:pt x="1397000" y="603250"/>
                </a:cubicBezTo>
                <a:cubicBezTo>
                  <a:pt x="1393472" y="627944"/>
                  <a:pt x="1386416" y="652388"/>
                  <a:pt x="1386416" y="677333"/>
                </a:cubicBezTo>
                <a:cubicBezTo>
                  <a:pt x="1386416" y="820888"/>
                  <a:pt x="1386590" y="762605"/>
                  <a:pt x="1407583" y="836083"/>
                </a:cubicBezTo>
                <a:cubicBezTo>
                  <a:pt x="1411579" y="850069"/>
                  <a:pt x="1413986" y="864484"/>
                  <a:pt x="1418166" y="878416"/>
                </a:cubicBezTo>
                <a:cubicBezTo>
                  <a:pt x="1424577" y="899787"/>
                  <a:pt x="1432277" y="920749"/>
                  <a:pt x="1439333" y="941916"/>
                </a:cubicBezTo>
                <a:lnTo>
                  <a:pt x="1449916" y="973666"/>
                </a:lnTo>
                <a:cubicBezTo>
                  <a:pt x="1453938" y="985733"/>
                  <a:pt x="1464027" y="994833"/>
                  <a:pt x="1471083" y="1005416"/>
                </a:cubicBezTo>
                <a:cubicBezTo>
                  <a:pt x="1474611" y="1015999"/>
                  <a:pt x="1476248" y="1027414"/>
                  <a:pt x="1481666" y="1037166"/>
                </a:cubicBezTo>
                <a:cubicBezTo>
                  <a:pt x="1494020" y="1059404"/>
                  <a:pt x="1524000" y="1100666"/>
                  <a:pt x="1524000" y="1100666"/>
                </a:cubicBezTo>
                <a:cubicBezTo>
                  <a:pt x="1527528" y="1111249"/>
                  <a:pt x="1523539" y="1130838"/>
                  <a:pt x="1534583" y="1132416"/>
                </a:cubicBezTo>
                <a:cubicBezTo>
                  <a:pt x="1556670" y="1135572"/>
                  <a:pt x="1598083" y="1111250"/>
                  <a:pt x="1598083" y="1111250"/>
                </a:cubicBezTo>
                <a:cubicBezTo>
                  <a:pt x="1659893" y="1131853"/>
                  <a:pt x="1603130" y="1105713"/>
                  <a:pt x="1651000" y="1153583"/>
                </a:cubicBezTo>
                <a:cubicBezTo>
                  <a:pt x="1671517" y="1174100"/>
                  <a:pt x="1688676" y="1176725"/>
                  <a:pt x="1714500" y="1185333"/>
                </a:cubicBezTo>
                <a:cubicBezTo>
                  <a:pt x="1725083" y="1192389"/>
                  <a:pt x="1734627" y="1201334"/>
                  <a:pt x="1746250" y="1206500"/>
                </a:cubicBezTo>
                <a:cubicBezTo>
                  <a:pt x="1766639" y="1215562"/>
                  <a:pt x="1809750" y="1227666"/>
                  <a:pt x="1809750" y="1227666"/>
                </a:cubicBezTo>
                <a:cubicBezTo>
                  <a:pt x="1832840" y="1296938"/>
                  <a:pt x="1800771" y="1228950"/>
                  <a:pt x="1852083" y="1270000"/>
                </a:cubicBezTo>
                <a:cubicBezTo>
                  <a:pt x="1862015" y="1277946"/>
                  <a:pt x="1864256" y="1292756"/>
                  <a:pt x="1873250" y="1301750"/>
                </a:cubicBezTo>
                <a:cubicBezTo>
                  <a:pt x="1882244" y="1310744"/>
                  <a:pt x="1894417" y="1315861"/>
                  <a:pt x="1905000" y="1322916"/>
                </a:cubicBezTo>
                <a:cubicBezTo>
                  <a:pt x="1912055" y="1333499"/>
                  <a:pt x="1916234" y="1346720"/>
                  <a:pt x="1926166" y="1354666"/>
                </a:cubicBezTo>
                <a:cubicBezTo>
                  <a:pt x="1934877" y="1361635"/>
                  <a:pt x="1950028" y="1357362"/>
                  <a:pt x="1957916" y="1365250"/>
                </a:cubicBezTo>
                <a:cubicBezTo>
                  <a:pt x="1965804" y="1373138"/>
                  <a:pt x="1961531" y="1388289"/>
                  <a:pt x="1968500" y="1397000"/>
                </a:cubicBezTo>
                <a:cubicBezTo>
                  <a:pt x="1976446" y="1406932"/>
                  <a:pt x="1989667" y="1411111"/>
                  <a:pt x="2000250" y="1418166"/>
                </a:cubicBezTo>
                <a:cubicBezTo>
                  <a:pt x="2014361" y="1439333"/>
                  <a:pt x="2034539" y="1457532"/>
                  <a:pt x="2042583" y="1481666"/>
                </a:cubicBezTo>
                <a:cubicBezTo>
                  <a:pt x="2057188" y="1525483"/>
                  <a:pt x="2046978" y="1504134"/>
                  <a:pt x="2074333" y="1545166"/>
                </a:cubicBezTo>
                <a:cubicBezTo>
                  <a:pt x="2077861" y="1555749"/>
                  <a:pt x="2077947" y="1568205"/>
                  <a:pt x="2084916" y="1576916"/>
                </a:cubicBezTo>
                <a:cubicBezTo>
                  <a:pt x="2092862" y="1586848"/>
                  <a:pt x="2107672" y="1589089"/>
                  <a:pt x="2116666" y="1598083"/>
                </a:cubicBezTo>
                <a:cubicBezTo>
                  <a:pt x="2125660" y="1607077"/>
                  <a:pt x="2130777" y="1619250"/>
                  <a:pt x="2137833" y="1629833"/>
                </a:cubicBezTo>
                <a:cubicBezTo>
                  <a:pt x="2164434" y="1709637"/>
                  <a:pt x="2128551" y="1611269"/>
                  <a:pt x="2169583" y="1693333"/>
                </a:cubicBezTo>
                <a:cubicBezTo>
                  <a:pt x="2174572" y="1703311"/>
                  <a:pt x="2176638" y="1714500"/>
                  <a:pt x="2180166" y="1725083"/>
                </a:cubicBezTo>
                <a:cubicBezTo>
                  <a:pt x="2183694" y="1770944"/>
                  <a:pt x="2182273" y="1817457"/>
                  <a:pt x="2190750" y="1862666"/>
                </a:cubicBezTo>
                <a:cubicBezTo>
                  <a:pt x="2193094" y="1875168"/>
                  <a:pt x="2206750" y="1882793"/>
                  <a:pt x="2211916" y="1894416"/>
                </a:cubicBezTo>
                <a:cubicBezTo>
                  <a:pt x="2220978" y="1914805"/>
                  <a:pt x="2233083" y="1957916"/>
                  <a:pt x="2233083" y="1957916"/>
                </a:cubicBezTo>
                <a:cubicBezTo>
                  <a:pt x="2245256" y="2128338"/>
                  <a:pt x="2228008" y="2059109"/>
                  <a:pt x="2264833" y="2169583"/>
                </a:cubicBezTo>
                <a:lnTo>
                  <a:pt x="2264833" y="2169583"/>
                </a:lnTo>
                <a:cubicBezTo>
                  <a:pt x="2268361" y="2190750"/>
                  <a:pt x="2267163" y="2213275"/>
                  <a:pt x="2275416" y="2233083"/>
                </a:cubicBezTo>
                <a:cubicBezTo>
                  <a:pt x="2285200" y="2256565"/>
                  <a:pt x="2317750" y="2296583"/>
                  <a:pt x="2317750" y="2296583"/>
                </a:cubicBezTo>
                <a:cubicBezTo>
                  <a:pt x="2321278" y="2307166"/>
                  <a:pt x="2328333" y="2317177"/>
                  <a:pt x="2328333" y="2328333"/>
                </a:cubicBezTo>
                <a:cubicBezTo>
                  <a:pt x="2328333" y="2358966"/>
                  <a:pt x="2305090" y="2372743"/>
                  <a:pt x="2286000" y="2391833"/>
                </a:cubicBezTo>
                <a:cubicBezTo>
                  <a:pt x="2298067" y="2572851"/>
                  <a:pt x="2279812" y="2500268"/>
                  <a:pt x="2317750" y="2614083"/>
                </a:cubicBezTo>
                <a:lnTo>
                  <a:pt x="2328333" y="2645833"/>
                </a:lnTo>
                <a:cubicBezTo>
                  <a:pt x="2331861" y="2656416"/>
                  <a:pt x="2328333" y="2674055"/>
                  <a:pt x="2338916" y="2677583"/>
                </a:cubicBezTo>
                <a:lnTo>
                  <a:pt x="2370666" y="2688166"/>
                </a:lnTo>
                <a:cubicBezTo>
                  <a:pt x="2419128" y="2833542"/>
                  <a:pt x="2359038" y="2643179"/>
                  <a:pt x="2391833" y="3058583"/>
                </a:cubicBezTo>
                <a:cubicBezTo>
                  <a:pt x="2393589" y="3080825"/>
                  <a:pt x="2405944" y="3100916"/>
                  <a:pt x="2413000" y="3122083"/>
                </a:cubicBezTo>
                <a:cubicBezTo>
                  <a:pt x="2427111" y="3164416"/>
                  <a:pt x="2412999" y="3150305"/>
                  <a:pt x="2455333" y="3164416"/>
                </a:cubicBezTo>
                <a:cubicBezTo>
                  <a:pt x="2465916" y="3174999"/>
                  <a:pt x="2473999" y="3188897"/>
                  <a:pt x="2487083" y="3196166"/>
                </a:cubicBezTo>
                <a:cubicBezTo>
                  <a:pt x="2506587" y="3207002"/>
                  <a:pt x="2550583" y="3217333"/>
                  <a:pt x="2550583" y="3217333"/>
                </a:cubicBezTo>
                <a:cubicBezTo>
                  <a:pt x="2642305" y="3213805"/>
                  <a:pt x="2733960" y="3206750"/>
                  <a:pt x="2825750" y="3206750"/>
                </a:cubicBezTo>
                <a:cubicBezTo>
                  <a:pt x="2847209" y="3206750"/>
                  <a:pt x="2876777" y="3199871"/>
                  <a:pt x="2889250" y="3217333"/>
                </a:cubicBezTo>
                <a:cubicBezTo>
                  <a:pt x="2901723" y="3234795"/>
                  <a:pt x="2888263" y="3261640"/>
                  <a:pt x="2878666" y="3280833"/>
                </a:cubicBezTo>
                <a:cubicBezTo>
                  <a:pt x="2870459" y="3297247"/>
                  <a:pt x="2830194" y="3307574"/>
                  <a:pt x="2815166" y="3312583"/>
                </a:cubicBezTo>
                <a:cubicBezTo>
                  <a:pt x="2808111" y="3323166"/>
                  <a:pt x="2802994" y="3335339"/>
                  <a:pt x="2794000" y="3344333"/>
                </a:cubicBezTo>
                <a:cubicBezTo>
                  <a:pt x="2785006" y="3353327"/>
                  <a:pt x="2770196" y="3355568"/>
                  <a:pt x="2762250" y="3365500"/>
                </a:cubicBezTo>
                <a:cubicBezTo>
                  <a:pt x="2755281" y="3374211"/>
                  <a:pt x="2755194" y="3386667"/>
                  <a:pt x="2751666" y="3397250"/>
                </a:cubicBezTo>
                <a:cubicBezTo>
                  <a:pt x="2755194" y="3429000"/>
                  <a:pt x="2755985" y="3461175"/>
                  <a:pt x="2762250" y="3492500"/>
                </a:cubicBezTo>
                <a:cubicBezTo>
                  <a:pt x="2766626" y="3514378"/>
                  <a:pt x="2776361" y="3534833"/>
                  <a:pt x="2783416" y="3556000"/>
                </a:cubicBezTo>
                <a:cubicBezTo>
                  <a:pt x="2788016" y="3569799"/>
                  <a:pt x="2790472" y="3584222"/>
                  <a:pt x="2794000" y="3598333"/>
                </a:cubicBezTo>
                <a:cubicBezTo>
                  <a:pt x="2797528" y="3690055"/>
                  <a:pt x="2790413" y="3782810"/>
                  <a:pt x="2804583" y="3873500"/>
                </a:cubicBezTo>
                <a:cubicBezTo>
                  <a:pt x="2808510" y="3898634"/>
                  <a:pt x="2832805" y="3915833"/>
                  <a:pt x="2846916" y="3937000"/>
                </a:cubicBezTo>
                <a:cubicBezTo>
                  <a:pt x="2859292" y="3955564"/>
                  <a:pt x="2861027" y="3979333"/>
                  <a:pt x="2868083" y="4000500"/>
                </a:cubicBezTo>
                <a:lnTo>
                  <a:pt x="2878666" y="4032250"/>
                </a:lnTo>
                <a:lnTo>
                  <a:pt x="2889250" y="4064000"/>
                </a:lnTo>
                <a:cubicBezTo>
                  <a:pt x="2892778" y="4145139"/>
                  <a:pt x="2891476" y="4226632"/>
                  <a:pt x="2899833" y="4307416"/>
                </a:cubicBezTo>
                <a:cubicBezTo>
                  <a:pt x="2902129" y="4329609"/>
                  <a:pt x="2913944" y="4349749"/>
                  <a:pt x="2921000" y="4370916"/>
                </a:cubicBezTo>
                <a:lnTo>
                  <a:pt x="2931583" y="4402666"/>
                </a:lnTo>
                <a:cubicBezTo>
                  <a:pt x="2967149" y="4509367"/>
                  <a:pt x="2912883" y="4343860"/>
                  <a:pt x="2952750" y="4476750"/>
                </a:cubicBezTo>
                <a:cubicBezTo>
                  <a:pt x="2959161" y="4498121"/>
                  <a:pt x="2966860" y="4519083"/>
                  <a:pt x="2973916" y="4540250"/>
                </a:cubicBezTo>
                <a:lnTo>
                  <a:pt x="2984500" y="4572000"/>
                </a:lnTo>
              </a:path>
            </a:pathLst>
          </a:custGeom>
          <a:ln w="34925">
            <a:solidFill>
              <a:srgbClr val="FFFF00"/>
            </a:solidFill>
          </a:ln>
        </xdr:spPr>
        <xdr:style>
          <a:lnRef idx="1">
            <a:schemeClr val="accent1"/>
          </a:lnRef>
          <a:fillRef idx="0">
            <a:schemeClr val="accent1"/>
          </a:fillRef>
          <a:effectRef idx="0">
            <a:schemeClr val="accent1"/>
          </a:effectRef>
          <a:fontRef idx="minor">
            <a:schemeClr val="tx1"/>
          </a:fontRef>
        </xdr:style>
        <xdr:txBody>
          <a:bodyPr vertOverflow="clip" rtlCol="0" anchor="ctr"/>
          <a:lstStyle/>
          <a:p>
            <a:endParaRPr lang="es-CO"/>
          </a:p>
        </xdr:txBody>
      </xdr:sp>
      <xdr:sp macro="" textlink="">
        <xdr:nvSpPr>
          <xdr:cNvPr id="15" name="14 Explosión 1">
            <a:extLst>
              <a:ext uri="{FF2B5EF4-FFF2-40B4-BE49-F238E27FC236}">
                <a16:creationId xmlns:a16="http://schemas.microsoft.com/office/drawing/2014/main" id="{00000000-0008-0000-0A00-00000F000000}"/>
              </a:ext>
            </a:extLst>
          </xdr:cNvPr>
          <xdr:cNvSpPr/>
        </xdr:nvSpPr>
        <xdr:spPr>
          <a:xfrm>
            <a:off x="1055450" y="1771650"/>
            <a:ext cx="228158" cy="200025"/>
          </a:xfrm>
          <a:prstGeom prst="irregularSeal1">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es-CO"/>
          </a:p>
        </xdr:txBody>
      </xdr:sp>
      <xdr:sp macro="" textlink="">
        <xdr:nvSpPr>
          <xdr:cNvPr id="16" name="15 Explosión 1">
            <a:extLst>
              <a:ext uri="{FF2B5EF4-FFF2-40B4-BE49-F238E27FC236}">
                <a16:creationId xmlns:a16="http://schemas.microsoft.com/office/drawing/2014/main" id="{00000000-0008-0000-0A00-000010000000}"/>
              </a:ext>
            </a:extLst>
          </xdr:cNvPr>
          <xdr:cNvSpPr/>
        </xdr:nvSpPr>
        <xdr:spPr>
          <a:xfrm>
            <a:off x="2662060" y="3038475"/>
            <a:ext cx="218651" cy="200025"/>
          </a:xfrm>
          <a:prstGeom prst="irregularSeal1">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es-CO"/>
          </a:p>
        </xdr:txBody>
      </xdr:sp>
      <xdr:sp macro="" textlink="">
        <xdr:nvSpPr>
          <xdr:cNvPr id="17" name="16 Explosión 1">
            <a:extLst>
              <a:ext uri="{FF2B5EF4-FFF2-40B4-BE49-F238E27FC236}">
                <a16:creationId xmlns:a16="http://schemas.microsoft.com/office/drawing/2014/main" id="{00000000-0008-0000-0A00-000011000000}"/>
              </a:ext>
            </a:extLst>
          </xdr:cNvPr>
          <xdr:cNvSpPr/>
        </xdr:nvSpPr>
        <xdr:spPr>
          <a:xfrm>
            <a:off x="4135578" y="6115050"/>
            <a:ext cx="218651" cy="200025"/>
          </a:xfrm>
          <a:prstGeom prst="irregularSeal1">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es-CO"/>
          </a:p>
        </xdr:txBody>
      </xdr:sp>
      <xdr:sp macro="" textlink="">
        <xdr:nvSpPr>
          <xdr:cNvPr id="18" name="17 Forma libre">
            <a:extLst>
              <a:ext uri="{FF2B5EF4-FFF2-40B4-BE49-F238E27FC236}">
                <a16:creationId xmlns:a16="http://schemas.microsoft.com/office/drawing/2014/main" id="{00000000-0008-0000-0A00-000012000000}"/>
              </a:ext>
            </a:extLst>
          </xdr:cNvPr>
          <xdr:cNvSpPr/>
        </xdr:nvSpPr>
        <xdr:spPr>
          <a:xfrm>
            <a:off x="2776139" y="2933700"/>
            <a:ext cx="0" cy="114300"/>
          </a:xfrm>
          <a:custGeom>
            <a:avLst/>
            <a:gdLst>
              <a:gd name="connsiteX0" fmla="*/ 0 w 0"/>
              <a:gd name="connsiteY0" fmla="*/ 0 h 116417"/>
              <a:gd name="connsiteX1" fmla="*/ 0 w 0"/>
              <a:gd name="connsiteY1" fmla="*/ 116417 h 116417"/>
            </a:gdLst>
            <a:ahLst/>
            <a:cxnLst>
              <a:cxn ang="0">
                <a:pos x="connsiteX0" y="connsiteY0"/>
              </a:cxn>
              <a:cxn ang="0">
                <a:pos x="connsiteX1" y="connsiteY1"/>
              </a:cxn>
            </a:cxnLst>
            <a:rect l="l" t="t" r="r" b="b"/>
            <a:pathLst>
              <a:path h="116417">
                <a:moveTo>
                  <a:pt x="0" y="0"/>
                </a:moveTo>
                <a:lnTo>
                  <a:pt x="0" y="116417"/>
                </a:lnTo>
              </a:path>
            </a:pathLst>
          </a:custGeom>
          <a:ln w="25400">
            <a:solidFill>
              <a:srgbClr val="FFFF00"/>
            </a:solidFill>
          </a:ln>
        </xdr:spPr>
        <xdr:style>
          <a:lnRef idx="1">
            <a:schemeClr val="accent1"/>
          </a:lnRef>
          <a:fillRef idx="0">
            <a:schemeClr val="accent1"/>
          </a:fillRef>
          <a:effectRef idx="0">
            <a:schemeClr val="accent1"/>
          </a:effectRef>
          <a:fontRef idx="minor">
            <a:schemeClr val="tx1"/>
          </a:fontRef>
        </xdr:style>
        <xdr:txBody>
          <a:bodyPr vertOverflow="clip" rtlCol="0" anchor="ctr"/>
          <a:lstStyle/>
          <a:p>
            <a:endParaRPr lang="es-CO"/>
          </a:p>
        </xdr:txBody>
      </xdr:sp>
      <xdr:sp macro="" textlink="">
        <xdr:nvSpPr>
          <xdr:cNvPr id="19" name="18 Explosión 1">
            <a:extLst>
              <a:ext uri="{FF2B5EF4-FFF2-40B4-BE49-F238E27FC236}">
                <a16:creationId xmlns:a16="http://schemas.microsoft.com/office/drawing/2014/main" id="{00000000-0008-0000-0A00-000013000000}"/>
              </a:ext>
            </a:extLst>
          </xdr:cNvPr>
          <xdr:cNvSpPr/>
        </xdr:nvSpPr>
        <xdr:spPr>
          <a:xfrm>
            <a:off x="2700086" y="2800350"/>
            <a:ext cx="180625" cy="142875"/>
          </a:xfrm>
          <a:prstGeom prst="irregularSeal1">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es-CO"/>
          </a:p>
        </xdr:txBody>
      </xdr:sp>
      <xdr:sp macro="" textlink="">
        <xdr:nvSpPr>
          <xdr:cNvPr id="23" name="147 Triángulo isósceles">
            <a:extLst>
              <a:ext uri="{FF2B5EF4-FFF2-40B4-BE49-F238E27FC236}">
                <a16:creationId xmlns:a16="http://schemas.microsoft.com/office/drawing/2014/main" id="{00000000-0008-0000-0A00-000017000000}"/>
              </a:ext>
            </a:extLst>
          </xdr:cNvPr>
          <xdr:cNvSpPr>
            <a:spLocks noChangeArrowheads="1"/>
          </xdr:cNvSpPr>
        </xdr:nvSpPr>
        <xdr:spPr bwMode="auto">
          <a:xfrm>
            <a:off x="3479625" y="3771900"/>
            <a:ext cx="152105" cy="66675"/>
          </a:xfrm>
          <a:prstGeom prst="triangle">
            <a:avLst>
              <a:gd name="adj" fmla="val 50000"/>
            </a:avLst>
          </a:prstGeom>
          <a:solidFill>
            <a:srgbClr val="FF0000"/>
          </a:solidFill>
          <a:ln w="9525" algn="ctr">
            <a:solidFill>
              <a:srgbClr val="00FF00"/>
            </a:solidFill>
            <a:round/>
            <a:headEnd/>
            <a:tailEnd/>
          </a:ln>
          <a:scene3d>
            <a:camera prst="orthographicFront">
              <a:rot lat="0" lon="0" rev="5400000"/>
            </a:camera>
            <a:lightRig rig="threePt" dir="t"/>
          </a:scene3d>
        </xdr:spPr>
        <xdr:txBody>
          <a:bodyPr/>
          <a:lstStyle/>
          <a:p>
            <a:endParaRPr lang="es-CO"/>
          </a:p>
        </xdr:txBody>
      </xdr:sp>
      <xdr:sp macro="" textlink="">
        <xdr:nvSpPr>
          <xdr:cNvPr id="25" name="24 CuadroTexto">
            <a:extLst>
              <a:ext uri="{FF2B5EF4-FFF2-40B4-BE49-F238E27FC236}">
                <a16:creationId xmlns:a16="http://schemas.microsoft.com/office/drawing/2014/main" id="{00000000-0008-0000-0A00-000019000000}"/>
              </a:ext>
            </a:extLst>
          </xdr:cNvPr>
          <xdr:cNvSpPr txBox="1"/>
        </xdr:nvSpPr>
        <xdr:spPr>
          <a:xfrm>
            <a:off x="8299454" y="2038350"/>
            <a:ext cx="770032" cy="4191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s-US" sz="900">
                <a:solidFill>
                  <a:schemeClr val="bg1"/>
                </a:solidFill>
              </a:rPr>
              <a:t>          </a:t>
            </a:r>
            <a:r>
              <a:rPr lang="es-US" sz="800">
                <a:solidFill>
                  <a:schemeClr val="bg1"/>
                </a:solidFill>
              </a:rPr>
              <a:t> 1</a:t>
            </a:r>
          </a:p>
          <a:p>
            <a:r>
              <a:rPr lang="es-US" sz="800">
                <a:solidFill>
                  <a:schemeClr val="bg1"/>
                </a:solidFill>
              </a:rPr>
              <a:t>  PR59+0260</a:t>
            </a:r>
          </a:p>
        </xdr:txBody>
      </xdr:sp>
      <xdr:sp macro="" textlink="">
        <xdr:nvSpPr>
          <xdr:cNvPr id="26" name="25 CuadroTexto">
            <a:extLst>
              <a:ext uri="{FF2B5EF4-FFF2-40B4-BE49-F238E27FC236}">
                <a16:creationId xmlns:a16="http://schemas.microsoft.com/office/drawing/2014/main" id="{00000000-0008-0000-0A00-00001A000000}"/>
              </a:ext>
            </a:extLst>
          </xdr:cNvPr>
          <xdr:cNvSpPr txBox="1"/>
        </xdr:nvSpPr>
        <xdr:spPr>
          <a:xfrm>
            <a:off x="2947257" y="2733675"/>
            <a:ext cx="760525" cy="4191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s-US" sz="900">
                <a:solidFill>
                  <a:schemeClr val="bg1"/>
                </a:solidFill>
              </a:rPr>
              <a:t>   </a:t>
            </a:r>
            <a:r>
              <a:rPr lang="es-US" sz="800">
                <a:solidFill>
                  <a:schemeClr val="bg1"/>
                </a:solidFill>
              </a:rPr>
              <a:t>1</a:t>
            </a:r>
          </a:p>
          <a:p>
            <a:r>
              <a:rPr lang="es-US" sz="800">
                <a:solidFill>
                  <a:schemeClr val="bg1"/>
                </a:solidFill>
              </a:rPr>
              <a:t>  PR70+0080</a:t>
            </a:r>
          </a:p>
        </xdr:txBody>
      </xdr:sp>
      <xdr:sp macro="" textlink="">
        <xdr:nvSpPr>
          <xdr:cNvPr id="27" name="147 Triángulo isósceles">
            <a:extLst>
              <a:ext uri="{FF2B5EF4-FFF2-40B4-BE49-F238E27FC236}">
                <a16:creationId xmlns:a16="http://schemas.microsoft.com/office/drawing/2014/main" id="{00000000-0008-0000-0A00-00001B000000}"/>
              </a:ext>
            </a:extLst>
          </xdr:cNvPr>
          <xdr:cNvSpPr>
            <a:spLocks noChangeArrowheads="1"/>
          </xdr:cNvSpPr>
        </xdr:nvSpPr>
        <xdr:spPr bwMode="auto">
          <a:xfrm>
            <a:off x="2947257" y="2905125"/>
            <a:ext cx="152105" cy="66675"/>
          </a:xfrm>
          <a:prstGeom prst="triangle">
            <a:avLst>
              <a:gd name="adj" fmla="val 50000"/>
            </a:avLst>
          </a:prstGeom>
          <a:solidFill>
            <a:srgbClr val="FF0000"/>
          </a:solidFill>
          <a:ln w="9525" algn="ctr">
            <a:solidFill>
              <a:srgbClr val="00FF00"/>
            </a:solidFill>
            <a:round/>
            <a:headEnd/>
            <a:tailEnd/>
          </a:ln>
          <a:scene3d>
            <a:camera prst="orthographicFront">
              <a:rot lat="0" lon="0" rev="5400000"/>
            </a:camera>
            <a:lightRig rig="threePt" dir="t"/>
          </a:scene3d>
        </xdr:spPr>
        <xdr:txBody>
          <a:bodyPr/>
          <a:lstStyle/>
          <a:p>
            <a:endParaRPr lang="es-CO"/>
          </a:p>
        </xdr:txBody>
      </xdr:sp>
      <xdr:sp macro="" textlink="">
        <xdr:nvSpPr>
          <xdr:cNvPr id="28" name="147 Triángulo isósceles">
            <a:extLst>
              <a:ext uri="{FF2B5EF4-FFF2-40B4-BE49-F238E27FC236}">
                <a16:creationId xmlns:a16="http://schemas.microsoft.com/office/drawing/2014/main" id="{00000000-0008-0000-0A00-00001C000000}"/>
              </a:ext>
            </a:extLst>
          </xdr:cNvPr>
          <xdr:cNvSpPr>
            <a:spLocks noChangeArrowheads="1"/>
          </xdr:cNvSpPr>
        </xdr:nvSpPr>
        <xdr:spPr bwMode="auto">
          <a:xfrm>
            <a:off x="3422585" y="3514725"/>
            <a:ext cx="152105" cy="66675"/>
          </a:xfrm>
          <a:prstGeom prst="triangle">
            <a:avLst>
              <a:gd name="adj" fmla="val 50000"/>
            </a:avLst>
          </a:prstGeom>
          <a:solidFill>
            <a:srgbClr val="FF0000"/>
          </a:solidFill>
          <a:ln w="9525" algn="ctr">
            <a:solidFill>
              <a:srgbClr val="00FF00"/>
            </a:solidFill>
            <a:round/>
            <a:headEnd/>
            <a:tailEnd/>
          </a:ln>
          <a:scene3d>
            <a:camera prst="orthographicFront">
              <a:rot lat="0" lon="0" rev="5400000"/>
            </a:camera>
            <a:lightRig rig="threePt" dir="t"/>
          </a:scene3d>
        </xdr:spPr>
        <xdr:txBody>
          <a:bodyPr/>
          <a:lstStyle/>
          <a:p>
            <a:endParaRPr lang="es-CO"/>
          </a:p>
        </xdr:txBody>
      </xdr:sp>
      <xdr:sp macro="" textlink="">
        <xdr:nvSpPr>
          <xdr:cNvPr id="29" name="147 Triángulo isósceles">
            <a:extLst>
              <a:ext uri="{FF2B5EF4-FFF2-40B4-BE49-F238E27FC236}">
                <a16:creationId xmlns:a16="http://schemas.microsoft.com/office/drawing/2014/main" id="{00000000-0008-0000-0A00-00001D000000}"/>
              </a:ext>
            </a:extLst>
          </xdr:cNvPr>
          <xdr:cNvSpPr>
            <a:spLocks noChangeArrowheads="1"/>
          </xdr:cNvSpPr>
        </xdr:nvSpPr>
        <xdr:spPr bwMode="auto">
          <a:xfrm>
            <a:off x="3279987" y="3409950"/>
            <a:ext cx="152105" cy="66675"/>
          </a:xfrm>
          <a:prstGeom prst="triangle">
            <a:avLst>
              <a:gd name="adj" fmla="val 50000"/>
            </a:avLst>
          </a:prstGeom>
          <a:solidFill>
            <a:srgbClr val="FF0000"/>
          </a:solidFill>
          <a:ln w="9525" algn="ctr">
            <a:solidFill>
              <a:srgbClr val="00FF00"/>
            </a:solidFill>
            <a:round/>
            <a:headEnd/>
            <a:tailEnd/>
          </a:ln>
          <a:scene3d>
            <a:camera prst="orthographicFront">
              <a:rot lat="0" lon="0" rev="16200000"/>
            </a:camera>
            <a:lightRig rig="threePt" dir="t"/>
          </a:scene3d>
        </xdr:spPr>
        <xdr:txBody>
          <a:bodyPr/>
          <a:lstStyle/>
          <a:p>
            <a:endParaRPr lang="es-CO"/>
          </a:p>
        </xdr:txBody>
      </xdr:sp>
      <xdr:sp macro="" textlink="">
        <xdr:nvSpPr>
          <xdr:cNvPr id="30" name="147 Triángulo isósceles">
            <a:extLst>
              <a:ext uri="{FF2B5EF4-FFF2-40B4-BE49-F238E27FC236}">
                <a16:creationId xmlns:a16="http://schemas.microsoft.com/office/drawing/2014/main" id="{00000000-0008-0000-0A00-00001E000000}"/>
              </a:ext>
            </a:extLst>
          </xdr:cNvPr>
          <xdr:cNvSpPr>
            <a:spLocks noChangeArrowheads="1"/>
          </xdr:cNvSpPr>
        </xdr:nvSpPr>
        <xdr:spPr bwMode="auto">
          <a:xfrm>
            <a:off x="3327520" y="3286125"/>
            <a:ext cx="152105" cy="66675"/>
          </a:xfrm>
          <a:prstGeom prst="triangle">
            <a:avLst>
              <a:gd name="adj" fmla="val 50000"/>
            </a:avLst>
          </a:prstGeom>
          <a:solidFill>
            <a:srgbClr val="FF0000"/>
          </a:solidFill>
          <a:ln w="9525" algn="ctr">
            <a:solidFill>
              <a:srgbClr val="00FF00"/>
            </a:solidFill>
            <a:round/>
            <a:headEnd/>
            <a:tailEnd/>
          </a:ln>
          <a:scene3d>
            <a:camera prst="orthographicFront">
              <a:rot lat="0" lon="0" rev="5400000"/>
            </a:camera>
            <a:lightRig rig="threePt" dir="t"/>
          </a:scene3d>
        </xdr:spPr>
        <xdr:txBody>
          <a:bodyPr/>
          <a:lstStyle/>
          <a:p>
            <a:endParaRPr lang="es-CO"/>
          </a:p>
        </xdr:txBody>
      </xdr:sp>
      <xdr:sp macro="" textlink="">
        <xdr:nvSpPr>
          <xdr:cNvPr id="31" name="30 CuadroTexto">
            <a:extLst>
              <a:ext uri="{FF2B5EF4-FFF2-40B4-BE49-F238E27FC236}">
                <a16:creationId xmlns:a16="http://schemas.microsoft.com/office/drawing/2014/main" id="{00000000-0008-0000-0A00-00001F000000}"/>
              </a:ext>
            </a:extLst>
          </xdr:cNvPr>
          <xdr:cNvSpPr txBox="1"/>
        </xdr:nvSpPr>
        <xdr:spPr>
          <a:xfrm>
            <a:off x="3318013" y="3105150"/>
            <a:ext cx="760525" cy="4191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s-US" sz="900">
                <a:solidFill>
                  <a:schemeClr val="bg1"/>
                </a:solidFill>
              </a:rPr>
              <a:t>   </a:t>
            </a:r>
            <a:r>
              <a:rPr lang="es-US" sz="800">
                <a:solidFill>
                  <a:schemeClr val="bg1"/>
                </a:solidFill>
              </a:rPr>
              <a:t>2</a:t>
            </a:r>
          </a:p>
          <a:p>
            <a:r>
              <a:rPr lang="es-US" sz="800">
                <a:solidFill>
                  <a:schemeClr val="bg1"/>
                </a:solidFill>
              </a:rPr>
              <a:t>  PR80+0460</a:t>
            </a:r>
          </a:p>
        </xdr:txBody>
      </xdr:sp>
      <xdr:sp macro="" textlink="">
        <xdr:nvSpPr>
          <xdr:cNvPr id="32" name="31 CuadroTexto">
            <a:extLst>
              <a:ext uri="{FF2B5EF4-FFF2-40B4-BE49-F238E27FC236}">
                <a16:creationId xmlns:a16="http://schemas.microsoft.com/office/drawing/2014/main" id="{00000000-0008-0000-0A00-000020000000}"/>
              </a:ext>
            </a:extLst>
          </xdr:cNvPr>
          <xdr:cNvSpPr txBox="1"/>
        </xdr:nvSpPr>
        <xdr:spPr>
          <a:xfrm>
            <a:off x="2671562" y="3333749"/>
            <a:ext cx="865103" cy="6191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s-US" sz="900">
                <a:solidFill>
                  <a:schemeClr val="bg1"/>
                </a:solidFill>
              </a:rPr>
              <a:t>   </a:t>
            </a:r>
            <a:endParaRPr lang="es-US" sz="800">
              <a:solidFill>
                <a:schemeClr val="bg1"/>
              </a:solidFill>
            </a:endParaRPr>
          </a:p>
          <a:p>
            <a:r>
              <a:rPr lang="es-US" sz="800">
                <a:solidFill>
                  <a:schemeClr val="bg1"/>
                </a:solidFill>
              </a:rPr>
              <a:t>  3 </a:t>
            </a:r>
            <a:r>
              <a:rPr lang="es-US" sz="800" baseline="0">
                <a:solidFill>
                  <a:schemeClr val="bg1"/>
                </a:solidFill>
              </a:rPr>
              <a:t> </a:t>
            </a:r>
            <a:r>
              <a:rPr lang="es-US" sz="800">
                <a:solidFill>
                  <a:schemeClr val="bg1"/>
                </a:solidFill>
              </a:rPr>
              <a:t>PR81+0820</a:t>
            </a:r>
            <a:r>
              <a:rPr lang="es-US" sz="800" baseline="0">
                <a:solidFill>
                  <a:schemeClr val="bg1"/>
                </a:solidFill>
              </a:rPr>
              <a:t> 4. PR81+0200 5.PR81+0250</a:t>
            </a:r>
            <a:endParaRPr lang="es-US" sz="800">
              <a:solidFill>
                <a:schemeClr val="bg1"/>
              </a:solidFill>
            </a:endParaRPr>
          </a:p>
        </xdr:txBody>
      </xdr:sp>
      <xdr:sp macro="" textlink="">
        <xdr:nvSpPr>
          <xdr:cNvPr id="33" name="32 CuadroTexto">
            <a:extLst>
              <a:ext uri="{FF2B5EF4-FFF2-40B4-BE49-F238E27FC236}">
                <a16:creationId xmlns:a16="http://schemas.microsoft.com/office/drawing/2014/main" id="{00000000-0008-0000-0A00-000021000000}"/>
              </a:ext>
            </a:extLst>
          </xdr:cNvPr>
          <xdr:cNvSpPr txBox="1"/>
        </xdr:nvSpPr>
        <xdr:spPr>
          <a:xfrm>
            <a:off x="3517651" y="3362325"/>
            <a:ext cx="789040"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s-US" sz="800">
                <a:solidFill>
                  <a:schemeClr val="bg1"/>
                </a:solidFill>
              </a:rPr>
              <a:t>  6,PR83+0012 7. PR84+0750</a:t>
            </a:r>
          </a:p>
        </xdr:txBody>
      </xdr:sp>
      <xdr:sp macro="" textlink="">
        <xdr:nvSpPr>
          <xdr:cNvPr id="34" name="147 Triángulo isósceles">
            <a:extLst>
              <a:ext uri="{FF2B5EF4-FFF2-40B4-BE49-F238E27FC236}">
                <a16:creationId xmlns:a16="http://schemas.microsoft.com/office/drawing/2014/main" id="{00000000-0008-0000-0A00-000022000000}"/>
              </a:ext>
            </a:extLst>
          </xdr:cNvPr>
          <xdr:cNvSpPr>
            <a:spLocks noChangeArrowheads="1"/>
          </xdr:cNvSpPr>
        </xdr:nvSpPr>
        <xdr:spPr bwMode="auto">
          <a:xfrm>
            <a:off x="3992980" y="5133975"/>
            <a:ext cx="161612" cy="66675"/>
          </a:xfrm>
          <a:prstGeom prst="triangle">
            <a:avLst>
              <a:gd name="adj" fmla="val 50000"/>
            </a:avLst>
          </a:prstGeom>
          <a:solidFill>
            <a:srgbClr val="FF0000"/>
          </a:solidFill>
          <a:ln w="9525" algn="ctr">
            <a:solidFill>
              <a:srgbClr val="00FF00"/>
            </a:solidFill>
            <a:round/>
            <a:headEnd/>
            <a:tailEnd/>
          </a:ln>
          <a:scene3d>
            <a:camera prst="orthographicFront">
              <a:rot lat="0" lon="0" rev="5400000"/>
            </a:camera>
            <a:lightRig rig="threePt" dir="t"/>
          </a:scene3d>
        </xdr:spPr>
        <xdr:txBody>
          <a:bodyPr/>
          <a:lstStyle/>
          <a:p>
            <a:endParaRPr lang="es-CO"/>
          </a:p>
        </xdr:txBody>
      </xdr:sp>
      <xdr:sp macro="" textlink="">
        <xdr:nvSpPr>
          <xdr:cNvPr id="35" name="147 Triángulo isósceles">
            <a:extLst>
              <a:ext uri="{FF2B5EF4-FFF2-40B4-BE49-F238E27FC236}">
                <a16:creationId xmlns:a16="http://schemas.microsoft.com/office/drawing/2014/main" id="{00000000-0008-0000-0A00-000023000000}"/>
              </a:ext>
            </a:extLst>
          </xdr:cNvPr>
          <xdr:cNvSpPr>
            <a:spLocks noChangeArrowheads="1"/>
          </xdr:cNvSpPr>
        </xdr:nvSpPr>
        <xdr:spPr bwMode="auto">
          <a:xfrm>
            <a:off x="4145085" y="4905375"/>
            <a:ext cx="161612" cy="66675"/>
          </a:xfrm>
          <a:prstGeom prst="triangle">
            <a:avLst>
              <a:gd name="adj" fmla="val 50000"/>
            </a:avLst>
          </a:prstGeom>
          <a:solidFill>
            <a:srgbClr val="FF0000"/>
          </a:solidFill>
          <a:ln w="9525" algn="ctr">
            <a:solidFill>
              <a:srgbClr val="00FF00"/>
            </a:solidFill>
            <a:round/>
            <a:headEnd/>
            <a:tailEnd/>
          </a:ln>
          <a:scene3d>
            <a:camera prst="orthographicFront">
              <a:rot lat="0" lon="0" rev="5400000"/>
            </a:camera>
            <a:lightRig rig="threePt" dir="t"/>
          </a:scene3d>
        </xdr:spPr>
        <xdr:txBody>
          <a:bodyPr/>
          <a:lstStyle/>
          <a:p>
            <a:endParaRPr lang="es-CO"/>
          </a:p>
        </xdr:txBody>
      </xdr:sp>
      <xdr:sp macro="" textlink="">
        <xdr:nvSpPr>
          <xdr:cNvPr id="36" name="147 Triángulo isósceles">
            <a:extLst>
              <a:ext uri="{FF2B5EF4-FFF2-40B4-BE49-F238E27FC236}">
                <a16:creationId xmlns:a16="http://schemas.microsoft.com/office/drawing/2014/main" id="{00000000-0008-0000-0A00-000024000000}"/>
              </a:ext>
            </a:extLst>
          </xdr:cNvPr>
          <xdr:cNvSpPr>
            <a:spLocks noChangeArrowheads="1"/>
          </xdr:cNvSpPr>
        </xdr:nvSpPr>
        <xdr:spPr bwMode="auto">
          <a:xfrm>
            <a:off x="3498638" y="4657725"/>
            <a:ext cx="152105" cy="66675"/>
          </a:xfrm>
          <a:prstGeom prst="triangle">
            <a:avLst>
              <a:gd name="adj" fmla="val 50000"/>
            </a:avLst>
          </a:prstGeom>
          <a:solidFill>
            <a:srgbClr val="FF0000"/>
          </a:solidFill>
          <a:ln w="9525" algn="ctr">
            <a:solidFill>
              <a:srgbClr val="00FF00"/>
            </a:solidFill>
            <a:round/>
            <a:headEnd/>
            <a:tailEnd/>
          </a:ln>
          <a:scene3d>
            <a:camera prst="orthographicFront">
              <a:rot lat="0" lon="0" rev="16200000"/>
            </a:camera>
            <a:lightRig rig="threePt" dir="t"/>
          </a:scene3d>
        </xdr:spPr>
        <xdr:txBody>
          <a:bodyPr/>
          <a:lstStyle/>
          <a:p>
            <a:endParaRPr lang="es-CO"/>
          </a:p>
        </xdr:txBody>
      </xdr:sp>
      <xdr:sp macro="" textlink="">
        <xdr:nvSpPr>
          <xdr:cNvPr id="37" name="147 Triángulo isósceles">
            <a:extLst>
              <a:ext uri="{FF2B5EF4-FFF2-40B4-BE49-F238E27FC236}">
                <a16:creationId xmlns:a16="http://schemas.microsoft.com/office/drawing/2014/main" id="{00000000-0008-0000-0A00-000025000000}"/>
              </a:ext>
            </a:extLst>
          </xdr:cNvPr>
          <xdr:cNvSpPr>
            <a:spLocks noChangeArrowheads="1"/>
          </xdr:cNvSpPr>
        </xdr:nvSpPr>
        <xdr:spPr bwMode="auto">
          <a:xfrm>
            <a:off x="3631730" y="4333875"/>
            <a:ext cx="161612" cy="66675"/>
          </a:xfrm>
          <a:prstGeom prst="triangle">
            <a:avLst>
              <a:gd name="adj" fmla="val 50000"/>
            </a:avLst>
          </a:prstGeom>
          <a:solidFill>
            <a:srgbClr val="FF0000"/>
          </a:solidFill>
          <a:ln w="9525" algn="ctr">
            <a:solidFill>
              <a:srgbClr val="00FF00"/>
            </a:solidFill>
            <a:round/>
            <a:headEnd/>
            <a:tailEnd/>
          </a:ln>
          <a:scene3d>
            <a:camera prst="orthographicFront">
              <a:rot lat="0" lon="0" rev="5400000"/>
            </a:camera>
            <a:lightRig rig="threePt" dir="t"/>
          </a:scene3d>
        </xdr:spPr>
        <xdr:txBody>
          <a:bodyPr/>
          <a:lstStyle/>
          <a:p>
            <a:endParaRPr lang="es-CO"/>
          </a:p>
        </xdr:txBody>
      </xdr:sp>
      <xdr:sp macro="" textlink="">
        <xdr:nvSpPr>
          <xdr:cNvPr id="39" name="147 Triángulo isósceles">
            <a:extLst>
              <a:ext uri="{FF2B5EF4-FFF2-40B4-BE49-F238E27FC236}">
                <a16:creationId xmlns:a16="http://schemas.microsoft.com/office/drawing/2014/main" id="{00000000-0008-0000-0A00-000027000000}"/>
              </a:ext>
            </a:extLst>
          </xdr:cNvPr>
          <xdr:cNvSpPr>
            <a:spLocks noChangeArrowheads="1"/>
          </xdr:cNvSpPr>
        </xdr:nvSpPr>
        <xdr:spPr bwMode="auto">
          <a:xfrm>
            <a:off x="3327520" y="3705225"/>
            <a:ext cx="152105" cy="66675"/>
          </a:xfrm>
          <a:prstGeom prst="triangle">
            <a:avLst>
              <a:gd name="adj" fmla="val 50000"/>
            </a:avLst>
          </a:prstGeom>
          <a:solidFill>
            <a:srgbClr val="FF0000"/>
          </a:solidFill>
          <a:ln w="9525" algn="ctr">
            <a:solidFill>
              <a:srgbClr val="00FF00"/>
            </a:solidFill>
            <a:round/>
            <a:headEnd/>
            <a:tailEnd/>
          </a:ln>
          <a:scene3d>
            <a:camera prst="orthographicFront">
              <a:rot lat="0" lon="0" rev="16200000"/>
            </a:camera>
            <a:lightRig rig="threePt" dir="t"/>
          </a:scene3d>
        </xdr:spPr>
        <xdr:txBody>
          <a:bodyPr/>
          <a:lstStyle/>
          <a:p>
            <a:endParaRPr lang="es-CO"/>
          </a:p>
        </xdr:txBody>
      </xdr:sp>
      <xdr:sp macro="" textlink="">
        <xdr:nvSpPr>
          <xdr:cNvPr id="40" name="39 CuadroTexto">
            <a:extLst>
              <a:ext uri="{FF2B5EF4-FFF2-40B4-BE49-F238E27FC236}">
                <a16:creationId xmlns:a16="http://schemas.microsoft.com/office/drawing/2014/main" id="{00000000-0008-0000-0A00-000028000000}"/>
              </a:ext>
            </a:extLst>
          </xdr:cNvPr>
          <xdr:cNvSpPr txBox="1"/>
        </xdr:nvSpPr>
        <xdr:spPr>
          <a:xfrm>
            <a:off x="3403572" y="3667125"/>
            <a:ext cx="760525" cy="4191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s-US" sz="900">
                <a:solidFill>
                  <a:schemeClr val="bg1"/>
                </a:solidFill>
              </a:rPr>
              <a:t>      </a:t>
            </a:r>
            <a:r>
              <a:rPr lang="es-US" sz="800">
                <a:solidFill>
                  <a:schemeClr val="bg1"/>
                </a:solidFill>
              </a:rPr>
              <a:t>8</a:t>
            </a:r>
          </a:p>
          <a:p>
            <a:r>
              <a:rPr lang="es-US" sz="800">
                <a:solidFill>
                  <a:schemeClr val="bg1"/>
                </a:solidFill>
              </a:rPr>
              <a:t>  PR85+0660</a:t>
            </a:r>
          </a:p>
        </xdr:txBody>
      </xdr:sp>
      <xdr:sp macro="" textlink="">
        <xdr:nvSpPr>
          <xdr:cNvPr id="41" name="40 CuadroTexto">
            <a:extLst>
              <a:ext uri="{FF2B5EF4-FFF2-40B4-BE49-F238E27FC236}">
                <a16:creationId xmlns:a16="http://schemas.microsoft.com/office/drawing/2014/main" id="{00000000-0008-0000-0A00-000029000000}"/>
              </a:ext>
            </a:extLst>
          </xdr:cNvPr>
          <xdr:cNvSpPr txBox="1"/>
        </xdr:nvSpPr>
        <xdr:spPr>
          <a:xfrm>
            <a:off x="3669756" y="4067174"/>
            <a:ext cx="1321413" cy="5048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s-US" sz="900">
                <a:solidFill>
                  <a:schemeClr val="bg1"/>
                </a:solidFill>
              </a:rPr>
              <a:t>      </a:t>
            </a:r>
            <a:r>
              <a:rPr lang="es-US" sz="800">
                <a:solidFill>
                  <a:schemeClr val="bg1"/>
                </a:solidFill>
              </a:rPr>
              <a:t>9</a:t>
            </a:r>
          </a:p>
          <a:p>
            <a:r>
              <a:rPr lang="es-US" sz="800">
                <a:solidFill>
                  <a:schemeClr val="bg1"/>
                </a:solidFill>
              </a:rPr>
              <a:t>  PR91+0840 - PR92+0010     10 PR92+0087</a:t>
            </a:r>
          </a:p>
        </xdr:txBody>
      </xdr:sp>
      <xdr:sp macro="" textlink="">
        <xdr:nvSpPr>
          <xdr:cNvPr id="42" name="41 CuadroTexto">
            <a:extLst>
              <a:ext uri="{FF2B5EF4-FFF2-40B4-BE49-F238E27FC236}">
                <a16:creationId xmlns:a16="http://schemas.microsoft.com/office/drawing/2014/main" id="{00000000-0008-0000-0A00-00002A000000}"/>
              </a:ext>
            </a:extLst>
          </xdr:cNvPr>
          <xdr:cNvSpPr txBox="1"/>
        </xdr:nvSpPr>
        <xdr:spPr>
          <a:xfrm>
            <a:off x="2842685" y="4572000"/>
            <a:ext cx="741512" cy="4191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s-US" sz="900">
                <a:solidFill>
                  <a:schemeClr val="bg1"/>
                </a:solidFill>
              </a:rPr>
              <a:t>             11</a:t>
            </a:r>
            <a:endParaRPr lang="es-US" sz="800">
              <a:solidFill>
                <a:schemeClr val="bg1"/>
              </a:solidFill>
            </a:endParaRPr>
          </a:p>
          <a:p>
            <a:r>
              <a:rPr lang="es-US" sz="800">
                <a:solidFill>
                  <a:schemeClr val="bg1"/>
                </a:solidFill>
              </a:rPr>
              <a:t>  PR93+0750</a:t>
            </a:r>
          </a:p>
        </xdr:txBody>
      </xdr:sp>
      <xdr:sp macro="" textlink="">
        <xdr:nvSpPr>
          <xdr:cNvPr id="43" name="42 CuadroTexto">
            <a:extLst>
              <a:ext uri="{FF2B5EF4-FFF2-40B4-BE49-F238E27FC236}">
                <a16:creationId xmlns:a16="http://schemas.microsoft.com/office/drawing/2014/main" id="{00000000-0008-0000-0A00-00002B000000}"/>
              </a:ext>
            </a:extLst>
          </xdr:cNvPr>
          <xdr:cNvSpPr txBox="1"/>
        </xdr:nvSpPr>
        <xdr:spPr>
          <a:xfrm>
            <a:off x="4107058" y="4838700"/>
            <a:ext cx="1368946" cy="4095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s-US" sz="900">
                <a:solidFill>
                  <a:schemeClr val="bg1"/>
                </a:solidFill>
              </a:rPr>
              <a:t>   14</a:t>
            </a:r>
            <a:r>
              <a:rPr lang="es-US" sz="900" baseline="0">
                <a:solidFill>
                  <a:schemeClr val="bg1"/>
                </a:solidFill>
              </a:rPr>
              <a:t>                     </a:t>
            </a:r>
            <a:r>
              <a:rPr lang="es-US" sz="800">
                <a:solidFill>
                  <a:schemeClr val="bg1"/>
                </a:solidFill>
              </a:rPr>
              <a:t>  PR94+0820 - PR94+0875</a:t>
            </a:r>
          </a:p>
        </xdr:txBody>
      </xdr:sp>
      <xdr:sp macro="" textlink="">
        <xdr:nvSpPr>
          <xdr:cNvPr id="44" name="147 Triángulo isósceles">
            <a:extLst>
              <a:ext uri="{FF2B5EF4-FFF2-40B4-BE49-F238E27FC236}">
                <a16:creationId xmlns:a16="http://schemas.microsoft.com/office/drawing/2014/main" id="{00000000-0008-0000-0A00-00002C000000}"/>
              </a:ext>
            </a:extLst>
          </xdr:cNvPr>
          <xdr:cNvSpPr>
            <a:spLocks noChangeArrowheads="1"/>
          </xdr:cNvSpPr>
        </xdr:nvSpPr>
        <xdr:spPr bwMode="auto">
          <a:xfrm>
            <a:off x="3935940" y="4953000"/>
            <a:ext cx="161612" cy="66675"/>
          </a:xfrm>
          <a:prstGeom prst="triangle">
            <a:avLst>
              <a:gd name="adj" fmla="val 50000"/>
            </a:avLst>
          </a:prstGeom>
          <a:solidFill>
            <a:srgbClr val="FF0000"/>
          </a:solidFill>
          <a:ln w="9525" algn="ctr">
            <a:solidFill>
              <a:srgbClr val="00FF00"/>
            </a:solidFill>
            <a:round/>
            <a:headEnd/>
            <a:tailEnd/>
          </a:ln>
          <a:scene3d>
            <a:camera prst="orthographicFront">
              <a:rot lat="0" lon="0" rev="16200000"/>
            </a:camera>
            <a:lightRig rig="threePt" dir="t"/>
          </a:scene3d>
        </xdr:spPr>
        <xdr:txBody>
          <a:bodyPr/>
          <a:lstStyle/>
          <a:p>
            <a:endParaRPr lang="es-CO"/>
          </a:p>
        </xdr:txBody>
      </xdr:sp>
      <xdr:sp macro="" textlink="">
        <xdr:nvSpPr>
          <xdr:cNvPr id="46" name="45 CuadroTexto">
            <a:extLst>
              <a:ext uri="{FF2B5EF4-FFF2-40B4-BE49-F238E27FC236}">
                <a16:creationId xmlns:a16="http://schemas.microsoft.com/office/drawing/2014/main" id="{00000000-0008-0000-0A00-00002E000000}"/>
              </a:ext>
            </a:extLst>
          </xdr:cNvPr>
          <xdr:cNvSpPr txBox="1"/>
        </xdr:nvSpPr>
        <xdr:spPr>
          <a:xfrm>
            <a:off x="3973966" y="5095875"/>
            <a:ext cx="1444998" cy="4095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s-US" sz="900">
                <a:solidFill>
                  <a:schemeClr val="bg1"/>
                </a:solidFill>
              </a:rPr>
              <a:t>   15</a:t>
            </a:r>
            <a:endParaRPr lang="es-US" sz="800">
              <a:solidFill>
                <a:schemeClr val="bg1"/>
              </a:solidFill>
            </a:endParaRPr>
          </a:p>
          <a:p>
            <a:r>
              <a:rPr lang="es-US" sz="800">
                <a:solidFill>
                  <a:schemeClr val="bg1"/>
                </a:solidFill>
              </a:rPr>
              <a:t>  PR95+0750 - PR95+0840</a:t>
            </a:r>
          </a:p>
        </xdr:txBody>
      </xdr:sp>
      <xdr:sp macro="" textlink="">
        <xdr:nvSpPr>
          <xdr:cNvPr id="47" name="147 Triángulo isósceles">
            <a:extLst>
              <a:ext uri="{FF2B5EF4-FFF2-40B4-BE49-F238E27FC236}">
                <a16:creationId xmlns:a16="http://schemas.microsoft.com/office/drawing/2014/main" id="{00000000-0008-0000-0A00-00002F000000}"/>
              </a:ext>
            </a:extLst>
          </xdr:cNvPr>
          <xdr:cNvSpPr>
            <a:spLocks noChangeArrowheads="1"/>
          </xdr:cNvSpPr>
        </xdr:nvSpPr>
        <xdr:spPr bwMode="auto">
          <a:xfrm>
            <a:off x="3907420" y="5286375"/>
            <a:ext cx="161612" cy="66675"/>
          </a:xfrm>
          <a:prstGeom prst="triangle">
            <a:avLst>
              <a:gd name="adj" fmla="val 50000"/>
            </a:avLst>
          </a:prstGeom>
          <a:solidFill>
            <a:srgbClr val="FF0000"/>
          </a:solidFill>
          <a:ln w="9525" algn="ctr">
            <a:solidFill>
              <a:srgbClr val="00FF00"/>
            </a:solidFill>
            <a:round/>
            <a:headEnd/>
            <a:tailEnd/>
          </a:ln>
          <a:scene3d>
            <a:camera prst="orthographicFront">
              <a:rot lat="0" lon="0" rev="16200000"/>
            </a:camera>
            <a:lightRig rig="threePt" dir="t"/>
          </a:scene3d>
        </xdr:spPr>
        <xdr:txBody>
          <a:bodyPr/>
          <a:lstStyle/>
          <a:p>
            <a:endParaRPr lang="es-CO"/>
          </a:p>
        </xdr:txBody>
      </xdr:sp>
      <xdr:sp macro="" textlink="">
        <xdr:nvSpPr>
          <xdr:cNvPr id="48" name="47 CuadroTexto">
            <a:extLst>
              <a:ext uri="{FF2B5EF4-FFF2-40B4-BE49-F238E27FC236}">
                <a16:creationId xmlns:a16="http://schemas.microsoft.com/office/drawing/2014/main" id="{00000000-0008-0000-0A00-000030000000}"/>
              </a:ext>
            </a:extLst>
          </xdr:cNvPr>
          <xdr:cNvSpPr txBox="1"/>
        </xdr:nvSpPr>
        <xdr:spPr>
          <a:xfrm>
            <a:off x="3337026" y="5248275"/>
            <a:ext cx="732006" cy="4191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s-US" sz="900">
                <a:solidFill>
                  <a:schemeClr val="bg1"/>
                </a:solidFill>
              </a:rPr>
              <a:t>             16</a:t>
            </a:r>
            <a:endParaRPr lang="es-US" sz="800">
              <a:solidFill>
                <a:schemeClr val="bg1"/>
              </a:solidFill>
            </a:endParaRPr>
          </a:p>
          <a:p>
            <a:r>
              <a:rPr lang="es-US" sz="800">
                <a:solidFill>
                  <a:schemeClr val="bg1"/>
                </a:solidFill>
              </a:rPr>
              <a:t>  PR97+0300</a:t>
            </a:r>
          </a:p>
        </xdr:txBody>
      </xdr:sp>
      <xdr:sp macro="" textlink="">
        <xdr:nvSpPr>
          <xdr:cNvPr id="49" name="Diagrama de flujo: proceso 86">
            <a:extLst>
              <a:ext uri="{FF2B5EF4-FFF2-40B4-BE49-F238E27FC236}">
                <a16:creationId xmlns:a16="http://schemas.microsoft.com/office/drawing/2014/main" id="{00000000-0008-0000-0A00-000031000000}"/>
              </a:ext>
            </a:extLst>
          </xdr:cNvPr>
          <xdr:cNvSpPr/>
        </xdr:nvSpPr>
        <xdr:spPr>
          <a:xfrm>
            <a:off x="1245582" y="1876425"/>
            <a:ext cx="85559" cy="47625"/>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sp macro="" textlink="">
        <xdr:nvSpPr>
          <xdr:cNvPr id="50" name="Diagrama de flujo: proceso 87">
            <a:extLst>
              <a:ext uri="{FF2B5EF4-FFF2-40B4-BE49-F238E27FC236}">
                <a16:creationId xmlns:a16="http://schemas.microsoft.com/office/drawing/2014/main" id="{00000000-0008-0000-0A00-000032000000}"/>
              </a:ext>
            </a:extLst>
          </xdr:cNvPr>
          <xdr:cNvSpPr/>
        </xdr:nvSpPr>
        <xdr:spPr>
          <a:xfrm rot="1761315">
            <a:off x="2899724" y="2933700"/>
            <a:ext cx="85559" cy="47625"/>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sp macro="" textlink="">
        <xdr:nvSpPr>
          <xdr:cNvPr id="51" name="Diagrama de flujo: proceso 88">
            <a:extLst>
              <a:ext uri="{FF2B5EF4-FFF2-40B4-BE49-F238E27FC236}">
                <a16:creationId xmlns:a16="http://schemas.microsoft.com/office/drawing/2014/main" id="{00000000-0008-0000-0A00-000033000000}"/>
              </a:ext>
            </a:extLst>
          </xdr:cNvPr>
          <xdr:cNvSpPr/>
        </xdr:nvSpPr>
        <xdr:spPr>
          <a:xfrm rot="1654156">
            <a:off x="2966270" y="2981325"/>
            <a:ext cx="95066" cy="38100"/>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sp macro="" textlink="">
        <xdr:nvSpPr>
          <xdr:cNvPr id="52" name="Diagrama de flujo: proceso 89">
            <a:extLst>
              <a:ext uri="{FF2B5EF4-FFF2-40B4-BE49-F238E27FC236}">
                <a16:creationId xmlns:a16="http://schemas.microsoft.com/office/drawing/2014/main" id="{00000000-0008-0000-0A00-000034000000}"/>
              </a:ext>
            </a:extLst>
          </xdr:cNvPr>
          <xdr:cNvSpPr/>
        </xdr:nvSpPr>
        <xdr:spPr>
          <a:xfrm rot="2047135">
            <a:off x="3032816" y="3019425"/>
            <a:ext cx="95066" cy="38100"/>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sp macro="" textlink="">
        <xdr:nvSpPr>
          <xdr:cNvPr id="53" name="Diagrama de flujo: proceso 94">
            <a:extLst>
              <a:ext uri="{FF2B5EF4-FFF2-40B4-BE49-F238E27FC236}">
                <a16:creationId xmlns:a16="http://schemas.microsoft.com/office/drawing/2014/main" id="{00000000-0008-0000-0A00-000035000000}"/>
              </a:ext>
            </a:extLst>
          </xdr:cNvPr>
          <xdr:cNvSpPr/>
        </xdr:nvSpPr>
        <xdr:spPr>
          <a:xfrm rot="2858630">
            <a:off x="3099270" y="3067087"/>
            <a:ext cx="95250" cy="38026"/>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sp macro="" textlink="">
        <xdr:nvSpPr>
          <xdr:cNvPr id="54" name="Diagrama de flujo: proceso 95">
            <a:extLst>
              <a:ext uri="{FF2B5EF4-FFF2-40B4-BE49-F238E27FC236}">
                <a16:creationId xmlns:a16="http://schemas.microsoft.com/office/drawing/2014/main" id="{00000000-0008-0000-0A00-000036000000}"/>
              </a:ext>
            </a:extLst>
          </xdr:cNvPr>
          <xdr:cNvSpPr/>
        </xdr:nvSpPr>
        <xdr:spPr>
          <a:xfrm rot="2174925">
            <a:off x="3574691" y="4362450"/>
            <a:ext cx="76053" cy="38100"/>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sp macro="" textlink="">
        <xdr:nvSpPr>
          <xdr:cNvPr id="55" name="Diagrama de flujo: proceso 96">
            <a:extLst>
              <a:ext uri="{FF2B5EF4-FFF2-40B4-BE49-F238E27FC236}">
                <a16:creationId xmlns:a16="http://schemas.microsoft.com/office/drawing/2014/main" id="{00000000-0008-0000-0A00-000037000000}"/>
              </a:ext>
            </a:extLst>
          </xdr:cNvPr>
          <xdr:cNvSpPr/>
        </xdr:nvSpPr>
        <xdr:spPr>
          <a:xfrm rot="4566470">
            <a:off x="3536581" y="4314871"/>
            <a:ext cx="85725" cy="47533"/>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sp macro="" textlink="">
        <xdr:nvSpPr>
          <xdr:cNvPr id="56" name="Diagrama de flujo: proceso 97">
            <a:extLst>
              <a:ext uri="{FF2B5EF4-FFF2-40B4-BE49-F238E27FC236}">
                <a16:creationId xmlns:a16="http://schemas.microsoft.com/office/drawing/2014/main" id="{00000000-0008-0000-0A00-000038000000}"/>
              </a:ext>
            </a:extLst>
          </xdr:cNvPr>
          <xdr:cNvSpPr/>
        </xdr:nvSpPr>
        <xdr:spPr>
          <a:xfrm rot="4840464">
            <a:off x="3512806" y="4224383"/>
            <a:ext cx="95250" cy="47533"/>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sp macro="" textlink="">
        <xdr:nvSpPr>
          <xdr:cNvPr id="57" name="Diagrama de flujo: proceso 98">
            <a:extLst>
              <a:ext uri="{FF2B5EF4-FFF2-40B4-BE49-F238E27FC236}">
                <a16:creationId xmlns:a16="http://schemas.microsoft.com/office/drawing/2014/main" id="{00000000-0008-0000-0A00-000039000000}"/>
              </a:ext>
            </a:extLst>
          </xdr:cNvPr>
          <xdr:cNvSpPr/>
        </xdr:nvSpPr>
        <xdr:spPr>
          <a:xfrm rot="4886434">
            <a:off x="3508052" y="4143412"/>
            <a:ext cx="95250" cy="38026"/>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sp macro="" textlink="">
        <xdr:nvSpPr>
          <xdr:cNvPr id="58" name="Diagrama de flujo: proceso 99">
            <a:extLst>
              <a:ext uri="{FF2B5EF4-FFF2-40B4-BE49-F238E27FC236}">
                <a16:creationId xmlns:a16="http://schemas.microsoft.com/office/drawing/2014/main" id="{00000000-0008-0000-0A00-00003A000000}"/>
              </a:ext>
            </a:extLst>
          </xdr:cNvPr>
          <xdr:cNvSpPr/>
        </xdr:nvSpPr>
        <xdr:spPr>
          <a:xfrm rot="7760166">
            <a:off x="3522321" y="4071975"/>
            <a:ext cx="85725" cy="38026"/>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sp macro="" textlink="">
        <xdr:nvSpPr>
          <xdr:cNvPr id="59" name="Diagrama de flujo: proceso 100">
            <a:extLst>
              <a:ext uri="{FF2B5EF4-FFF2-40B4-BE49-F238E27FC236}">
                <a16:creationId xmlns:a16="http://schemas.microsoft.com/office/drawing/2014/main" id="{00000000-0008-0000-0A00-00003B000000}"/>
              </a:ext>
            </a:extLst>
          </xdr:cNvPr>
          <xdr:cNvSpPr/>
        </xdr:nvSpPr>
        <xdr:spPr>
          <a:xfrm rot="5574690">
            <a:off x="3598374" y="4424400"/>
            <a:ext cx="85725" cy="38026"/>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sp macro="" textlink="">
        <xdr:nvSpPr>
          <xdr:cNvPr id="60" name="Diagrama de flujo: proceso 101">
            <a:extLst>
              <a:ext uri="{FF2B5EF4-FFF2-40B4-BE49-F238E27FC236}">
                <a16:creationId xmlns:a16="http://schemas.microsoft.com/office/drawing/2014/main" id="{00000000-0008-0000-0A00-00003C000000}"/>
              </a:ext>
            </a:extLst>
          </xdr:cNvPr>
          <xdr:cNvSpPr/>
        </xdr:nvSpPr>
        <xdr:spPr>
          <a:xfrm rot="5400000">
            <a:off x="3598374" y="4500600"/>
            <a:ext cx="85725" cy="38026"/>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sp macro="" textlink="">
        <xdr:nvSpPr>
          <xdr:cNvPr id="61" name="Diagrama de flujo: proceso 102">
            <a:extLst>
              <a:ext uri="{FF2B5EF4-FFF2-40B4-BE49-F238E27FC236}">
                <a16:creationId xmlns:a16="http://schemas.microsoft.com/office/drawing/2014/main" id="{00000000-0008-0000-0A00-00003D000000}"/>
              </a:ext>
            </a:extLst>
          </xdr:cNvPr>
          <xdr:cNvSpPr/>
        </xdr:nvSpPr>
        <xdr:spPr>
          <a:xfrm rot="2033487">
            <a:off x="3641237" y="4810125"/>
            <a:ext cx="104572" cy="47625"/>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sp macro="" textlink="">
        <xdr:nvSpPr>
          <xdr:cNvPr id="62" name="Diagrama de flujo: proceso 103">
            <a:extLst>
              <a:ext uri="{FF2B5EF4-FFF2-40B4-BE49-F238E27FC236}">
                <a16:creationId xmlns:a16="http://schemas.microsoft.com/office/drawing/2014/main" id="{00000000-0008-0000-0A00-00003E000000}"/>
              </a:ext>
            </a:extLst>
          </xdr:cNvPr>
          <xdr:cNvSpPr/>
        </xdr:nvSpPr>
        <xdr:spPr>
          <a:xfrm rot="4072009">
            <a:off x="3617387" y="4748250"/>
            <a:ext cx="85725" cy="38026"/>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sp macro="" textlink="">
        <xdr:nvSpPr>
          <xdr:cNvPr id="63" name="Diagrama de flujo: proceso 104">
            <a:extLst>
              <a:ext uri="{FF2B5EF4-FFF2-40B4-BE49-F238E27FC236}">
                <a16:creationId xmlns:a16="http://schemas.microsoft.com/office/drawing/2014/main" id="{00000000-0008-0000-0A00-00003F000000}"/>
              </a:ext>
            </a:extLst>
          </xdr:cNvPr>
          <xdr:cNvSpPr/>
        </xdr:nvSpPr>
        <xdr:spPr>
          <a:xfrm rot="5400000">
            <a:off x="3603127" y="4667296"/>
            <a:ext cx="85725" cy="47533"/>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sp macro="" textlink="">
        <xdr:nvSpPr>
          <xdr:cNvPr id="64" name="Diagrama de flujo: proceso 105">
            <a:extLst>
              <a:ext uri="{FF2B5EF4-FFF2-40B4-BE49-F238E27FC236}">
                <a16:creationId xmlns:a16="http://schemas.microsoft.com/office/drawing/2014/main" id="{00000000-0008-0000-0A00-000040000000}"/>
              </a:ext>
            </a:extLst>
          </xdr:cNvPr>
          <xdr:cNvSpPr/>
        </xdr:nvSpPr>
        <xdr:spPr>
          <a:xfrm rot="5400000">
            <a:off x="3593621" y="4581571"/>
            <a:ext cx="85725" cy="47533"/>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sp macro="" textlink="">
        <xdr:nvSpPr>
          <xdr:cNvPr id="65" name="Diagrama de flujo: proceso 106">
            <a:extLst>
              <a:ext uri="{FF2B5EF4-FFF2-40B4-BE49-F238E27FC236}">
                <a16:creationId xmlns:a16="http://schemas.microsoft.com/office/drawing/2014/main" id="{00000000-0008-0000-0A00-000041000000}"/>
              </a:ext>
            </a:extLst>
          </xdr:cNvPr>
          <xdr:cNvSpPr/>
        </xdr:nvSpPr>
        <xdr:spPr>
          <a:xfrm rot="3008270">
            <a:off x="3512814" y="3967200"/>
            <a:ext cx="85725" cy="38026"/>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sp macro="" textlink="">
        <xdr:nvSpPr>
          <xdr:cNvPr id="66" name="Diagrama de flujo: proceso 109">
            <a:extLst>
              <a:ext uri="{FF2B5EF4-FFF2-40B4-BE49-F238E27FC236}">
                <a16:creationId xmlns:a16="http://schemas.microsoft.com/office/drawing/2014/main" id="{00000000-0008-0000-0A00-000042000000}"/>
              </a:ext>
            </a:extLst>
          </xdr:cNvPr>
          <xdr:cNvSpPr/>
        </xdr:nvSpPr>
        <xdr:spPr>
          <a:xfrm rot="4381288">
            <a:off x="3484295" y="3891000"/>
            <a:ext cx="85725" cy="38026"/>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sp macro="" textlink="">
        <xdr:nvSpPr>
          <xdr:cNvPr id="67" name="Diagrama de flujo: proceso 110">
            <a:extLst>
              <a:ext uri="{FF2B5EF4-FFF2-40B4-BE49-F238E27FC236}">
                <a16:creationId xmlns:a16="http://schemas.microsoft.com/office/drawing/2014/main" id="{00000000-0008-0000-0A00-000043000000}"/>
              </a:ext>
            </a:extLst>
          </xdr:cNvPr>
          <xdr:cNvSpPr/>
        </xdr:nvSpPr>
        <xdr:spPr>
          <a:xfrm rot="4953857">
            <a:off x="3460529" y="3810046"/>
            <a:ext cx="85725" cy="47533"/>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sp macro="" textlink="">
        <xdr:nvSpPr>
          <xdr:cNvPr id="68" name="Diagrama de flujo: proceso 111">
            <a:extLst>
              <a:ext uri="{FF2B5EF4-FFF2-40B4-BE49-F238E27FC236}">
                <a16:creationId xmlns:a16="http://schemas.microsoft.com/office/drawing/2014/main" id="{00000000-0008-0000-0A00-000044000000}"/>
              </a:ext>
            </a:extLst>
          </xdr:cNvPr>
          <xdr:cNvSpPr/>
        </xdr:nvSpPr>
        <xdr:spPr>
          <a:xfrm rot="5400000">
            <a:off x="3451022" y="3724321"/>
            <a:ext cx="85725" cy="47533"/>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sp macro="" textlink="">
        <xdr:nvSpPr>
          <xdr:cNvPr id="69" name="Diagrama de flujo: proceso 112">
            <a:extLst>
              <a:ext uri="{FF2B5EF4-FFF2-40B4-BE49-F238E27FC236}">
                <a16:creationId xmlns:a16="http://schemas.microsoft.com/office/drawing/2014/main" id="{00000000-0008-0000-0A00-000045000000}"/>
              </a:ext>
            </a:extLst>
          </xdr:cNvPr>
          <xdr:cNvSpPr/>
        </xdr:nvSpPr>
        <xdr:spPr>
          <a:xfrm rot="6264454">
            <a:off x="3541334" y="4033875"/>
            <a:ext cx="85725" cy="38026"/>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sp macro="" textlink="">
        <xdr:nvSpPr>
          <xdr:cNvPr id="70" name="Diagrama de flujo: proceso 113">
            <a:extLst>
              <a:ext uri="{FF2B5EF4-FFF2-40B4-BE49-F238E27FC236}">
                <a16:creationId xmlns:a16="http://schemas.microsoft.com/office/drawing/2014/main" id="{00000000-0008-0000-0A00-000046000000}"/>
              </a:ext>
            </a:extLst>
          </xdr:cNvPr>
          <xdr:cNvSpPr/>
        </xdr:nvSpPr>
        <xdr:spPr>
          <a:xfrm rot="205281">
            <a:off x="3793342" y="4867275"/>
            <a:ext cx="95066" cy="47625"/>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sp macro="" textlink="">
        <xdr:nvSpPr>
          <xdr:cNvPr id="71" name="Diagrama de flujo: proceso 114">
            <a:extLst>
              <a:ext uri="{FF2B5EF4-FFF2-40B4-BE49-F238E27FC236}">
                <a16:creationId xmlns:a16="http://schemas.microsoft.com/office/drawing/2014/main" id="{00000000-0008-0000-0A00-000047000000}"/>
              </a:ext>
            </a:extLst>
          </xdr:cNvPr>
          <xdr:cNvSpPr/>
        </xdr:nvSpPr>
        <xdr:spPr>
          <a:xfrm rot="21334587">
            <a:off x="3878901" y="4867275"/>
            <a:ext cx="95066" cy="47625"/>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sp macro="" textlink="">
        <xdr:nvSpPr>
          <xdr:cNvPr id="72" name="Diagrama de flujo: proceso 115">
            <a:extLst>
              <a:ext uri="{FF2B5EF4-FFF2-40B4-BE49-F238E27FC236}">
                <a16:creationId xmlns:a16="http://schemas.microsoft.com/office/drawing/2014/main" id="{00000000-0008-0000-0A00-000048000000}"/>
              </a:ext>
            </a:extLst>
          </xdr:cNvPr>
          <xdr:cNvSpPr/>
        </xdr:nvSpPr>
        <xdr:spPr>
          <a:xfrm rot="157701">
            <a:off x="3954953" y="4857750"/>
            <a:ext cx="95066" cy="47625"/>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sp macro="" textlink="">
        <xdr:nvSpPr>
          <xdr:cNvPr id="73" name="Diagrama de flujo: proceso 116">
            <a:extLst>
              <a:ext uri="{FF2B5EF4-FFF2-40B4-BE49-F238E27FC236}">
                <a16:creationId xmlns:a16="http://schemas.microsoft.com/office/drawing/2014/main" id="{00000000-0008-0000-0A00-000049000000}"/>
              </a:ext>
            </a:extLst>
          </xdr:cNvPr>
          <xdr:cNvSpPr/>
        </xdr:nvSpPr>
        <xdr:spPr>
          <a:xfrm rot="1478410">
            <a:off x="3726796" y="4857750"/>
            <a:ext cx="85559" cy="47625"/>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sp macro="" textlink="">
        <xdr:nvSpPr>
          <xdr:cNvPr id="74" name="Diagrama de flujo: proceso 117">
            <a:extLst>
              <a:ext uri="{FF2B5EF4-FFF2-40B4-BE49-F238E27FC236}">
                <a16:creationId xmlns:a16="http://schemas.microsoft.com/office/drawing/2014/main" id="{00000000-0008-0000-0A00-00004A000000}"/>
              </a:ext>
            </a:extLst>
          </xdr:cNvPr>
          <xdr:cNvSpPr/>
        </xdr:nvSpPr>
        <xdr:spPr>
          <a:xfrm rot="157701">
            <a:off x="4069032" y="4857750"/>
            <a:ext cx="85559" cy="47625"/>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sp macro="" textlink="">
        <xdr:nvSpPr>
          <xdr:cNvPr id="75" name="Diagrama de flujo: proceso 118">
            <a:extLst>
              <a:ext uri="{FF2B5EF4-FFF2-40B4-BE49-F238E27FC236}">
                <a16:creationId xmlns:a16="http://schemas.microsoft.com/office/drawing/2014/main" id="{00000000-0008-0000-0A00-00004B000000}"/>
              </a:ext>
            </a:extLst>
          </xdr:cNvPr>
          <xdr:cNvSpPr/>
        </xdr:nvSpPr>
        <xdr:spPr>
          <a:xfrm rot="157701">
            <a:off x="4040512" y="4857750"/>
            <a:ext cx="85559" cy="47625"/>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sp macro="" textlink="">
        <xdr:nvSpPr>
          <xdr:cNvPr id="76" name="Diagrama de flujo: proceso 119">
            <a:extLst>
              <a:ext uri="{FF2B5EF4-FFF2-40B4-BE49-F238E27FC236}">
                <a16:creationId xmlns:a16="http://schemas.microsoft.com/office/drawing/2014/main" id="{00000000-0008-0000-0A00-00004C000000}"/>
              </a:ext>
            </a:extLst>
          </xdr:cNvPr>
          <xdr:cNvSpPr/>
        </xdr:nvSpPr>
        <xdr:spPr>
          <a:xfrm rot="8670509">
            <a:off x="4059526" y="4962525"/>
            <a:ext cx="85559" cy="38100"/>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sp macro="" textlink="">
        <xdr:nvSpPr>
          <xdr:cNvPr id="77" name="Diagrama de flujo: proceso 120">
            <a:extLst>
              <a:ext uri="{FF2B5EF4-FFF2-40B4-BE49-F238E27FC236}">
                <a16:creationId xmlns:a16="http://schemas.microsoft.com/office/drawing/2014/main" id="{00000000-0008-0000-0A00-00004D000000}"/>
              </a:ext>
            </a:extLst>
          </xdr:cNvPr>
          <xdr:cNvSpPr/>
        </xdr:nvSpPr>
        <xdr:spPr>
          <a:xfrm rot="7349356">
            <a:off x="4116482" y="4905421"/>
            <a:ext cx="85725" cy="47533"/>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sp macro="" textlink="">
        <xdr:nvSpPr>
          <xdr:cNvPr id="78" name="Diagrama de flujo: proceso 121">
            <a:extLst>
              <a:ext uri="{FF2B5EF4-FFF2-40B4-BE49-F238E27FC236}">
                <a16:creationId xmlns:a16="http://schemas.microsoft.com/office/drawing/2014/main" id="{00000000-0008-0000-0A00-00004E000000}"/>
              </a:ext>
            </a:extLst>
          </xdr:cNvPr>
          <xdr:cNvSpPr/>
        </xdr:nvSpPr>
        <xdr:spPr>
          <a:xfrm rot="15465093">
            <a:off x="3973883" y="5057821"/>
            <a:ext cx="85725" cy="47533"/>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sp macro="" textlink="">
        <xdr:nvSpPr>
          <xdr:cNvPr id="79" name="Diagrama de flujo: proceso 122">
            <a:extLst>
              <a:ext uri="{FF2B5EF4-FFF2-40B4-BE49-F238E27FC236}">
                <a16:creationId xmlns:a16="http://schemas.microsoft.com/office/drawing/2014/main" id="{00000000-0008-0000-0A00-00004F000000}"/>
              </a:ext>
            </a:extLst>
          </xdr:cNvPr>
          <xdr:cNvSpPr/>
        </xdr:nvSpPr>
        <xdr:spPr>
          <a:xfrm rot="18928975">
            <a:off x="4002486" y="5010150"/>
            <a:ext cx="85559" cy="38100"/>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sp macro="" textlink="">
        <xdr:nvSpPr>
          <xdr:cNvPr id="80" name="Diagrama de flujo: proceso 123">
            <a:extLst>
              <a:ext uri="{FF2B5EF4-FFF2-40B4-BE49-F238E27FC236}">
                <a16:creationId xmlns:a16="http://schemas.microsoft.com/office/drawing/2014/main" id="{00000000-0008-0000-0A00-000050000000}"/>
              </a:ext>
            </a:extLst>
          </xdr:cNvPr>
          <xdr:cNvSpPr/>
        </xdr:nvSpPr>
        <xdr:spPr>
          <a:xfrm rot="4929537">
            <a:off x="4011910" y="5229271"/>
            <a:ext cx="85725" cy="47533"/>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sp macro="" textlink="">
        <xdr:nvSpPr>
          <xdr:cNvPr id="81" name="Diagrama de flujo: proceso 124">
            <a:extLst>
              <a:ext uri="{FF2B5EF4-FFF2-40B4-BE49-F238E27FC236}">
                <a16:creationId xmlns:a16="http://schemas.microsoft.com/office/drawing/2014/main" id="{00000000-0008-0000-0A00-000051000000}"/>
              </a:ext>
            </a:extLst>
          </xdr:cNvPr>
          <xdr:cNvSpPr/>
        </xdr:nvSpPr>
        <xdr:spPr>
          <a:xfrm rot="4571921">
            <a:off x="3992897" y="5143546"/>
            <a:ext cx="85725" cy="47533"/>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sp macro="" textlink="">
        <xdr:nvSpPr>
          <xdr:cNvPr id="82" name="Diagrama de flujo: proceso 125">
            <a:extLst>
              <a:ext uri="{FF2B5EF4-FFF2-40B4-BE49-F238E27FC236}">
                <a16:creationId xmlns:a16="http://schemas.microsoft.com/office/drawing/2014/main" id="{00000000-0008-0000-0A00-000052000000}"/>
              </a:ext>
            </a:extLst>
          </xdr:cNvPr>
          <xdr:cNvSpPr/>
        </xdr:nvSpPr>
        <xdr:spPr>
          <a:xfrm rot="5400000">
            <a:off x="4021416" y="5381671"/>
            <a:ext cx="85725" cy="47533"/>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sp macro="" textlink="">
        <xdr:nvSpPr>
          <xdr:cNvPr id="83" name="Diagrama de flujo: proceso 126">
            <a:extLst>
              <a:ext uri="{FF2B5EF4-FFF2-40B4-BE49-F238E27FC236}">
                <a16:creationId xmlns:a16="http://schemas.microsoft.com/office/drawing/2014/main" id="{00000000-0008-0000-0A00-000053000000}"/>
              </a:ext>
            </a:extLst>
          </xdr:cNvPr>
          <xdr:cNvSpPr/>
        </xdr:nvSpPr>
        <xdr:spPr>
          <a:xfrm rot="5400000">
            <a:off x="4011910" y="5305471"/>
            <a:ext cx="85725" cy="47533"/>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sp macro="" textlink="">
        <xdr:nvSpPr>
          <xdr:cNvPr id="84" name="Diagrama de flujo: proceso 127">
            <a:extLst>
              <a:ext uri="{FF2B5EF4-FFF2-40B4-BE49-F238E27FC236}">
                <a16:creationId xmlns:a16="http://schemas.microsoft.com/office/drawing/2014/main" id="{00000000-0008-0000-0A00-000054000000}"/>
              </a:ext>
            </a:extLst>
          </xdr:cNvPr>
          <xdr:cNvSpPr/>
        </xdr:nvSpPr>
        <xdr:spPr>
          <a:xfrm rot="3932838">
            <a:off x="4087962" y="5591221"/>
            <a:ext cx="85725" cy="47533"/>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sp macro="" textlink="">
        <xdr:nvSpPr>
          <xdr:cNvPr id="85" name="Diagrama de flujo: proceso 128">
            <a:extLst>
              <a:ext uri="{FF2B5EF4-FFF2-40B4-BE49-F238E27FC236}">
                <a16:creationId xmlns:a16="http://schemas.microsoft.com/office/drawing/2014/main" id="{00000000-0008-0000-0A00-000055000000}"/>
              </a:ext>
            </a:extLst>
          </xdr:cNvPr>
          <xdr:cNvSpPr/>
        </xdr:nvSpPr>
        <xdr:spPr>
          <a:xfrm rot="3006887">
            <a:off x="4040429" y="5524546"/>
            <a:ext cx="85725" cy="47533"/>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sp macro="" textlink="">
        <xdr:nvSpPr>
          <xdr:cNvPr id="86" name="Diagrama de flujo: proceso 129">
            <a:extLst>
              <a:ext uri="{FF2B5EF4-FFF2-40B4-BE49-F238E27FC236}">
                <a16:creationId xmlns:a16="http://schemas.microsoft.com/office/drawing/2014/main" id="{00000000-0008-0000-0A00-000056000000}"/>
              </a:ext>
            </a:extLst>
          </xdr:cNvPr>
          <xdr:cNvSpPr/>
        </xdr:nvSpPr>
        <xdr:spPr>
          <a:xfrm rot="4962238">
            <a:off x="4021416" y="5457871"/>
            <a:ext cx="85725" cy="47533"/>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sp macro="" textlink="">
        <xdr:nvSpPr>
          <xdr:cNvPr id="87" name="Diagrama de flujo: proceso 130">
            <a:extLst>
              <a:ext uri="{FF2B5EF4-FFF2-40B4-BE49-F238E27FC236}">
                <a16:creationId xmlns:a16="http://schemas.microsoft.com/office/drawing/2014/main" id="{00000000-0008-0000-0A00-000057000000}"/>
              </a:ext>
            </a:extLst>
          </xdr:cNvPr>
          <xdr:cNvSpPr/>
        </xdr:nvSpPr>
        <xdr:spPr>
          <a:xfrm rot="5215593">
            <a:off x="4116482" y="5838871"/>
            <a:ext cx="85725" cy="47533"/>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sp macro="" textlink="">
        <xdr:nvSpPr>
          <xdr:cNvPr id="88" name="Diagrama de flujo: proceso 131">
            <a:extLst>
              <a:ext uri="{FF2B5EF4-FFF2-40B4-BE49-F238E27FC236}">
                <a16:creationId xmlns:a16="http://schemas.microsoft.com/office/drawing/2014/main" id="{00000000-0008-0000-0A00-000058000000}"/>
              </a:ext>
            </a:extLst>
          </xdr:cNvPr>
          <xdr:cNvSpPr/>
        </xdr:nvSpPr>
        <xdr:spPr>
          <a:xfrm rot="5400000">
            <a:off x="4106975" y="5753146"/>
            <a:ext cx="85725" cy="47533"/>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sp macro="" textlink="">
        <xdr:nvSpPr>
          <xdr:cNvPr id="89" name="Diagrama de flujo: proceso 132">
            <a:extLst>
              <a:ext uri="{FF2B5EF4-FFF2-40B4-BE49-F238E27FC236}">
                <a16:creationId xmlns:a16="http://schemas.microsoft.com/office/drawing/2014/main" id="{00000000-0008-0000-0A00-000059000000}"/>
              </a:ext>
            </a:extLst>
          </xdr:cNvPr>
          <xdr:cNvSpPr/>
        </xdr:nvSpPr>
        <xdr:spPr>
          <a:xfrm rot="5400000">
            <a:off x="4106975" y="5667421"/>
            <a:ext cx="85725" cy="47533"/>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sp macro="" textlink="">
        <xdr:nvSpPr>
          <xdr:cNvPr id="90" name="Diagrama de flujo: proceso 133">
            <a:extLst>
              <a:ext uri="{FF2B5EF4-FFF2-40B4-BE49-F238E27FC236}">
                <a16:creationId xmlns:a16="http://schemas.microsoft.com/office/drawing/2014/main" id="{00000000-0008-0000-0A00-00005A000000}"/>
              </a:ext>
            </a:extLst>
          </xdr:cNvPr>
          <xdr:cNvSpPr/>
        </xdr:nvSpPr>
        <xdr:spPr>
          <a:xfrm rot="4246011">
            <a:off x="4154508" y="6000796"/>
            <a:ext cx="85725" cy="47533"/>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sp macro="" textlink="">
        <xdr:nvSpPr>
          <xdr:cNvPr id="91" name="Diagrama de flujo: proceso 134">
            <a:extLst>
              <a:ext uri="{FF2B5EF4-FFF2-40B4-BE49-F238E27FC236}">
                <a16:creationId xmlns:a16="http://schemas.microsoft.com/office/drawing/2014/main" id="{00000000-0008-0000-0A00-00005B000000}"/>
              </a:ext>
            </a:extLst>
          </xdr:cNvPr>
          <xdr:cNvSpPr/>
        </xdr:nvSpPr>
        <xdr:spPr>
          <a:xfrm rot="4195604">
            <a:off x="4125989" y="5924596"/>
            <a:ext cx="85725" cy="47533"/>
          </a:xfrm>
          <a:prstGeom prst="flowChartProcess">
            <a:avLst/>
          </a:prstGeom>
          <a:solidFill>
            <a:srgbClr val="CC9CCC"/>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sp macro="" textlink="">
        <xdr:nvSpPr>
          <xdr:cNvPr id="92" name="Diagrama de flujo: proceso 135">
            <a:extLst>
              <a:ext uri="{FF2B5EF4-FFF2-40B4-BE49-F238E27FC236}">
                <a16:creationId xmlns:a16="http://schemas.microsoft.com/office/drawing/2014/main" id="{00000000-0008-0000-0A00-00005C000000}"/>
              </a:ext>
            </a:extLst>
          </xdr:cNvPr>
          <xdr:cNvSpPr/>
        </xdr:nvSpPr>
        <xdr:spPr>
          <a:xfrm rot="3755807">
            <a:off x="4183028" y="6076996"/>
            <a:ext cx="85725" cy="47533"/>
          </a:xfrm>
          <a:prstGeom prst="flowChartProcess">
            <a:avLst/>
          </a:prstGeom>
          <a:solidFill>
            <a:srgbClr val="00FF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s-CO"/>
          </a:p>
        </xdr:txBody>
      </xdr:sp>
      <xdr:sp macro="" textlink="">
        <xdr:nvSpPr>
          <xdr:cNvPr id="93" name="147 Triángulo isósceles">
            <a:extLst>
              <a:ext uri="{FF2B5EF4-FFF2-40B4-BE49-F238E27FC236}">
                <a16:creationId xmlns:a16="http://schemas.microsoft.com/office/drawing/2014/main" id="{00000000-0008-0000-0A00-00005D000000}"/>
              </a:ext>
            </a:extLst>
          </xdr:cNvPr>
          <xdr:cNvSpPr>
            <a:spLocks noChangeArrowheads="1"/>
          </xdr:cNvSpPr>
        </xdr:nvSpPr>
        <xdr:spPr bwMode="auto">
          <a:xfrm>
            <a:off x="4211631" y="4791075"/>
            <a:ext cx="161612" cy="66675"/>
          </a:xfrm>
          <a:prstGeom prst="triangle">
            <a:avLst>
              <a:gd name="adj" fmla="val 50000"/>
            </a:avLst>
          </a:prstGeom>
          <a:solidFill>
            <a:srgbClr val="FF0000"/>
          </a:solidFill>
          <a:ln w="9525" algn="ctr">
            <a:solidFill>
              <a:srgbClr val="00FF00"/>
            </a:solidFill>
            <a:round/>
            <a:headEnd/>
            <a:tailEnd/>
          </a:ln>
          <a:scene3d>
            <a:camera prst="orthographicFront">
              <a:rot lat="0" lon="0" rev="5400000"/>
            </a:camera>
            <a:lightRig rig="threePt" dir="t"/>
          </a:scene3d>
        </xdr:spPr>
        <xdr:txBody>
          <a:bodyPr/>
          <a:lstStyle/>
          <a:p>
            <a:endParaRPr lang="es-CO"/>
          </a:p>
        </xdr:txBody>
      </xdr:sp>
      <xdr:sp macro="" textlink="">
        <xdr:nvSpPr>
          <xdr:cNvPr id="94" name="95 CuadroTexto">
            <a:extLst>
              <a:ext uri="{FF2B5EF4-FFF2-40B4-BE49-F238E27FC236}">
                <a16:creationId xmlns:a16="http://schemas.microsoft.com/office/drawing/2014/main" id="{00000000-0008-0000-0A00-00005E000000}"/>
              </a:ext>
            </a:extLst>
          </xdr:cNvPr>
          <xdr:cNvSpPr txBox="1"/>
        </xdr:nvSpPr>
        <xdr:spPr>
          <a:xfrm>
            <a:off x="4534854" y="4572000"/>
            <a:ext cx="779539" cy="4095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s-US" sz="900">
                <a:solidFill>
                  <a:schemeClr val="bg1"/>
                </a:solidFill>
              </a:rPr>
              <a:t>   12</a:t>
            </a:r>
            <a:r>
              <a:rPr lang="es-US" sz="900" baseline="0">
                <a:solidFill>
                  <a:schemeClr val="bg1"/>
                </a:solidFill>
              </a:rPr>
              <a:t> </a:t>
            </a:r>
            <a:r>
              <a:rPr lang="es-US" sz="800">
                <a:solidFill>
                  <a:schemeClr val="bg1"/>
                </a:solidFill>
              </a:rPr>
              <a:t>PR94+0450</a:t>
            </a:r>
          </a:p>
        </xdr:txBody>
      </xdr:sp>
    </xdr:grpSp>
    <xdr:clientData/>
  </xdr:twoCellAnchor>
  <xdr:twoCellAnchor>
    <xdr:from>
      <xdr:col>3</xdr:col>
      <xdr:colOff>208653</xdr:colOff>
      <xdr:row>14</xdr:row>
      <xdr:rowOff>96519</xdr:rowOff>
    </xdr:from>
    <xdr:to>
      <xdr:col>3</xdr:col>
      <xdr:colOff>276658</xdr:colOff>
      <xdr:row>15</xdr:row>
      <xdr:rowOff>138098</xdr:rowOff>
    </xdr:to>
    <xdr:sp macro="" textlink="">
      <xdr:nvSpPr>
        <xdr:cNvPr id="185" name="147 Triángulo isósceles">
          <a:extLst>
            <a:ext uri="{FF2B5EF4-FFF2-40B4-BE49-F238E27FC236}">
              <a16:creationId xmlns:a16="http://schemas.microsoft.com/office/drawing/2014/main" id="{00000000-0008-0000-0A00-0000B9000000}"/>
            </a:ext>
          </a:extLst>
        </xdr:cNvPr>
        <xdr:cNvSpPr>
          <a:spLocks noChangeArrowheads="1"/>
        </xdr:cNvSpPr>
      </xdr:nvSpPr>
      <xdr:spPr bwMode="auto">
        <a:xfrm rot="4278061">
          <a:off x="2555491" y="2864606"/>
          <a:ext cx="232079" cy="68005"/>
        </a:xfrm>
        <a:prstGeom prst="triangle">
          <a:avLst>
            <a:gd name="adj" fmla="val 50000"/>
          </a:avLst>
        </a:prstGeom>
        <a:solidFill>
          <a:srgbClr val="FF0000"/>
        </a:solidFill>
        <a:ln w="9525" algn="ctr">
          <a:solidFill>
            <a:srgbClr val="00FF00"/>
          </a:solidFill>
          <a:round/>
          <a:headEnd/>
          <a:tailEnd/>
        </a:ln>
        <a:scene3d>
          <a:camera prst="orthographicFront">
            <a:rot lat="0" lon="0" rev="5400000"/>
          </a:camera>
          <a:lightRig rig="threePt" dir="t"/>
        </a:scene3d>
      </xdr:spPr>
      <xdr:txBody>
        <a:bodyPr/>
        <a:lstStyle/>
        <a:p>
          <a:endParaRPr lang="es-CO"/>
        </a:p>
      </xdr:txBody>
    </xdr:sp>
    <xdr:clientData/>
  </xdr:twoCellAnchor>
  <xdr:twoCellAnchor>
    <xdr:from>
      <xdr:col>3</xdr:col>
      <xdr:colOff>971550</xdr:colOff>
      <xdr:row>25</xdr:row>
      <xdr:rowOff>76200</xdr:rowOff>
    </xdr:from>
    <xdr:to>
      <xdr:col>4</xdr:col>
      <xdr:colOff>571500</xdr:colOff>
      <xdr:row>27</xdr:row>
      <xdr:rowOff>104775</xdr:rowOff>
    </xdr:to>
    <xdr:sp macro="" textlink="">
      <xdr:nvSpPr>
        <xdr:cNvPr id="187" name="95 CuadroTexto">
          <a:extLst>
            <a:ext uri="{FF2B5EF4-FFF2-40B4-BE49-F238E27FC236}">
              <a16:creationId xmlns:a16="http://schemas.microsoft.com/office/drawing/2014/main" id="{00000000-0008-0000-0A00-0000BB000000}"/>
            </a:ext>
          </a:extLst>
        </xdr:cNvPr>
        <xdr:cNvSpPr txBox="1"/>
      </xdr:nvSpPr>
      <xdr:spPr bwMode="auto">
        <a:xfrm>
          <a:off x="3400425" y="4857750"/>
          <a:ext cx="781050" cy="4095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s-US" sz="900">
              <a:solidFill>
                <a:schemeClr val="bg1"/>
              </a:solidFill>
            </a:rPr>
            <a:t>   </a:t>
          </a:r>
          <a:r>
            <a:rPr lang="es-US" sz="900" baseline="0">
              <a:solidFill>
                <a:schemeClr val="bg1"/>
              </a:solidFill>
            </a:rPr>
            <a:t> 13 </a:t>
          </a:r>
          <a:r>
            <a:rPr lang="es-US" sz="800">
              <a:solidFill>
                <a:schemeClr val="bg1"/>
              </a:solidFill>
            </a:rPr>
            <a:t>PR94+0260</a:t>
          </a:r>
        </a:p>
      </xdr:txBody>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3</xdr:col>
      <xdr:colOff>13608</xdr:colOff>
      <xdr:row>1192</xdr:row>
      <xdr:rowOff>149679</xdr:rowOff>
    </xdr:from>
    <xdr:to>
      <xdr:col>3</xdr:col>
      <xdr:colOff>2803072</xdr:colOff>
      <xdr:row>1197</xdr:row>
      <xdr:rowOff>54428</xdr:rowOff>
    </xdr:to>
    <xdr:pic>
      <xdr:nvPicPr>
        <xdr:cNvPr id="3" name="Imagen 2">
          <a:extLst>
            <a:ext uri="{FF2B5EF4-FFF2-40B4-BE49-F238E27FC236}">
              <a16:creationId xmlns:a16="http://schemas.microsoft.com/office/drawing/2014/main" id="{00000000-0008-0000-0D00-000003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2365" t="38163" r="20931" b="14798"/>
        <a:stretch/>
      </xdr:blipFill>
      <xdr:spPr>
        <a:xfrm>
          <a:off x="2503715" y="252956786"/>
          <a:ext cx="2789464" cy="721178"/>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xdr:from>
      <xdr:col>1</xdr:col>
      <xdr:colOff>1133475</xdr:colOff>
      <xdr:row>7</xdr:row>
      <xdr:rowOff>152400</xdr:rowOff>
    </xdr:from>
    <xdr:to>
      <xdr:col>5</xdr:col>
      <xdr:colOff>1266825</xdr:colOff>
      <xdr:row>7</xdr:row>
      <xdr:rowOff>152400</xdr:rowOff>
    </xdr:to>
    <xdr:sp macro="" textlink="">
      <xdr:nvSpPr>
        <xdr:cNvPr id="731193" name="Line 5">
          <a:extLst>
            <a:ext uri="{FF2B5EF4-FFF2-40B4-BE49-F238E27FC236}">
              <a16:creationId xmlns:a16="http://schemas.microsoft.com/office/drawing/2014/main" id="{00000000-0008-0000-0E00-000039280B00}"/>
            </a:ext>
          </a:extLst>
        </xdr:cNvPr>
        <xdr:cNvSpPr>
          <a:spLocks noChangeShapeType="1"/>
        </xdr:cNvSpPr>
      </xdr:nvSpPr>
      <xdr:spPr bwMode="auto">
        <a:xfrm>
          <a:off x="1752600" y="1685925"/>
          <a:ext cx="3495675"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352425</xdr:colOff>
      <xdr:row>7</xdr:row>
      <xdr:rowOff>152400</xdr:rowOff>
    </xdr:from>
    <xdr:to>
      <xdr:col>8</xdr:col>
      <xdr:colOff>1333500</xdr:colOff>
      <xdr:row>7</xdr:row>
      <xdr:rowOff>152400</xdr:rowOff>
    </xdr:to>
    <xdr:sp macro="" textlink="">
      <xdr:nvSpPr>
        <xdr:cNvPr id="731194" name="Line 6">
          <a:extLst>
            <a:ext uri="{FF2B5EF4-FFF2-40B4-BE49-F238E27FC236}">
              <a16:creationId xmlns:a16="http://schemas.microsoft.com/office/drawing/2014/main" id="{00000000-0008-0000-0E00-00003A280B00}"/>
            </a:ext>
          </a:extLst>
        </xdr:cNvPr>
        <xdr:cNvSpPr>
          <a:spLocks noChangeShapeType="1"/>
        </xdr:cNvSpPr>
      </xdr:nvSpPr>
      <xdr:spPr bwMode="auto">
        <a:xfrm>
          <a:off x="7000875" y="1685925"/>
          <a:ext cx="1990725"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11.xml><?xml version="1.0" encoding="utf-8"?>
<xdr:wsDr xmlns:xdr="http://schemas.openxmlformats.org/drawingml/2006/spreadsheetDrawing" xmlns:a="http://schemas.openxmlformats.org/drawingml/2006/main">
  <xdr:twoCellAnchor>
    <xdr:from>
      <xdr:col>6</xdr:col>
      <xdr:colOff>133350</xdr:colOff>
      <xdr:row>21</xdr:row>
      <xdr:rowOff>66675</xdr:rowOff>
    </xdr:from>
    <xdr:to>
      <xdr:col>6</xdr:col>
      <xdr:colOff>266700</xdr:colOff>
      <xdr:row>21</xdr:row>
      <xdr:rowOff>114300</xdr:rowOff>
    </xdr:to>
    <xdr:sp macro="" textlink="">
      <xdr:nvSpPr>
        <xdr:cNvPr id="712468" name="Oval 13">
          <a:extLst>
            <a:ext uri="{FF2B5EF4-FFF2-40B4-BE49-F238E27FC236}">
              <a16:creationId xmlns:a16="http://schemas.microsoft.com/office/drawing/2014/main" id="{00000000-0008-0000-0F00-000014DF0A00}"/>
            </a:ext>
          </a:extLst>
        </xdr:cNvPr>
        <xdr:cNvSpPr>
          <a:spLocks noChangeArrowheads="1"/>
        </xdr:cNvSpPr>
      </xdr:nvSpPr>
      <xdr:spPr bwMode="auto">
        <a:xfrm>
          <a:off x="5286375" y="7353300"/>
          <a:ext cx="133350" cy="47625"/>
        </a:xfrm>
        <a:prstGeom prst="ellipse">
          <a:avLst/>
        </a:prstGeom>
        <a:solidFill>
          <a:srgbClr val="FFFF00"/>
        </a:solidFill>
        <a:ln w="9525">
          <a:solidFill>
            <a:srgbClr val="000000"/>
          </a:solidFill>
          <a:round/>
          <a:headEnd/>
          <a:tailEnd/>
        </a:ln>
      </xdr:spPr>
    </xdr:sp>
    <xdr:clientData/>
  </xdr:twoCellAnchor>
  <xdr:twoCellAnchor>
    <xdr:from>
      <xdr:col>5</xdr:col>
      <xdr:colOff>200025</xdr:colOff>
      <xdr:row>21</xdr:row>
      <xdr:rowOff>57150</xdr:rowOff>
    </xdr:from>
    <xdr:to>
      <xdr:col>5</xdr:col>
      <xdr:colOff>352425</xdr:colOff>
      <xdr:row>21</xdr:row>
      <xdr:rowOff>95250</xdr:rowOff>
    </xdr:to>
    <xdr:sp macro="" textlink="">
      <xdr:nvSpPr>
        <xdr:cNvPr id="712469" name="Oval 17">
          <a:extLst>
            <a:ext uri="{FF2B5EF4-FFF2-40B4-BE49-F238E27FC236}">
              <a16:creationId xmlns:a16="http://schemas.microsoft.com/office/drawing/2014/main" id="{00000000-0008-0000-0F00-000015DF0A00}"/>
            </a:ext>
          </a:extLst>
        </xdr:cNvPr>
        <xdr:cNvSpPr>
          <a:spLocks noChangeArrowheads="1"/>
        </xdr:cNvSpPr>
      </xdr:nvSpPr>
      <xdr:spPr bwMode="auto">
        <a:xfrm>
          <a:off x="3895725" y="7343775"/>
          <a:ext cx="152400" cy="38100"/>
        </a:xfrm>
        <a:prstGeom prst="ellipse">
          <a:avLst/>
        </a:prstGeom>
        <a:solidFill>
          <a:srgbClr val="00FF00"/>
        </a:solidFill>
        <a:ln w="9525">
          <a:solidFill>
            <a:srgbClr val="000000"/>
          </a:solidFill>
          <a:round/>
          <a:headEnd/>
          <a:tailEnd/>
        </a:ln>
      </xdr:spPr>
    </xdr:sp>
    <xdr:clientData/>
  </xdr:twoCellAnchor>
  <xdr:twoCellAnchor>
    <xdr:from>
      <xdr:col>9</xdr:col>
      <xdr:colOff>219075</xdr:colOff>
      <xdr:row>21</xdr:row>
      <xdr:rowOff>66675</xdr:rowOff>
    </xdr:from>
    <xdr:to>
      <xdr:col>9</xdr:col>
      <xdr:colOff>352425</xdr:colOff>
      <xdr:row>21</xdr:row>
      <xdr:rowOff>114300</xdr:rowOff>
    </xdr:to>
    <xdr:sp macro="" textlink="">
      <xdr:nvSpPr>
        <xdr:cNvPr id="712470" name="Oval 18">
          <a:extLst>
            <a:ext uri="{FF2B5EF4-FFF2-40B4-BE49-F238E27FC236}">
              <a16:creationId xmlns:a16="http://schemas.microsoft.com/office/drawing/2014/main" id="{00000000-0008-0000-0F00-000016DF0A00}"/>
            </a:ext>
          </a:extLst>
        </xdr:cNvPr>
        <xdr:cNvSpPr>
          <a:spLocks noChangeArrowheads="1"/>
        </xdr:cNvSpPr>
      </xdr:nvSpPr>
      <xdr:spPr bwMode="auto">
        <a:xfrm>
          <a:off x="6886575" y="7353300"/>
          <a:ext cx="133350" cy="47625"/>
        </a:xfrm>
        <a:prstGeom prst="ellipse">
          <a:avLst/>
        </a:prstGeom>
        <a:solidFill>
          <a:srgbClr val="FF0000"/>
        </a:solidFill>
        <a:ln w="9525">
          <a:solidFill>
            <a:srgbClr val="000000"/>
          </a:solidFill>
          <a:round/>
          <a:headEnd/>
          <a:tailEnd/>
        </a:ln>
      </xdr:spPr>
    </xdr:sp>
    <xdr:clientData/>
  </xdr:twoCellAnchor>
  <xdr:twoCellAnchor>
    <xdr:from>
      <xdr:col>9</xdr:col>
      <xdr:colOff>1028700</xdr:colOff>
      <xdr:row>11</xdr:row>
      <xdr:rowOff>647700</xdr:rowOff>
    </xdr:from>
    <xdr:to>
      <xdr:col>9</xdr:col>
      <xdr:colOff>514350</xdr:colOff>
      <xdr:row>11</xdr:row>
      <xdr:rowOff>1219200</xdr:rowOff>
    </xdr:to>
    <xdr:sp macro="" textlink="">
      <xdr:nvSpPr>
        <xdr:cNvPr id="712471" name="Oval 17">
          <a:extLst>
            <a:ext uri="{FF2B5EF4-FFF2-40B4-BE49-F238E27FC236}">
              <a16:creationId xmlns:a16="http://schemas.microsoft.com/office/drawing/2014/main" id="{00000000-0008-0000-0F00-000017DF0A00}"/>
            </a:ext>
          </a:extLst>
        </xdr:cNvPr>
        <xdr:cNvSpPr>
          <a:spLocks noChangeArrowheads="1"/>
        </xdr:cNvSpPr>
      </xdr:nvSpPr>
      <xdr:spPr bwMode="auto">
        <a:xfrm>
          <a:off x="7200900" y="3190875"/>
          <a:ext cx="0" cy="114300"/>
        </a:xfrm>
        <a:prstGeom prst="ellipse">
          <a:avLst/>
        </a:prstGeom>
        <a:solidFill>
          <a:srgbClr val="00FF00"/>
        </a:solidFill>
        <a:ln w="9525">
          <a:solidFill>
            <a:srgbClr val="000000"/>
          </a:solidFill>
          <a:round/>
          <a:headEnd/>
          <a:tailEnd/>
        </a:ln>
      </xdr:spPr>
    </xdr:sp>
    <xdr:clientData/>
  </xdr:twoCellAnchor>
  <xdr:twoCellAnchor>
    <xdr:from>
      <xdr:col>10</xdr:col>
      <xdr:colOff>876300</xdr:colOff>
      <xdr:row>11</xdr:row>
      <xdr:rowOff>581025</xdr:rowOff>
    </xdr:from>
    <xdr:to>
      <xdr:col>10</xdr:col>
      <xdr:colOff>419100</xdr:colOff>
      <xdr:row>11</xdr:row>
      <xdr:rowOff>1219200</xdr:rowOff>
    </xdr:to>
    <xdr:sp macro="" textlink="">
      <xdr:nvSpPr>
        <xdr:cNvPr id="712472" name="Oval 17">
          <a:extLst>
            <a:ext uri="{FF2B5EF4-FFF2-40B4-BE49-F238E27FC236}">
              <a16:creationId xmlns:a16="http://schemas.microsoft.com/office/drawing/2014/main" id="{00000000-0008-0000-0F00-000018DF0A00}"/>
            </a:ext>
          </a:extLst>
        </xdr:cNvPr>
        <xdr:cNvSpPr>
          <a:spLocks noChangeArrowheads="1"/>
        </xdr:cNvSpPr>
      </xdr:nvSpPr>
      <xdr:spPr bwMode="auto">
        <a:xfrm>
          <a:off x="7620000" y="3124200"/>
          <a:ext cx="0" cy="180975"/>
        </a:xfrm>
        <a:prstGeom prst="ellipse">
          <a:avLst/>
        </a:prstGeom>
        <a:solidFill>
          <a:srgbClr val="00FF00"/>
        </a:solid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12</xdr:row>
      <xdr:rowOff>0</xdr:rowOff>
    </xdr:to>
    <xdr:sp macro="" textlink="">
      <xdr:nvSpPr>
        <xdr:cNvPr id="712473" name="Oval 17">
          <a:extLst>
            <a:ext uri="{FF2B5EF4-FFF2-40B4-BE49-F238E27FC236}">
              <a16:creationId xmlns:a16="http://schemas.microsoft.com/office/drawing/2014/main" id="{00000000-0008-0000-0F00-000019DF0A00}"/>
            </a:ext>
          </a:extLst>
        </xdr:cNvPr>
        <xdr:cNvSpPr>
          <a:spLocks noChangeArrowheads="1"/>
        </xdr:cNvSpPr>
      </xdr:nvSpPr>
      <xdr:spPr bwMode="auto">
        <a:xfrm>
          <a:off x="8210550" y="3305175"/>
          <a:ext cx="0" cy="0"/>
        </a:xfrm>
        <a:prstGeom prst="ellipse">
          <a:avLst/>
        </a:prstGeom>
        <a:solidFill>
          <a:srgbClr val="00FF00"/>
        </a:solidFill>
        <a:ln w="9525">
          <a:solidFill>
            <a:srgbClr val="000000"/>
          </a:solidFill>
          <a:round/>
          <a:headEnd/>
          <a:tailEnd/>
        </a:ln>
      </xdr:spPr>
    </xdr:sp>
    <xdr:clientData/>
  </xdr:twoCellAnchor>
  <xdr:twoCellAnchor>
    <xdr:from>
      <xdr:col>9</xdr:col>
      <xdr:colOff>962025</xdr:colOff>
      <xdr:row>12</xdr:row>
      <xdr:rowOff>771525</xdr:rowOff>
    </xdr:from>
    <xdr:to>
      <xdr:col>9</xdr:col>
      <xdr:colOff>514350</xdr:colOff>
      <xdr:row>12</xdr:row>
      <xdr:rowOff>1409700</xdr:rowOff>
    </xdr:to>
    <xdr:sp macro="" textlink="">
      <xdr:nvSpPr>
        <xdr:cNvPr id="712474" name="Oval 17">
          <a:extLst>
            <a:ext uri="{FF2B5EF4-FFF2-40B4-BE49-F238E27FC236}">
              <a16:creationId xmlns:a16="http://schemas.microsoft.com/office/drawing/2014/main" id="{00000000-0008-0000-0F00-00001ADF0A00}"/>
            </a:ext>
          </a:extLst>
        </xdr:cNvPr>
        <xdr:cNvSpPr>
          <a:spLocks noChangeArrowheads="1"/>
        </xdr:cNvSpPr>
      </xdr:nvSpPr>
      <xdr:spPr bwMode="auto">
        <a:xfrm>
          <a:off x="7200900" y="3762375"/>
          <a:ext cx="0" cy="0"/>
        </a:xfrm>
        <a:prstGeom prst="ellipse">
          <a:avLst/>
        </a:prstGeom>
        <a:solidFill>
          <a:srgbClr val="00FF00"/>
        </a:solidFill>
        <a:ln w="9525">
          <a:solidFill>
            <a:srgbClr val="000000"/>
          </a:solidFill>
          <a:round/>
          <a:headEnd/>
          <a:tailEnd/>
        </a:ln>
      </xdr:spPr>
    </xdr:sp>
    <xdr:clientData/>
  </xdr:twoCellAnchor>
  <xdr:twoCellAnchor>
    <xdr:from>
      <xdr:col>10</xdr:col>
      <xdr:colOff>809625</xdr:colOff>
      <xdr:row>12</xdr:row>
      <xdr:rowOff>771525</xdr:rowOff>
    </xdr:from>
    <xdr:to>
      <xdr:col>10</xdr:col>
      <xdr:colOff>419100</xdr:colOff>
      <xdr:row>12</xdr:row>
      <xdr:rowOff>1409700</xdr:rowOff>
    </xdr:to>
    <xdr:sp macro="" textlink="">
      <xdr:nvSpPr>
        <xdr:cNvPr id="712475" name="Oval 17">
          <a:extLst>
            <a:ext uri="{FF2B5EF4-FFF2-40B4-BE49-F238E27FC236}">
              <a16:creationId xmlns:a16="http://schemas.microsoft.com/office/drawing/2014/main" id="{00000000-0008-0000-0F00-00001BDF0A00}"/>
            </a:ext>
          </a:extLst>
        </xdr:cNvPr>
        <xdr:cNvSpPr>
          <a:spLocks noChangeArrowheads="1"/>
        </xdr:cNvSpPr>
      </xdr:nvSpPr>
      <xdr:spPr bwMode="auto">
        <a:xfrm>
          <a:off x="7620000" y="3762375"/>
          <a:ext cx="0" cy="0"/>
        </a:xfrm>
        <a:prstGeom prst="ellipse">
          <a:avLst/>
        </a:prstGeom>
        <a:solidFill>
          <a:srgbClr val="FFFF00"/>
        </a:solidFill>
        <a:ln w="9525">
          <a:solidFill>
            <a:srgbClr val="000000"/>
          </a:solidFill>
          <a:round/>
          <a:headEnd/>
          <a:tailEnd/>
        </a:ln>
      </xdr:spPr>
    </xdr:sp>
    <xdr:clientData/>
  </xdr:twoCellAnchor>
  <xdr:twoCellAnchor>
    <xdr:from>
      <xdr:col>12</xdr:col>
      <xdr:colOff>0</xdr:colOff>
      <xdr:row>13</xdr:row>
      <xdr:rowOff>0</xdr:rowOff>
    </xdr:from>
    <xdr:to>
      <xdr:col>12</xdr:col>
      <xdr:colOff>0</xdr:colOff>
      <xdr:row>13</xdr:row>
      <xdr:rowOff>0</xdr:rowOff>
    </xdr:to>
    <xdr:sp macro="" textlink="">
      <xdr:nvSpPr>
        <xdr:cNvPr id="712476" name="Oval 17">
          <a:extLst>
            <a:ext uri="{FF2B5EF4-FFF2-40B4-BE49-F238E27FC236}">
              <a16:creationId xmlns:a16="http://schemas.microsoft.com/office/drawing/2014/main" id="{00000000-0008-0000-0F00-00001CDF0A00}"/>
            </a:ext>
          </a:extLst>
        </xdr:cNvPr>
        <xdr:cNvSpPr>
          <a:spLocks noChangeArrowheads="1"/>
        </xdr:cNvSpPr>
      </xdr:nvSpPr>
      <xdr:spPr bwMode="auto">
        <a:xfrm>
          <a:off x="8210550" y="3762375"/>
          <a:ext cx="0" cy="0"/>
        </a:xfrm>
        <a:prstGeom prst="ellipse">
          <a:avLst/>
        </a:prstGeom>
        <a:solidFill>
          <a:srgbClr val="00FF00"/>
        </a:solidFill>
        <a:ln w="9525">
          <a:solidFill>
            <a:srgbClr val="000000"/>
          </a:solidFill>
          <a:round/>
          <a:headEnd/>
          <a:tailEnd/>
        </a:ln>
      </xdr:spPr>
    </xdr:sp>
    <xdr:clientData/>
  </xdr:twoCellAnchor>
  <xdr:twoCellAnchor>
    <xdr:from>
      <xdr:col>12</xdr:col>
      <xdr:colOff>0</xdr:colOff>
      <xdr:row>14</xdr:row>
      <xdr:rowOff>0</xdr:rowOff>
    </xdr:from>
    <xdr:to>
      <xdr:col>12</xdr:col>
      <xdr:colOff>0</xdr:colOff>
      <xdr:row>14</xdr:row>
      <xdr:rowOff>0</xdr:rowOff>
    </xdr:to>
    <xdr:sp macro="" textlink="">
      <xdr:nvSpPr>
        <xdr:cNvPr id="712477" name="Oval 17">
          <a:extLst>
            <a:ext uri="{FF2B5EF4-FFF2-40B4-BE49-F238E27FC236}">
              <a16:creationId xmlns:a16="http://schemas.microsoft.com/office/drawing/2014/main" id="{00000000-0008-0000-0F00-00001DDF0A00}"/>
            </a:ext>
          </a:extLst>
        </xdr:cNvPr>
        <xdr:cNvSpPr>
          <a:spLocks noChangeArrowheads="1"/>
        </xdr:cNvSpPr>
      </xdr:nvSpPr>
      <xdr:spPr bwMode="auto">
        <a:xfrm>
          <a:off x="8210550" y="4067175"/>
          <a:ext cx="0" cy="0"/>
        </a:xfrm>
        <a:prstGeom prst="ellipse">
          <a:avLst/>
        </a:prstGeom>
        <a:solidFill>
          <a:srgbClr val="00FF00"/>
        </a:solidFill>
        <a:ln w="9525">
          <a:solidFill>
            <a:srgbClr val="000000"/>
          </a:solidFill>
          <a:round/>
          <a:headEnd/>
          <a:tailEnd/>
        </a:ln>
      </xdr:spPr>
    </xdr:sp>
    <xdr:clientData/>
  </xdr:twoCellAnchor>
  <xdr:twoCellAnchor>
    <xdr:from>
      <xdr:col>12</xdr:col>
      <xdr:colOff>0</xdr:colOff>
      <xdr:row>16</xdr:row>
      <xdr:rowOff>600075</xdr:rowOff>
    </xdr:from>
    <xdr:to>
      <xdr:col>12</xdr:col>
      <xdr:colOff>0</xdr:colOff>
      <xdr:row>17</xdr:row>
      <xdr:rowOff>0</xdr:rowOff>
    </xdr:to>
    <xdr:sp macro="" textlink="">
      <xdr:nvSpPr>
        <xdr:cNvPr id="712478" name="Oval 17">
          <a:extLst>
            <a:ext uri="{FF2B5EF4-FFF2-40B4-BE49-F238E27FC236}">
              <a16:creationId xmlns:a16="http://schemas.microsoft.com/office/drawing/2014/main" id="{00000000-0008-0000-0F00-00001EDF0A00}"/>
            </a:ext>
          </a:extLst>
        </xdr:cNvPr>
        <xdr:cNvSpPr>
          <a:spLocks noChangeArrowheads="1"/>
        </xdr:cNvSpPr>
      </xdr:nvSpPr>
      <xdr:spPr bwMode="auto">
        <a:xfrm>
          <a:off x="8210550" y="5581650"/>
          <a:ext cx="0" cy="314325"/>
        </a:xfrm>
        <a:prstGeom prst="ellipse">
          <a:avLst/>
        </a:prstGeom>
        <a:solidFill>
          <a:srgbClr val="00FF00"/>
        </a:solidFill>
        <a:ln w="9525">
          <a:solidFill>
            <a:srgbClr val="000000"/>
          </a:solidFill>
          <a:round/>
          <a:headEnd/>
          <a:tailEnd/>
        </a:ln>
      </xdr:spPr>
    </xdr:sp>
    <xdr:clientData/>
  </xdr:twoCellAnchor>
  <xdr:twoCellAnchor>
    <xdr:from>
      <xdr:col>12</xdr:col>
      <xdr:colOff>0</xdr:colOff>
      <xdr:row>18</xdr:row>
      <xdr:rowOff>0</xdr:rowOff>
    </xdr:from>
    <xdr:to>
      <xdr:col>12</xdr:col>
      <xdr:colOff>0</xdr:colOff>
      <xdr:row>18</xdr:row>
      <xdr:rowOff>0</xdr:rowOff>
    </xdr:to>
    <xdr:sp macro="" textlink="">
      <xdr:nvSpPr>
        <xdr:cNvPr id="712479" name="Oval 17">
          <a:extLst>
            <a:ext uri="{FF2B5EF4-FFF2-40B4-BE49-F238E27FC236}">
              <a16:creationId xmlns:a16="http://schemas.microsoft.com/office/drawing/2014/main" id="{00000000-0008-0000-0F00-00001FDF0A00}"/>
            </a:ext>
          </a:extLst>
        </xdr:cNvPr>
        <xdr:cNvSpPr>
          <a:spLocks noChangeArrowheads="1"/>
        </xdr:cNvSpPr>
      </xdr:nvSpPr>
      <xdr:spPr bwMode="auto">
        <a:xfrm>
          <a:off x="8210550" y="6353175"/>
          <a:ext cx="0" cy="0"/>
        </a:xfrm>
        <a:prstGeom prst="ellipse">
          <a:avLst/>
        </a:prstGeom>
        <a:solidFill>
          <a:srgbClr val="00FF00"/>
        </a:solidFill>
        <a:ln w="9525">
          <a:solidFill>
            <a:srgbClr val="000000"/>
          </a:solidFill>
          <a:round/>
          <a:headEnd/>
          <a:tailEnd/>
        </a:ln>
      </xdr:spPr>
    </xdr:sp>
    <xdr:clientData/>
  </xdr:twoCellAnchor>
  <xdr:twoCellAnchor>
    <xdr:from>
      <xdr:col>10</xdr:col>
      <xdr:colOff>809625</xdr:colOff>
      <xdr:row>13</xdr:row>
      <xdr:rowOff>533400</xdr:rowOff>
    </xdr:from>
    <xdr:to>
      <xdr:col>10</xdr:col>
      <xdr:colOff>419100</xdr:colOff>
      <xdr:row>13</xdr:row>
      <xdr:rowOff>914400</xdr:rowOff>
    </xdr:to>
    <xdr:sp macro="" textlink="">
      <xdr:nvSpPr>
        <xdr:cNvPr id="712480" name="Oval 17">
          <a:extLst>
            <a:ext uri="{FF2B5EF4-FFF2-40B4-BE49-F238E27FC236}">
              <a16:creationId xmlns:a16="http://schemas.microsoft.com/office/drawing/2014/main" id="{00000000-0008-0000-0F00-000020DF0A00}"/>
            </a:ext>
          </a:extLst>
        </xdr:cNvPr>
        <xdr:cNvSpPr>
          <a:spLocks noChangeArrowheads="1"/>
        </xdr:cNvSpPr>
      </xdr:nvSpPr>
      <xdr:spPr bwMode="auto">
        <a:xfrm>
          <a:off x="7620000" y="4067175"/>
          <a:ext cx="0" cy="0"/>
        </a:xfrm>
        <a:prstGeom prst="ellipse">
          <a:avLst/>
        </a:prstGeom>
        <a:solidFill>
          <a:srgbClr val="00FF00"/>
        </a:solidFill>
        <a:ln w="9525">
          <a:solidFill>
            <a:srgbClr val="000000"/>
          </a:solidFill>
          <a:round/>
          <a:headEnd/>
          <a:tailEnd/>
        </a:ln>
      </xdr:spPr>
    </xdr:sp>
    <xdr:clientData/>
  </xdr:twoCellAnchor>
  <xdr:twoCellAnchor>
    <xdr:from>
      <xdr:col>10</xdr:col>
      <xdr:colOff>809625</xdr:colOff>
      <xdr:row>14</xdr:row>
      <xdr:rowOff>714375</xdr:rowOff>
    </xdr:from>
    <xdr:to>
      <xdr:col>10</xdr:col>
      <xdr:colOff>419100</xdr:colOff>
      <xdr:row>14</xdr:row>
      <xdr:rowOff>914400</xdr:rowOff>
    </xdr:to>
    <xdr:sp macro="" textlink="">
      <xdr:nvSpPr>
        <xdr:cNvPr id="712481" name="Oval 17">
          <a:extLst>
            <a:ext uri="{FF2B5EF4-FFF2-40B4-BE49-F238E27FC236}">
              <a16:creationId xmlns:a16="http://schemas.microsoft.com/office/drawing/2014/main" id="{00000000-0008-0000-0F00-000021DF0A00}"/>
            </a:ext>
          </a:extLst>
        </xdr:cNvPr>
        <xdr:cNvSpPr>
          <a:spLocks noChangeArrowheads="1"/>
        </xdr:cNvSpPr>
      </xdr:nvSpPr>
      <xdr:spPr bwMode="auto">
        <a:xfrm>
          <a:off x="7620000" y="4371975"/>
          <a:ext cx="0" cy="0"/>
        </a:xfrm>
        <a:prstGeom prst="ellipse">
          <a:avLst/>
        </a:prstGeom>
        <a:solidFill>
          <a:srgbClr val="00FF00"/>
        </a:solidFill>
        <a:ln w="9525">
          <a:solidFill>
            <a:srgbClr val="000000"/>
          </a:solidFill>
          <a:round/>
          <a:headEnd/>
          <a:tailEnd/>
        </a:ln>
      </xdr:spPr>
    </xdr:sp>
    <xdr:clientData/>
  </xdr:twoCellAnchor>
  <xdr:twoCellAnchor>
    <xdr:from>
      <xdr:col>10</xdr:col>
      <xdr:colOff>809625</xdr:colOff>
      <xdr:row>15</xdr:row>
      <xdr:rowOff>771525</xdr:rowOff>
    </xdr:from>
    <xdr:to>
      <xdr:col>10</xdr:col>
      <xdr:colOff>419100</xdr:colOff>
      <xdr:row>15</xdr:row>
      <xdr:rowOff>914400</xdr:rowOff>
    </xdr:to>
    <xdr:sp macro="" textlink="">
      <xdr:nvSpPr>
        <xdr:cNvPr id="712482" name="Oval 17">
          <a:extLst>
            <a:ext uri="{FF2B5EF4-FFF2-40B4-BE49-F238E27FC236}">
              <a16:creationId xmlns:a16="http://schemas.microsoft.com/office/drawing/2014/main" id="{00000000-0008-0000-0F00-000022DF0A00}"/>
            </a:ext>
          </a:extLst>
        </xdr:cNvPr>
        <xdr:cNvSpPr>
          <a:spLocks noChangeArrowheads="1"/>
        </xdr:cNvSpPr>
      </xdr:nvSpPr>
      <xdr:spPr bwMode="auto">
        <a:xfrm>
          <a:off x="7620000" y="4981575"/>
          <a:ext cx="0" cy="0"/>
        </a:xfrm>
        <a:prstGeom prst="ellipse">
          <a:avLst/>
        </a:prstGeom>
        <a:solidFill>
          <a:srgbClr val="00FF00"/>
        </a:solidFill>
        <a:ln w="9525">
          <a:solidFill>
            <a:srgbClr val="000000"/>
          </a:solidFill>
          <a:round/>
          <a:headEnd/>
          <a:tailEnd/>
        </a:ln>
      </xdr:spPr>
    </xdr:sp>
    <xdr:clientData/>
  </xdr:twoCellAnchor>
  <xdr:twoCellAnchor>
    <xdr:from>
      <xdr:col>10</xdr:col>
      <xdr:colOff>809625</xdr:colOff>
      <xdr:row>16</xdr:row>
      <xdr:rowOff>533400</xdr:rowOff>
    </xdr:from>
    <xdr:to>
      <xdr:col>10</xdr:col>
      <xdr:colOff>419100</xdr:colOff>
      <xdr:row>16</xdr:row>
      <xdr:rowOff>1247775</xdr:rowOff>
    </xdr:to>
    <xdr:sp macro="" textlink="">
      <xdr:nvSpPr>
        <xdr:cNvPr id="712483" name="Oval 17">
          <a:extLst>
            <a:ext uri="{FF2B5EF4-FFF2-40B4-BE49-F238E27FC236}">
              <a16:creationId xmlns:a16="http://schemas.microsoft.com/office/drawing/2014/main" id="{00000000-0008-0000-0F00-000023DF0A00}"/>
            </a:ext>
          </a:extLst>
        </xdr:cNvPr>
        <xdr:cNvSpPr>
          <a:spLocks noChangeArrowheads="1"/>
        </xdr:cNvSpPr>
      </xdr:nvSpPr>
      <xdr:spPr bwMode="auto">
        <a:xfrm>
          <a:off x="7620000" y="5514975"/>
          <a:ext cx="0" cy="381000"/>
        </a:xfrm>
        <a:prstGeom prst="ellipse">
          <a:avLst/>
        </a:prstGeom>
        <a:solidFill>
          <a:srgbClr val="00FF00"/>
        </a:solidFill>
        <a:ln w="9525">
          <a:solidFill>
            <a:srgbClr val="000000"/>
          </a:solidFill>
          <a:round/>
          <a:headEnd/>
          <a:tailEnd/>
        </a:ln>
      </xdr:spPr>
    </xdr:sp>
    <xdr:clientData/>
  </xdr:twoCellAnchor>
  <xdr:twoCellAnchor>
    <xdr:from>
      <xdr:col>10</xdr:col>
      <xdr:colOff>752475</xdr:colOff>
      <xdr:row>17</xdr:row>
      <xdr:rowOff>952500</xdr:rowOff>
    </xdr:from>
    <xdr:to>
      <xdr:col>10</xdr:col>
      <xdr:colOff>419100</xdr:colOff>
      <xdr:row>17</xdr:row>
      <xdr:rowOff>1666875</xdr:rowOff>
    </xdr:to>
    <xdr:sp macro="" textlink="">
      <xdr:nvSpPr>
        <xdr:cNvPr id="712484" name="Oval 17">
          <a:extLst>
            <a:ext uri="{FF2B5EF4-FFF2-40B4-BE49-F238E27FC236}">
              <a16:creationId xmlns:a16="http://schemas.microsoft.com/office/drawing/2014/main" id="{00000000-0008-0000-0F00-000024DF0A00}"/>
            </a:ext>
          </a:extLst>
        </xdr:cNvPr>
        <xdr:cNvSpPr>
          <a:spLocks noChangeArrowheads="1"/>
        </xdr:cNvSpPr>
      </xdr:nvSpPr>
      <xdr:spPr bwMode="auto">
        <a:xfrm>
          <a:off x="7620000" y="6353175"/>
          <a:ext cx="0" cy="0"/>
        </a:xfrm>
        <a:prstGeom prst="ellipse">
          <a:avLst/>
        </a:prstGeom>
        <a:solidFill>
          <a:srgbClr val="FFFF00"/>
        </a:solidFill>
        <a:ln w="9525">
          <a:solidFill>
            <a:srgbClr val="000000"/>
          </a:solidFill>
          <a:round/>
          <a:headEnd/>
          <a:tailEnd/>
        </a:ln>
      </xdr:spPr>
    </xdr:sp>
    <xdr:clientData/>
  </xdr:twoCellAnchor>
  <xdr:twoCellAnchor>
    <xdr:from>
      <xdr:col>9</xdr:col>
      <xdr:colOff>1028700</xdr:colOff>
      <xdr:row>13</xdr:row>
      <xdr:rowOff>600075</xdr:rowOff>
    </xdr:from>
    <xdr:to>
      <xdr:col>9</xdr:col>
      <xdr:colOff>514350</xdr:colOff>
      <xdr:row>13</xdr:row>
      <xdr:rowOff>914400</xdr:rowOff>
    </xdr:to>
    <xdr:sp macro="" textlink="">
      <xdr:nvSpPr>
        <xdr:cNvPr id="712485" name="Oval 17">
          <a:extLst>
            <a:ext uri="{FF2B5EF4-FFF2-40B4-BE49-F238E27FC236}">
              <a16:creationId xmlns:a16="http://schemas.microsoft.com/office/drawing/2014/main" id="{00000000-0008-0000-0F00-000025DF0A00}"/>
            </a:ext>
          </a:extLst>
        </xdr:cNvPr>
        <xdr:cNvSpPr>
          <a:spLocks noChangeArrowheads="1"/>
        </xdr:cNvSpPr>
      </xdr:nvSpPr>
      <xdr:spPr bwMode="auto">
        <a:xfrm>
          <a:off x="7200900" y="4067175"/>
          <a:ext cx="0" cy="0"/>
        </a:xfrm>
        <a:prstGeom prst="ellipse">
          <a:avLst/>
        </a:prstGeom>
        <a:solidFill>
          <a:srgbClr val="FFFF00"/>
        </a:solidFill>
        <a:ln w="9525">
          <a:solidFill>
            <a:srgbClr val="000000"/>
          </a:solidFill>
          <a:round/>
          <a:headEnd/>
          <a:tailEnd/>
        </a:ln>
      </xdr:spPr>
    </xdr:sp>
    <xdr:clientData/>
  </xdr:twoCellAnchor>
  <xdr:twoCellAnchor>
    <xdr:from>
      <xdr:col>9</xdr:col>
      <xdr:colOff>962025</xdr:colOff>
      <xdr:row>14</xdr:row>
      <xdr:rowOff>771525</xdr:rowOff>
    </xdr:from>
    <xdr:to>
      <xdr:col>9</xdr:col>
      <xdr:colOff>514350</xdr:colOff>
      <xdr:row>14</xdr:row>
      <xdr:rowOff>914400</xdr:rowOff>
    </xdr:to>
    <xdr:sp macro="" textlink="">
      <xdr:nvSpPr>
        <xdr:cNvPr id="712486" name="Oval 17">
          <a:extLst>
            <a:ext uri="{FF2B5EF4-FFF2-40B4-BE49-F238E27FC236}">
              <a16:creationId xmlns:a16="http://schemas.microsoft.com/office/drawing/2014/main" id="{00000000-0008-0000-0F00-000026DF0A00}"/>
            </a:ext>
          </a:extLst>
        </xdr:cNvPr>
        <xdr:cNvSpPr>
          <a:spLocks noChangeArrowheads="1"/>
        </xdr:cNvSpPr>
      </xdr:nvSpPr>
      <xdr:spPr bwMode="auto">
        <a:xfrm>
          <a:off x="7200900" y="4371975"/>
          <a:ext cx="0" cy="0"/>
        </a:xfrm>
        <a:prstGeom prst="ellipse">
          <a:avLst/>
        </a:prstGeom>
        <a:solidFill>
          <a:srgbClr val="00FF00"/>
        </a:solidFill>
        <a:ln w="9525">
          <a:solidFill>
            <a:srgbClr val="000000"/>
          </a:solidFill>
          <a:round/>
          <a:headEnd/>
          <a:tailEnd/>
        </a:ln>
      </xdr:spPr>
    </xdr:sp>
    <xdr:clientData/>
  </xdr:twoCellAnchor>
  <xdr:twoCellAnchor>
    <xdr:from>
      <xdr:col>9</xdr:col>
      <xdr:colOff>1028700</xdr:colOff>
      <xdr:row>15</xdr:row>
      <xdr:rowOff>771525</xdr:rowOff>
    </xdr:from>
    <xdr:to>
      <xdr:col>9</xdr:col>
      <xdr:colOff>514350</xdr:colOff>
      <xdr:row>15</xdr:row>
      <xdr:rowOff>914400</xdr:rowOff>
    </xdr:to>
    <xdr:sp macro="" textlink="">
      <xdr:nvSpPr>
        <xdr:cNvPr id="712487" name="Oval 17">
          <a:extLst>
            <a:ext uri="{FF2B5EF4-FFF2-40B4-BE49-F238E27FC236}">
              <a16:creationId xmlns:a16="http://schemas.microsoft.com/office/drawing/2014/main" id="{00000000-0008-0000-0F00-000027DF0A00}"/>
            </a:ext>
          </a:extLst>
        </xdr:cNvPr>
        <xdr:cNvSpPr>
          <a:spLocks noChangeArrowheads="1"/>
        </xdr:cNvSpPr>
      </xdr:nvSpPr>
      <xdr:spPr bwMode="auto">
        <a:xfrm>
          <a:off x="7200900" y="4981575"/>
          <a:ext cx="0" cy="0"/>
        </a:xfrm>
        <a:prstGeom prst="ellipse">
          <a:avLst/>
        </a:prstGeom>
        <a:solidFill>
          <a:srgbClr val="00FF00"/>
        </a:solidFill>
        <a:ln w="9525">
          <a:solidFill>
            <a:srgbClr val="000000"/>
          </a:solidFill>
          <a:round/>
          <a:headEnd/>
          <a:tailEnd/>
        </a:ln>
      </xdr:spPr>
    </xdr:sp>
    <xdr:clientData/>
  </xdr:twoCellAnchor>
  <xdr:twoCellAnchor>
    <xdr:from>
      <xdr:col>9</xdr:col>
      <xdr:colOff>1028700</xdr:colOff>
      <xdr:row>16</xdr:row>
      <xdr:rowOff>533400</xdr:rowOff>
    </xdr:from>
    <xdr:to>
      <xdr:col>9</xdr:col>
      <xdr:colOff>514350</xdr:colOff>
      <xdr:row>16</xdr:row>
      <xdr:rowOff>1247775</xdr:rowOff>
    </xdr:to>
    <xdr:sp macro="" textlink="">
      <xdr:nvSpPr>
        <xdr:cNvPr id="712488" name="Oval 17">
          <a:extLst>
            <a:ext uri="{FF2B5EF4-FFF2-40B4-BE49-F238E27FC236}">
              <a16:creationId xmlns:a16="http://schemas.microsoft.com/office/drawing/2014/main" id="{00000000-0008-0000-0F00-000028DF0A00}"/>
            </a:ext>
          </a:extLst>
        </xdr:cNvPr>
        <xdr:cNvSpPr>
          <a:spLocks noChangeArrowheads="1"/>
        </xdr:cNvSpPr>
      </xdr:nvSpPr>
      <xdr:spPr bwMode="auto">
        <a:xfrm>
          <a:off x="7200900" y="5514975"/>
          <a:ext cx="0" cy="381000"/>
        </a:xfrm>
        <a:prstGeom prst="ellipse">
          <a:avLst/>
        </a:prstGeom>
        <a:solidFill>
          <a:srgbClr val="FFFF00"/>
        </a:solidFill>
        <a:ln w="9525">
          <a:solidFill>
            <a:srgbClr val="000000"/>
          </a:solidFill>
          <a:round/>
          <a:headEnd/>
          <a:tailEnd/>
        </a:ln>
      </xdr:spPr>
    </xdr:sp>
    <xdr:clientData/>
  </xdr:twoCellAnchor>
  <xdr:twoCellAnchor>
    <xdr:from>
      <xdr:col>9</xdr:col>
      <xdr:colOff>962025</xdr:colOff>
      <xdr:row>17</xdr:row>
      <xdr:rowOff>1000125</xdr:rowOff>
    </xdr:from>
    <xdr:to>
      <xdr:col>9</xdr:col>
      <xdr:colOff>514350</xdr:colOff>
      <xdr:row>17</xdr:row>
      <xdr:rowOff>1714500</xdr:rowOff>
    </xdr:to>
    <xdr:sp macro="" textlink="">
      <xdr:nvSpPr>
        <xdr:cNvPr id="712489" name="Oval 17">
          <a:extLst>
            <a:ext uri="{FF2B5EF4-FFF2-40B4-BE49-F238E27FC236}">
              <a16:creationId xmlns:a16="http://schemas.microsoft.com/office/drawing/2014/main" id="{00000000-0008-0000-0F00-000029DF0A00}"/>
            </a:ext>
          </a:extLst>
        </xdr:cNvPr>
        <xdr:cNvSpPr>
          <a:spLocks noChangeArrowheads="1"/>
        </xdr:cNvSpPr>
      </xdr:nvSpPr>
      <xdr:spPr bwMode="auto">
        <a:xfrm>
          <a:off x="7200900" y="6353175"/>
          <a:ext cx="0" cy="0"/>
        </a:xfrm>
        <a:prstGeom prst="ellipse">
          <a:avLst/>
        </a:prstGeom>
        <a:solidFill>
          <a:srgbClr val="00FF00"/>
        </a:solidFill>
        <a:ln w="9525">
          <a:solidFill>
            <a:srgbClr val="000000"/>
          </a:solidFill>
          <a:round/>
          <a:headEnd/>
          <a:tailEnd/>
        </a:ln>
      </xdr:spPr>
    </xdr:sp>
    <xdr:clientData/>
  </xdr:twoCellAnchor>
</xdr:wsDr>
</file>

<file path=xl/drawings/drawing12.xml><?xml version="1.0" encoding="utf-8"?>
<xdr:wsDr xmlns:xdr="http://schemas.openxmlformats.org/drawingml/2006/spreadsheetDrawing" xmlns:a="http://schemas.openxmlformats.org/drawingml/2006/main">
  <xdr:twoCellAnchor>
    <xdr:from>
      <xdr:col>4</xdr:col>
      <xdr:colOff>200025</xdr:colOff>
      <xdr:row>24</xdr:row>
      <xdr:rowOff>133350</xdr:rowOff>
    </xdr:from>
    <xdr:to>
      <xdr:col>4</xdr:col>
      <xdr:colOff>333375</xdr:colOff>
      <xdr:row>24</xdr:row>
      <xdr:rowOff>219075</xdr:rowOff>
    </xdr:to>
    <xdr:sp macro="" textlink="">
      <xdr:nvSpPr>
        <xdr:cNvPr id="713098" name="Oval 3">
          <a:extLst>
            <a:ext uri="{FF2B5EF4-FFF2-40B4-BE49-F238E27FC236}">
              <a16:creationId xmlns:a16="http://schemas.microsoft.com/office/drawing/2014/main" id="{00000000-0008-0000-1100-00008AE10A00}"/>
            </a:ext>
          </a:extLst>
        </xdr:cNvPr>
        <xdr:cNvSpPr>
          <a:spLocks noChangeArrowheads="1"/>
        </xdr:cNvSpPr>
      </xdr:nvSpPr>
      <xdr:spPr bwMode="auto">
        <a:xfrm>
          <a:off x="3248025" y="5791200"/>
          <a:ext cx="133350" cy="85725"/>
        </a:xfrm>
        <a:prstGeom prst="ellipse">
          <a:avLst/>
        </a:prstGeom>
        <a:solidFill>
          <a:srgbClr val="FFFF00"/>
        </a:solidFill>
        <a:ln w="9525">
          <a:solidFill>
            <a:srgbClr val="000000"/>
          </a:solidFill>
          <a:round/>
          <a:headEnd/>
          <a:tailEnd/>
        </a:ln>
      </xdr:spPr>
    </xdr:sp>
    <xdr:clientData/>
  </xdr:twoCellAnchor>
  <xdr:twoCellAnchor>
    <xdr:from>
      <xdr:col>3</xdr:col>
      <xdr:colOff>333375</xdr:colOff>
      <xdr:row>24</xdr:row>
      <xdr:rowOff>123825</xdr:rowOff>
    </xdr:from>
    <xdr:to>
      <xdr:col>3</xdr:col>
      <xdr:colOff>457200</xdr:colOff>
      <xdr:row>24</xdr:row>
      <xdr:rowOff>209550</xdr:rowOff>
    </xdr:to>
    <xdr:sp macro="" textlink="">
      <xdr:nvSpPr>
        <xdr:cNvPr id="713099" name="Oval 4">
          <a:extLst>
            <a:ext uri="{FF2B5EF4-FFF2-40B4-BE49-F238E27FC236}">
              <a16:creationId xmlns:a16="http://schemas.microsoft.com/office/drawing/2014/main" id="{00000000-0008-0000-1100-00008BE10A00}"/>
            </a:ext>
          </a:extLst>
        </xdr:cNvPr>
        <xdr:cNvSpPr>
          <a:spLocks noChangeArrowheads="1"/>
        </xdr:cNvSpPr>
      </xdr:nvSpPr>
      <xdr:spPr bwMode="auto">
        <a:xfrm>
          <a:off x="1895475" y="5781675"/>
          <a:ext cx="123825" cy="85725"/>
        </a:xfrm>
        <a:prstGeom prst="ellipse">
          <a:avLst/>
        </a:prstGeom>
        <a:solidFill>
          <a:srgbClr val="00FF00"/>
        </a:solidFill>
        <a:ln w="9525">
          <a:solidFill>
            <a:srgbClr val="000000"/>
          </a:solidFill>
          <a:round/>
          <a:headEnd/>
          <a:tailEnd/>
        </a:ln>
      </xdr:spPr>
    </xdr:sp>
    <xdr:clientData/>
  </xdr:twoCellAnchor>
  <xdr:twoCellAnchor>
    <xdr:from>
      <xdr:col>8</xdr:col>
      <xdr:colOff>0</xdr:colOff>
      <xdr:row>24</xdr:row>
      <xdr:rowOff>104775</xdr:rowOff>
    </xdr:from>
    <xdr:to>
      <xdr:col>8</xdr:col>
      <xdr:colOff>142875</xdr:colOff>
      <xdr:row>24</xdr:row>
      <xdr:rowOff>180975</xdr:rowOff>
    </xdr:to>
    <xdr:sp macro="" textlink="">
      <xdr:nvSpPr>
        <xdr:cNvPr id="713100" name="Oval 5">
          <a:extLst>
            <a:ext uri="{FF2B5EF4-FFF2-40B4-BE49-F238E27FC236}">
              <a16:creationId xmlns:a16="http://schemas.microsoft.com/office/drawing/2014/main" id="{00000000-0008-0000-1100-00008CE10A00}"/>
            </a:ext>
          </a:extLst>
        </xdr:cNvPr>
        <xdr:cNvSpPr>
          <a:spLocks noChangeArrowheads="1"/>
        </xdr:cNvSpPr>
      </xdr:nvSpPr>
      <xdr:spPr bwMode="auto">
        <a:xfrm>
          <a:off x="5086350" y="5762625"/>
          <a:ext cx="142875" cy="76200"/>
        </a:xfrm>
        <a:prstGeom prst="ellipse">
          <a:avLst/>
        </a:prstGeom>
        <a:solidFill>
          <a:srgbClr val="FF0000"/>
        </a:solidFill>
        <a:ln w="9525">
          <a:solidFill>
            <a:srgbClr val="000000"/>
          </a:solidFill>
          <a:round/>
          <a:headEnd/>
          <a:tailEnd/>
        </a:ln>
      </xdr:spPr>
    </xdr:sp>
    <xdr:clientData/>
  </xdr:twoCellAnchor>
  <xdr:twoCellAnchor>
    <xdr:from>
      <xdr:col>3</xdr:col>
      <xdr:colOff>295275</xdr:colOff>
      <xdr:row>9</xdr:row>
      <xdr:rowOff>9525</xdr:rowOff>
    </xdr:from>
    <xdr:to>
      <xdr:col>7</xdr:col>
      <xdr:colOff>390525</xdr:colOff>
      <xdr:row>9</xdr:row>
      <xdr:rowOff>9525</xdr:rowOff>
    </xdr:to>
    <xdr:sp macro="" textlink="">
      <xdr:nvSpPr>
        <xdr:cNvPr id="713101" name="Line 6">
          <a:extLst>
            <a:ext uri="{FF2B5EF4-FFF2-40B4-BE49-F238E27FC236}">
              <a16:creationId xmlns:a16="http://schemas.microsoft.com/office/drawing/2014/main" id="{00000000-0008-0000-1100-00008DE10A00}"/>
            </a:ext>
          </a:extLst>
        </xdr:cNvPr>
        <xdr:cNvSpPr>
          <a:spLocks noChangeShapeType="1"/>
        </xdr:cNvSpPr>
      </xdr:nvSpPr>
      <xdr:spPr bwMode="auto">
        <a:xfrm>
          <a:off x="1857375" y="1933575"/>
          <a:ext cx="304800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1552575</xdr:colOff>
      <xdr:row>12</xdr:row>
      <xdr:rowOff>1857375</xdr:rowOff>
    </xdr:from>
    <xdr:to>
      <xdr:col>7</xdr:col>
      <xdr:colOff>561975</xdr:colOff>
      <xdr:row>12</xdr:row>
      <xdr:rowOff>1266825</xdr:rowOff>
    </xdr:to>
    <xdr:sp macro="" textlink="">
      <xdr:nvSpPr>
        <xdr:cNvPr id="713102" name="Oval 17">
          <a:extLst>
            <a:ext uri="{FF2B5EF4-FFF2-40B4-BE49-F238E27FC236}">
              <a16:creationId xmlns:a16="http://schemas.microsoft.com/office/drawing/2014/main" id="{00000000-0008-0000-1100-00008EE10A00}"/>
            </a:ext>
          </a:extLst>
        </xdr:cNvPr>
        <xdr:cNvSpPr>
          <a:spLocks noChangeArrowheads="1"/>
        </xdr:cNvSpPr>
      </xdr:nvSpPr>
      <xdr:spPr bwMode="auto">
        <a:xfrm>
          <a:off x="5086350" y="3019425"/>
          <a:ext cx="0" cy="0"/>
        </a:xfrm>
        <a:prstGeom prst="ellipse">
          <a:avLst/>
        </a:prstGeom>
        <a:solidFill>
          <a:srgbClr val="FFFF00"/>
        </a:solidFill>
        <a:ln w="9525">
          <a:solidFill>
            <a:srgbClr val="000000"/>
          </a:solidFill>
          <a:round/>
          <a:headEnd/>
          <a:tailEnd/>
        </a:ln>
      </xdr:spPr>
    </xdr:sp>
    <xdr:clientData/>
  </xdr:twoCellAnchor>
  <xdr:twoCellAnchor>
    <xdr:from>
      <xdr:col>7</xdr:col>
      <xdr:colOff>1552575</xdr:colOff>
      <xdr:row>13</xdr:row>
      <xdr:rowOff>647700</xdr:rowOff>
    </xdr:from>
    <xdr:to>
      <xdr:col>7</xdr:col>
      <xdr:colOff>561975</xdr:colOff>
      <xdr:row>13</xdr:row>
      <xdr:rowOff>1257300</xdr:rowOff>
    </xdr:to>
    <xdr:sp macro="" textlink="">
      <xdr:nvSpPr>
        <xdr:cNvPr id="713103" name="Oval 17">
          <a:extLst>
            <a:ext uri="{FF2B5EF4-FFF2-40B4-BE49-F238E27FC236}">
              <a16:creationId xmlns:a16="http://schemas.microsoft.com/office/drawing/2014/main" id="{00000000-0008-0000-1100-00008FE10A00}"/>
            </a:ext>
          </a:extLst>
        </xdr:cNvPr>
        <xdr:cNvSpPr>
          <a:spLocks noChangeArrowheads="1"/>
        </xdr:cNvSpPr>
      </xdr:nvSpPr>
      <xdr:spPr bwMode="auto">
        <a:xfrm>
          <a:off x="5086350" y="3333750"/>
          <a:ext cx="0" cy="0"/>
        </a:xfrm>
        <a:prstGeom prst="ellipse">
          <a:avLst/>
        </a:prstGeom>
        <a:solidFill>
          <a:srgbClr val="00FF00"/>
        </a:solidFill>
        <a:ln w="9525">
          <a:solidFill>
            <a:srgbClr val="000000"/>
          </a:solidFill>
          <a:round/>
          <a:headEnd/>
          <a:tailEnd/>
        </a:ln>
      </xdr:spPr>
    </xdr:sp>
    <xdr:clientData/>
  </xdr:twoCellAnchor>
  <xdr:twoCellAnchor>
    <xdr:from>
      <xdr:col>7</xdr:col>
      <xdr:colOff>1552575</xdr:colOff>
      <xdr:row>14</xdr:row>
      <xdr:rowOff>600075</xdr:rowOff>
    </xdr:from>
    <xdr:to>
      <xdr:col>7</xdr:col>
      <xdr:colOff>561975</xdr:colOff>
      <xdr:row>14</xdr:row>
      <xdr:rowOff>1257300</xdr:rowOff>
    </xdr:to>
    <xdr:sp macro="" textlink="">
      <xdr:nvSpPr>
        <xdr:cNvPr id="713104" name="Oval 17">
          <a:extLst>
            <a:ext uri="{FF2B5EF4-FFF2-40B4-BE49-F238E27FC236}">
              <a16:creationId xmlns:a16="http://schemas.microsoft.com/office/drawing/2014/main" id="{00000000-0008-0000-1100-000090E10A00}"/>
            </a:ext>
          </a:extLst>
        </xdr:cNvPr>
        <xdr:cNvSpPr>
          <a:spLocks noChangeArrowheads="1"/>
        </xdr:cNvSpPr>
      </xdr:nvSpPr>
      <xdr:spPr bwMode="auto">
        <a:xfrm>
          <a:off x="5086350" y="3648075"/>
          <a:ext cx="0" cy="0"/>
        </a:xfrm>
        <a:prstGeom prst="ellipse">
          <a:avLst/>
        </a:prstGeom>
        <a:solidFill>
          <a:srgbClr val="00FF00"/>
        </a:solidFill>
        <a:ln w="9525">
          <a:solidFill>
            <a:srgbClr val="000000"/>
          </a:solidFill>
          <a:round/>
          <a:headEnd/>
          <a:tailEnd/>
        </a:ln>
      </xdr:spPr>
    </xdr:sp>
    <xdr:clientData/>
  </xdr:twoCellAnchor>
  <xdr:twoCellAnchor>
    <xdr:from>
      <xdr:col>8</xdr:col>
      <xdr:colOff>2124075</xdr:colOff>
      <xdr:row>12</xdr:row>
      <xdr:rowOff>1790700</xdr:rowOff>
    </xdr:from>
    <xdr:to>
      <xdr:col>8</xdr:col>
      <xdr:colOff>762000</xdr:colOff>
      <xdr:row>12</xdr:row>
      <xdr:rowOff>1266825</xdr:rowOff>
    </xdr:to>
    <xdr:sp macro="" textlink="">
      <xdr:nvSpPr>
        <xdr:cNvPr id="713105" name="Oval 17">
          <a:extLst>
            <a:ext uri="{FF2B5EF4-FFF2-40B4-BE49-F238E27FC236}">
              <a16:creationId xmlns:a16="http://schemas.microsoft.com/office/drawing/2014/main" id="{00000000-0008-0000-1100-000091E10A00}"/>
            </a:ext>
          </a:extLst>
        </xdr:cNvPr>
        <xdr:cNvSpPr>
          <a:spLocks noChangeArrowheads="1"/>
        </xdr:cNvSpPr>
      </xdr:nvSpPr>
      <xdr:spPr bwMode="auto">
        <a:xfrm>
          <a:off x="5848350" y="3019425"/>
          <a:ext cx="0" cy="0"/>
        </a:xfrm>
        <a:prstGeom prst="ellipse">
          <a:avLst/>
        </a:prstGeom>
        <a:solidFill>
          <a:srgbClr val="00FF00"/>
        </a:solidFill>
        <a:ln w="9525">
          <a:solidFill>
            <a:srgbClr val="000000"/>
          </a:solidFill>
          <a:round/>
          <a:headEnd/>
          <a:tailEnd/>
        </a:ln>
      </xdr:spPr>
    </xdr:sp>
    <xdr:clientData/>
  </xdr:twoCellAnchor>
  <xdr:twoCellAnchor>
    <xdr:from>
      <xdr:col>8</xdr:col>
      <xdr:colOff>2124075</xdr:colOff>
      <xdr:row>13</xdr:row>
      <xdr:rowOff>600075</xdr:rowOff>
    </xdr:from>
    <xdr:to>
      <xdr:col>8</xdr:col>
      <xdr:colOff>762000</xdr:colOff>
      <xdr:row>13</xdr:row>
      <xdr:rowOff>1257300</xdr:rowOff>
    </xdr:to>
    <xdr:sp macro="" textlink="">
      <xdr:nvSpPr>
        <xdr:cNvPr id="713106" name="Oval 17">
          <a:extLst>
            <a:ext uri="{FF2B5EF4-FFF2-40B4-BE49-F238E27FC236}">
              <a16:creationId xmlns:a16="http://schemas.microsoft.com/office/drawing/2014/main" id="{00000000-0008-0000-1100-000092E10A00}"/>
            </a:ext>
          </a:extLst>
        </xdr:cNvPr>
        <xdr:cNvSpPr>
          <a:spLocks noChangeArrowheads="1"/>
        </xdr:cNvSpPr>
      </xdr:nvSpPr>
      <xdr:spPr bwMode="auto">
        <a:xfrm>
          <a:off x="5848350" y="3333750"/>
          <a:ext cx="0" cy="0"/>
        </a:xfrm>
        <a:prstGeom prst="ellipse">
          <a:avLst/>
        </a:prstGeom>
        <a:solidFill>
          <a:srgbClr val="00FF00"/>
        </a:solidFill>
        <a:ln w="9525">
          <a:solidFill>
            <a:srgbClr val="000000"/>
          </a:solidFill>
          <a:round/>
          <a:headEnd/>
          <a:tailEnd/>
        </a:ln>
      </xdr:spPr>
    </xdr:sp>
    <xdr:clientData/>
  </xdr:twoCellAnchor>
  <xdr:twoCellAnchor>
    <xdr:from>
      <xdr:col>7</xdr:col>
      <xdr:colOff>19050</xdr:colOff>
      <xdr:row>14</xdr:row>
      <xdr:rowOff>295275</xdr:rowOff>
    </xdr:from>
    <xdr:to>
      <xdr:col>7</xdr:col>
      <xdr:colOff>19050</xdr:colOff>
      <xdr:row>14</xdr:row>
      <xdr:rowOff>295275</xdr:rowOff>
    </xdr:to>
    <xdr:sp macro="" textlink="">
      <xdr:nvSpPr>
        <xdr:cNvPr id="713107" name="Oval 17">
          <a:extLst>
            <a:ext uri="{FF2B5EF4-FFF2-40B4-BE49-F238E27FC236}">
              <a16:creationId xmlns:a16="http://schemas.microsoft.com/office/drawing/2014/main" id="{00000000-0008-0000-1100-000093E10A00}"/>
            </a:ext>
          </a:extLst>
        </xdr:cNvPr>
        <xdr:cNvSpPr>
          <a:spLocks noChangeArrowheads="1"/>
        </xdr:cNvSpPr>
      </xdr:nvSpPr>
      <xdr:spPr bwMode="auto">
        <a:xfrm>
          <a:off x="4533900" y="3629025"/>
          <a:ext cx="0" cy="0"/>
        </a:xfrm>
        <a:prstGeom prst="ellipse">
          <a:avLst/>
        </a:prstGeom>
        <a:solidFill>
          <a:srgbClr val="00FF00"/>
        </a:solidFill>
        <a:ln w="9525">
          <a:solidFill>
            <a:srgbClr val="000000"/>
          </a:solidFill>
          <a:round/>
          <a:headEnd/>
          <a:tailEnd/>
        </a:ln>
      </xdr:spPr>
    </xdr:sp>
    <xdr:clientData/>
  </xdr:twoCellAnchor>
  <xdr:twoCellAnchor>
    <xdr:from>
      <xdr:col>9</xdr:col>
      <xdr:colOff>2066925</xdr:colOff>
      <xdr:row>13</xdr:row>
      <xdr:rowOff>647700</xdr:rowOff>
    </xdr:from>
    <xdr:to>
      <xdr:col>9</xdr:col>
      <xdr:colOff>762000</xdr:colOff>
      <xdr:row>13</xdr:row>
      <xdr:rowOff>1257300</xdr:rowOff>
    </xdr:to>
    <xdr:sp macro="" textlink="">
      <xdr:nvSpPr>
        <xdr:cNvPr id="713108" name="Oval 17">
          <a:extLst>
            <a:ext uri="{FF2B5EF4-FFF2-40B4-BE49-F238E27FC236}">
              <a16:creationId xmlns:a16="http://schemas.microsoft.com/office/drawing/2014/main" id="{00000000-0008-0000-1100-000094E10A00}"/>
            </a:ext>
          </a:extLst>
        </xdr:cNvPr>
        <xdr:cNvSpPr>
          <a:spLocks noChangeArrowheads="1"/>
        </xdr:cNvSpPr>
      </xdr:nvSpPr>
      <xdr:spPr bwMode="auto">
        <a:xfrm>
          <a:off x="6610350" y="3333750"/>
          <a:ext cx="0" cy="0"/>
        </a:xfrm>
        <a:prstGeom prst="ellipse">
          <a:avLst/>
        </a:prstGeom>
        <a:solidFill>
          <a:srgbClr val="00FF00"/>
        </a:solidFill>
        <a:ln w="9525">
          <a:solidFill>
            <a:srgbClr val="000000"/>
          </a:solidFill>
          <a:round/>
          <a:headEnd/>
          <a:tailEnd/>
        </a:ln>
      </xdr:spPr>
    </xdr: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1504950</xdr:colOff>
      <xdr:row>9</xdr:row>
      <xdr:rowOff>0</xdr:rowOff>
    </xdr:from>
    <xdr:to>
      <xdr:col>4</xdr:col>
      <xdr:colOff>9525</xdr:colOff>
      <xdr:row>9</xdr:row>
      <xdr:rowOff>0</xdr:rowOff>
    </xdr:to>
    <xdr:sp macro="" textlink="">
      <xdr:nvSpPr>
        <xdr:cNvPr id="28187" name="Line 1">
          <a:extLst>
            <a:ext uri="{FF2B5EF4-FFF2-40B4-BE49-F238E27FC236}">
              <a16:creationId xmlns:a16="http://schemas.microsoft.com/office/drawing/2014/main" id="{00000000-0008-0000-1200-00001B6E0000}"/>
            </a:ext>
          </a:extLst>
        </xdr:cNvPr>
        <xdr:cNvSpPr>
          <a:spLocks noChangeShapeType="1"/>
        </xdr:cNvSpPr>
      </xdr:nvSpPr>
      <xdr:spPr bwMode="auto">
        <a:xfrm>
          <a:off x="1504950" y="1828800"/>
          <a:ext cx="2543175"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14.xml><?xml version="1.0" encoding="utf-8"?>
<xdr:wsDr xmlns:xdr="http://schemas.openxmlformats.org/drawingml/2006/spreadsheetDrawing" xmlns:a="http://schemas.openxmlformats.org/drawingml/2006/main">
  <xdr:twoCellAnchor>
    <xdr:from>
      <xdr:col>2</xdr:col>
      <xdr:colOff>295275</xdr:colOff>
      <xdr:row>30</xdr:row>
      <xdr:rowOff>66675</xdr:rowOff>
    </xdr:from>
    <xdr:to>
      <xdr:col>2</xdr:col>
      <xdr:colOff>600075</xdr:colOff>
      <xdr:row>30</xdr:row>
      <xdr:rowOff>200025</xdr:rowOff>
    </xdr:to>
    <xdr:sp macro="" textlink="">
      <xdr:nvSpPr>
        <xdr:cNvPr id="338499" name="Oval 17">
          <a:extLst>
            <a:ext uri="{FF2B5EF4-FFF2-40B4-BE49-F238E27FC236}">
              <a16:creationId xmlns:a16="http://schemas.microsoft.com/office/drawing/2014/main" id="{00000000-0008-0000-1300-0000432A0500}"/>
            </a:ext>
          </a:extLst>
        </xdr:cNvPr>
        <xdr:cNvSpPr>
          <a:spLocks noChangeArrowheads="1"/>
        </xdr:cNvSpPr>
      </xdr:nvSpPr>
      <xdr:spPr bwMode="auto">
        <a:xfrm>
          <a:off x="1933575" y="6238875"/>
          <a:ext cx="304800" cy="133350"/>
        </a:xfrm>
        <a:prstGeom prst="ellipse">
          <a:avLst/>
        </a:prstGeom>
        <a:solidFill>
          <a:srgbClr val="00FF00"/>
        </a:solidFill>
        <a:ln w="9525">
          <a:solidFill>
            <a:srgbClr val="000000"/>
          </a:solidFill>
          <a:round/>
          <a:headEnd/>
          <a:tailEnd/>
        </a:ln>
      </xdr:spPr>
    </xdr:sp>
    <xdr:clientData/>
  </xdr:twoCellAnchor>
  <xdr:twoCellAnchor>
    <xdr:from>
      <xdr:col>5</xdr:col>
      <xdr:colOff>142875</xdr:colOff>
      <xdr:row>30</xdr:row>
      <xdr:rowOff>57150</xdr:rowOff>
    </xdr:from>
    <xdr:to>
      <xdr:col>5</xdr:col>
      <xdr:colOff>457200</xdr:colOff>
      <xdr:row>30</xdr:row>
      <xdr:rowOff>190500</xdr:rowOff>
    </xdr:to>
    <xdr:sp macro="" textlink="">
      <xdr:nvSpPr>
        <xdr:cNvPr id="338500" name="Oval 13">
          <a:extLst>
            <a:ext uri="{FF2B5EF4-FFF2-40B4-BE49-F238E27FC236}">
              <a16:creationId xmlns:a16="http://schemas.microsoft.com/office/drawing/2014/main" id="{00000000-0008-0000-1300-0000442A0500}"/>
            </a:ext>
          </a:extLst>
        </xdr:cNvPr>
        <xdr:cNvSpPr>
          <a:spLocks noChangeArrowheads="1"/>
        </xdr:cNvSpPr>
      </xdr:nvSpPr>
      <xdr:spPr bwMode="auto">
        <a:xfrm>
          <a:off x="4286250" y="6229350"/>
          <a:ext cx="314325" cy="133350"/>
        </a:xfrm>
        <a:prstGeom prst="ellipse">
          <a:avLst/>
        </a:prstGeom>
        <a:solidFill>
          <a:srgbClr val="FFFF00"/>
        </a:solidFill>
        <a:ln w="9525">
          <a:solidFill>
            <a:srgbClr val="000000"/>
          </a:solidFill>
          <a:round/>
          <a:headEnd/>
          <a:tailEnd/>
        </a:ln>
      </xdr:spPr>
    </xdr:sp>
    <xdr:clientData/>
  </xdr:twoCellAnchor>
  <xdr:twoCellAnchor>
    <xdr:from>
      <xdr:col>8</xdr:col>
      <xdr:colOff>200025</xdr:colOff>
      <xdr:row>30</xdr:row>
      <xdr:rowOff>57150</xdr:rowOff>
    </xdr:from>
    <xdr:to>
      <xdr:col>8</xdr:col>
      <xdr:colOff>476250</xdr:colOff>
      <xdr:row>30</xdr:row>
      <xdr:rowOff>190500</xdr:rowOff>
    </xdr:to>
    <xdr:sp macro="" textlink="">
      <xdr:nvSpPr>
        <xdr:cNvPr id="338501" name="Oval 18">
          <a:extLst>
            <a:ext uri="{FF2B5EF4-FFF2-40B4-BE49-F238E27FC236}">
              <a16:creationId xmlns:a16="http://schemas.microsoft.com/office/drawing/2014/main" id="{00000000-0008-0000-1300-0000452A0500}"/>
            </a:ext>
          </a:extLst>
        </xdr:cNvPr>
        <xdr:cNvSpPr>
          <a:spLocks noChangeArrowheads="1"/>
        </xdr:cNvSpPr>
      </xdr:nvSpPr>
      <xdr:spPr bwMode="auto">
        <a:xfrm>
          <a:off x="6467475" y="6229350"/>
          <a:ext cx="276225" cy="133350"/>
        </a:xfrm>
        <a:prstGeom prst="ellipse">
          <a:avLst/>
        </a:prstGeom>
        <a:solidFill>
          <a:srgbClr val="FF0000"/>
        </a:solidFill>
        <a:ln w="9525">
          <a:solidFill>
            <a:srgbClr val="000000"/>
          </a:solidFill>
          <a:round/>
          <a:headEnd/>
          <a:tailEnd/>
        </a:ln>
      </xdr:spPr>
    </xdr:sp>
    <xdr:clientData/>
  </xdr:twoCellAnchor>
</xdr:wsDr>
</file>

<file path=xl/drawings/drawing15.xml><?xml version="1.0" encoding="utf-8"?>
<xdr:wsDr xmlns:xdr="http://schemas.openxmlformats.org/drawingml/2006/spreadsheetDrawing" xmlns:a="http://schemas.openxmlformats.org/drawingml/2006/main">
  <xdr:twoCellAnchor>
    <xdr:from>
      <xdr:col>6</xdr:col>
      <xdr:colOff>0</xdr:colOff>
      <xdr:row>30</xdr:row>
      <xdr:rowOff>0</xdr:rowOff>
    </xdr:from>
    <xdr:to>
      <xdr:col>6</xdr:col>
      <xdr:colOff>0</xdr:colOff>
      <xdr:row>30</xdr:row>
      <xdr:rowOff>0</xdr:rowOff>
    </xdr:to>
    <xdr:sp macro="" textlink="">
      <xdr:nvSpPr>
        <xdr:cNvPr id="37399" name="Oval 18">
          <a:extLst>
            <a:ext uri="{FF2B5EF4-FFF2-40B4-BE49-F238E27FC236}">
              <a16:creationId xmlns:a16="http://schemas.microsoft.com/office/drawing/2014/main" id="{00000000-0008-0000-1400-000017920000}"/>
            </a:ext>
          </a:extLst>
        </xdr:cNvPr>
        <xdr:cNvSpPr>
          <a:spLocks noChangeArrowheads="1"/>
        </xdr:cNvSpPr>
      </xdr:nvSpPr>
      <xdr:spPr bwMode="auto">
        <a:xfrm>
          <a:off x="4876800" y="5610225"/>
          <a:ext cx="0" cy="0"/>
        </a:xfrm>
        <a:prstGeom prst="ellipse">
          <a:avLst/>
        </a:prstGeom>
        <a:solidFill>
          <a:srgbClr val="FF0000"/>
        </a:solidFill>
        <a:ln w="9525">
          <a:solidFill>
            <a:srgbClr val="000000"/>
          </a:solidFill>
          <a:round/>
          <a:headEnd/>
          <a:tailEnd/>
        </a:ln>
      </xdr:spPr>
    </xdr:sp>
    <xdr:clientData/>
  </xdr:twoCellAnchor>
</xdr:wsDr>
</file>

<file path=xl/drawings/drawing16.xml><?xml version="1.0" encoding="utf-8"?>
<xdr:wsDr xmlns:xdr="http://schemas.openxmlformats.org/drawingml/2006/spreadsheetDrawing" xmlns:a="http://schemas.openxmlformats.org/drawingml/2006/main">
  <xdr:twoCellAnchor>
    <xdr:from>
      <xdr:col>9</xdr:col>
      <xdr:colOff>0</xdr:colOff>
      <xdr:row>8</xdr:row>
      <xdr:rowOff>0</xdr:rowOff>
    </xdr:from>
    <xdr:to>
      <xdr:col>9</xdr:col>
      <xdr:colOff>2143125</xdr:colOff>
      <xdr:row>8</xdr:row>
      <xdr:rowOff>0</xdr:rowOff>
    </xdr:to>
    <xdr:sp macro="" textlink="">
      <xdr:nvSpPr>
        <xdr:cNvPr id="29211" name="Line 1">
          <a:extLst>
            <a:ext uri="{FF2B5EF4-FFF2-40B4-BE49-F238E27FC236}">
              <a16:creationId xmlns:a16="http://schemas.microsoft.com/office/drawing/2014/main" id="{00000000-0008-0000-1700-00001B720000}"/>
            </a:ext>
          </a:extLst>
        </xdr:cNvPr>
        <xdr:cNvSpPr>
          <a:spLocks noChangeShapeType="1"/>
        </xdr:cNvSpPr>
      </xdr:nvSpPr>
      <xdr:spPr bwMode="auto">
        <a:xfrm>
          <a:off x="7962900" y="1628775"/>
          <a:ext cx="2143125"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17.xml><?xml version="1.0" encoding="utf-8"?>
<xdr:wsDr xmlns:xdr="http://schemas.openxmlformats.org/drawingml/2006/spreadsheetDrawing" xmlns:a="http://schemas.openxmlformats.org/drawingml/2006/main">
  <xdr:twoCellAnchor>
    <xdr:from>
      <xdr:col>1</xdr:col>
      <xdr:colOff>1047750</xdr:colOff>
      <xdr:row>6</xdr:row>
      <xdr:rowOff>0</xdr:rowOff>
    </xdr:from>
    <xdr:to>
      <xdr:col>5</xdr:col>
      <xdr:colOff>0</xdr:colOff>
      <xdr:row>6</xdr:row>
      <xdr:rowOff>0</xdr:rowOff>
    </xdr:to>
    <xdr:sp macro="" textlink="">
      <xdr:nvSpPr>
        <xdr:cNvPr id="31259" name="Line 1">
          <a:extLst>
            <a:ext uri="{FF2B5EF4-FFF2-40B4-BE49-F238E27FC236}">
              <a16:creationId xmlns:a16="http://schemas.microsoft.com/office/drawing/2014/main" id="{00000000-0008-0000-1D00-00001B7A0000}"/>
            </a:ext>
          </a:extLst>
        </xdr:cNvPr>
        <xdr:cNvSpPr>
          <a:spLocks noChangeShapeType="1"/>
        </xdr:cNvSpPr>
      </xdr:nvSpPr>
      <xdr:spPr bwMode="auto">
        <a:xfrm>
          <a:off x="1666875" y="1257300"/>
          <a:ext cx="361950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18.xml><?xml version="1.0" encoding="utf-8"?>
<xdr:wsDr xmlns:xdr="http://schemas.openxmlformats.org/drawingml/2006/spreadsheetDrawing" xmlns:a="http://schemas.openxmlformats.org/drawingml/2006/main">
  <xdr:twoCellAnchor>
    <xdr:from>
      <xdr:col>3</xdr:col>
      <xdr:colOff>19050</xdr:colOff>
      <xdr:row>11</xdr:row>
      <xdr:rowOff>0</xdr:rowOff>
    </xdr:from>
    <xdr:to>
      <xdr:col>5</xdr:col>
      <xdr:colOff>200025</xdr:colOff>
      <xdr:row>11</xdr:row>
      <xdr:rowOff>0</xdr:rowOff>
    </xdr:to>
    <xdr:sp macro="" textlink="">
      <xdr:nvSpPr>
        <xdr:cNvPr id="746431" name="Line 2">
          <a:extLst>
            <a:ext uri="{FF2B5EF4-FFF2-40B4-BE49-F238E27FC236}">
              <a16:creationId xmlns:a16="http://schemas.microsoft.com/office/drawing/2014/main" id="{00000000-0008-0000-1F00-0000BF630B00}"/>
            </a:ext>
          </a:extLst>
        </xdr:cNvPr>
        <xdr:cNvSpPr>
          <a:spLocks noChangeShapeType="1"/>
        </xdr:cNvSpPr>
      </xdr:nvSpPr>
      <xdr:spPr bwMode="auto">
        <a:xfrm>
          <a:off x="2962275" y="2133600"/>
          <a:ext cx="2143125"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360448</xdr:colOff>
      <xdr:row>12</xdr:row>
      <xdr:rowOff>119062</xdr:rowOff>
    </xdr:from>
    <xdr:to>
      <xdr:col>2</xdr:col>
      <xdr:colOff>564141</xdr:colOff>
      <xdr:row>20</xdr:row>
      <xdr:rowOff>71437</xdr:rowOff>
    </xdr:to>
    <xdr:pic>
      <xdr:nvPicPr>
        <xdr:cNvPr id="746432" name="Imagen 1">
          <a:extLst>
            <a:ext uri="{FF2B5EF4-FFF2-40B4-BE49-F238E27FC236}">
              <a16:creationId xmlns:a16="http://schemas.microsoft.com/office/drawing/2014/main" id="{00000000-0008-0000-1F00-0000C0630B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bwMode="auto">
        <a:xfrm>
          <a:off x="360448" y="2405062"/>
          <a:ext cx="2172193" cy="1222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9</xdr:col>
      <xdr:colOff>444858</xdr:colOff>
      <xdr:row>13</xdr:row>
      <xdr:rowOff>17220</xdr:rowOff>
    </xdr:from>
    <xdr:to>
      <xdr:col>11</xdr:col>
      <xdr:colOff>575737</xdr:colOff>
      <xdr:row>20</xdr:row>
      <xdr:rowOff>87370</xdr:rowOff>
    </xdr:to>
    <xdr:pic>
      <xdr:nvPicPr>
        <xdr:cNvPr id="746433" name="Imagen 8">
          <a:extLst>
            <a:ext uri="{FF2B5EF4-FFF2-40B4-BE49-F238E27FC236}">
              <a16:creationId xmlns:a16="http://schemas.microsoft.com/office/drawing/2014/main" id="{00000000-0008-0000-1F00-0000C1630B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xdr:blipFill>
      <xdr:spPr bwMode="auto">
        <a:xfrm>
          <a:off x="9303108" y="2461970"/>
          <a:ext cx="2099379" cy="1181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9</xdr:col>
      <xdr:colOff>166527</xdr:colOff>
      <xdr:row>25</xdr:row>
      <xdr:rowOff>1752</xdr:rowOff>
    </xdr:from>
    <xdr:to>
      <xdr:col>11</xdr:col>
      <xdr:colOff>665335</xdr:colOff>
      <xdr:row>32</xdr:row>
      <xdr:rowOff>31080</xdr:rowOff>
    </xdr:to>
    <xdr:pic>
      <xdr:nvPicPr>
        <xdr:cNvPr id="746434" name="Imagen 11">
          <a:extLst>
            <a:ext uri="{FF2B5EF4-FFF2-40B4-BE49-F238E27FC236}">
              <a16:creationId xmlns:a16="http://schemas.microsoft.com/office/drawing/2014/main" id="{00000000-0008-0000-1F00-0000C2630B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xdr:blipFill>
      <xdr:spPr bwMode="auto">
        <a:xfrm>
          <a:off x="8996202" y="4592802"/>
          <a:ext cx="2460958" cy="116280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180888</xdr:colOff>
      <xdr:row>25</xdr:row>
      <xdr:rowOff>48</xdr:rowOff>
    </xdr:from>
    <xdr:to>
      <xdr:col>8</xdr:col>
      <xdr:colOff>653859</xdr:colOff>
      <xdr:row>32</xdr:row>
      <xdr:rowOff>17168</xdr:rowOff>
    </xdr:to>
    <xdr:pic>
      <xdr:nvPicPr>
        <xdr:cNvPr id="746435" name="Imagen 12">
          <a:extLst>
            <a:ext uri="{FF2B5EF4-FFF2-40B4-BE49-F238E27FC236}">
              <a16:creationId xmlns:a16="http://schemas.microsoft.com/office/drawing/2014/main" id="{00000000-0008-0000-1F00-0000C3630B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xdr:blipFill>
      <xdr:spPr bwMode="auto">
        <a:xfrm>
          <a:off x="6067338" y="4591098"/>
          <a:ext cx="2435121" cy="11505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426122</xdr:colOff>
      <xdr:row>13</xdr:row>
      <xdr:rowOff>3559</xdr:rowOff>
    </xdr:from>
    <xdr:to>
      <xdr:col>8</xdr:col>
      <xdr:colOff>518429</xdr:colOff>
      <xdr:row>20</xdr:row>
      <xdr:rowOff>52003</xdr:rowOff>
    </xdr:to>
    <xdr:pic>
      <xdr:nvPicPr>
        <xdr:cNvPr id="746436" name="Imagen 15">
          <a:extLst>
            <a:ext uri="{FF2B5EF4-FFF2-40B4-BE49-F238E27FC236}">
              <a16:creationId xmlns:a16="http://schemas.microsoft.com/office/drawing/2014/main" id="{00000000-0008-0000-1F00-0000C4630B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xdr:blipFill>
      <xdr:spPr bwMode="auto">
        <a:xfrm>
          <a:off x="6331622" y="2448309"/>
          <a:ext cx="2060807" cy="11596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460732</xdr:colOff>
      <xdr:row>36</xdr:row>
      <xdr:rowOff>40688</xdr:rowOff>
    </xdr:from>
    <xdr:to>
      <xdr:col>5</xdr:col>
      <xdr:colOff>542752</xdr:colOff>
      <xdr:row>43</xdr:row>
      <xdr:rowOff>83343</xdr:rowOff>
    </xdr:to>
    <xdr:pic>
      <xdr:nvPicPr>
        <xdr:cNvPr id="746437" name="Imagen 16">
          <a:extLst>
            <a:ext uri="{FF2B5EF4-FFF2-40B4-BE49-F238E27FC236}">
              <a16:creationId xmlns:a16="http://schemas.microsoft.com/office/drawing/2014/main" id="{00000000-0008-0000-1F00-0000C5630B00}"/>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xdr:blipFill>
      <xdr:spPr bwMode="auto">
        <a:xfrm>
          <a:off x="3413482" y="6470063"/>
          <a:ext cx="2050520" cy="1153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19050</xdr:colOff>
      <xdr:row>11</xdr:row>
      <xdr:rowOff>0</xdr:rowOff>
    </xdr:from>
    <xdr:to>
      <xdr:col>11</xdr:col>
      <xdr:colOff>200025</xdr:colOff>
      <xdr:row>11</xdr:row>
      <xdr:rowOff>0</xdr:rowOff>
    </xdr:to>
    <xdr:sp macro="" textlink="">
      <xdr:nvSpPr>
        <xdr:cNvPr id="746438" name="Line 2">
          <a:extLst>
            <a:ext uri="{FF2B5EF4-FFF2-40B4-BE49-F238E27FC236}">
              <a16:creationId xmlns:a16="http://schemas.microsoft.com/office/drawing/2014/main" id="{00000000-0008-0000-1F00-0000C6630B00}"/>
            </a:ext>
          </a:extLst>
        </xdr:cNvPr>
        <xdr:cNvSpPr>
          <a:spLocks noChangeShapeType="1"/>
        </xdr:cNvSpPr>
      </xdr:nvSpPr>
      <xdr:spPr bwMode="auto">
        <a:xfrm>
          <a:off x="8848725" y="2133600"/>
          <a:ext cx="2143125"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384539</xdr:colOff>
      <xdr:row>35</xdr:row>
      <xdr:rowOff>130969</xdr:rowOff>
    </xdr:from>
    <xdr:to>
      <xdr:col>2</xdr:col>
      <xdr:colOff>567073</xdr:colOff>
      <xdr:row>43</xdr:row>
      <xdr:rowOff>71437</xdr:rowOff>
    </xdr:to>
    <xdr:pic>
      <xdr:nvPicPr>
        <xdr:cNvPr id="746439" name="Imagen 25">
          <a:extLst>
            <a:ext uri="{FF2B5EF4-FFF2-40B4-BE49-F238E27FC236}">
              <a16:creationId xmlns:a16="http://schemas.microsoft.com/office/drawing/2014/main" id="{00000000-0008-0000-1F00-0000C7630B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xdr:blipFill>
      <xdr:spPr bwMode="auto">
        <a:xfrm>
          <a:off x="384539" y="6401594"/>
          <a:ext cx="2151034" cy="12104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197499</xdr:colOff>
      <xdr:row>12</xdr:row>
      <xdr:rowOff>95251</xdr:rowOff>
    </xdr:from>
    <xdr:to>
      <xdr:col>5</xdr:col>
      <xdr:colOff>750670</xdr:colOff>
      <xdr:row>20</xdr:row>
      <xdr:rowOff>16741</xdr:rowOff>
    </xdr:to>
    <xdr:pic>
      <xdr:nvPicPr>
        <xdr:cNvPr id="746440" name="Imagen 26">
          <a:extLst>
            <a:ext uri="{FF2B5EF4-FFF2-40B4-BE49-F238E27FC236}">
              <a16:creationId xmlns:a16="http://schemas.microsoft.com/office/drawing/2014/main" id="{00000000-0008-0000-1F00-0000C8630B00}"/>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xdr:blipFill>
      <xdr:spPr bwMode="auto">
        <a:xfrm>
          <a:off x="3150249" y="2381251"/>
          <a:ext cx="2521671" cy="11914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218415</xdr:colOff>
      <xdr:row>24</xdr:row>
      <xdr:rowOff>141819</xdr:rowOff>
    </xdr:from>
    <xdr:to>
      <xdr:col>2</xdr:col>
      <xdr:colOff>763591</xdr:colOff>
      <xdr:row>32</xdr:row>
      <xdr:rowOff>59531</xdr:rowOff>
    </xdr:to>
    <xdr:pic>
      <xdr:nvPicPr>
        <xdr:cNvPr id="746441" name="Imagen 27">
          <a:extLst>
            <a:ext uri="{FF2B5EF4-FFF2-40B4-BE49-F238E27FC236}">
              <a16:creationId xmlns:a16="http://schemas.microsoft.com/office/drawing/2014/main" id="{00000000-0008-0000-1F00-0000C9630B00}"/>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xdr:blipFill>
      <xdr:spPr bwMode="auto">
        <a:xfrm>
          <a:off x="218415" y="4531257"/>
          <a:ext cx="2513676" cy="11877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218309</xdr:colOff>
      <xdr:row>24</xdr:row>
      <xdr:rowOff>119063</xdr:rowOff>
    </xdr:from>
    <xdr:to>
      <xdr:col>5</xdr:col>
      <xdr:colOff>786448</xdr:colOff>
      <xdr:row>32</xdr:row>
      <xdr:rowOff>47625</xdr:rowOff>
    </xdr:to>
    <xdr:pic>
      <xdr:nvPicPr>
        <xdr:cNvPr id="746442" name="Imagen 28">
          <a:extLst>
            <a:ext uri="{FF2B5EF4-FFF2-40B4-BE49-F238E27FC236}">
              <a16:creationId xmlns:a16="http://schemas.microsoft.com/office/drawing/2014/main" id="{00000000-0008-0000-1F00-0000CA630B00}"/>
            </a:ext>
          </a:extLst>
        </xdr:cNvPr>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a:stretch/>
      </xdr:blipFill>
      <xdr:spPr bwMode="auto">
        <a:xfrm>
          <a:off x="3171059" y="4508501"/>
          <a:ext cx="2536639" cy="1198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225124</xdr:colOff>
      <xdr:row>35</xdr:row>
      <xdr:rowOff>130847</xdr:rowOff>
    </xdr:from>
    <xdr:to>
      <xdr:col>8</xdr:col>
      <xdr:colOff>811460</xdr:colOff>
      <xdr:row>43</xdr:row>
      <xdr:rowOff>39607</xdr:rowOff>
    </xdr:to>
    <xdr:pic>
      <xdr:nvPicPr>
        <xdr:cNvPr id="746443" name="Imagen 29">
          <a:extLst>
            <a:ext uri="{FF2B5EF4-FFF2-40B4-BE49-F238E27FC236}">
              <a16:creationId xmlns:a16="http://schemas.microsoft.com/office/drawing/2014/main" id="{00000000-0008-0000-1F00-0000CB630B00}"/>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xdr:blipFill>
      <xdr:spPr bwMode="auto">
        <a:xfrm>
          <a:off x="6111574" y="6464972"/>
          <a:ext cx="2548486" cy="12041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9</xdr:col>
      <xdr:colOff>179796</xdr:colOff>
      <xdr:row>35</xdr:row>
      <xdr:rowOff>103832</xdr:rowOff>
    </xdr:from>
    <xdr:to>
      <xdr:col>11</xdr:col>
      <xdr:colOff>771713</xdr:colOff>
      <xdr:row>43</xdr:row>
      <xdr:rowOff>15229</xdr:rowOff>
    </xdr:to>
    <xdr:pic>
      <xdr:nvPicPr>
        <xdr:cNvPr id="746444" name="Imagen 30">
          <a:extLst>
            <a:ext uri="{FF2B5EF4-FFF2-40B4-BE49-F238E27FC236}">
              <a16:creationId xmlns:a16="http://schemas.microsoft.com/office/drawing/2014/main" id="{00000000-0008-0000-1F00-0000CC630B00}"/>
            </a:ext>
          </a:extLst>
        </xdr:cNvPr>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xdr:blipFill>
      <xdr:spPr bwMode="auto">
        <a:xfrm>
          <a:off x="9009471" y="6437957"/>
          <a:ext cx="2554067" cy="12067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15</xdr:col>
      <xdr:colOff>19050</xdr:colOff>
      <xdr:row>11</xdr:row>
      <xdr:rowOff>0</xdr:rowOff>
    </xdr:from>
    <xdr:to>
      <xdr:col>17</xdr:col>
      <xdr:colOff>200025</xdr:colOff>
      <xdr:row>11</xdr:row>
      <xdr:rowOff>0</xdr:rowOff>
    </xdr:to>
    <xdr:sp macro="" textlink="">
      <xdr:nvSpPr>
        <xdr:cNvPr id="746445" name="Line 2">
          <a:extLst>
            <a:ext uri="{FF2B5EF4-FFF2-40B4-BE49-F238E27FC236}">
              <a16:creationId xmlns:a16="http://schemas.microsoft.com/office/drawing/2014/main" id="{00000000-0008-0000-1F00-0000CD630B00}"/>
            </a:ext>
          </a:extLst>
        </xdr:cNvPr>
        <xdr:cNvSpPr>
          <a:spLocks noChangeShapeType="1"/>
        </xdr:cNvSpPr>
      </xdr:nvSpPr>
      <xdr:spPr bwMode="auto">
        <a:xfrm>
          <a:off x="14735175" y="2133600"/>
          <a:ext cx="2143125"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12</xdr:col>
      <xdr:colOff>70734</xdr:colOff>
      <xdr:row>12</xdr:row>
      <xdr:rowOff>146372</xdr:rowOff>
    </xdr:from>
    <xdr:to>
      <xdr:col>14</xdr:col>
      <xdr:colOff>873645</xdr:colOff>
      <xdr:row>20</xdr:row>
      <xdr:rowOff>95250</xdr:rowOff>
    </xdr:to>
    <xdr:pic>
      <xdr:nvPicPr>
        <xdr:cNvPr id="746446" name="Imagen 32">
          <a:extLst>
            <a:ext uri="{FF2B5EF4-FFF2-40B4-BE49-F238E27FC236}">
              <a16:creationId xmlns:a16="http://schemas.microsoft.com/office/drawing/2014/main" id="{00000000-0008-0000-1F00-0000CE630B00}"/>
            </a:ext>
          </a:extLst>
        </xdr:cNvPr>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xdr:blipFill>
      <xdr:spPr bwMode="auto">
        <a:xfrm>
          <a:off x="11843634" y="2451422"/>
          <a:ext cx="2765061" cy="12442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15</xdr:col>
      <xdr:colOff>68406</xdr:colOff>
      <xdr:row>13</xdr:row>
      <xdr:rowOff>11610</xdr:rowOff>
    </xdr:from>
    <xdr:to>
      <xdr:col>17</xdr:col>
      <xdr:colOff>874456</xdr:colOff>
      <xdr:row>20</xdr:row>
      <xdr:rowOff>123825</xdr:rowOff>
    </xdr:to>
    <xdr:pic>
      <xdr:nvPicPr>
        <xdr:cNvPr id="746447" name="Imagen 33">
          <a:extLst>
            <a:ext uri="{FF2B5EF4-FFF2-40B4-BE49-F238E27FC236}">
              <a16:creationId xmlns:a16="http://schemas.microsoft.com/office/drawing/2014/main" id="{00000000-0008-0000-1F00-0000CF630B00}"/>
            </a:ext>
          </a:extLst>
        </xdr:cNvPr>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rcRect/>
        <a:stretch/>
      </xdr:blipFill>
      <xdr:spPr bwMode="auto">
        <a:xfrm>
          <a:off x="14784531" y="2478585"/>
          <a:ext cx="2768200" cy="12456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130287</xdr:colOff>
      <xdr:row>24</xdr:row>
      <xdr:rowOff>104776</xdr:rowOff>
    </xdr:from>
    <xdr:to>
      <xdr:col>14</xdr:col>
      <xdr:colOff>898634</xdr:colOff>
      <xdr:row>32</xdr:row>
      <xdr:rowOff>38100</xdr:rowOff>
    </xdr:to>
    <xdr:pic>
      <xdr:nvPicPr>
        <xdr:cNvPr id="746448" name="Imagen 34">
          <a:extLst>
            <a:ext uri="{FF2B5EF4-FFF2-40B4-BE49-F238E27FC236}">
              <a16:creationId xmlns:a16="http://schemas.microsoft.com/office/drawing/2014/main" id="{00000000-0008-0000-1F00-0000D0630B00}"/>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rcRect/>
        <a:stretch/>
      </xdr:blipFill>
      <xdr:spPr bwMode="auto">
        <a:xfrm>
          <a:off x="11903187" y="4533901"/>
          <a:ext cx="2730497" cy="12287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15</xdr:col>
      <xdr:colOff>111488</xdr:colOff>
      <xdr:row>24</xdr:row>
      <xdr:rowOff>55939</xdr:rowOff>
    </xdr:from>
    <xdr:to>
      <xdr:col>17</xdr:col>
      <xdr:colOff>882529</xdr:colOff>
      <xdr:row>31</xdr:row>
      <xdr:rowOff>152400</xdr:rowOff>
    </xdr:to>
    <xdr:pic>
      <xdr:nvPicPr>
        <xdr:cNvPr id="746449" name="Imagen 35">
          <a:extLst>
            <a:ext uri="{FF2B5EF4-FFF2-40B4-BE49-F238E27FC236}">
              <a16:creationId xmlns:a16="http://schemas.microsoft.com/office/drawing/2014/main" id="{00000000-0008-0000-1F00-0000D1630B00}"/>
            </a:ext>
          </a:extLst>
        </xdr:cNvPr>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rcRect/>
        <a:stretch/>
      </xdr:blipFill>
      <xdr:spPr bwMode="auto">
        <a:xfrm>
          <a:off x="14827613" y="4485064"/>
          <a:ext cx="2733191" cy="12299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323023</xdr:colOff>
      <xdr:row>35</xdr:row>
      <xdr:rowOff>20504</xdr:rowOff>
    </xdr:from>
    <xdr:to>
      <xdr:col>14</xdr:col>
      <xdr:colOff>251234</xdr:colOff>
      <xdr:row>43</xdr:row>
      <xdr:rowOff>142875</xdr:rowOff>
    </xdr:to>
    <xdr:pic>
      <xdr:nvPicPr>
        <xdr:cNvPr id="746450" name="Imagen 36">
          <a:extLst>
            <a:ext uri="{FF2B5EF4-FFF2-40B4-BE49-F238E27FC236}">
              <a16:creationId xmlns:a16="http://schemas.microsoft.com/office/drawing/2014/main" id="{00000000-0008-0000-1F00-0000D2630B00}"/>
            </a:ext>
          </a:extLst>
        </xdr:cNvPr>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rcRect/>
        <a:stretch/>
      </xdr:blipFill>
      <xdr:spPr bwMode="auto">
        <a:xfrm>
          <a:off x="12095923" y="6354629"/>
          <a:ext cx="1890361" cy="141777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15</xdr:col>
      <xdr:colOff>459907</xdr:colOff>
      <xdr:row>35</xdr:row>
      <xdr:rowOff>76874</xdr:rowOff>
    </xdr:from>
    <xdr:to>
      <xdr:col>17</xdr:col>
      <xdr:colOff>287558</xdr:colOff>
      <xdr:row>43</xdr:row>
      <xdr:rowOff>123825</xdr:rowOff>
    </xdr:to>
    <xdr:pic>
      <xdr:nvPicPr>
        <xdr:cNvPr id="746451" name="Imagen 37">
          <a:extLst>
            <a:ext uri="{FF2B5EF4-FFF2-40B4-BE49-F238E27FC236}">
              <a16:creationId xmlns:a16="http://schemas.microsoft.com/office/drawing/2014/main" id="{00000000-0008-0000-1F00-0000D3630B00}"/>
            </a:ext>
          </a:extLst>
        </xdr:cNvPr>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val="0"/>
            </a:ext>
          </a:extLst>
        </a:blip>
        <a:srcRect/>
        <a:stretch/>
      </xdr:blipFill>
      <xdr:spPr bwMode="auto">
        <a:xfrm>
          <a:off x="15176032" y="6410999"/>
          <a:ext cx="1789801" cy="13423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21</xdr:col>
      <xdr:colOff>19050</xdr:colOff>
      <xdr:row>11</xdr:row>
      <xdr:rowOff>0</xdr:rowOff>
    </xdr:from>
    <xdr:to>
      <xdr:col>23</xdr:col>
      <xdr:colOff>200025</xdr:colOff>
      <xdr:row>11</xdr:row>
      <xdr:rowOff>0</xdr:rowOff>
    </xdr:to>
    <xdr:sp macro="" textlink="">
      <xdr:nvSpPr>
        <xdr:cNvPr id="746452" name="Line 2">
          <a:extLst>
            <a:ext uri="{FF2B5EF4-FFF2-40B4-BE49-F238E27FC236}">
              <a16:creationId xmlns:a16="http://schemas.microsoft.com/office/drawing/2014/main" id="{00000000-0008-0000-1F00-0000D4630B00}"/>
            </a:ext>
          </a:extLst>
        </xdr:cNvPr>
        <xdr:cNvSpPr>
          <a:spLocks noChangeShapeType="1"/>
        </xdr:cNvSpPr>
      </xdr:nvSpPr>
      <xdr:spPr bwMode="auto">
        <a:xfrm>
          <a:off x="20621625" y="2133600"/>
          <a:ext cx="2143125"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18</xdr:col>
      <xdr:colOff>676872</xdr:colOff>
      <xdr:row>13</xdr:row>
      <xdr:rowOff>23812</xdr:rowOff>
    </xdr:from>
    <xdr:to>
      <xdr:col>20</xdr:col>
      <xdr:colOff>347918</xdr:colOff>
      <xdr:row>20</xdr:row>
      <xdr:rowOff>119062</xdr:rowOff>
    </xdr:to>
    <xdr:pic>
      <xdr:nvPicPr>
        <xdr:cNvPr id="746453" name="Imagen 39">
          <a:extLst>
            <a:ext uri="{FF2B5EF4-FFF2-40B4-BE49-F238E27FC236}">
              <a16:creationId xmlns:a16="http://schemas.microsoft.com/office/drawing/2014/main" id="{00000000-0008-0000-1F00-0000D5630B00}"/>
            </a:ext>
          </a:extLst>
        </xdr:cNvPr>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val="0"/>
            </a:ext>
          </a:extLst>
        </a:blip>
        <a:srcRect/>
        <a:stretch/>
      </xdr:blipFill>
      <xdr:spPr bwMode="auto">
        <a:xfrm>
          <a:off x="18336222" y="2490787"/>
          <a:ext cx="1633196" cy="1228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21</xdr:col>
      <xdr:colOff>479397</xdr:colOff>
      <xdr:row>12</xdr:row>
      <xdr:rowOff>35557</xdr:rowOff>
    </xdr:from>
    <xdr:to>
      <xdr:col>23</xdr:col>
      <xdr:colOff>609601</xdr:colOff>
      <xdr:row>21</xdr:row>
      <xdr:rowOff>152399</xdr:rowOff>
    </xdr:to>
    <xdr:pic>
      <xdr:nvPicPr>
        <xdr:cNvPr id="746454" name="Imagen 40">
          <a:extLst>
            <a:ext uri="{FF2B5EF4-FFF2-40B4-BE49-F238E27FC236}">
              <a16:creationId xmlns:a16="http://schemas.microsoft.com/office/drawing/2014/main" id="{00000000-0008-0000-1F00-0000D6630B00}"/>
            </a:ext>
          </a:extLst>
        </xdr:cNvPr>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val="0"/>
            </a:ext>
          </a:extLst>
        </a:blip>
        <a:srcRect/>
        <a:stretch/>
      </xdr:blipFill>
      <xdr:spPr bwMode="auto">
        <a:xfrm>
          <a:off x="21081972" y="2340607"/>
          <a:ext cx="2092354" cy="157416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580563</xdr:colOff>
      <xdr:row>24</xdr:row>
      <xdr:rowOff>45350</xdr:rowOff>
    </xdr:from>
    <xdr:to>
      <xdr:col>20</xdr:col>
      <xdr:colOff>457200</xdr:colOff>
      <xdr:row>32</xdr:row>
      <xdr:rowOff>133350</xdr:rowOff>
    </xdr:to>
    <xdr:pic>
      <xdr:nvPicPr>
        <xdr:cNvPr id="746455" name="Imagen 41">
          <a:extLst>
            <a:ext uri="{FF2B5EF4-FFF2-40B4-BE49-F238E27FC236}">
              <a16:creationId xmlns:a16="http://schemas.microsoft.com/office/drawing/2014/main" id="{00000000-0008-0000-1F00-0000D7630B00}"/>
            </a:ext>
          </a:extLst>
        </xdr:cNvPr>
        <xdr:cNvPicPr>
          <a:picLocks noChangeAspect="1"/>
        </xdr:cNvPicPr>
      </xdr:nvPicPr>
      <xdr:blipFill>
        <a:blip xmlns:r="http://schemas.openxmlformats.org/officeDocument/2006/relationships" r:embed="rId21" cstate="print">
          <a:extLst>
            <a:ext uri="{28A0092B-C50C-407E-A947-70E740481C1C}">
              <a14:useLocalDpi xmlns:a14="http://schemas.microsoft.com/office/drawing/2010/main" val="0"/>
            </a:ext>
          </a:extLst>
        </a:blip>
        <a:srcRect/>
        <a:stretch/>
      </xdr:blipFill>
      <xdr:spPr bwMode="auto">
        <a:xfrm>
          <a:off x="18239913" y="4474475"/>
          <a:ext cx="1838787" cy="138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21</xdr:col>
      <xdr:colOff>500062</xdr:colOff>
      <xdr:row>24</xdr:row>
      <xdr:rowOff>24207</xdr:rowOff>
    </xdr:from>
    <xdr:to>
      <xdr:col>23</xdr:col>
      <xdr:colOff>438149</xdr:colOff>
      <xdr:row>32</xdr:row>
      <xdr:rowOff>158436</xdr:rowOff>
    </xdr:to>
    <xdr:pic>
      <xdr:nvPicPr>
        <xdr:cNvPr id="746456" name="Imagen 42">
          <a:extLst>
            <a:ext uri="{FF2B5EF4-FFF2-40B4-BE49-F238E27FC236}">
              <a16:creationId xmlns:a16="http://schemas.microsoft.com/office/drawing/2014/main" id="{00000000-0008-0000-1F00-0000D8630B00}"/>
            </a:ext>
          </a:extLst>
        </xdr:cNvPr>
        <xdr:cNvPicPr>
          <a:picLocks noChangeAspect="1"/>
        </xdr:cNvPicPr>
      </xdr:nvPicPr>
      <xdr:blipFill>
        <a:blip xmlns:r="http://schemas.openxmlformats.org/officeDocument/2006/relationships" r:embed="rId22" cstate="print">
          <a:extLst>
            <a:ext uri="{28A0092B-C50C-407E-A947-70E740481C1C}">
              <a14:useLocalDpi xmlns:a14="http://schemas.microsoft.com/office/drawing/2010/main" val="0"/>
            </a:ext>
          </a:extLst>
        </a:blip>
        <a:srcRect/>
        <a:stretch/>
      </xdr:blipFill>
      <xdr:spPr bwMode="auto">
        <a:xfrm>
          <a:off x="21102637" y="4453332"/>
          <a:ext cx="1900237" cy="142962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27</xdr:col>
      <xdr:colOff>19050</xdr:colOff>
      <xdr:row>11</xdr:row>
      <xdr:rowOff>0</xdr:rowOff>
    </xdr:from>
    <xdr:to>
      <xdr:col>29</xdr:col>
      <xdr:colOff>200025</xdr:colOff>
      <xdr:row>11</xdr:row>
      <xdr:rowOff>0</xdr:rowOff>
    </xdr:to>
    <xdr:sp macro="" textlink="">
      <xdr:nvSpPr>
        <xdr:cNvPr id="746457" name="Line 2">
          <a:extLst>
            <a:ext uri="{FF2B5EF4-FFF2-40B4-BE49-F238E27FC236}">
              <a16:creationId xmlns:a16="http://schemas.microsoft.com/office/drawing/2014/main" id="{00000000-0008-0000-1F00-0000D9630B00}"/>
            </a:ext>
          </a:extLst>
        </xdr:cNvPr>
        <xdr:cNvSpPr>
          <a:spLocks noChangeShapeType="1"/>
        </xdr:cNvSpPr>
      </xdr:nvSpPr>
      <xdr:spPr bwMode="auto">
        <a:xfrm>
          <a:off x="26508075" y="2133600"/>
          <a:ext cx="2143125"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24</xdr:col>
      <xdr:colOff>200467</xdr:colOff>
      <xdr:row>24</xdr:row>
      <xdr:rowOff>156817</xdr:rowOff>
    </xdr:from>
    <xdr:to>
      <xdr:col>26</xdr:col>
      <xdr:colOff>618510</xdr:colOff>
      <xdr:row>31</xdr:row>
      <xdr:rowOff>147983</xdr:rowOff>
    </xdr:to>
    <xdr:pic>
      <xdr:nvPicPr>
        <xdr:cNvPr id="746459" name="Imagen 47">
          <a:extLst>
            <a:ext uri="{FF2B5EF4-FFF2-40B4-BE49-F238E27FC236}">
              <a16:creationId xmlns:a16="http://schemas.microsoft.com/office/drawing/2014/main" id="{00000000-0008-0000-1F00-0000DB630B00}"/>
            </a:ext>
          </a:extLst>
        </xdr:cNvPr>
        <xdr:cNvPicPr>
          <a:picLocks noChangeAspect="1"/>
        </xdr:cNvPicPr>
      </xdr:nvPicPr>
      <xdr:blipFill>
        <a:blip xmlns:r="http://schemas.openxmlformats.org/officeDocument/2006/relationships" r:embed="rId23" cstate="print">
          <a:extLst>
            <a:ext uri="{28A0092B-C50C-407E-A947-70E740481C1C}">
              <a14:useLocalDpi xmlns:a14="http://schemas.microsoft.com/office/drawing/2010/main" val="0"/>
            </a:ext>
          </a:extLst>
        </a:blip>
        <a:srcRect/>
        <a:stretch/>
      </xdr:blipFill>
      <xdr:spPr bwMode="auto">
        <a:xfrm>
          <a:off x="23746267" y="4585942"/>
          <a:ext cx="2380193" cy="112464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24</xdr:col>
      <xdr:colOff>134668</xdr:colOff>
      <xdr:row>13</xdr:row>
      <xdr:rowOff>59532</xdr:rowOff>
    </xdr:from>
    <xdr:to>
      <xdr:col>26</xdr:col>
      <xdr:colOff>850102</xdr:colOff>
      <xdr:row>20</xdr:row>
      <xdr:rowOff>130970</xdr:rowOff>
    </xdr:to>
    <xdr:pic>
      <xdr:nvPicPr>
        <xdr:cNvPr id="746460" name="Imagen 48">
          <a:extLst>
            <a:ext uri="{FF2B5EF4-FFF2-40B4-BE49-F238E27FC236}">
              <a16:creationId xmlns:a16="http://schemas.microsoft.com/office/drawing/2014/main" id="{00000000-0008-0000-1F00-0000DC630B00}"/>
            </a:ext>
          </a:extLst>
        </xdr:cNvPr>
        <xdr:cNvPicPr>
          <a:picLocks noChangeAspect="1"/>
        </xdr:cNvPicPr>
      </xdr:nvPicPr>
      <xdr:blipFill>
        <a:blip xmlns:r="http://schemas.openxmlformats.org/officeDocument/2006/relationships" r:embed="rId24" cstate="print">
          <a:extLst>
            <a:ext uri="{28A0092B-C50C-407E-A947-70E740481C1C}">
              <a14:useLocalDpi xmlns:a14="http://schemas.microsoft.com/office/drawing/2010/main" val="0"/>
            </a:ext>
          </a:extLst>
        </a:blip>
        <a:srcRect/>
        <a:stretch/>
      </xdr:blipFill>
      <xdr:spPr bwMode="auto">
        <a:xfrm>
          <a:off x="23680468" y="2526507"/>
          <a:ext cx="2677584" cy="12049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24</xdr:col>
      <xdr:colOff>80520</xdr:colOff>
      <xdr:row>35</xdr:row>
      <xdr:rowOff>114300</xdr:rowOff>
    </xdr:from>
    <xdr:to>
      <xdr:col>26</xdr:col>
      <xdr:colOff>799488</xdr:colOff>
      <xdr:row>43</xdr:row>
      <xdr:rowOff>85725</xdr:rowOff>
    </xdr:to>
    <xdr:pic>
      <xdr:nvPicPr>
        <xdr:cNvPr id="746462" name="Imagen 50">
          <a:extLst>
            <a:ext uri="{FF2B5EF4-FFF2-40B4-BE49-F238E27FC236}">
              <a16:creationId xmlns:a16="http://schemas.microsoft.com/office/drawing/2014/main" id="{00000000-0008-0000-1F00-0000DE630B00}"/>
            </a:ext>
          </a:extLst>
        </xdr:cNvPr>
        <xdr:cNvPicPr>
          <a:picLocks noChangeAspect="1"/>
        </xdr:cNvPicPr>
      </xdr:nvPicPr>
      <xdr:blipFill>
        <a:blip xmlns:r="http://schemas.openxmlformats.org/officeDocument/2006/relationships" r:embed="rId25" cstate="print">
          <a:extLst>
            <a:ext uri="{28A0092B-C50C-407E-A947-70E740481C1C}">
              <a14:useLocalDpi xmlns:a14="http://schemas.microsoft.com/office/drawing/2010/main" val="0"/>
            </a:ext>
          </a:extLst>
        </a:blip>
        <a:srcRect/>
        <a:stretch/>
      </xdr:blipFill>
      <xdr:spPr bwMode="auto">
        <a:xfrm>
          <a:off x="23626320" y="6448425"/>
          <a:ext cx="2681118" cy="1266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27</xdr:col>
      <xdr:colOff>924904</xdr:colOff>
      <xdr:row>35</xdr:row>
      <xdr:rowOff>57000</xdr:rowOff>
    </xdr:from>
    <xdr:to>
      <xdr:col>28</xdr:col>
      <xdr:colOff>927706</xdr:colOff>
      <xdr:row>43</xdr:row>
      <xdr:rowOff>68312</xdr:rowOff>
    </xdr:to>
    <xdr:pic>
      <xdr:nvPicPr>
        <xdr:cNvPr id="746463" name="Imagen 51">
          <a:extLst>
            <a:ext uri="{FF2B5EF4-FFF2-40B4-BE49-F238E27FC236}">
              <a16:creationId xmlns:a16="http://schemas.microsoft.com/office/drawing/2014/main" id="{00000000-0008-0000-1F00-0000DF630B00}"/>
            </a:ext>
          </a:extLst>
        </xdr:cNvPr>
        <xdr:cNvPicPr>
          <a:picLocks noChangeAspect="1"/>
        </xdr:cNvPicPr>
      </xdr:nvPicPr>
      <xdr:blipFill>
        <a:blip xmlns:r="http://schemas.openxmlformats.org/officeDocument/2006/relationships" r:embed="rId26" cstate="print">
          <a:extLst>
            <a:ext uri="{28A0092B-C50C-407E-A947-70E740481C1C}">
              <a14:useLocalDpi xmlns:a14="http://schemas.microsoft.com/office/drawing/2010/main" val="0"/>
            </a:ext>
          </a:extLst>
        </a:blip>
        <a:srcRect/>
        <a:stretch/>
      </xdr:blipFill>
      <xdr:spPr bwMode="auto">
        <a:xfrm>
          <a:off x="27413929" y="6391125"/>
          <a:ext cx="983877" cy="13067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33</xdr:col>
      <xdr:colOff>19050</xdr:colOff>
      <xdr:row>11</xdr:row>
      <xdr:rowOff>0</xdr:rowOff>
    </xdr:from>
    <xdr:to>
      <xdr:col>35</xdr:col>
      <xdr:colOff>200025</xdr:colOff>
      <xdr:row>11</xdr:row>
      <xdr:rowOff>0</xdr:rowOff>
    </xdr:to>
    <xdr:sp macro="" textlink="">
      <xdr:nvSpPr>
        <xdr:cNvPr id="746464" name="Line 2">
          <a:extLst>
            <a:ext uri="{FF2B5EF4-FFF2-40B4-BE49-F238E27FC236}">
              <a16:creationId xmlns:a16="http://schemas.microsoft.com/office/drawing/2014/main" id="{00000000-0008-0000-1F00-0000E0630B00}"/>
            </a:ext>
          </a:extLst>
        </xdr:cNvPr>
        <xdr:cNvSpPr>
          <a:spLocks noChangeShapeType="1"/>
        </xdr:cNvSpPr>
      </xdr:nvSpPr>
      <xdr:spPr bwMode="auto">
        <a:xfrm>
          <a:off x="32394525" y="2133600"/>
          <a:ext cx="2143125"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30</xdr:col>
      <xdr:colOff>932069</xdr:colOff>
      <xdr:row>12</xdr:row>
      <xdr:rowOff>71437</xdr:rowOff>
    </xdr:from>
    <xdr:to>
      <xdr:col>32</xdr:col>
      <xdr:colOff>112022</xdr:colOff>
      <xdr:row>21</xdr:row>
      <xdr:rowOff>130968</xdr:rowOff>
    </xdr:to>
    <xdr:pic>
      <xdr:nvPicPr>
        <xdr:cNvPr id="746465" name="Imagen 53">
          <a:extLst>
            <a:ext uri="{FF2B5EF4-FFF2-40B4-BE49-F238E27FC236}">
              <a16:creationId xmlns:a16="http://schemas.microsoft.com/office/drawing/2014/main" id="{00000000-0008-0000-1F00-0000E1630B00}"/>
            </a:ext>
          </a:extLst>
        </xdr:cNvPr>
        <xdr:cNvPicPr>
          <a:picLocks noChangeAspect="1"/>
        </xdr:cNvPicPr>
      </xdr:nvPicPr>
      <xdr:blipFill>
        <a:blip xmlns:r="http://schemas.openxmlformats.org/officeDocument/2006/relationships" r:embed="rId27" cstate="print">
          <a:extLst>
            <a:ext uri="{28A0092B-C50C-407E-A947-70E740481C1C}">
              <a14:useLocalDpi xmlns:a14="http://schemas.microsoft.com/office/drawing/2010/main" val="0"/>
            </a:ext>
          </a:extLst>
        </a:blip>
        <a:srcRect/>
        <a:stretch/>
      </xdr:blipFill>
      <xdr:spPr bwMode="auto">
        <a:xfrm>
          <a:off x="30364319" y="2376487"/>
          <a:ext cx="1142103" cy="15168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33</xdr:col>
      <xdr:colOff>952960</xdr:colOff>
      <xdr:row>12</xdr:row>
      <xdr:rowOff>107465</xdr:rowOff>
    </xdr:from>
    <xdr:to>
      <xdr:col>35</xdr:col>
      <xdr:colOff>60729</xdr:colOff>
      <xdr:row>21</xdr:row>
      <xdr:rowOff>71127</xdr:rowOff>
    </xdr:to>
    <xdr:pic>
      <xdr:nvPicPr>
        <xdr:cNvPr id="746466" name="Imagen 54">
          <a:extLst>
            <a:ext uri="{FF2B5EF4-FFF2-40B4-BE49-F238E27FC236}">
              <a16:creationId xmlns:a16="http://schemas.microsoft.com/office/drawing/2014/main" id="{00000000-0008-0000-1F00-0000E2630B00}"/>
            </a:ext>
          </a:extLst>
        </xdr:cNvPr>
        <xdr:cNvPicPr>
          <a:picLocks noChangeAspect="1"/>
        </xdr:cNvPicPr>
      </xdr:nvPicPr>
      <xdr:blipFill>
        <a:blip xmlns:r="http://schemas.openxmlformats.org/officeDocument/2006/relationships" r:embed="rId28" cstate="print">
          <a:extLst>
            <a:ext uri="{28A0092B-C50C-407E-A947-70E740481C1C}">
              <a14:useLocalDpi xmlns:a14="http://schemas.microsoft.com/office/drawing/2010/main" val="0"/>
            </a:ext>
          </a:extLst>
        </a:blip>
        <a:srcRect/>
        <a:stretch/>
      </xdr:blipFill>
      <xdr:spPr bwMode="auto">
        <a:xfrm>
          <a:off x="33328435" y="2412515"/>
          <a:ext cx="1069919" cy="14209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33</xdr:col>
      <xdr:colOff>76351</xdr:colOff>
      <xdr:row>24</xdr:row>
      <xdr:rowOff>104775</xdr:rowOff>
    </xdr:from>
    <xdr:to>
      <xdr:col>35</xdr:col>
      <xdr:colOff>847725</xdr:colOff>
      <xdr:row>32</xdr:row>
      <xdr:rowOff>100964</xdr:rowOff>
    </xdr:to>
    <xdr:pic>
      <xdr:nvPicPr>
        <xdr:cNvPr id="746467" name="Imagen 56">
          <a:extLst>
            <a:ext uri="{FF2B5EF4-FFF2-40B4-BE49-F238E27FC236}">
              <a16:creationId xmlns:a16="http://schemas.microsoft.com/office/drawing/2014/main" id="{00000000-0008-0000-1F00-0000E3630B00}"/>
            </a:ext>
          </a:extLst>
        </xdr:cNvPr>
        <xdr:cNvPicPr>
          <a:picLocks noChangeAspect="1"/>
        </xdr:cNvPicPr>
      </xdr:nvPicPr>
      <xdr:blipFill>
        <a:blip xmlns:r="http://schemas.openxmlformats.org/officeDocument/2006/relationships" r:embed="rId29" cstate="print">
          <a:extLst>
            <a:ext uri="{28A0092B-C50C-407E-A947-70E740481C1C}">
              <a14:useLocalDpi xmlns:a14="http://schemas.microsoft.com/office/drawing/2010/main" val="0"/>
            </a:ext>
          </a:extLst>
        </a:blip>
        <a:srcRect/>
        <a:stretch/>
      </xdr:blipFill>
      <xdr:spPr bwMode="auto">
        <a:xfrm>
          <a:off x="32451826" y="4533900"/>
          <a:ext cx="2733524" cy="12915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34</xdr:col>
      <xdr:colOff>107462</xdr:colOff>
      <xdr:row>35</xdr:row>
      <xdr:rowOff>47625</xdr:rowOff>
    </xdr:from>
    <xdr:to>
      <xdr:col>34</xdr:col>
      <xdr:colOff>895350</xdr:colOff>
      <xdr:row>43</xdr:row>
      <xdr:rowOff>153597</xdr:rowOff>
    </xdr:to>
    <xdr:pic>
      <xdr:nvPicPr>
        <xdr:cNvPr id="746468" name="Imagen 58">
          <a:extLst>
            <a:ext uri="{FF2B5EF4-FFF2-40B4-BE49-F238E27FC236}">
              <a16:creationId xmlns:a16="http://schemas.microsoft.com/office/drawing/2014/main" id="{00000000-0008-0000-1F00-0000E4630B00}"/>
            </a:ext>
          </a:extLst>
        </xdr:cNvPr>
        <xdr:cNvPicPr>
          <a:picLocks noChangeAspect="1"/>
        </xdr:cNvPicPr>
      </xdr:nvPicPr>
      <xdr:blipFill>
        <a:blip xmlns:r="http://schemas.openxmlformats.org/officeDocument/2006/relationships" r:embed="rId30" cstate="print">
          <a:extLst>
            <a:ext uri="{28A0092B-C50C-407E-A947-70E740481C1C}">
              <a14:useLocalDpi xmlns:a14="http://schemas.microsoft.com/office/drawing/2010/main" val="0"/>
            </a:ext>
          </a:extLst>
        </a:blip>
        <a:srcRect/>
        <a:stretch/>
      </xdr:blipFill>
      <xdr:spPr bwMode="auto">
        <a:xfrm>
          <a:off x="33464012" y="6381750"/>
          <a:ext cx="787888" cy="14013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136046</xdr:colOff>
      <xdr:row>35</xdr:row>
      <xdr:rowOff>119084</xdr:rowOff>
    </xdr:from>
    <xdr:to>
      <xdr:col>20</xdr:col>
      <xdr:colOff>893713</xdr:colOff>
      <xdr:row>43</xdr:row>
      <xdr:rowOff>47602</xdr:rowOff>
    </xdr:to>
    <xdr:pic>
      <xdr:nvPicPr>
        <xdr:cNvPr id="746469" name="Imagen 29">
          <a:extLst>
            <a:ext uri="{FF2B5EF4-FFF2-40B4-BE49-F238E27FC236}">
              <a16:creationId xmlns:a16="http://schemas.microsoft.com/office/drawing/2014/main" id="{00000000-0008-0000-1F00-0000E5630B00}"/>
            </a:ext>
          </a:extLst>
        </xdr:cNvPr>
        <xdr:cNvPicPr>
          <a:picLocks noChangeAspect="1"/>
        </xdr:cNvPicPr>
      </xdr:nvPicPr>
      <xdr:blipFill>
        <a:blip xmlns:r="http://schemas.openxmlformats.org/officeDocument/2006/relationships" r:embed="rId31" cstate="print">
          <a:extLst>
            <a:ext uri="{28A0092B-C50C-407E-A947-70E740481C1C}">
              <a14:useLocalDpi xmlns:a14="http://schemas.microsoft.com/office/drawing/2010/main" val="0"/>
            </a:ext>
          </a:extLst>
        </a:blip>
        <a:srcRect/>
        <a:stretch/>
      </xdr:blipFill>
      <xdr:spPr bwMode="auto">
        <a:xfrm>
          <a:off x="17795396" y="6453209"/>
          <a:ext cx="2719817" cy="12239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21</xdr:col>
      <xdr:colOff>24079</xdr:colOff>
      <xdr:row>35</xdr:row>
      <xdr:rowOff>95250</xdr:rowOff>
    </xdr:from>
    <xdr:to>
      <xdr:col>23</xdr:col>
      <xdr:colOff>876300</xdr:colOff>
      <xdr:row>43</xdr:row>
      <xdr:rowOff>66317</xdr:rowOff>
    </xdr:to>
    <xdr:pic>
      <xdr:nvPicPr>
        <xdr:cNvPr id="746470" name="Imagen 30">
          <a:extLst>
            <a:ext uri="{FF2B5EF4-FFF2-40B4-BE49-F238E27FC236}">
              <a16:creationId xmlns:a16="http://schemas.microsoft.com/office/drawing/2014/main" id="{00000000-0008-0000-1F00-0000E6630B00}"/>
            </a:ext>
          </a:extLst>
        </xdr:cNvPr>
        <xdr:cNvPicPr>
          <a:picLocks noChangeAspect="1"/>
        </xdr:cNvPicPr>
      </xdr:nvPicPr>
      <xdr:blipFill>
        <a:blip xmlns:r="http://schemas.openxmlformats.org/officeDocument/2006/relationships" r:embed="rId32" cstate="print">
          <a:extLst>
            <a:ext uri="{28A0092B-C50C-407E-A947-70E740481C1C}">
              <a14:useLocalDpi xmlns:a14="http://schemas.microsoft.com/office/drawing/2010/main" val="0"/>
            </a:ext>
          </a:extLst>
        </a:blip>
        <a:srcRect/>
        <a:stretch/>
      </xdr:blipFill>
      <xdr:spPr bwMode="auto">
        <a:xfrm>
          <a:off x="20626654" y="6429375"/>
          <a:ext cx="2814371" cy="126646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30</xdr:col>
      <xdr:colOff>111754</xdr:colOff>
      <xdr:row>24</xdr:row>
      <xdr:rowOff>114300</xdr:rowOff>
    </xdr:from>
    <xdr:to>
      <xdr:col>32</xdr:col>
      <xdr:colOff>866775</xdr:colOff>
      <xdr:row>32</xdr:row>
      <xdr:rowOff>102762</xdr:rowOff>
    </xdr:to>
    <xdr:pic>
      <xdr:nvPicPr>
        <xdr:cNvPr id="746471" name="Imagen 62">
          <a:extLst>
            <a:ext uri="{FF2B5EF4-FFF2-40B4-BE49-F238E27FC236}">
              <a16:creationId xmlns:a16="http://schemas.microsoft.com/office/drawing/2014/main" id="{00000000-0008-0000-1F00-0000E7630B00}"/>
            </a:ext>
          </a:extLst>
        </xdr:cNvPr>
        <xdr:cNvPicPr>
          <a:picLocks noChangeAspect="1"/>
        </xdr:cNvPicPr>
      </xdr:nvPicPr>
      <xdr:blipFill>
        <a:blip xmlns:r="http://schemas.openxmlformats.org/officeDocument/2006/relationships" r:embed="rId33" cstate="print">
          <a:extLst>
            <a:ext uri="{28A0092B-C50C-407E-A947-70E740481C1C}">
              <a14:useLocalDpi xmlns:a14="http://schemas.microsoft.com/office/drawing/2010/main" val="0"/>
            </a:ext>
          </a:extLst>
        </a:blip>
        <a:srcRect/>
        <a:stretch/>
      </xdr:blipFill>
      <xdr:spPr bwMode="auto">
        <a:xfrm>
          <a:off x="29544004" y="4543425"/>
          <a:ext cx="2717171" cy="12838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30</xdr:col>
      <xdr:colOff>75750</xdr:colOff>
      <xdr:row>35</xdr:row>
      <xdr:rowOff>57150</xdr:rowOff>
    </xdr:from>
    <xdr:to>
      <xdr:col>32</xdr:col>
      <xdr:colOff>935825</xdr:colOff>
      <xdr:row>43</xdr:row>
      <xdr:rowOff>95250</xdr:rowOff>
    </xdr:to>
    <xdr:pic>
      <xdr:nvPicPr>
        <xdr:cNvPr id="746472" name="Imagen 64">
          <a:extLst>
            <a:ext uri="{FF2B5EF4-FFF2-40B4-BE49-F238E27FC236}">
              <a16:creationId xmlns:a16="http://schemas.microsoft.com/office/drawing/2014/main" id="{00000000-0008-0000-1F00-0000E8630B00}"/>
            </a:ext>
          </a:extLst>
        </xdr:cNvPr>
        <xdr:cNvPicPr>
          <a:picLocks noChangeAspect="1"/>
        </xdr:cNvPicPr>
      </xdr:nvPicPr>
      <xdr:blipFill>
        <a:blip xmlns:r="http://schemas.openxmlformats.org/officeDocument/2006/relationships" r:embed="rId34" cstate="print">
          <a:extLst>
            <a:ext uri="{28A0092B-C50C-407E-A947-70E740481C1C}">
              <a14:useLocalDpi xmlns:a14="http://schemas.microsoft.com/office/drawing/2010/main" val="0"/>
            </a:ext>
          </a:extLst>
        </a:blip>
        <a:srcRect/>
        <a:stretch/>
      </xdr:blipFill>
      <xdr:spPr bwMode="auto">
        <a:xfrm>
          <a:off x="29508000" y="6391275"/>
          <a:ext cx="2822225" cy="1333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39</xdr:col>
      <xdr:colOff>19050</xdr:colOff>
      <xdr:row>11</xdr:row>
      <xdr:rowOff>0</xdr:rowOff>
    </xdr:from>
    <xdr:to>
      <xdr:col>41</xdr:col>
      <xdr:colOff>200025</xdr:colOff>
      <xdr:row>11</xdr:row>
      <xdr:rowOff>0</xdr:rowOff>
    </xdr:to>
    <xdr:sp macro="" textlink="">
      <xdr:nvSpPr>
        <xdr:cNvPr id="44" name="Line 2">
          <a:extLst>
            <a:ext uri="{FF2B5EF4-FFF2-40B4-BE49-F238E27FC236}">
              <a16:creationId xmlns:a16="http://schemas.microsoft.com/office/drawing/2014/main" id="{00000000-0008-0000-1F00-00002C000000}"/>
            </a:ext>
          </a:extLst>
        </xdr:cNvPr>
        <xdr:cNvSpPr>
          <a:spLocks noChangeShapeType="1"/>
        </xdr:cNvSpPr>
      </xdr:nvSpPr>
      <xdr:spPr bwMode="auto">
        <a:xfrm>
          <a:off x="32499300" y="2111375"/>
          <a:ext cx="2149475"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oneCellAnchor>
    <xdr:from>
      <xdr:col>36</xdr:col>
      <xdr:colOff>147376</xdr:colOff>
      <xdr:row>12</xdr:row>
      <xdr:rowOff>152400</xdr:rowOff>
    </xdr:from>
    <xdr:ext cx="2761747" cy="1304925"/>
    <xdr:pic>
      <xdr:nvPicPr>
        <xdr:cNvPr id="45" name="Imagen 53">
          <a:extLst>
            <a:ext uri="{FF2B5EF4-FFF2-40B4-BE49-F238E27FC236}">
              <a16:creationId xmlns:a16="http://schemas.microsoft.com/office/drawing/2014/main" id="{00000000-0008-0000-1F00-00002D000000}"/>
            </a:ext>
          </a:extLst>
        </xdr:cNvPr>
        <xdr:cNvPicPr>
          <a:picLocks noChangeAspect="1"/>
        </xdr:cNvPicPr>
      </xdr:nvPicPr>
      <xdr:blipFill>
        <a:blip xmlns:r="http://schemas.openxmlformats.org/officeDocument/2006/relationships" r:embed="rId35" cstate="print">
          <a:extLst>
            <a:ext uri="{28A0092B-C50C-407E-A947-70E740481C1C}">
              <a14:useLocalDpi xmlns:a14="http://schemas.microsoft.com/office/drawing/2010/main" val="0"/>
            </a:ext>
          </a:extLst>
        </a:blip>
        <a:srcRect/>
        <a:stretch/>
      </xdr:blipFill>
      <xdr:spPr bwMode="auto">
        <a:xfrm>
          <a:off x="35466076" y="2457450"/>
          <a:ext cx="2761747" cy="1304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39</xdr:col>
      <xdr:colOff>108138</xdr:colOff>
      <xdr:row>13</xdr:row>
      <xdr:rowOff>0</xdr:rowOff>
    </xdr:from>
    <xdr:ext cx="2802065" cy="1323975"/>
    <xdr:pic>
      <xdr:nvPicPr>
        <xdr:cNvPr id="46" name="Imagen 54">
          <a:extLst>
            <a:ext uri="{FF2B5EF4-FFF2-40B4-BE49-F238E27FC236}">
              <a16:creationId xmlns:a16="http://schemas.microsoft.com/office/drawing/2014/main" id="{00000000-0008-0000-1F00-00002E000000}"/>
            </a:ext>
          </a:extLst>
        </xdr:cNvPr>
        <xdr:cNvPicPr>
          <a:picLocks noChangeAspect="1"/>
        </xdr:cNvPicPr>
      </xdr:nvPicPr>
      <xdr:blipFill>
        <a:blip xmlns:r="http://schemas.openxmlformats.org/officeDocument/2006/relationships" r:embed="rId36" cstate="print">
          <a:extLst>
            <a:ext uri="{28A0092B-C50C-407E-A947-70E740481C1C}">
              <a14:useLocalDpi xmlns:a14="http://schemas.microsoft.com/office/drawing/2010/main" val="0"/>
            </a:ext>
          </a:extLst>
        </a:blip>
        <a:srcRect/>
        <a:stretch/>
      </xdr:blipFill>
      <xdr:spPr bwMode="auto">
        <a:xfrm>
          <a:off x="38370063" y="2466975"/>
          <a:ext cx="2802065" cy="1323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39</xdr:col>
      <xdr:colOff>97032</xdr:colOff>
      <xdr:row>24</xdr:row>
      <xdr:rowOff>47625</xdr:rowOff>
    </xdr:from>
    <xdr:ext cx="2781907" cy="1314450"/>
    <xdr:pic>
      <xdr:nvPicPr>
        <xdr:cNvPr id="47" name="Imagen 56">
          <a:extLst>
            <a:ext uri="{FF2B5EF4-FFF2-40B4-BE49-F238E27FC236}">
              <a16:creationId xmlns:a16="http://schemas.microsoft.com/office/drawing/2014/main" id="{00000000-0008-0000-1F00-00002F000000}"/>
            </a:ext>
          </a:extLst>
        </xdr:cNvPr>
        <xdr:cNvPicPr>
          <a:picLocks noChangeAspect="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xdr:blipFill>
      <xdr:spPr bwMode="auto">
        <a:xfrm>
          <a:off x="38358957" y="4476750"/>
          <a:ext cx="2781907" cy="1314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39</xdr:col>
      <xdr:colOff>819077</xdr:colOff>
      <xdr:row>35</xdr:row>
      <xdr:rowOff>47625</xdr:rowOff>
    </xdr:from>
    <xdr:ext cx="1042057" cy="1385082"/>
    <xdr:pic>
      <xdr:nvPicPr>
        <xdr:cNvPr id="48" name="Imagen 58">
          <a:extLst>
            <a:ext uri="{FF2B5EF4-FFF2-40B4-BE49-F238E27FC236}">
              <a16:creationId xmlns:a16="http://schemas.microsoft.com/office/drawing/2014/main" id="{00000000-0008-0000-1F00-000030000000}"/>
            </a:ext>
          </a:extLst>
        </xdr:cNvPr>
        <xdr:cNvPicPr>
          <a:picLocks noChangeAspect="1"/>
        </xdr:cNvPicPr>
      </xdr:nvPicPr>
      <xdr:blipFill>
        <a:blip xmlns:r="http://schemas.openxmlformats.org/officeDocument/2006/relationships" r:embed="rId38" cstate="print">
          <a:extLst>
            <a:ext uri="{28A0092B-C50C-407E-A947-70E740481C1C}">
              <a14:useLocalDpi xmlns:a14="http://schemas.microsoft.com/office/drawing/2010/main" val="0"/>
            </a:ext>
          </a:extLst>
        </a:blip>
        <a:srcRect/>
        <a:stretch/>
      </xdr:blipFill>
      <xdr:spPr bwMode="auto">
        <a:xfrm>
          <a:off x="39081002" y="6381750"/>
          <a:ext cx="1042057" cy="13850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36</xdr:col>
      <xdr:colOff>61982</xdr:colOff>
      <xdr:row>24</xdr:row>
      <xdr:rowOff>56668</xdr:rowOff>
    </xdr:from>
    <xdr:ext cx="2814567" cy="1329883"/>
    <xdr:pic>
      <xdr:nvPicPr>
        <xdr:cNvPr id="49" name="Imagen 62">
          <a:extLst>
            <a:ext uri="{FF2B5EF4-FFF2-40B4-BE49-F238E27FC236}">
              <a16:creationId xmlns:a16="http://schemas.microsoft.com/office/drawing/2014/main" id="{00000000-0008-0000-1F00-000031000000}"/>
            </a:ext>
          </a:extLst>
        </xdr:cNvPr>
        <xdr:cNvPicPr>
          <a:picLocks noChangeAspect="1"/>
        </xdr:cNvPicPr>
      </xdr:nvPicPr>
      <xdr:blipFill>
        <a:blip xmlns:r="http://schemas.openxmlformats.org/officeDocument/2006/relationships" r:embed="rId39" cstate="print">
          <a:extLst>
            <a:ext uri="{28A0092B-C50C-407E-A947-70E740481C1C}">
              <a14:useLocalDpi xmlns:a14="http://schemas.microsoft.com/office/drawing/2010/main" val="0"/>
            </a:ext>
          </a:extLst>
        </a:blip>
        <a:srcRect/>
        <a:stretch/>
      </xdr:blipFill>
      <xdr:spPr bwMode="auto">
        <a:xfrm>
          <a:off x="35380682" y="4485793"/>
          <a:ext cx="2814567" cy="13298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36</xdr:col>
      <xdr:colOff>279538</xdr:colOff>
      <xdr:row>35</xdr:row>
      <xdr:rowOff>50084</xdr:rowOff>
    </xdr:from>
    <xdr:ext cx="2349362" cy="1321515"/>
    <xdr:pic>
      <xdr:nvPicPr>
        <xdr:cNvPr id="50" name="Imagen 64">
          <a:extLst>
            <a:ext uri="{FF2B5EF4-FFF2-40B4-BE49-F238E27FC236}">
              <a16:creationId xmlns:a16="http://schemas.microsoft.com/office/drawing/2014/main" id="{00000000-0008-0000-1F00-000032000000}"/>
            </a:ext>
          </a:extLst>
        </xdr:cNvPr>
        <xdr:cNvPicPr>
          <a:picLocks noChangeAspect="1"/>
        </xdr:cNvPicPr>
      </xdr:nvPicPr>
      <xdr:blipFill>
        <a:blip xmlns:r="http://schemas.openxmlformats.org/officeDocument/2006/relationships" r:embed="rId40" cstate="print">
          <a:extLst>
            <a:ext uri="{28A0092B-C50C-407E-A947-70E740481C1C}">
              <a14:useLocalDpi xmlns:a14="http://schemas.microsoft.com/office/drawing/2010/main" val="0"/>
            </a:ext>
          </a:extLst>
        </a:blip>
        <a:srcRect/>
        <a:stretch/>
      </xdr:blipFill>
      <xdr:spPr bwMode="auto">
        <a:xfrm>
          <a:off x="35598238" y="6384209"/>
          <a:ext cx="2349362" cy="132151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45</xdr:col>
      <xdr:colOff>19050</xdr:colOff>
      <xdr:row>11</xdr:row>
      <xdr:rowOff>0</xdr:rowOff>
    </xdr:from>
    <xdr:to>
      <xdr:col>47</xdr:col>
      <xdr:colOff>200025</xdr:colOff>
      <xdr:row>11</xdr:row>
      <xdr:rowOff>0</xdr:rowOff>
    </xdr:to>
    <xdr:sp macro="" textlink="">
      <xdr:nvSpPr>
        <xdr:cNvPr id="58" name="Line 2">
          <a:extLst>
            <a:ext uri="{FF2B5EF4-FFF2-40B4-BE49-F238E27FC236}">
              <a16:creationId xmlns:a16="http://schemas.microsoft.com/office/drawing/2014/main" id="{00000000-0008-0000-1F00-00003A000000}"/>
            </a:ext>
          </a:extLst>
        </xdr:cNvPr>
        <xdr:cNvSpPr>
          <a:spLocks noChangeShapeType="1"/>
        </xdr:cNvSpPr>
      </xdr:nvSpPr>
      <xdr:spPr bwMode="auto">
        <a:xfrm>
          <a:off x="38404800" y="2111375"/>
          <a:ext cx="2149475"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oneCellAnchor>
    <xdr:from>
      <xdr:col>42</xdr:col>
      <xdr:colOff>876300</xdr:colOff>
      <xdr:row>12</xdr:row>
      <xdr:rowOff>24988</xdr:rowOff>
    </xdr:from>
    <xdr:ext cx="1171575" cy="1557233"/>
    <xdr:pic>
      <xdr:nvPicPr>
        <xdr:cNvPr id="59" name="Imagen 53">
          <a:extLst>
            <a:ext uri="{FF2B5EF4-FFF2-40B4-BE49-F238E27FC236}">
              <a16:creationId xmlns:a16="http://schemas.microsoft.com/office/drawing/2014/main" id="{00000000-0008-0000-1F00-00003B000000}"/>
            </a:ext>
          </a:extLst>
        </xdr:cNvPr>
        <xdr:cNvPicPr>
          <a:picLocks noChangeAspect="1"/>
        </xdr:cNvPicPr>
      </xdr:nvPicPr>
      <xdr:blipFill>
        <a:blip xmlns:r="http://schemas.openxmlformats.org/officeDocument/2006/relationships" r:embed="rId41" cstate="print">
          <a:extLst>
            <a:ext uri="{28A0092B-C50C-407E-A947-70E740481C1C}">
              <a14:useLocalDpi xmlns:a14="http://schemas.microsoft.com/office/drawing/2010/main" val="0"/>
            </a:ext>
          </a:extLst>
        </a:blip>
        <a:srcRect/>
        <a:stretch/>
      </xdr:blipFill>
      <xdr:spPr bwMode="auto">
        <a:xfrm>
          <a:off x="42081450" y="2330038"/>
          <a:ext cx="1171575" cy="155723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45</xdr:col>
      <xdr:colOff>100956</xdr:colOff>
      <xdr:row>12</xdr:row>
      <xdr:rowOff>85725</xdr:rowOff>
    </xdr:from>
    <xdr:ext cx="2624667" cy="1476375"/>
    <xdr:pic>
      <xdr:nvPicPr>
        <xdr:cNvPr id="60" name="Imagen 54">
          <a:extLst>
            <a:ext uri="{FF2B5EF4-FFF2-40B4-BE49-F238E27FC236}">
              <a16:creationId xmlns:a16="http://schemas.microsoft.com/office/drawing/2014/main" id="{00000000-0008-0000-1F00-00003C000000}"/>
            </a:ext>
          </a:extLst>
        </xdr:cNvPr>
        <xdr:cNvPicPr>
          <a:picLocks noChangeAspect="1"/>
        </xdr:cNvPicPr>
      </xdr:nvPicPr>
      <xdr:blipFill>
        <a:blip xmlns:r="http://schemas.openxmlformats.org/officeDocument/2006/relationships" r:embed="rId42" cstate="print">
          <a:extLst>
            <a:ext uri="{28A0092B-C50C-407E-A947-70E740481C1C}">
              <a14:useLocalDpi xmlns:a14="http://schemas.microsoft.com/office/drawing/2010/main" val="0"/>
            </a:ext>
          </a:extLst>
        </a:blip>
        <a:srcRect/>
        <a:stretch/>
      </xdr:blipFill>
      <xdr:spPr bwMode="auto">
        <a:xfrm>
          <a:off x="44249331" y="2390775"/>
          <a:ext cx="2624667" cy="1476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45</xdr:col>
      <xdr:colOff>503689</xdr:colOff>
      <xdr:row>24</xdr:row>
      <xdr:rowOff>95533</xdr:rowOff>
    </xdr:from>
    <xdr:ext cx="1779777" cy="1340068"/>
    <xdr:pic>
      <xdr:nvPicPr>
        <xdr:cNvPr id="61" name="Imagen 56">
          <a:extLst>
            <a:ext uri="{FF2B5EF4-FFF2-40B4-BE49-F238E27FC236}">
              <a16:creationId xmlns:a16="http://schemas.microsoft.com/office/drawing/2014/main" id="{00000000-0008-0000-1F00-00003D000000}"/>
            </a:ext>
          </a:extLst>
        </xdr:cNvPr>
        <xdr:cNvPicPr>
          <a:picLocks noChangeAspect="1"/>
        </xdr:cNvPicPr>
      </xdr:nvPicPr>
      <xdr:blipFill>
        <a:blip xmlns:r="http://schemas.openxmlformats.org/officeDocument/2006/relationships" r:embed="rId43" cstate="print">
          <a:extLst>
            <a:ext uri="{28A0092B-C50C-407E-A947-70E740481C1C}">
              <a14:useLocalDpi xmlns:a14="http://schemas.microsoft.com/office/drawing/2010/main" val="0"/>
            </a:ext>
          </a:extLst>
        </a:blip>
        <a:srcRect/>
        <a:stretch/>
      </xdr:blipFill>
      <xdr:spPr bwMode="auto">
        <a:xfrm>
          <a:off x="44652064" y="4524658"/>
          <a:ext cx="1779777" cy="134006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46</xdr:col>
      <xdr:colOff>168394</xdr:colOff>
      <xdr:row>36</xdr:row>
      <xdr:rowOff>23812</xdr:rowOff>
    </xdr:from>
    <xdr:ext cx="613501" cy="1262061"/>
    <xdr:pic>
      <xdr:nvPicPr>
        <xdr:cNvPr id="62" name="Imagen 58">
          <a:extLst>
            <a:ext uri="{FF2B5EF4-FFF2-40B4-BE49-F238E27FC236}">
              <a16:creationId xmlns:a16="http://schemas.microsoft.com/office/drawing/2014/main" id="{00000000-0008-0000-1F00-00003E000000}"/>
            </a:ext>
          </a:extLst>
        </xdr:cNvPr>
        <xdr:cNvPicPr>
          <a:picLocks noChangeAspect="1"/>
        </xdr:cNvPicPr>
      </xdr:nvPicPr>
      <xdr:blipFill>
        <a:blip xmlns:r="http://schemas.openxmlformats.org/officeDocument/2006/relationships" r:embed="rId44" cstate="print">
          <a:extLst>
            <a:ext uri="{28A0092B-C50C-407E-A947-70E740481C1C}">
              <a14:useLocalDpi xmlns:a14="http://schemas.microsoft.com/office/drawing/2010/main" val="0"/>
            </a:ext>
          </a:extLst>
        </a:blip>
        <a:srcRect/>
        <a:stretch/>
      </xdr:blipFill>
      <xdr:spPr bwMode="auto">
        <a:xfrm>
          <a:off x="45297844" y="6519862"/>
          <a:ext cx="613501" cy="12620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42</xdr:col>
      <xdr:colOff>41259</xdr:colOff>
      <xdr:row>24</xdr:row>
      <xdr:rowOff>71368</xdr:rowOff>
    </xdr:from>
    <xdr:ext cx="2740041" cy="1262131"/>
    <xdr:pic>
      <xdr:nvPicPr>
        <xdr:cNvPr id="63" name="Imagen 62">
          <a:extLst>
            <a:ext uri="{FF2B5EF4-FFF2-40B4-BE49-F238E27FC236}">
              <a16:creationId xmlns:a16="http://schemas.microsoft.com/office/drawing/2014/main" id="{00000000-0008-0000-1F00-00003F000000}"/>
            </a:ext>
          </a:extLst>
        </xdr:cNvPr>
        <xdr:cNvPicPr>
          <a:picLocks noChangeAspect="1"/>
        </xdr:cNvPicPr>
      </xdr:nvPicPr>
      <xdr:blipFill>
        <a:blip xmlns:r="http://schemas.openxmlformats.org/officeDocument/2006/relationships" r:embed="rId45" cstate="print">
          <a:extLst>
            <a:ext uri="{28A0092B-C50C-407E-A947-70E740481C1C}">
              <a14:useLocalDpi xmlns:a14="http://schemas.microsoft.com/office/drawing/2010/main" val="0"/>
            </a:ext>
          </a:extLst>
        </a:blip>
        <a:srcRect/>
        <a:stretch/>
      </xdr:blipFill>
      <xdr:spPr bwMode="auto">
        <a:xfrm>
          <a:off x="41246409" y="4500493"/>
          <a:ext cx="2740041" cy="12621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42</xdr:col>
      <xdr:colOff>966740</xdr:colOff>
      <xdr:row>35</xdr:row>
      <xdr:rowOff>130969</xdr:rowOff>
    </xdr:from>
    <xdr:ext cx="955475" cy="1273966"/>
    <xdr:pic>
      <xdr:nvPicPr>
        <xdr:cNvPr id="64" name="Imagen 64">
          <a:extLst>
            <a:ext uri="{FF2B5EF4-FFF2-40B4-BE49-F238E27FC236}">
              <a16:creationId xmlns:a16="http://schemas.microsoft.com/office/drawing/2014/main" id="{00000000-0008-0000-1F00-000040000000}"/>
            </a:ext>
          </a:extLst>
        </xdr:cNvPr>
        <xdr:cNvPicPr>
          <a:picLocks noChangeAspect="1"/>
        </xdr:cNvPicPr>
      </xdr:nvPicPr>
      <xdr:blipFill>
        <a:blip xmlns:r="http://schemas.openxmlformats.org/officeDocument/2006/relationships" r:embed="rId46" cstate="print">
          <a:extLst>
            <a:ext uri="{28A0092B-C50C-407E-A947-70E740481C1C}">
              <a14:useLocalDpi xmlns:a14="http://schemas.microsoft.com/office/drawing/2010/main" val="0"/>
            </a:ext>
          </a:extLst>
        </a:blip>
        <a:srcRect/>
        <a:stretch/>
      </xdr:blipFill>
      <xdr:spPr bwMode="auto">
        <a:xfrm>
          <a:off x="42171890" y="6465094"/>
          <a:ext cx="955475" cy="12739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51</xdr:col>
      <xdr:colOff>19050</xdr:colOff>
      <xdr:row>11</xdr:row>
      <xdr:rowOff>0</xdr:rowOff>
    </xdr:from>
    <xdr:to>
      <xdr:col>53</xdr:col>
      <xdr:colOff>200025</xdr:colOff>
      <xdr:row>11</xdr:row>
      <xdr:rowOff>0</xdr:rowOff>
    </xdr:to>
    <xdr:sp macro="" textlink="">
      <xdr:nvSpPr>
        <xdr:cNvPr id="65" name="Line 2">
          <a:extLst>
            <a:ext uri="{FF2B5EF4-FFF2-40B4-BE49-F238E27FC236}">
              <a16:creationId xmlns:a16="http://schemas.microsoft.com/office/drawing/2014/main" id="{00000000-0008-0000-1F00-000041000000}"/>
            </a:ext>
          </a:extLst>
        </xdr:cNvPr>
        <xdr:cNvSpPr>
          <a:spLocks noChangeShapeType="1"/>
        </xdr:cNvSpPr>
      </xdr:nvSpPr>
      <xdr:spPr bwMode="auto">
        <a:xfrm>
          <a:off x="44310300" y="2111375"/>
          <a:ext cx="2149475"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oneCellAnchor>
    <xdr:from>
      <xdr:col>48</xdr:col>
      <xdr:colOff>419698</xdr:colOff>
      <xdr:row>12</xdr:row>
      <xdr:rowOff>83344</xdr:rowOff>
    </xdr:from>
    <xdr:ext cx="1944995" cy="1464467"/>
    <xdr:pic>
      <xdr:nvPicPr>
        <xdr:cNvPr id="66" name="Imagen 53">
          <a:extLst>
            <a:ext uri="{FF2B5EF4-FFF2-40B4-BE49-F238E27FC236}">
              <a16:creationId xmlns:a16="http://schemas.microsoft.com/office/drawing/2014/main" id="{00000000-0008-0000-1F00-000042000000}"/>
            </a:ext>
          </a:extLst>
        </xdr:cNvPr>
        <xdr:cNvPicPr>
          <a:picLocks noChangeAspect="1"/>
        </xdr:cNvPicPr>
      </xdr:nvPicPr>
      <xdr:blipFill>
        <a:blip xmlns:r="http://schemas.openxmlformats.org/officeDocument/2006/relationships" r:embed="rId47" cstate="print">
          <a:extLst>
            <a:ext uri="{28A0092B-C50C-407E-A947-70E740481C1C}">
              <a14:useLocalDpi xmlns:a14="http://schemas.microsoft.com/office/drawing/2010/main" val="0"/>
            </a:ext>
          </a:extLst>
        </a:blip>
        <a:srcRect/>
        <a:stretch/>
      </xdr:blipFill>
      <xdr:spPr bwMode="auto">
        <a:xfrm>
          <a:off x="47511298" y="2388394"/>
          <a:ext cx="1944995" cy="146446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51</xdr:col>
      <xdr:colOff>932396</xdr:colOff>
      <xdr:row>12</xdr:row>
      <xdr:rowOff>107156</xdr:rowOff>
    </xdr:from>
    <xdr:ext cx="1138517" cy="1512094"/>
    <xdr:pic>
      <xdr:nvPicPr>
        <xdr:cNvPr id="67" name="Imagen 54">
          <a:extLst>
            <a:ext uri="{FF2B5EF4-FFF2-40B4-BE49-F238E27FC236}">
              <a16:creationId xmlns:a16="http://schemas.microsoft.com/office/drawing/2014/main" id="{00000000-0008-0000-1F00-000043000000}"/>
            </a:ext>
          </a:extLst>
        </xdr:cNvPr>
        <xdr:cNvPicPr>
          <a:picLocks noChangeAspect="1"/>
        </xdr:cNvPicPr>
      </xdr:nvPicPr>
      <xdr:blipFill>
        <a:blip xmlns:r="http://schemas.openxmlformats.org/officeDocument/2006/relationships" r:embed="rId48" cstate="print">
          <a:extLst>
            <a:ext uri="{28A0092B-C50C-407E-A947-70E740481C1C}">
              <a14:useLocalDpi xmlns:a14="http://schemas.microsoft.com/office/drawing/2010/main" val="0"/>
            </a:ext>
          </a:extLst>
        </a:blip>
        <a:srcRect/>
        <a:stretch/>
      </xdr:blipFill>
      <xdr:spPr bwMode="auto">
        <a:xfrm>
          <a:off x="50967221" y="2412206"/>
          <a:ext cx="1138517" cy="15120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48</xdr:col>
      <xdr:colOff>694578</xdr:colOff>
      <xdr:row>24</xdr:row>
      <xdr:rowOff>95250</xdr:rowOff>
    </xdr:from>
    <xdr:ext cx="1818492" cy="1369218"/>
    <xdr:pic>
      <xdr:nvPicPr>
        <xdr:cNvPr id="68" name="Imagen 56">
          <a:extLst>
            <a:ext uri="{FF2B5EF4-FFF2-40B4-BE49-F238E27FC236}">
              <a16:creationId xmlns:a16="http://schemas.microsoft.com/office/drawing/2014/main" id="{00000000-0008-0000-1F00-000044000000}"/>
            </a:ext>
          </a:extLst>
        </xdr:cNvPr>
        <xdr:cNvPicPr>
          <a:picLocks noChangeAspect="1"/>
        </xdr:cNvPicPr>
      </xdr:nvPicPr>
      <xdr:blipFill>
        <a:blip xmlns:r="http://schemas.openxmlformats.org/officeDocument/2006/relationships" r:embed="rId49" cstate="print">
          <a:extLst>
            <a:ext uri="{28A0092B-C50C-407E-A947-70E740481C1C}">
              <a14:useLocalDpi xmlns:a14="http://schemas.microsoft.com/office/drawing/2010/main" val="0"/>
            </a:ext>
          </a:extLst>
        </a:blip>
        <a:srcRect/>
        <a:stretch/>
      </xdr:blipFill>
      <xdr:spPr bwMode="auto">
        <a:xfrm>
          <a:off x="47786178" y="4524375"/>
          <a:ext cx="1818492" cy="13692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51</xdr:col>
      <xdr:colOff>76200</xdr:colOff>
      <xdr:row>35</xdr:row>
      <xdr:rowOff>86740</xdr:rowOff>
    </xdr:from>
    <xdr:ext cx="2719279" cy="1284859"/>
    <xdr:pic>
      <xdr:nvPicPr>
        <xdr:cNvPr id="69" name="Imagen 58">
          <a:extLst>
            <a:ext uri="{FF2B5EF4-FFF2-40B4-BE49-F238E27FC236}">
              <a16:creationId xmlns:a16="http://schemas.microsoft.com/office/drawing/2014/main" id="{00000000-0008-0000-1F00-000045000000}"/>
            </a:ext>
          </a:extLst>
        </xdr:cNvPr>
        <xdr:cNvPicPr>
          <a:picLocks noChangeAspect="1"/>
        </xdr:cNvPicPr>
      </xdr:nvPicPr>
      <xdr:blipFill>
        <a:blip xmlns:r="http://schemas.openxmlformats.org/officeDocument/2006/relationships" r:embed="rId50" cstate="print">
          <a:extLst>
            <a:ext uri="{28A0092B-C50C-407E-A947-70E740481C1C}">
              <a14:useLocalDpi xmlns:a14="http://schemas.microsoft.com/office/drawing/2010/main" val="0"/>
            </a:ext>
          </a:extLst>
        </a:blip>
        <a:srcRect/>
        <a:stretch/>
      </xdr:blipFill>
      <xdr:spPr bwMode="auto">
        <a:xfrm>
          <a:off x="50111025" y="6420865"/>
          <a:ext cx="2719279" cy="128485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51</xdr:col>
      <xdr:colOff>654261</xdr:colOff>
      <xdr:row>24</xdr:row>
      <xdr:rowOff>107156</xdr:rowOff>
    </xdr:from>
    <xdr:ext cx="1723616" cy="1297782"/>
    <xdr:pic>
      <xdr:nvPicPr>
        <xdr:cNvPr id="70" name="Imagen 69">
          <a:extLst>
            <a:ext uri="{FF2B5EF4-FFF2-40B4-BE49-F238E27FC236}">
              <a16:creationId xmlns:a16="http://schemas.microsoft.com/office/drawing/2014/main" id="{00000000-0008-0000-1F00-000046000000}"/>
            </a:ext>
          </a:extLst>
        </xdr:cNvPr>
        <xdr:cNvPicPr>
          <a:picLocks noChangeAspect="1"/>
        </xdr:cNvPicPr>
      </xdr:nvPicPr>
      <xdr:blipFill>
        <a:blip xmlns:r="http://schemas.openxmlformats.org/officeDocument/2006/relationships" r:embed="rId51" cstate="print">
          <a:extLst>
            <a:ext uri="{28A0092B-C50C-407E-A947-70E740481C1C}">
              <a14:useLocalDpi xmlns:a14="http://schemas.microsoft.com/office/drawing/2010/main" val="0"/>
            </a:ext>
          </a:extLst>
        </a:blip>
        <a:srcRect/>
        <a:stretch/>
      </xdr:blipFill>
      <xdr:spPr bwMode="auto">
        <a:xfrm>
          <a:off x="50689086" y="4536281"/>
          <a:ext cx="1723616" cy="12977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48</xdr:col>
      <xdr:colOff>57149</xdr:colOff>
      <xdr:row>35</xdr:row>
      <xdr:rowOff>105585</xdr:rowOff>
    </xdr:from>
    <xdr:ext cx="2800351" cy="1323165"/>
    <xdr:pic>
      <xdr:nvPicPr>
        <xdr:cNvPr id="71" name="Imagen 64">
          <a:extLst>
            <a:ext uri="{FF2B5EF4-FFF2-40B4-BE49-F238E27FC236}">
              <a16:creationId xmlns:a16="http://schemas.microsoft.com/office/drawing/2014/main" id="{00000000-0008-0000-1F00-000047000000}"/>
            </a:ext>
          </a:extLst>
        </xdr:cNvPr>
        <xdr:cNvPicPr>
          <a:picLocks noChangeAspect="1"/>
        </xdr:cNvPicPr>
      </xdr:nvPicPr>
      <xdr:blipFill>
        <a:blip xmlns:r="http://schemas.openxmlformats.org/officeDocument/2006/relationships" r:embed="rId52" cstate="print">
          <a:extLst>
            <a:ext uri="{28A0092B-C50C-407E-A947-70E740481C1C}">
              <a14:useLocalDpi xmlns:a14="http://schemas.microsoft.com/office/drawing/2010/main" val="0"/>
            </a:ext>
          </a:extLst>
        </a:blip>
        <a:srcRect/>
        <a:stretch/>
      </xdr:blipFill>
      <xdr:spPr bwMode="auto">
        <a:xfrm>
          <a:off x="47148749" y="6439710"/>
          <a:ext cx="2800351" cy="13231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57</xdr:col>
      <xdr:colOff>19050</xdr:colOff>
      <xdr:row>11</xdr:row>
      <xdr:rowOff>0</xdr:rowOff>
    </xdr:from>
    <xdr:to>
      <xdr:col>59</xdr:col>
      <xdr:colOff>200025</xdr:colOff>
      <xdr:row>11</xdr:row>
      <xdr:rowOff>0</xdr:rowOff>
    </xdr:to>
    <xdr:sp macro="" textlink="">
      <xdr:nvSpPr>
        <xdr:cNvPr id="72" name="Line 2">
          <a:extLst>
            <a:ext uri="{FF2B5EF4-FFF2-40B4-BE49-F238E27FC236}">
              <a16:creationId xmlns:a16="http://schemas.microsoft.com/office/drawing/2014/main" id="{00000000-0008-0000-1F00-000048000000}"/>
            </a:ext>
          </a:extLst>
        </xdr:cNvPr>
        <xdr:cNvSpPr>
          <a:spLocks noChangeShapeType="1"/>
        </xdr:cNvSpPr>
      </xdr:nvSpPr>
      <xdr:spPr bwMode="auto">
        <a:xfrm>
          <a:off x="50215800" y="2111375"/>
          <a:ext cx="2149475"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oneCellAnchor>
    <xdr:from>
      <xdr:col>54</xdr:col>
      <xdr:colOff>87370</xdr:colOff>
      <xdr:row>12</xdr:row>
      <xdr:rowOff>152400</xdr:rowOff>
    </xdr:from>
    <xdr:ext cx="2802064" cy="1323975"/>
    <xdr:pic>
      <xdr:nvPicPr>
        <xdr:cNvPr id="73" name="Imagen 53">
          <a:extLst>
            <a:ext uri="{FF2B5EF4-FFF2-40B4-BE49-F238E27FC236}">
              <a16:creationId xmlns:a16="http://schemas.microsoft.com/office/drawing/2014/main" id="{00000000-0008-0000-1F00-000049000000}"/>
            </a:ext>
          </a:extLst>
        </xdr:cNvPr>
        <xdr:cNvPicPr>
          <a:picLocks noChangeAspect="1"/>
        </xdr:cNvPicPr>
      </xdr:nvPicPr>
      <xdr:blipFill>
        <a:blip xmlns:r="http://schemas.openxmlformats.org/officeDocument/2006/relationships" r:embed="rId53" cstate="print">
          <a:extLst>
            <a:ext uri="{28A0092B-C50C-407E-A947-70E740481C1C}">
              <a14:useLocalDpi xmlns:a14="http://schemas.microsoft.com/office/drawing/2010/main" val="0"/>
            </a:ext>
          </a:extLst>
        </a:blip>
        <a:srcRect/>
        <a:stretch/>
      </xdr:blipFill>
      <xdr:spPr bwMode="auto">
        <a:xfrm>
          <a:off x="53065420" y="2457450"/>
          <a:ext cx="2802064" cy="1323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57</xdr:col>
      <xdr:colOff>104231</xdr:colOff>
      <xdr:row>12</xdr:row>
      <xdr:rowOff>146923</xdr:rowOff>
    </xdr:from>
    <xdr:ext cx="2773338" cy="1310402"/>
    <xdr:pic>
      <xdr:nvPicPr>
        <xdr:cNvPr id="74" name="Imagen 54">
          <a:extLst>
            <a:ext uri="{FF2B5EF4-FFF2-40B4-BE49-F238E27FC236}">
              <a16:creationId xmlns:a16="http://schemas.microsoft.com/office/drawing/2014/main" id="{00000000-0008-0000-1F00-00004A000000}"/>
            </a:ext>
          </a:extLst>
        </xdr:cNvPr>
        <xdr:cNvPicPr>
          <a:picLocks noChangeAspect="1"/>
        </xdr:cNvPicPr>
      </xdr:nvPicPr>
      <xdr:blipFill>
        <a:blip xmlns:r="http://schemas.openxmlformats.org/officeDocument/2006/relationships" r:embed="rId54" cstate="print">
          <a:extLst>
            <a:ext uri="{28A0092B-C50C-407E-A947-70E740481C1C}">
              <a14:useLocalDpi xmlns:a14="http://schemas.microsoft.com/office/drawing/2010/main" val="0"/>
            </a:ext>
          </a:extLst>
        </a:blip>
        <a:srcRect/>
        <a:stretch/>
      </xdr:blipFill>
      <xdr:spPr bwMode="auto">
        <a:xfrm>
          <a:off x="56025506" y="2451973"/>
          <a:ext cx="2773338" cy="13104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57</xdr:col>
      <xdr:colOff>156843</xdr:colOff>
      <xdr:row>24</xdr:row>
      <xdr:rowOff>28575</xdr:rowOff>
    </xdr:from>
    <xdr:ext cx="2523067" cy="1419225"/>
    <xdr:pic>
      <xdr:nvPicPr>
        <xdr:cNvPr id="75" name="Imagen 56">
          <a:extLst>
            <a:ext uri="{FF2B5EF4-FFF2-40B4-BE49-F238E27FC236}">
              <a16:creationId xmlns:a16="http://schemas.microsoft.com/office/drawing/2014/main" id="{00000000-0008-0000-1F00-00004B000000}"/>
            </a:ext>
          </a:extLst>
        </xdr:cNvPr>
        <xdr:cNvPicPr>
          <a:picLocks noChangeAspect="1"/>
        </xdr:cNvPicPr>
      </xdr:nvPicPr>
      <xdr:blipFill>
        <a:blip xmlns:r="http://schemas.openxmlformats.org/officeDocument/2006/relationships" r:embed="rId55" cstate="print">
          <a:extLst>
            <a:ext uri="{28A0092B-C50C-407E-A947-70E740481C1C}">
              <a14:useLocalDpi xmlns:a14="http://schemas.microsoft.com/office/drawing/2010/main" val="0"/>
            </a:ext>
          </a:extLst>
        </a:blip>
        <a:srcRect/>
        <a:stretch/>
      </xdr:blipFill>
      <xdr:spPr bwMode="auto">
        <a:xfrm>
          <a:off x="56078118" y="4457700"/>
          <a:ext cx="2523067"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54</xdr:col>
      <xdr:colOff>272814</xdr:colOff>
      <xdr:row>24</xdr:row>
      <xdr:rowOff>47624</xdr:rowOff>
    </xdr:from>
    <xdr:ext cx="2353734" cy="1323975"/>
    <xdr:pic>
      <xdr:nvPicPr>
        <xdr:cNvPr id="77" name="Imagen 76">
          <a:extLst>
            <a:ext uri="{FF2B5EF4-FFF2-40B4-BE49-F238E27FC236}">
              <a16:creationId xmlns:a16="http://schemas.microsoft.com/office/drawing/2014/main" id="{00000000-0008-0000-1F00-00004D000000}"/>
            </a:ext>
          </a:extLst>
        </xdr:cNvPr>
        <xdr:cNvPicPr>
          <a:picLocks noChangeAspect="1"/>
        </xdr:cNvPicPr>
      </xdr:nvPicPr>
      <xdr:blipFill>
        <a:blip xmlns:r="http://schemas.openxmlformats.org/officeDocument/2006/relationships" r:embed="rId56" cstate="print">
          <a:extLst>
            <a:ext uri="{28A0092B-C50C-407E-A947-70E740481C1C}">
              <a14:useLocalDpi xmlns:a14="http://schemas.microsoft.com/office/drawing/2010/main" val="0"/>
            </a:ext>
          </a:extLst>
        </a:blip>
        <a:srcRect/>
        <a:stretch/>
      </xdr:blipFill>
      <xdr:spPr bwMode="auto">
        <a:xfrm>
          <a:off x="53250864" y="4476749"/>
          <a:ext cx="2353734" cy="1323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57</xdr:col>
      <xdr:colOff>114191</xdr:colOff>
      <xdr:row>35</xdr:row>
      <xdr:rowOff>116025</xdr:rowOff>
    </xdr:from>
    <xdr:ext cx="2701462" cy="1246049"/>
    <xdr:pic>
      <xdr:nvPicPr>
        <xdr:cNvPr id="76" name="Imagen 56">
          <a:extLst>
            <a:ext uri="{FF2B5EF4-FFF2-40B4-BE49-F238E27FC236}">
              <a16:creationId xmlns:a16="http://schemas.microsoft.com/office/drawing/2014/main" id="{00000000-0008-0000-1F00-00004C000000}"/>
            </a:ext>
          </a:extLst>
        </xdr:cNvPr>
        <xdr:cNvPicPr>
          <a:picLocks noChangeAspect="1"/>
        </xdr:cNvPicPr>
      </xdr:nvPicPr>
      <xdr:blipFill>
        <a:blip xmlns:r="http://schemas.openxmlformats.org/officeDocument/2006/relationships" r:embed="rId57" cstate="print">
          <a:extLst>
            <a:ext uri="{28A0092B-C50C-407E-A947-70E740481C1C}">
              <a14:useLocalDpi xmlns:a14="http://schemas.microsoft.com/office/drawing/2010/main" val="0"/>
            </a:ext>
          </a:extLst>
        </a:blip>
        <a:srcRect/>
        <a:stretch/>
      </xdr:blipFill>
      <xdr:spPr bwMode="auto">
        <a:xfrm>
          <a:off x="56035466" y="6450150"/>
          <a:ext cx="2701462" cy="12460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54</xdr:col>
      <xdr:colOff>123825</xdr:colOff>
      <xdr:row>35</xdr:row>
      <xdr:rowOff>114300</xdr:rowOff>
    </xdr:from>
    <xdr:ext cx="2739729" cy="1263699"/>
    <xdr:pic>
      <xdr:nvPicPr>
        <xdr:cNvPr id="78" name="Imagen 77">
          <a:extLst>
            <a:ext uri="{FF2B5EF4-FFF2-40B4-BE49-F238E27FC236}">
              <a16:creationId xmlns:a16="http://schemas.microsoft.com/office/drawing/2014/main" id="{00000000-0008-0000-1F00-00004E000000}"/>
            </a:ext>
          </a:extLst>
        </xdr:cNvPr>
        <xdr:cNvPicPr>
          <a:picLocks noChangeAspect="1"/>
        </xdr:cNvPicPr>
      </xdr:nvPicPr>
      <xdr:blipFill>
        <a:blip xmlns:r="http://schemas.openxmlformats.org/officeDocument/2006/relationships" r:embed="rId58" cstate="print">
          <a:extLst>
            <a:ext uri="{28A0092B-C50C-407E-A947-70E740481C1C}">
              <a14:useLocalDpi xmlns:a14="http://schemas.microsoft.com/office/drawing/2010/main" val="0"/>
            </a:ext>
          </a:extLst>
        </a:blip>
        <a:srcRect/>
        <a:stretch/>
      </xdr:blipFill>
      <xdr:spPr bwMode="auto">
        <a:xfrm>
          <a:off x="53101875" y="6448425"/>
          <a:ext cx="2739729" cy="12636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63</xdr:col>
      <xdr:colOff>19050</xdr:colOff>
      <xdr:row>11</xdr:row>
      <xdr:rowOff>0</xdr:rowOff>
    </xdr:from>
    <xdr:to>
      <xdr:col>65</xdr:col>
      <xdr:colOff>200025</xdr:colOff>
      <xdr:row>11</xdr:row>
      <xdr:rowOff>0</xdr:rowOff>
    </xdr:to>
    <xdr:sp macro="" textlink="">
      <xdr:nvSpPr>
        <xdr:cNvPr id="79" name="Line 2">
          <a:extLst>
            <a:ext uri="{FF2B5EF4-FFF2-40B4-BE49-F238E27FC236}">
              <a16:creationId xmlns:a16="http://schemas.microsoft.com/office/drawing/2014/main" id="{00000000-0008-0000-1F00-00004F000000}"/>
            </a:ext>
          </a:extLst>
        </xdr:cNvPr>
        <xdr:cNvSpPr>
          <a:spLocks noChangeShapeType="1"/>
        </xdr:cNvSpPr>
      </xdr:nvSpPr>
      <xdr:spPr bwMode="auto">
        <a:xfrm>
          <a:off x="55668863" y="2166938"/>
          <a:ext cx="213360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oneCellAnchor>
    <xdr:from>
      <xdr:col>63</xdr:col>
      <xdr:colOff>118180</xdr:colOff>
      <xdr:row>13</xdr:row>
      <xdr:rowOff>37721</xdr:rowOff>
    </xdr:from>
    <xdr:ext cx="2747329" cy="1267204"/>
    <xdr:pic>
      <xdr:nvPicPr>
        <xdr:cNvPr id="81" name="Imagen 54">
          <a:extLst>
            <a:ext uri="{FF2B5EF4-FFF2-40B4-BE49-F238E27FC236}">
              <a16:creationId xmlns:a16="http://schemas.microsoft.com/office/drawing/2014/main" id="{00000000-0008-0000-1F00-000051000000}"/>
            </a:ext>
          </a:extLst>
        </xdr:cNvPr>
        <xdr:cNvPicPr>
          <a:picLocks noChangeAspect="1"/>
        </xdr:cNvPicPr>
      </xdr:nvPicPr>
      <xdr:blipFill>
        <a:blip xmlns:r="http://schemas.openxmlformats.org/officeDocument/2006/relationships" r:embed="rId59" cstate="print">
          <a:extLst>
            <a:ext uri="{28A0092B-C50C-407E-A947-70E740481C1C}">
              <a14:useLocalDpi xmlns:a14="http://schemas.microsoft.com/office/drawing/2010/main" val="0"/>
            </a:ext>
          </a:extLst>
        </a:blip>
        <a:srcRect/>
        <a:stretch/>
      </xdr:blipFill>
      <xdr:spPr bwMode="auto">
        <a:xfrm>
          <a:off x="61925905" y="2504696"/>
          <a:ext cx="2747329" cy="12672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63</xdr:col>
      <xdr:colOff>628650</xdr:colOff>
      <xdr:row>24</xdr:row>
      <xdr:rowOff>76201</xdr:rowOff>
    </xdr:from>
    <xdr:ext cx="1813099" cy="1364072"/>
    <xdr:pic>
      <xdr:nvPicPr>
        <xdr:cNvPr id="82" name="Imagen 56">
          <a:extLst>
            <a:ext uri="{FF2B5EF4-FFF2-40B4-BE49-F238E27FC236}">
              <a16:creationId xmlns:a16="http://schemas.microsoft.com/office/drawing/2014/main" id="{00000000-0008-0000-1F00-000052000000}"/>
            </a:ext>
          </a:extLst>
        </xdr:cNvPr>
        <xdr:cNvPicPr>
          <a:picLocks noChangeAspect="1"/>
        </xdr:cNvPicPr>
      </xdr:nvPicPr>
      <xdr:blipFill>
        <a:blip xmlns:r="http://schemas.openxmlformats.org/officeDocument/2006/relationships" r:embed="rId60" cstate="print">
          <a:extLst>
            <a:ext uri="{28A0092B-C50C-407E-A947-70E740481C1C}">
              <a14:useLocalDpi xmlns:a14="http://schemas.microsoft.com/office/drawing/2010/main" val="0"/>
            </a:ext>
          </a:extLst>
        </a:blip>
        <a:srcRect/>
        <a:stretch/>
      </xdr:blipFill>
      <xdr:spPr bwMode="auto">
        <a:xfrm>
          <a:off x="62436375" y="4505326"/>
          <a:ext cx="1813099" cy="13640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60</xdr:col>
      <xdr:colOff>498503</xdr:colOff>
      <xdr:row>24</xdr:row>
      <xdr:rowOff>57150</xdr:rowOff>
    </xdr:from>
    <xdr:ext cx="1823103" cy="1371600"/>
    <xdr:pic>
      <xdr:nvPicPr>
        <xdr:cNvPr id="83" name="Imagen 82">
          <a:extLst>
            <a:ext uri="{FF2B5EF4-FFF2-40B4-BE49-F238E27FC236}">
              <a16:creationId xmlns:a16="http://schemas.microsoft.com/office/drawing/2014/main" id="{00000000-0008-0000-1F00-000053000000}"/>
            </a:ext>
          </a:extLst>
        </xdr:cNvPr>
        <xdr:cNvPicPr>
          <a:picLocks noChangeAspect="1"/>
        </xdr:cNvPicPr>
      </xdr:nvPicPr>
      <xdr:blipFill>
        <a:blip xmlns:r="http://schemas.openxmlformats.org/officeDocument/2006/relationships" r:embed="rId61" cstate="print">
          <a:extLst>
            <a:ext uri="{28A0092B-C50C-407E-A947-70E740481C1C}">
              <a14:useLocalDpi xmlns:a14="http://schemas.microsoft.com/office/drawing/2010/main" val="0"/>
            </a:ext>
          </a:extLst>
        </a:blip>
        <a:srcRect/>
        <a:stretch/>
      </xdr:blipFill>
      <xdr:spPr bwMode="auto">
        <a:xfrm>
          <a:off x="59363003" y="4486275"/>
          <a:ext cx="1823103" cy="1371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63</xdr:col>
      <xdr:colOff>567334</xdr:colOff>
      <xdr:row>35</xdr:row>
      <xdr:rowOff>71437</xdr:rowOff>
    </xdr:from>
    <xdr:ext cx="1804111" cy="1357312"/>
    <xdr:pic>
      <xdr:nvPicPr>
        <xdr:cNvPr id="84" name="Imagen 56">
          <a:extLst>
            <a:ext uri="{FF2B5EF4-FFF2-40B4-BE49-F238E27FC236}">
              <a16:creationId xmlns:a16="http://schemas.microsoft.com/office/drawing/2014/main" id="{00000000-0008-0000-1F00-000054000000}"/>
            </a:ext>
          </a:extLst>
        </xdr:cNvPr>
        <xdr:cNvPicPr>
          <a:picLocks noChangeAspect="1"/>
        </xdr:cNvPicPr>
      </xdr:nvPicPr>
      <xdr:blipFill>
        <a:blip xmlns:r="http://schemas.openxmlformats.org/officeDocument/2006/relationships" r:embed="rId62" cstate="print">
          <a:extLst>
            <a:ext uri="{28A0092B-C50C-407E-A947-70E740481C1C}">
              <a14:useLocalDpi xmlns:a14="http://schemas.microsoft.com/office/drawing/2010/main" val="0"/>
            </a:ext>
          </a:extLst>
        </a:blip>
        <a:srcRect/>
        <a:stretch/>
      </xdr:blipFill>
      <xdr:spPr bwMode="auto">
        <a:xfrm>
          <a:off x="62375059" y="6405562"/>
          <a:ext cx="1804111" cy="135731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61</xdr:col>
      <xdr:colOff>279018</xdr:colOff>
      <xdr:row>35</xdr:row>
      <xdr:rowOff>35719</xdr:rowOff>
    </xdr:from>
    <xdr:ext cx="623399" cy="1350172"/>
    <xdr:pic>
      <xdr:nvPicPr>
        <xdr:cNvPr id="85" name="Imagen 84">
          <a:extLst>
            <a:ext uri="{FF2B5EF4-FFF2-40B4-BE49-F238E27FC236}">
              <a16:creationId xmlns:a16="http://schemas.microsoft.com/office/drawing/2014/main" id="{00000000-0008-0000-1F00-000055000000}"/>
            </a:ext>
          </a:extLst>
        </xdr:cNvPr>
        <xdr:cNvPicPr>
          <a:picLocks noChangeAspect="1"/>
        </xdr:cNvPicPr>
      </xdr:nvPicPr>
      <xdr:blipFill>
        <a:blip xmlns:r="http://schemas.openxmlformats.org/officeDocument/2006/relationships" r:embed="rId63" cstate="print">
          <a:extLst>
            <a:ext uri="{28A0092B-C50C-407E-A947-70E740481C1C}">
              <a14:useLocalDpi xmlns:a14="http://schemas.microsoft.com/office/drawing/2010/main" val="0"/>
            </a:ext>
          </a:extLst>
        </a:blip>
        <a:srcRect/>
        <a:stretch/>
      </xdr:blipFill>
      <xdr:spPr bwMode="auto">
        <a:xfrm>
          <a:off x="60124593" y="6369844"/>
          <a:ext cx="623399" cy="13501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27</xdr:col>
      <xdr:colOff>397049</xdr:colOff>
      <xdr:row>25</xdr:row>
      <xdr:rowOff>114047</xdr:rowOff>
    </xdr:from>
    <xdr:to>
      <xdr:col>29</xdr:col>
      <xdr:colOff>392905</xdr:colOff>
      <xdr:row>31</xdr:row>
      <xdr:rowOff>67654</xdr:rowOff>
    </xdr:to>
    <xdr:pic>
      <xdr:nvPicPr>
        <xdr:cNvPr id="86" name="Imagen 47">
          <a:extLst>
            <a:ext uri="{FF2B5EF4-FFF2-40B4-BE49-F238E27FC236}">
              <a16:creationId xmlns:a16="http://schemas.microsoft.com/office/drawing/2014/main" id="{00000000-0008-0000-1F00-000056000000}"/>
            </a:ext>
          </a:extLst>
        </xdr:cNvPr>
        <xdr:cNvPicPr>
          <a:picLocks noChangeAspect="1"/>
        </xdr:cNvPicPr>
      </xdr:nvPicPr>
      <xdr:blipFill>
        <a:blip xmlns:r="http://schemas.openxmlformats.org/officeDocument/2006/relationships" r:embed="rId64" cstate="print">
          <a:extLst>
            <a:ext uri="{28A0092B-C50C-407E-A947-70E740481C1C}">
              <a14:useLocalDpi xmlns:a14="http://schemas.microsoft.com/office/drawing/2010/main" val="0"/>
            </a:ext>
          </a:extLst>
        </a:blip>
        <a:srcRect/>
        <a:stretch/>
      </xdr:blipFill>
      <xdr:spPr bwMode="auto">
        <a:xfrm>
          <a:off x="26886074" y="4705097"/>
          <a:ext cx="1958006" cy="9251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27</xdr:col>
      <xdr:colOff>37519</xdr:colOff>
      <xdr:row>13</xdr:row>
      <xdr:rowOff>28575</xdr:rowOff>
    </xdr:from>
    <xdr:to>
      <xdr:col>29</xdr:col>
      <xdr:colOff>863502</xdr:colOff>
      <xdr:row>20</xdr:row>
      <xdr:rowOff>149760</xdr:rowOff>
    </xdr:to>
    <xdr:pic>
      <xdr:nvPicPr>
        <xdr:cNvPr id="87" name="Imagen 48">
          <a:extLst>
            <a:ext uri="{FF2B5EF4-FFF2-40B4-BE49-F238E27FC236}">
              <a16:creationId xmlns:a16="http://schemas.microsoft.com/office/drawing/2014/main" id="{00000000-0008-0000-1F00-000057000000}"/>
            </a:ext>
          </a:extLst>
        </xdr:cNvPr>
        <xdr:cNvPicPr>
          <a:picLocks noChangeAspect="1"/>
        </xdr:cNvPicPr>
      </xdr:nvPicPr>
      <xdr:blipFill>
        <a:blip xmlns:r="http://schemas.openxmlformats.org/officeDocument/2006/relationships" r:embed="rId65" cstate="print">
          <a:extLst>
            <a:ext uri="{28A0092B-C50C-407E-A947-70E740481C1C}">
              <a14:useLocalDpi xmlns:a14="http://schemas.microsoft.com/office/drawing/2010/main" val="0"/>
            </a:ext>
          </a:extLst>
        </a:blip>
        <a:srcRect/>
        <a:stretch/>
      </xdr:blipFill>
      <xdr:spPr bwMode="auto">
        <a:xfrm>
          <a:off x="26526544" y="2495550"/>
          <a:ext cx="2788133" cy="12546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69</xdr:col>
      <xdr:colOff>19050</xdr:colOff>
      <xdr:row>11</xdr:row>
      <xdr:rowOff>0</xdr:rowOff>
    </xdr:from>
    <xdr:to>
      <xdr:col>71</xdr:col>
      <xdr:colOff>200025</xdr:colOff>
      <xdr:row>11</xdr:row>
      <xdr:rowOff>0</xdr:rowOff>
    </xdr:to>
    <xdr:sp macro="" textlink="">
      <xdr:nvSpPr>
        <xdr:cNvPr id="88" name="Line 2">
          <a:extLst>
            <a:ext uri="{FF2B5EF4-FFF2-40B4-BE49-F238E27FC236}">
              <a16:creationId xmlns:a16="http://schemas.microsoft.com/office/drawing/2014/main" id="{00000000-0008-0000-1F00-000058000000}"/>
            </a:ext>
          </a:extLst>
        </xdr:cNvPr>
        <xdr:cNvSpPr>
          <a:spLocks noChangeShapeType="1"/>
        </xdr:cNvSpPr>
      </xdr:nvSpPr>
      <xdr:spPr bwMode="auto">
        <a:xfrm>
          <a:off x="61526738" y="2166938"/>
          <a:ext cx="213360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oneCellAnchor>
    <xdr:from>
      <xdr:col>66</xdr:col>
      <xdr:colOff>85726</xdr:colOff>
      <xdr:row>12</xdr:row>
      <xdr:rowOff>161924</xdr:rowOff>
    </xdr:from>
    <xdr:ext cx="2807514" cy="1296281"/>
    <xdr:pic>
      <xdr:nvPicPr>
        <xdr:cNvPr id="89" name="Imagen 53">
          <a:extLst>
            <a:ext uri="{FF2B5EF4-FFF2-40B4-BE49-F238E27FC236}">
              <a16:creationId xmlns:a16="http://schemas.microsoft.com/office/drawing/2014/main" id="{00000000-0008-0000-1F00-000059000000}"/>
            </a:ext>
          </a:extLst>
        </xdr:cNvPr>
        <xdr:cNvPicPr>
          <a:picLocks noChangeAspect="1"/>
        </xdr:cNvPicPr>
      </xdr:nvPicPr>
      <xdr:blipFill>
        <a:blip xmlns:r="http://schemas.openxmlformats.org/officeDocument/2006/relationships" r:embed="rId66" cstate="print">
          <a:extLst>
            <a:ext uri="{28A0092B-C50C-407E-A947-70E740481C1C}">
              <a14:useLocalDpi xmlns:a14="http://schemas.microsoft.com/office/drawing/2010/main" val="0"/>
            </a:ext>
          </a:extLst>
        </a:blip>
        <a:srcRect/>
        <a:stretch/>
      </xdr:blipFill>
      <xdr:spPr bwMode="auto">
        <a:xfrm>
          <a:off x="64836676" y="2466974"/>
          <a:ext cx="2807514" cy="12962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69</xdr:col>
      <xdr:colOff>86537</xdr:colOff>
      <xdr:row>13</xdr:row>
      <xdr:rowOff>47624</xdr:rowOff>
    </xdr:from>
    <xdr:ext cx="2784982" cy="1285875"/>
    <xdr:pic>
      <xdr:nvPicPr>
        <xdr:cNvPr id="90" name="Imagen 54">
          <a:extLst>
            <a:ext uri="{FF2B5EF4-FFF2-40B4-BE49-F238E27FC236}">
              <a16:creationId xmlns:a16="http://schemas.microsoft.com/office/drawing/2014/main" id="{00000000-0008-0000-1F00-00005A000000}"/>
            </a:ext>
          </a:extLst>
        </xdr:cNvPr>
        <xdr:cNvPicPr>
          <a:picLocks noChangeAspect="1"/>
        </xdr:cNvPicPr>
      </xdr:nvPicPr>
      <xdr:blipFill>
        <a:blip xmlns:r="http://schemas.openxmlformats.org/officeDocument/2006/relationships" r:embed="rId67" cstate="print">
          <a:extLst>
            <a:ext uri="{28A0092B-C50C-407E-A947-70E740481C1C}">
              <a14:useLocalDpi xmlns:a14="http://schemas.microsoft.com/office/drawing/2010/main" val="0"/>
            </a:ext>
          </a:extLst>
        </a:blip>
        <a:srcRect/>
        <a:stretch/>
      </xdr:blipFill>
      <xdr:spPr bwMode="auto">
        <a:xfrm>
          <a:off x="67780712" y="2514599"/>
          <a:ext cx="2784982" cy="1285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75</xdr:col>
      <xdr:colOff>324836</xdr:colOff>
      <xdr:row>13</xdr:row>
      <xdr:rowOff>47623</xdr:rowOff>
    </xdr:from>
    <xdr:ext cx="2348477" cy="1321594"/>
    <xdr:pic>
      <xdr:nvPicPr>
        <xdr:cNvPr id="91" name="Imagen 56">
          <a:extLst>
            <a:ext uri="{FF2B5EF4-FFF2-40B4-BE49-F238E27FC236}">
              <a16:creationId xmlns:a16="http://schemas.microsoft.com/office/drawing/2014/main" id="{00000000-0008-0000-1F00-00005B000000}"/>
            </a:ext>
          </a:extLst>
        </xdr:cNvPr>
        <xdr:cNvPicPr>
          <a:picLocks noChangeAspect="1"/>
        </xdr:cNvPicPr>
      </xdr:nvPicPr>
      <xdr:blipFill>
        <a:blip xmlns:r="http://schemas.openxmlformats.org/officeDocument/2006/relationships" r:embed="rId68" cstate="print">
          <a:extLst>
            <a:ext uri="{28A0092B-C50C-407E-A947-70E740481C1C}">
              <a14:useLocalDpi xmlns:a14="http://schemas.microsoft.com/office/drawing/2010/main" val="0"/>
            </a:ext>
          </a:extLst>
        </a:blip>
        <a:srcRect/>
        <a:stretch/>
      </xdr:blipFill>
      <xdr:spPr bwMode="auto">
        <a:xfrm>
          <a:off x="73905461" y="2514598"/>
          <a:ext cx="2348477" cy="13215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72</xdr:col>
      <xdr:colOff>325559</xdr:colOff>
      <xdr:row>13</xdr:row>
      <xdr:rowOff>35718</xdr:rowOff>
    </xdr:from>
    <xdr:ext cx="2306161" cy="1297781"/>
    <xdr:pic>
      <xdr:nvPicPr>
        <xdr:cNvPr id="92" name="Imagen 91">
          <a:extLst>
            <a:ext uri="{FF2B5EF4-FFF2-40B4-BE49-F238E27FC236}">
              <a16:creationId xmlns:a16="http://schemas.microsoft.com/office/drawing/2014/main" id="{00000000-0008-0000-1F00-00005C000000}"/>
            </a:ext>
          </a:extLst>
        </xdr:cNvPr>
        <xdr:cNvPicPr>
          <a:picLocks noChangeAspect="1"/>
        </xdr:cNvPicPr>
      </xdr:nvPicPr>
      <xdr:blipFill>
        <a:blip xmlns:r="http://schemas.openxmlformats.org/officeDocument/2006/relationships" r:embed="rId69" cstate="print">
          <a:extLst>
            <a:ext uri="{28A0092B-C50C-407E-A947-70E740481C1C}">
              <a14:useLocalDpi xmlns:a14="http://schemas.microsoft.com/office/drawing/2010/main" val="0"/>
            </a:ext>
          </a:extLst>
        </a:blip>
        <a:srcRect/>
        <a:stretch/>
      </xdr:blipFill>
      <xdr:spPr bwMode="auto">
        <a:xfrm>
          <a:off x="70962959" y="2502693"/>
          <a:ext cx="2306161" cy="12977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73</xdr:col>
      <xdr:colOff>210310</xdr:colOff>
      <xdr:row>24</xdr:row>
      <xdr:rowOff>70199</xdr:rowOff>
    </xdr:from>
    <xdr:ext cx="791318" cy="1406175"/>
    <xdr:pic>
      <xdr:nvPicPr>
        <xdr:cNvPr id="94" name="Imagen 93">
          <a:extLst>
            <a:ext uri="{FF2B5EF4-FFF2-40B4-BE49-F238E27FC236}">
              <a16:creationId xmlns:a16="http://schemas.microsoft.com/office/drawing/2014/main" id="{00000000-0008-0000-1F00-00005E000000}"/>
            </a:ext>
          </a:extLst>
        </xdr:cNvPr>
        <xdr:cNvPicPr>
          <a:picLocks noChangeAspect="1"/>
        </xdr:cNvPicPr>
      </xdr:nvPicPr>
      <xdr:blipFill>
        <a:blip xmlns:r="http://schemas.openxmlformats.org/officeDocument/2006/relationships" r:embed="rId70" cstate="print">
          <a:extLst>
            <a:ext uri="{28A0092B-C50C-407E-A947-70E740481C1C}">
              <a14:useLocalDpi xmlns:a14="http://schemas.microsoft.com/office/drawing/2010/main" val="0"/>
            </a:ext>
          </a:extLst>
        </a:blip>
        <a:srcRect/>
        <a:stretch/>
      </xdr:blipFill>
      <xdr:spPr bwMode="auto">
        <a:xfrm>
          <a:off x="71828785" y="4499324"/>
          <a:ext cx="791318" cy="1406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76</xdr:col>
      <xdr:colOff>86523</xdr:colOff>
      <xdr:row>23</xdr:row>
      <xdr:rowOff>162229</xdr:rowOff>
    </xdr:from>
    <xdr:ext cx="813230" cy="1445113"/>
    <xdr:pic>
      <xdr:nvPicPr>
        <xdr:cNvPr id="95" name="Imagen 56">
          <a:extLst>
            <a:ext uri="{FF2B5EF4-FFF2-40B4-BE49-F238E27FC236}">
              <a16:creationId xmlns:a16="http://schemas.microsoft.com/office/drawing/2014/main" id="{00000000-0008-0000-1F00-00005F000000}"/>
            </a:ext>
          </a:extLst>
        </xdr:cNvPr>
        <xdr:cNvPicPr>
          <a:picLocks noChangeAspect="1"/>
        </xdr:cNvPicPr>
      </xdr:nvPicPr>
      <xdr:blipFill>
        <a:blip xmlns:r="http://schemas.openxmlformats.org/officeDocument/2006/relationships" r:embed="rId71" cstate="print">
          <a:extLst>
            <a:ext uri="{28A0092B-C50C-407E-A947-70E740481C1C}">
              <a14:useLocalDpi xmlns:a14="http://schemas.microsoft.com/office/drawing/2010/main" val="0"/>
            </a:ext>
          </a:extLst>
        </a:blip>
        <a:srcRect/>
        <a:stretch/>
      </xdr:blipFill>
      <xdr:spPr bwMode="auto">
        <a:xfrm>
          <a:off x="74648223" y="4419904"/>
          <a:ext cx="813230" cy="14451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75</xdr:col>
      <xdr:colOff>19050</xdr:colOff>
      <xdr:row>11</xdr:row>
      <xdr:rowOff>0</xdr:rowOff>
    </xdr:from>
    <xdr:to>
      <xdr:col>77</xdr:col>
      <xdr:colOff>200025</xdr:colOff>
      <xdr:row>11</xdr:row>
      <xdr:rowOff>0</xdr:rowOff>
    </xdr:to>
    <xdr:sp macro="" textlink="">
      <xdr:nvSpPr>
        <xdr:cNvPr id="104" name="Line 2">
          <a:extLst>
            <a:ext uri="{FF2B5EF4-FFF2-40B4-BE49-F238E27FC236}">
              <a16:creationId xmlns:a16="http://schemas.microsoft.com/office/drawing/2014/main" id="{00000000-0008-0000-1F00-000068000000}"/>
            </a:ext>
          </a:extLst>
        </xdr:cNvPr>
        <xdr:cNvSpPr>
          <a:spLocks noChangeShapeType="1"/>
        </xdr:cNvSpPr>
      </xdr:nvSpPr>
      <xdr:spPr bwMode="auto">
        <a:xfrm>
          <a:off x="67384613" y="2166938"/>
          <a:ext cx="213360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oneCellAnchor>
    <xdr:from>
      <xdr:col>72</xdr:col>
      <xdr:colOff>421804</xdr:colOff>
      <xdr:row>36</xdr:row>
      <xdr:rowOff>38993</xdr:rowOff>
    </xdr:from>
    <xdr:ext cx="2016125" cy="1134070"/>
    <xdr:pic>
      <xdr:nvPicPr>
        <xdr:cNvPr id="105" name="Imagen 53">
          <a:extLst>
            <a:ext uri="{FF2B5EF4-FFF2-40B4-BE49-F238E27FC236}">
              <a16:creationId xmlns:a16="http://schemas.microsoft.com/office/drawing/2014/main" id="{00000000-0008-0000-1F00-000069000000}"/>
            </a:ext>
          </a:extLst>
        </xdr:cNvPr>
        <xdr:cNvPicPr>
          <a:picLocks noChangeAspect="1"/>
        </xdr:cNvPicPr>
      </xdr:nvPicPr>
      <xdr:blipFill>
        <a:blip xmlns:r="http://schemas.openxmlformats.org/officeDocument/2006/relationships" r:embed="rId72" cstate="print">
          <a:extLst>
            <a:ext uri="{28A0092B-C50C-407E-A947-70E740481C1C}">
              <a14:useLocalDpi xmlns:a14="http://schemas.microsoft.com/office/drawing/2010/main" val="0"/>
            </a:ext>
          </a:extLst>
        </a:blip>
        <a:srcRect/>
        <a:stretch/>
      </xdr:blipFill>
      <xdr:spPr bwMode="auto">
        <a:xfrm>
          <a:off x="71059204" y="6535043"/>
          <a:ext cx="2016125" cy="11340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75</xdr:col>
      <xdr:colOff>325440</xdr:colOff>
      <xdr:row>36</xdr:row>
      <xdr:rowOff>28575</xdr:rowOff>
    </xdr:from>
    <xdr:ext cx="2031998" cy="1142998"/>
    <xdr:pic>
      <xdr:nvPicPr>
        <xdr:cNvPr id="106" name="Imagen 54">
          <a:extLst>
            <a:ext uri="{FF2B5EF4-FFF2-40B4-BE49-F238E27FC236}">
              <a16:creationId xmlns:a16="http://schemas.microsoft.com/office/drawing/2014/main" id="{00000000-0008-0000-1F00-00006A000000}"/>
            </a:ext>
          </a:extLst>
        </xdr:cNvPr>
        <xdr:cNvPicPr>
          <a:picLocks noChangeAspect="1"/>
        </xdr:cNvPicPr>
      </xdr:nvPicPr>
      <xdr:blipFill>
        <a:blip xmlns:r="http://schemas.openxmlformats.org/officeDocument/2006/relationships" r:embed="rId73" cstate="print">
          <a:extLst>
            <a:ext uri="{28A0092B-C50C-407E-A947-70E740481C1C}">
              <a14:useLocalDpi xmlns:a14="http://schemas.microsoft.com/office/drawing/2010/main" val="0"/>
            </a:ext>
          </a:extLst>
        </a:blip>
        <a:srcRect/>
        <a:stretch/>
      </xdr:blipFill>
      <xdr:spPr bwMode="auto">
        <a:xfrm>
          <a:off x="73906065" y="6524625"/>
          <a:ext cx="2031998" cy="1142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69</xdr:col>
      <xdr:colOff>343531</xdr:colOff>
      <xdr:row>35</xdr:row>
      <xdr:rowOff>161817</xdr:rowOff>
    </xdr:from>
    <xdr:ext cx="2251344" cy="1266933"/>
    <xdr:pic>
      <xdr:nvPicPr>
        <xdr:cNvPr id="107" name="Imagen 56">
          <a:extLst>
            <a:ext uri="{FF2B5EF4-FFF2-40B4-BE49-F238E27FC236}">
              <a16:creationId xmlns:a16="http://schemas.microsoft.com/office/drawing/2014/main" id="{00000000-0008-0000-1F00-00006B000000}"/>
            </a:ext>
          </a:extLst>
        </xdr:cNvPr>
        <xdr:cNvPicPr>
          <a:picLocks noChangeAspect="1"/>
        </xdr:cNvPicPr>
      </xdr:nvPicPr>
      <xdr:blipFill>
        <a:blip xmlns:r="http://schemas.openxmlformats.org/officeDocument/2006/relationships" r:embed="rId74" cstate="print">
          <a:extLst>
            <a:ext uri="{28A0092B-C50C-407E-A947-70E740481C1C}">
              <a14:useLocalDpi xmlns:a14="http://schemas.microsoft.com/office/drawing/2010/main" val="0"/>
            </a:ext>
          </a:extLst>
        </a:blip>
        <a:srcRect/>
        <a:stretch/>
      </xdr:blipFill>
      <xdr:spPr bwMode="auto">
        <a:xfrm>
          <a:off x="68037706" y="6495942"/>
          <a:ext cx="2251344" cy="126693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66</xdr:col>
      <xdr:colOff>23813</xdr:colOff>
      <xdr:row>37</xdr:row>
      <xdr:rowOff>32335</xdr:rowOff>
    </xdr:from>
    <xdr:ext cx="2354795" cy="1087253"/>
    <xdr:pic>
      <xdr:nvPicPr>
        <xdr:cNvPr id="108" name="Imagen 107">
          <a:extLst>
            <a:ext uri="{FF2B5EF4-FFF2-40B4-BE49-F238E27FC236}">
              <a16:creationId xmlns:a16="http://schemas.microsoft.com/office/drawing/2014/main" id="{00000000-0008-0000-1F00-00006C000000}"/>
            </a:ext>
          </a:extLst>
        </xdr:cNvPr>
        <xdr:cNvPicPr>
          <a:picLocks noChangeAspect="1"/>
        </xdr:cNvPicPr>
      </xdr:nvPicPr>
      <xdr:blipFill>
        <a:blip xmlns:r="http://schemas.openxmlformats.org/officeDocument/2006/relationships" r:embed="rId75" cstate="print">
          <a:extLst>
            <a:ext uri="{28A0092B-C50C-407E-A947-70E740481C1C}">
              <a14:useLocalDpi xmlns:a14="http://schemas.microsoft.com/office/drawing/2010/main" val="0"/>
            </a:ext>
          </a:extLst>
        </a:blip>
        <a:srcRect/>
        <a:stretch/>
      </xdr:blipFill>
      <xdr:spPr bwMode="auto">
        <a:xfrm>
          <a:off x="64774763" y="6690310"/>
          <a:ext cx="2354795" cy="108725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66</xdr:col>
      <xdr:colOff>363399</xdr:colOff>
      <xdr:row>24</xdr:row>
      <xdr:rowOff>83343</xdr:rowOff>
    </xdr:from>
    <xdr:ext cx="2374901" cy="1335881"/>
    <xdr:pic>
      <xdr:nvPicPr>
        <xdr:cNvPr id="109" name="Imagen 108">
          <a:extLst>
            <a:ext uri="{FF2B5EF4-FFF2-40B4-BE49-F238E27FC236}">
              <a16:creationId xmlns:a16="http://schemas.microsoft.com/office/drawing/2014/main" id="{00000000-0008-0000-1F00-00006D000000}"/>
            </a:ext>
          </a:extLst>
        </xdr:cNvPr>
        <xdr:cNvPicPr>
          <a:picLocks noChangeAspect="1"/>
        </xdr:cNvPicPr>
      </xdr:nvPicPr>
      <xdr:blipFill>
        <a:blip xmlns:r="http://schemas.openxmlformats.org/officeDocument/2006/relationships" r:embed="rId76" cstate="print">
          <a:extLst>
            <a:ext uri="{28A0092B-C50C-407E-A947-70E740481C1C}">
              <a14:useLocalDpi xmlns:a14="http://schemas.microsoft.com/office/drawing/2010/main" val="0"/>
            </a:ext>
          </a:extLst>
        </a:blip>
        <a:srcRect/>
        <a:stretch/>
      </xdr:blipFill>
      <xdr:spPr bwMode="auto">
        <a:xfrm>
          <a:off x="65114349" y="4512468"/>
          <a:ext cx="2374901" cy="13358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69</xdr:col>
      <xdr:colOff>151633</xdr:colOff>
      <xdr:row>24</xdr:row>
      <xdr:rowOff>66589</xdr:rowOff>
    </xdr:from>
    <xdr:ext cx="2403639" cy="1352636"/>
    <xdr:pic>
      <xdr:nvPicPr>
        <xdr:cNvPr id="110" name="Imagen 56">
          <a:extLst>
            <a:ext uri="{FF2B5EF4-FFF2-40B4-BE49-F238E27FC236}">
              <a16:creationId xmlns:a16="http://schemas.microsoft.com/office/drawing/2014/main" id="{00000000-0008-0000-1F00-00006E000000}"/>
            </a:ext>
          </a:extLst>
        </xdr:cNvPr>
        <xdr:cNvPicPr>
          <a:picLocks noChangeAspect="1"/>
        </xdr:cNvPicPr>
      </xdr:nvPicPr>
      <xdr:blipFill>
        <a:blip xmlns:r="http://schemas.openxmlformats.org/officeDocument/2006/relationships" r:embed="rId77" cstate="print">
          <a:extLst>
            <a:ext uri="{28A0092B-C50C-407E-A947-70E740481C1C}">
              <a14:useLocalDpi xmlns:a14="http://schemas.microsoft.com/office/drawing/2010/main" val="0"/>
            </a:ext>
          </a:extLst>
        </a:blip>
        <a:srcRect/>
        <a:stretch/>
      </xdr:blipFill>
      <xdr:spPr bwMode="auto">
        <a:xfrm>
          <a:off x="67845808" y="4495714"/>
          <a:ext cx="2403639" cy="1352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81</xdr:col>
      <xdr:colOff>19050</xdr:colOff>
      <xdr:row>11</xdr:row>
      <xdr:rowOff>0</xdr:rowOff>
    </xdr:from>
    <xdr:to>
      <xdr:col>83</xdr:col>
      <xdr:colOff>200025</xdr:colOff>
      <xdr:row>11</xdr:row>
      <xdr:rowOff>0</xdr:rowOff>
    </xdr:to>
    <xdr:sp macro="" textlink="">
      <xdr:nvSpPr>
        <xdr:cNvPr id="118" name="Line 2">
          <a:extLst>
            <a:ext uri="{FF2B5EF4-FFF2-40B4-BE49-F238E27FC236}">
              <a16:creationId xmlns:a16="http://schemas.microsoft.com/office/drawing/2014/main" id="{00000000-0008-0000-1F00-000076000000}"/>
            </a:ext>
          </a:extLst>
        </xdr:cNvPr>
        <xdr:cNvSpPr>
          <a:spLocks noChangeShapeType="1"/>
        </xdr:cNvSpPr>
      </xdr:nvSpPr>
      <xdr:spPr bwMode="auto">
        <a:xfrm>
          <a:off x="73242488" y="2166938"/>
          <a:ext cx="213360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oneCellAnchor>
    <xdr:from>
      <xdr:col>79</xdr:col>
      <xdr:colOff>16098</xdr:colOff>
      <xdr:row>12</xdr:row>
      <xdr:rowOff>133350</xdr:rowOff>
    </xdr:from>
    <xdr:ext cx="808985" cy="1437570"/>
    <xdr:pic>
      <xdr:nvPicPr>
        <xdr:cNvPr id="119" name="Imagen 53">
          <a:extLst>
            <a:ext uri="{FF2B5EF4-FFF2-40B4-BE49-F238E27FC236}">
              <a16:creationId xmlns:a16="http://schemas.microsoft.com/office/drawing/2014/main" id="{00000000-0008-0000-1F00-000077000000}"/>
            </a:ext>
          </a:extLst>
        </xdr:cNvPr>
        <xdr:cNvPicPr>
          <a:picLocks noChangeAspect="1"/>
        </xdr:cNvPicPr>
      </xdr:nvPicPr>
      <xdr:blipFill>
        <a:blip xmlns:r="http://schemas.openxmlformats.org/officeDocument/2006/relationships" r:embed="rId78" cstate="print">
          <a:extLst>
            <a:ext uri="{28A0092B-C50C-407E-A947-70E740481C1C}">
              <a14:useLocalDpi xmlns:a14="http://schemas.microsoft.com/office/drawing/2010/main" val="0"/>
            </a:ext>
          </a:extLst>
        </a:blip>
        <a:srcRect/>
        <a:stretch/>
      </xdr:blipFill>
      <xdr:spPr bwMode="auto">
        <a:xfrm>
          <a:off x="77521023" y="2438400"/>
          <a:ext cx="808985" cy="14375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81</xdr:col>
      <xdr:colOff>638395</xdr:colOff>
      <xdr:row>12</xdr:row>
      <xdr:rowOff>65052</xdr:rowOff>
    </xdr:from>
    <xdr:ext cx="2052414" cy="1539310"/>
    <xdr:pic>
      <xdr:nvPicPr>
        <xdr:cNvPr id="120" name="Imagen 54">
          <a:extLst>
            <a:ext uri="{FF2B5EF4-FFF2-40B4-BE49-F238E27FC236}">
              <a16:creationId xmlns:a16="http://schemas.microsoft.com/office/drawing/2014/main" id="{00000000-0008-0000-1F00-000078000000}"/>
            </a:ext>
          </a:extLst>
        </xdr:cNvPr>
        <xdr:cNvPicPr>
          <a:picLocks noChangeAspect="1"/>
        </xdr:cNvPicPr>
      </xdr:nvPicPr>
      <xdr:blipFill>
        <a:blip xmlns:r="http://schemas.openxmlformats.org/officeDocument/2006/relationships" r:embed="rId79" cstate="print">
          <a:extLst>
            <a:ext uri="{28A0092B-C50C-407E-A947-70E740481C1C}">
              <a14:useLocalDpi xmlns:a14="http://schemas.microsoft.com/office/drawing/2010/main" val="0"/>
            </a:ext>
          </a:extLst>
        </a:blip>
        <a:srcRect/>
        <a:stretch/>
      </xdr:blipFill>
      <xdr:spPr bwMode="auto">
        <a:xfrm>
          <a:off x="80105470" y="2370102"/>
          <a:ext cx="2052414" cy="15393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82</xdr:col>
      <xdr:colOff>144146</xdr:colOff>
      <xdr:row>24</xdr:row>
      <xdr:rowOff>107156</xdr:rowOff>
    </xdr:from>
    <xdr:ext cx="716919" cy="1273969"/>
    <xdr:pic>
      <xdr:nvPicPr>
        <xdr:cNvPr id="121" name="Imagen 56">
          <a:extLst>
            <a:ext uri="{FF2B5EF4-FFF2-40B4-BE49-F238E27FC236}">
              <a16:creationId xmlns:a16="http://schemas.microsoft.com/office/drawing/2014/main" id="{00000000-0008-0000-1F00-000079000000}"/>
            </a:ext>
          </a:extLst>
        </xdr:cNvPr>
        <xdr:cNvPicPr>
          <a:picLocks noChangeAspect="1"/>
        </xdr:cNvPicPr>
      </xdr:nvPicPr>
      <xdr:blipFill>
        <a:blip xmlns:r="http://schemas.openxmlformats.org/officeDocument/2006/relationships" r:embed="rId80" cstate="print">
          <a:extLst>
            <a:ext uri="{28A0092B-C50C-407E-A947-70E740481C1C}">
              <a14:useLocalDpi xmlns:a14="http://schemas.microsoft.com/office/drawing/2010/main" val="0"/>
            </a:ext>
          </a:extLst>
        </a:blip>
        <a:srcRect/>
        <a:stretch/>
      </xdr:blipFill>
      <xdr:spPr bwMode="auto">
        <a:xfrm>
          <a:off x="80592296" y="4536281"/>
          <a:ext cx="716919" cy="127396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78</xdr:col>
      <xdr:colOff>533401</xdr:colOff>
      <xdr:row>24</xdr:row>
      <xdr:rowOff>114300</xdr:rowOff>
    </xdr:from>
    <xdr:ext cx="2301092" cy="1294927"/>
    <xdr:pic>
      <xdr:nvPicPr>
        <xdr:cNvPr id="122" name="Imagen 121">
          <a:extLst>
            <a:ext uri="{FF2B5EF4-FFF2-40B4-BE49-F238E27FC236}">
              <a16:creationId xmlns:a16="http://schemas.microsoft.com/office/drawing/2014/main" id="{00000000-0008-0000-1F00-00007A000000}"/>
            </a:ext>
          </a:extLst>
        </xdr:cNvPr>
        <xdr:cNvPicPr>
          <a:picLocks noChangeAspect="1"/>
        </xdr:cNvPicPr>
      </xdr:nvPicPr>
      <xdr:blipFill>
        <a:blip xmlns:r="http://schemas.openxmlformats.org/officeDocument/2006/relationships" r:embed="rId81" cstate="print">
          <a:extLst>
            <a:ext uri="{28A0092B-C50C-407E-A947-70E740481C1C}">
              <a14:useLocalDpi xmlns:a14="http://schemas.microsoft.com/office/drawing/2010/main" val="0"/>
            </a:ext>
          </a:extLst>
        </a:blip>
        <a:srcRect/>
        <a:stretch/>
      </xdr:blipFill>
      <xdr:spPr bwMode="auto">
        <a:xfrm>
          <a:off x="77057251" y="4543425"/>
          <a:ext cx="2301092" cy="12949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78</xdr:col>
      <xdr:colOff>959951</xdr:colOff>
      <xdr:row>35</xdr:row>
      <xdr:rowOff>72153</xdr:rowOff>
    </xdr:from>
    <xdr:ext cx="976614" cy="1297066"/>
    <xdr:pic>
      <xdr:nvPicPr>
        <xdr:cNvPr id="123" name="Imagen 122">
          <a:extLst>
            <a:ext uri="{FF2B5EF4-FFF2-40B4-BE49-F238E27FC236}">
              <a16:creationId xmlns:a16="http://schemas.microsoft.com/office/drawing/2014/main" id="{00000000-0008-0000-1F00-00007B000000}"/>
            </a:ext>
          </a:extLst>
        </xdr:cNvPr>
        <xdr:cNvPicPr>
          <a:picLocks noChangeAspect="1"/>
        </xdr:cNvPicPr>
      </xdr:nvPicPr>
      <xdr:blipFill>
        <a:blip xmlns:r="http://schemas.openxmlformats.org/officeDocument/2006/relationships" r:embed="rId82" cstate="print">
          <a:extLst>
            <a:ext uri="{28A0092B-C50C-407E-A947-70E740481C1C}">
              <a14:useLocalDpi xmlns:a14="http://schemas.microsoft.com/office/drawing/2010/main" val="0"/>
            </a:ext>
          </a:extLst>
        </a:blip>
        <a:srcRect/>
        <a:stretch/>
      </xdr:blipFill>
      <xdr:spPr bwMode="auto">
        <a:xfrm rot="5400000">
          <a:off x="77323575" y="6566504"/>
          <a:ext cx="1297066" cy="9766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81</xdr:col>
      <xdr:colOff>978982</xdr:colOff>
      <xdr:row>35</xdr:row>
      <xdr:rowOff>83343</xdr:rowOff>
    </xdr:from>
    <xdr:ext cx="977152" cy="1297781"/>
    <xdr:pic>
      <xdr:nvPicPr>
        <xdr:cNvPr id="124" name="Imagen 56">
          <a:extLst>
            <a:ext uri="{FF2B5EF4-FFF2-40B4-BE49-F238E27FC236}">
              <a16:creationId xmlns:a16="http://schemas.microsoft.com/office/drawing/2014/main" id="{00000000-0008-0000-1F00-00007C000000}"/>
            </a:ext>
          </a:extLst>
        </xdr:cNvPr>
        <xdr:cNvPicPr>
          <a:picLocks noChangeAspect="1"/>
        </xdr:cNvPicPr>
      </xdr:nvPicPr>
      <xdr:blipFill>
        <a:blip xmlns:r="http://schemas.openxmlformats.org/officeDocument/2006/relationships" r:embed="rId83" cstate="print">
          <a:extLst>
            <a:ext uri="{28A0092B-C50C-407E-A947-70E740481C1C}">
              <a14:useLocalDpi xmlns:a14="http://schemas.microsoft.com/office/drawing/2010/main" val="0"/>
            </a:ext>
          </a:extLst>
        </a:blip>
        <a:srcRect/>
        <a:stretch/>
      </xdr:blipFill>
      <xdr:spPr bwMode="auto">
        <a:xfrm rot="5400000">
          <a:off x="80285742" y="6577783"/>
          <a:ext cx="1297781" cy="9771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87</xdr:col>
      <xdr:colOff>19050</xdr:colOff>
      <xdr:row>11</xdr:row>
      <xdr:rowOff>0</xdr:rowOff>
    </xdr:from>
    <xdr:to>
      <xdr:col>89</xdr:col>
      <xdr:colOff>200025</xdr:colOff>
      <xdr:row>11</xdr:row>
      <xdr:rowOff>0</xdr:rowOff>
    </xdr:to>
    <xdr:sp macro="" textlink="">
      <xdr:nvSpPr>
        <xdr:cNvPr id="125" name="Line 2">
          <a:extLst>
            <a:ext uri="{FF2B5EF4-FFF2-40B4-BE49-F238E27FC236}">
              <a16:creationId xmlns:a16="http://schemas.microsoft.com/office/drawing/2014/main" id="{00000000-0008-0000-1F00-00007D000000}"/>
            </a:ext>
          </a:extLst>
        </xdr:cNvPr>
        <xdr:cNvSpPr>
          <a:spLocks noChangeShapeType="1"/>
        </xdr:cNvSpPr>
      </xdr:nvSpPr>
      <xdr:spPr bwMode="auto">
        <a:xfrm>
          <a:off x="79100363" y="2166938"/>
          <a:ext cx="213360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oneCellAnchor>
    <xdr:from>
      <xdr:col>85</xdr:col>
      <xdr:colOff>27803</xdr:colOff>
      <xdr:row>13</xdr:row>
      <xdr:rowOff>44407</xdr:rowOff>
    </xdr:from>
    <xdr:ext cx="955103" cy="1268497"/>
    <xdr:pic>
      <xdr:nvPicPr>
        <xdr:cNvPr id="126" name="Imagen 53">
          <a:extLst>
            <a:ext uri="{FF2B5EF4-FFF2-40B4-BE49-F238E27FC236}">
              <a16:creationId xmlns:a16="http://schemas.microsoft.com/office/drawing/2014/main" id="{00000000-0008-0000-1F00-00007E000000}"/>
            </a:ext>
          </a:extLst>
        </xdr:cNvPr>
        <xdr:cNvPicPr>
          <a:picLocks noChangeAspect="1"/>
        </xdr:cNvPicPr>
      </xdr:nvPicPr>
      <xdr:blipFill>
        <a:blip xmlns:r="http://schemas.openxmlformats.org/officeDocument/2006/relationships" r:embed="rId84" cstate="print">
          <a:extLst>
            <a:ext uri="{28A0092B-C50C-407E-A947-70E740481C1C}">
              <a14:useLocalDpi xmlns:a14="http://schemas.microsoft.com/office/drawing/2010/main" val="0"/>
            </a:ext>
          </a:extLst>
        </a:blip>
        <a:srcRect/>
        <a:stretch/>
      </xdr:blipFill>
      <xdr:spPr bwMode="auto">
        <a:xfrm rot="5400000">
          <a:off x="83262481" y="2668079"/>
          <a:ext cx="1268497" cy="95510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87</xdr:col>
      <xdr:colOff>631385</xdr:colOff>
      <xdr:row>12</xdr:row>
      <xdr:rowOff>157387</xdr:rowOff>
    </xdr:from>
    <xdr:ext cx="1677181" cy="1262819"/>
    <xdr:pic>
      <xdr:nvPicPr>
        <xdr:cNvPr id="127" name="Imagen 54">
          <a:extLst>
            <a:ext uri="{FF2B5EF4-FFF2-40B4-BE49-F238E27FC236}">
              <a16:creationId xmlns:a16="http://schemas.microsoft.com/office/drawing/2014/main" id="{00000000-0008-0000-1F00-00007F000000}"/>
            </a:ext>
          </a:extLst>
        </xdr:cNvPr>
        <xdr:cNvPicPr>
          <a:picLocks noChangeAspect="1"/>
        </xdr:cNvPicPr>
      </xdr:nvPicPr>
      <xdr:blipFill>
        <a:blip xmlns:r="http://schemas.openxmlformats.org/officeDocument/2006/relationships" r:embed="rId85" cstate="print">
          <a:extLst>
            <a:ext uri="{28A0092B-C50C-407E-A947-70E740481C1C}">
              <a14:useLocalDpi xmlns:a14="http://schemas.microsoft.com/office/drawing/2010/main" val="0"/>
            </a:ext>
          </a:extLst>
        </a:blip>
        <a:srcRect/>
        <a:stretch/>
      </xdr:blipFill>
      <xdr:spPr bwMode="auto">
        <a:xfrm>
          <a:off x="85984910" y="2462437"/>
          <a:ext cx="1677181" cy="12628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88</xdr:col>
      <xdr:colOff>9232</xdr:colOff>
      <xdr:row>24</xdr:row>
      <xdr:rowOff>98862</xdr:rowOff>
    </xdr:from>
    <xdr:ext cx="932245" cy="1238138"/>
    <xdr:pic>
      <xdr:nvPicPr>
        <xdr:cNvPr id="128" name="Imagen 56">
          <a:extLst>
            <a:ext uri="{FF2B5EF4-FFF2-40B4-BE49-F238E27FC236}">
              <a16:creationId xmlns:a16="http://schemas.microsoft.com/office/drawing/2014/main" id="{00000000-0008-0000-1F00-000080000000}"/>
            </a:ext>
          </a:extLst>
        </xdr:cNvPr>
        <xdr:cNvPicPr>
          <a:picLocks noChangeAspect="1"/>
        </xdr:cNvPicPr>
      </xdr:nvPicPr>
      <xdr:blipFill>
        <a:blip xmlns:r="http://schemas.openxmlformats.org/officeDocument/2006/relationships" r:embed="rId86" cstate="print">
          <a:extLst>
            <a:ext uri="{28A0092B-C50C-407E-A947-70E740481C1C}">
              <a14:useLocalDpi xmlns:a14="http://schemas.microsoft.com/office/drawing/2010/main" val="0"/>
            </a:ext>
          </a:extLst>
        </a:blip>
        <a:srcRect/>
        <a:stretch/>
      </xdr:blipFill>
      <xdr:spPr bwMode="auto">
        <a:xfrm>
          <a:off x="86343832" y="4527987"/>
          <a:ext cx="932245" cy="12381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85</xdr:col>
      <xdr:colOff>15701</xdr:colOff>
      <xdr:row>24</xdr:row>
      <xdr:rowOff>90911</xdr:rowOff>
    </xdr:from>
    <xdr:ext cx="922164" cy="1224750"/>
    <xdr:pic>
      <xdr:nvPicPr>
        <xdr:cNvPr id="129" name="Imagen 128">
          <a:extLst>
            <a:ext uri="{FF2B5EF4-FFF2-40B4-BE49-F238E27FC236}">
              <a16:creationId xmlns:a16="http://schemas.microsoft.com/office/drawing/2014/main" id="{00000000-0008-0000-1F00-000081000000}"/>
            </a:ext>
          </a:extLst>
        </xdr:cNvPr>
        <xdr:cNvPicPr>
          <a:picLocks noChangeAspect="1"/>
        </xdr:cNvPicPr>
      </xdr:nvPicPr>
      <xdr:blipFill>
        <a:blip xmlns:r="http://schemas.openxmlformats.org/officeDocument/2006/relationships" r:embed="rId87" cstate="print">
          <a:extLst>
            <a:ext uri="{28A0092B-C50C-407E-A947-70E740481C1C}">
              <a14:useLocalDpi xmlns:a14="http://schemas.microsoft.com/office/drawing/2010/main" val="0"/>
            </a:ext>
          </a:extLst>
        </a:blip>
        <a:srcRect/>
        <a:stretch/>
      </xdr:blipFill>
      <xdr:spPr bwMode="auto">
        <a:xfrm rot="5400000">
          <a:off x="83255783" y="4671329"/>
          <a:ext cx="1224750" cy="92216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85</xdr:col>
      <xdr:colOff>87396</xdr:colOff>
      <xdr:row>36</xdr:row>
      <xdr:rowOff>15686</xdr:rowOff>
    </xdr:from>
    <xdr:ext cx="922254" cy="1224870"/>
    <xdr:pic>
      <xdr:nvPicPr>
        <xdr:cNvPr id="130" name="Imagen 129">
          <a:extLst>
            <a:ext uri="{FF2B5EF4-FFF2-40B4-BE49-F238E27FC236}">
              <a16:creationId xmlns:a16="http://schemas.microsoft.com/office/drawing/2014/main" id="{00000000-0008-0000-1F00-000082000000}"/>
            </a:ext>
          </a:extLst>
        </xdr:cNvPr>
        <xdr:cNvPicPr>
          <a:picLocks noChangeAspect="1"/>
        </xdr:cNvPicPr>
      </xdr:nvPicPr>
      <xdr:blipFill>
        <a:blip xmlns:r="http://schemas.openxmlformats.org/officeDocument/2006/relationships" r:embed="rId88" cstate="print">
          <a:extLst>
            <a:ext uri="{28A0092B-C50C-407E-A947-70E740481C1C}">
              <a14:useLocalDpi xmlns:a14="http://schemas.microsoft.com/office/drawing/2010/main" val="0"/>
            </a:ext>
          </a:extLst>
        </a:blip>
        <a:srcRect/>
        <a:stretch/>
      </xdr:blipFill>
      <xdr:spPr bwMode="auto">
        <a:xfrm>
          <a:off x="83478771" y="6511736"/>
          <a:ext cx="922254" cy="1224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88</xdr:col>
      <xdr:colOff>85122</xdr:colOff>
      <xdr:row>36</xdr:row>
      <xdr:rowOff>10933</xdr:rowOff>
    </xdr:from>
    <xdr:ext cx="853111" cy="1133039"/>
    <xdr:pic>
      <xdr:nvPicPr>
        <xdr:cNvPr id="131" name="Imagen 56">
          <a:extLst>
            <a:ext uri="{FF2B5EF4-FFF2-40B4-BE49-F238E27FC236}">
              <a16:creationId xmlns:a16="http://schemas.microsoft.com/office/drawing/2014/main" id="{00000000-0008-0000-1F00-000083000000}"/>
            </a:ext>
          </a:extLst>
        </xdr:cNvPr>
        <xdr:cNvPicPr>
          <a:picLocks noChangeAspect="1"/>
        </xdr:cNvPicPr>
      </xdr:nvPicPr>
      <xdr:blipFill>
        <a:blip xmlns:r="http://schemas.openxmlformats.org/officeDocument/2006/relationships" r:embed="rId89" cstate="print">
          <a:extLst>
            <a:ext uri="{28A0092B-C50C-407E-A947-70E740481C1C}">
              <a14:useLocalDpi xmlns:a14="http://schemas.microsoft.com/office/drawing/2010/main" val="0"/>
            </a:ext>
          </a:extLst>
        </a:blip>
        <a:srcRect/>
        <a:stretch/>
      </xdr:blipFill>
      <xdr:spPr bwMode="auto">
        <a:xfrm>
          <a:off x="86419722" y="6506983"/>
          <a:ext cx="853111" cy="11330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93</xdr:col>
      <xdr:colOff>19050</xdr:colOff>
      <xdr:row>11</xdr:row>
      <xdr:rowOff>0</xdr:rowOff>
    </xdr:from>
    <xdr:to>
      <xdr:col>95</xdr:col>
      <xdr:colOff>200025</xdr:colOff>
      <xdr:row>11</xdr:row>
      <xdr:rowOff>0</xdr:rowOff>
    </xdr:to>
    <xdr:sp macro="" textlink="">
      <xdr:nvSpPr>
        <xdr:cNvPr id="111" name="Line 2">
          <a:extLst>
            <a:ext uri="{FF2B5EF4-FFF2-40B4-BE49-F238E27FC236}">
              <a16:creationId xmlns:a16="http://schemas.microsoft.com/office/drawing/2014/main" id="{00000000-0008-0000-1F00-00006F000000}"/>
            </a:ext>
          </a:extLst>
        </xdr:cNvPr>
        <xdr:cNvSpPr>
          <a:spLocks noChangeShapeType="1"/>
        </xdr:cNvSpPr>
      </xdr:nvSpPr>
      <xdr:spPr bwMode="auto">
        <a:xfrm>
          <a:off x="84958238" y="2166938"/>
          <a:ext cx="213360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oneCellAnchor>
    <xdr:from>
      <xdr:col>91</xdr:col>
      <xdr:colOff>148434</xdr:colOff>
      <xdr:row>13</xdr:row>
      <xdr:rowOff>44407</xdr:rowOff>
    </xdr:from>
    <xdr:ext cx="713840" cy="1268497"/>
    <xdr:pic>
      <xdr:nvPicPr>
        <xdr:cNvPr id="112" name="Imagen 53">
          <a:extLst>
            <a:ext uri="{FF2B5EF4-FFF2-40B4-BE49-F238E27FC236}">
              <a16:creationId xmlns:a16="http://schemas.microsoft.com/office/drawing/2014/main" id="{00000000-0008-0000-1F00-000070000000}"/>
            </a:ext>
          </a:extLst>
        </xdr:cNvPr>
        <xdr:cNvPicPr>
          <a:picLocks noChangeAspect="1"/>
        </xdr:cNvPicPr>
      </xdr:nvPicPr>
      <xdr:blipFill>
        <a:blip xmlns:r="http://schemas.openxmlformats.org/officeDocument/2006/relationships" r:embed="rId90" cstate="print">
          <a:extLst>
            <a:ext uri="{28A0092B-C50C-407E-A947-70E740481C1C}">
              <a14:useLocalDpi xmlns:a14="http://schemas.microsoft.com/office/drawing/2010/main" val="0"/>
            </a:ext>
          </a:extLst>
        </a:blip>
        <a:srcRect/>
        <a:stretch/>
      </xdr:blipFill>
      <xdr:spPr bwMode="auto">
        <a:xfrm>
          <a:off x="89426259" y="2511382"/>
          <a:ext cx="713840" cy="126849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93</xdr:col>
      <xdr:colOff>347958</xdr:colOff>
      <xdr:row>12</xdr:row>
      <xdr:rowOff>157387</xdr:rowOff>
    </xdr:from>
    <xdr:ext cx="2244033" cy="1262819"/>
    <xdr:pic>
      <xdr:nvPicPr>
        <xdr:cNvPr id="113" name="Imagen 54">
          <a:extLst>
            <a:ext uri="{FF2B5EF4-FFF2-40B4-BE49-F238E27FC236}">
              <a16:creationId xmlns:a16="http://schemas.microsoft.com/office/drawing/2014/main" id="{00000000-0008-0000-1F00-000071000000}"/>
            </a:ext>
          </a:extLst>
        </xdr:cNvPr>
        <xdr:cNvPicPr>
          <a:picLocks noChangeAspect="1"/>
        </xdr:cNvPicPr>
      </xdr:nvPicPr>
      <xdr:blipFill>
        <a:blip xmlns:r="http://schemas.openxmlformats.org/officeDocument/2006/relationships" r:embed="rId91" cstate="print">
          <a:extLst>
            <a:ext uri="{28A0092B-C50C-407E-A947-70E740481C1C}">
              <a14:useLocalDpi xmlns:a14="http://schemas.microsoft.com/office/drawing/2010/main" val="0"/>
            </a:ext>
          </a:extLst>
        </a:blip>
        <a:srcRect/>
        <a:stretch/>
      </xdr:blipFill>
      <xdr:spPr bwMode="auto">
        <a:xfrm>
          <a:off x="91587933" y="2462437"/>
          <a:ext cx="2244033" cy="12628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93</xdr:col>
      <xdr:colOff>634228</xdr:colOff>
      <xdr:row>24</xdr:row>
      <xdr:rowOff>98862</xdr:rowOff>
    </xdr:from>
    <xdr:ext cx="1644402" cy="1238138"/>
    <xdr:pic>
      <xdr:nvPicPr>
        <xdr:cNvPr id="114" name="Imagen 56">
          <a:extLst>
            <a:ext uri="{FF2B5EF4-FFF2-40B4-BE49-F238E27FC236}">
              <a16:creationId xmlns:a16="http://schemas.microsoft.com/office/drawing/2014/main" id="{00000000-0008-0000-1F00-000072000000}"/>
            </a:ext>
          </a:extLst>
        </xdr:cNvPr>
        <xdr:cNvPicPr>
          <a:picLocks noChangeAspect="1"/>
        </xdr:cNvPicPr>
      </xdr:nvPicPr>
      <xdr:blipFill>
        <a:blip xmlns:r="http://schemas.openxmlformats.org/officeDocument/2006/relationships" r:embed="rId92" cstate="print">
          <a:extLst>
            <a:ext uri="{28A0092B-C50C-407E-A947-70E740481C1C}">
              <a14:useLocalDpi xmlns:a14="http://schemas.microsoft.com/office/drawing/2010/main" val="0"/>
            </a:ext>
          </a:extLst>
        </a:blip>
        <a:srcRect/>
        <a:stretch/>
      </xdr:blipFill>
      <xdr:spPr bwMode="auto">
        <a:xfrm>
          <a:off x="91874203" y="4527987"/>
          <a:ext cx="1644402" cy="12381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90</xdr:col>
      <xdr:colOff>430498</xdr:colOff>
      <xdr:row>25</xdr:row>
      <xdr:rowOff>70740</xdr:rowOff>
    </xdr:from>
    <xdr:ext cx="1891221" cy="1064275"/>
    <xdr:pic>
      <xdr:nvPicPr>
        <xdr:cNvPr id="115" name="Imagen 114">
          <a:extLst>
            <a:ext uri="{FF2B5EF4-FFF2-40B4-BE49-F238E27FC236}">
              <a16:creationId xmlns:a16="http://schemas.microsoft.com/office/drawing/2014/main" id="{00000000-0008-0000-1F00-000073000000}"/>
            </a:ext>
          </a:extLst>
        </xdr:cNvPr>
        <xdr:cNvPicPr>
          <a:picLocks noChangeAspect="1"/>
        </xdr:cNvPicPr>
      </xdr:nvPicPr>
      <xdr:blipFill>
        <a:blip xmlns:r="http://schemas.openxmlformats.org/officeDocument/2006/relationships" r:embed="rId93" cstate="print">
          <a:extLst>
            <a:ext uri="{28A0092B-C50C-407E-A947-70E740481C1C}">
              <a14:useLocalDpi xmlns:a14="http://schemas.microsoft.com/office/drawing/2010/main" val="0"/>
            </a:ext>
          </a:extLst>
        </a:blip>
        <a:srcRect/>
        <a:stretch/>
      </xdr:blipFill>
      <xdr:spPr bwMode="auto">
        <a:xfrm>
          <a:off x="88727248" y="4661790"/>
          <a:ext cx="1891221" cy="1064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91</xdr:col>
      <xdr:colOff>141259</xdr:colOff>
      <xdr:row>35</xdr:row>
      <xdr:rowOff>66675</xdr:rowOff>
    </xdr:from>
    <xdr:ext cx="1030316" cy="1368387"/>
    <xdr:pic>
      <xdr:nvPicPr>
        <xdr:cNvPr id="116" name="Imagen 115">
          <a:extLst>
            <a:ext uri="{FF2B5EF4-FFF2-40B4-BE49-F238E27FC236}">
              <a16:creationId xmlns:a16="http://schemas.microsoft.com/office/drawing/2014/main" id="{00000000-0008-0000-1F00-000074000000}"/>
            </a:ext>
          </a:extLst>
        </xdr:cNvPr>
        <xdr:cNvPicPr>
          <a:picLocks noChangeAspect="1"/>
        </xdr:cNvPicPr>
      </xdr:nvPicPr>
      <xdr:blipFill>
        <a:blip xmlns:r="http://schemas.openxmlformats.org/officeDocument/2006/relationships" r:embed="rId94" cstate="print">
          <a:extLst>
            <a:ext uri="{28A0092B-C50C-407E-A947-70E740481C1C}">
              <a14:useLocalDpi xmlns:a14="http://schemas.microsoft.com/office/drawing/2010/main" val="0"/>
            </a:ext>
          </a:extLst>
        </a:blip>
        <a:srcRect/>
        <a:stretch/>
      </xdr:blipFill>
      <xdr:spPr bwMode="auto">
        <a:xfrm rot="5400000">
          <a:off x="89250048" y="6569836"/>
          <a:ext cx="1368387" cy="10303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93</xdr:col>
      <xdr:colOff>590550</xdr:colOff>
      <xdr:row>35</xdr:row>
      <xdr:rowOff>85725</xdr:rowOff>
    </xdr:from>
    <xdr:ext cx="1775097" cy="1336543"/>
    <xdr:pic>
      <xdr:nvPicPr>
        <xdr:cNvPr id="117" name="Imagen 56">
          <a:extLst>
            <a:ext uri="{FF2B5EF4-FFF2-40B4-BE49-F238E27FC236}">
              <a16:creationId xmlns:a16="http://schemas.microsoft.com/office/drawing/2014/main" id="{00000000-0008-0000-1F00-000075000000}"/>
            </a:ext>
          </a:extLst>
        </xdr:cNvPr>
        <xdr:cNvPicPr>
          <a:picLocks noChangeAspect="1"/>
        </xdr:cNvPicPr>
      </xdr:nvPicPr>
      <xdr:blipFill>
        <a:blip xmlns:r="http://schemas.openxmlformats.org/officeDocument/2006/relationships" r:embed="rId95" cstate="print">
          <a:extLst>
            <a:ext uri="{28A0092B-C50C-407E-A947-70E740481C1C}">
              <a14:useLocalDpi xmlns:a14="http://schemas.microsoft.com/office/drawing/2010/main" val="0"/>
            </a:ext>
          </a:extLst>
        </a:blip>
        <a:srcRect/>
        <a:stretch/>
      </xdr:blipFill>
      <xdr:spPr bwMode="auto">
        <a:xfrm>
          <a:off x="91830525" y="6419850"/>
          <a:ext cx="1775097" cy="13365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99</xdr:col>
      <xdr:colOff>19050</xdr:colOff>
      <xdr:row>11</xdr:row>
      <xdr:rowOff>0</xdr:rowOff>
    </xdr:from>
    <xdr:to>
      <xdr:col>101</xdr:col>
      <xdr:colOff>200025</xdr:colOff>
      <xdr:row>11</xdr:row>
      <xdr:rowOff>0</xdr:rowOff>
    </xdr:to>
    <xdr:sp macro="" textlink="">
      <xdr:nvSpPr>
        <xdr:cNvPr id="132" name="Line 2">
          <a:extLst>
            <a:ext uri="{FF2B5EF4-FFF2-40B4-BE49-F238E27FC236}">
              <a16:creationId xmlns:a16="http://schemas.microsoft.com/office/drawing/2014/main" id="{00000000-0008-0000-1F00-000084000000}"/>
            </a:ext>
          </a:extLst>
        </xdr:cNvPr>
        <xdr:cNvSpPr>
          <a:spLocks noChangeShapeType="1"/>
        </xdr:cNvSpPr>
      </xdr:nvSpPr>
      <xdr:spPr bwMode="auto">
        <a:xfrm>
          <a:off x="90816113" y="2166938"/>
          <a:ext cx="213360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oneCellAnchor>
    <xdr:from>
      <xdr:col>96</xdr:col>
      <xdr:colOff>914400</xdr:colOff>
      <xdr:row>12</xdr:row>
      <xdr:rowOff>80855</xdr:rowOff>
    </xdr:from>
    <xdr:ext cx="1143977" cy="1519345"/>
    <xdr:pic>
      <xdr:nvPicPr>
        <xdr:cNvPr id="133" name="Imagen 53">
          <a:extLst>
            <a:ext uri="{FF2B5EF4-FFF2-40B4-BE49-F238E27FC236}">
              <a16:creationId xmlns:a16="http://schemas.microsoft.com/office/drawing/2014/main" id="{00000000-0008-0000-1F00-000085000000}"/>
            </a:ext>
          </a:extLst>
        </xdr:cNvPr>
        <xdr:cNvPicPr>
          <a:picLocks noChangeAspect="1"/>
        </xdr:cNvPicPr>
      </xdr:nvPicPr>
      <xdr:blipFill>
        <a:blip xmlns:r="http://schemas.openxmlformats.org/officeDocument/2006/relationships" r:embed="rId96" cstate="print">
          <a:extLst>
            <a:ext uri="{28A0092B-C50C-407E-A947-70E740481C1C}">
              <a14:useLocalDpi xmlns:a14="http://schemas.microsoft.com/office/drawing/2010/main" val="0"/>
            </a:ext>
          </a:extLst>
        </a:blip>
        <a:srcRect/>
        <a:stretch/>
      </xdr:blipFill>
      <xdr:spPr bwMode="auto">
        <a:xfrm>
          <a:off x="95097600" y="2385905"/>
          <a:ext cx="1143977" cy="15193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99</xdr:col>
      <xdr:colOff>737385</xdr:colOff>
      <xdr:row>12</xdr:row>
      <xdr:rowOff>33562</xdr:rowOff>
    </xdr:from>
    <xdr:ext cx="1177140" cy="1563390"/>
    <xdr:pic>
      <xdr:nvPicPr>
        <xdr:cNvPr id="134" name="Imagen 54">
          <a:extLst>
            <a:ext uri="{FF2B5EF4-FFF2-40B4-BE49-F238E27FC236}">
              <a16:creationId xmlns:a16="http://schemas.microsoft.com/office/drawing/2014/main" id="{00000000-0008-0000-1F00-000086000000}"/>
            </a:ext>
          </a:extLst>
        </xdr:cNvPr>
        <xdr:cNvPicPr>
          <a:picLocks noChangeAspect="1"/>
        </xdr:cNvPicPr>
      </xdr:nvPicPr>
      <xdr:blipFill>
        <a:blip xmlns:r="http://schemas.openxmlformats.org/officeDocument/2006/relationships" r:embed="rId97" cstate="print">
          <a:extLst>
            <a:ext uri="{28A0092B-C50C-407E-A947-70E740481C1C}">
              <a14:useLocalDpi xmlns:a14="http://schemas.microsoft.com/office/drawing/2010/main" val="0"/>
            </a:ext>
          </a:extLst>
        </a:blip>
        <a:srcRect/>
        <a:stretch/>
      </xdr:blipFill>
      <xdr:spPr bwMode="auto">
        <a:xfrm>
          <a:off x="97863810" y="2338612"/>
          <a:ext cx="1177140" cy="15633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99</xdr:col>
      <xdr:colOff>561975</xdr:colOff>
      <xdr:row>24</xdr:row>
      <xdr:rowOff>47625</xdr:rowOff>
    </xdr:from>
    <xdr:ext cx="1841613" cy="1386624"/>
    <xdr:pic>
      <xdr:nvPicPr>
        <xdr:cNvPr id="135" name="Imagen 56">
          <a:extLst>
            <a:ext uri="{FF2B5EF4-FFF2-40B4-BE49-F238E27FC236}">
              <a16:creationId xmlns:a16="http://schemas.microsoft.com/office/drawing/2014/main" id="{00000000-0008-0000-1F00-000087000000}"/>
            </a:ext>
          </a:extLst>
        </xdr:cNvPr>
        <xdr:cNvPicPr>
          <a:picLocks noChangeAspect="1"/>
        </xdr:cNvPicPr>
      </xdr:nvPicPr>
      <xdr:blipFill>
        <a:blip xmlns:r="http://schemas.openxmlformats.org/officeDocument/2006/relationships" r:embed="rId98" cstate="print">
          <a:extLst>
            <a:ext uri="{28A0092B-C50C-407E-A947-70E740481C1C}">
              <a14:useLocalDpi xmlns:a14="http://schemas.microsoft.com/office/drawing/2010/main" val="0"/>
            </a:ext>
          </a:extLst>
        </a:blip>
        <a:srcRect/>
        <a:stretch/>
      </xdr:blipFill>
      <xdr:spPr bwMode="auto">
        <a:xfrm>
          <a:off x="97688400" y="4476750"/>
          <a:ext cx="1841613" cy="13866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96</xdr:col>
      <xdr:colOff>619125</xdr:colOff>
      <xdr:row>24</xdr:row>
      <xdr:rowOff>71032</xdr:rowOff>
    </xdr:from>
    <xdr:ext cx="1828799" cy="1376978"/>
    <xdr:pic>
      <xdr:nvPicPr>
        <xdr:cNvPr id="136" name="Imagen 135">
          <a:extLst>
            <a:ext uri="{FF2B5EF4-FFF2-40B4-BE49-F238E27FC236}">
              <a16:creationId xmlns:a16="http://schemas.microsoft.com/office/drawing/2014/main" id="{00000000-0008-0000-1F00-000088000000}"/>
            </a:ext>
          </a:extLst>
        </xdr:cNvPr>
        <xdr:cNvPicPr>
          <a:picLocks noChangeAspect="1"/>
        </xdr:cNvPicPr>
      </xdr:nvPicPr>
      <xdr:blipFill>
        <a:blip xmlns:r="http://schemas.openxmlformats.org/officeDocument/2006/relationships" r:embed="rId99" cstate="print">
          <a:extLst>
            <a:ext uri="{28A0092B-C50C-407E-A947-70E740481C1C}">
              <a14:useLocalDpi xmlns:a14="http://schemas.microsoft.com/office/drawing/2010/main" val="0"/>
            </a:ext>
          </a:extLst>
        </a:blip>
        <a:srcRect/>
        <a:stretch/>
      </xdr:blipFill>
      <xdr:spPr bwMode="auto">
        <a:xfrm>
          <a:off x="94802325" y="4500157"/>
          <a:ext cx="1828799" cy="13769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60</xdr:col>
      <xdr:colOff>92385</xdr:colOff>
      <xdr:row>13</xdr:row>
      <xdr:rowOff>15598</xdr:rowOff>
    </xdr:from>
    <xdr:ext cx="2774640" cy="1279801"/>
    <xdr:pic>
      <xdr:nvPicPr>
        <xdr:cNvPr id="154" name="Imagen 54">
          <a:extLst>
            <a:ext uri="{FF2B5EF4-FFF2-40B4-BE49-F238E27FC236}">
              <a16:creationId xmlns:a16="http://schemas.microsoft.com/office/drawing/2014/main" id="{00000000-0008-0000-1F00-00009A000000}"/>
            </a:ext>
          </a:extLst>
        </xdr:cNvPr>
        <xdr:cNvPicPr>
          <a:picLocks noChangeAspect="1"/>
        </xdr:cNvPicPr>
      </xdr:nvPicPr>
      <xdr:blipFill>
        <a:blip xmlns:r="http://schemas.openxmlformats.org/officeDocument/2006/relationships" r:embed="rId100" cstate="print">
          <a:extLst>
            <a:ext uri="{28A0092B-C50C-407E-A947-70E740481C1C}">
              <a14:useLocalDpi xmlns:a14="http://schemas.microsoft.com/office/drawing/2010/main" val="0"/>
            </a:ext>
          </a:extLst>
        </a:blip>
        <a:srcRect/>
        <a:stretch/>
      </xdr:blipFill>
      <xdr:spPr bwMode="auto">
        <a:xfrm>
          <a:off x="58956885" y="2482573"/>
          <a:ext cx="2774640" cy="12798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19.xml><?xml version="1.0" encoding="utf-8"?>
<xdr:wsDr xmlns:xdr="http://schemas.openxmlformats.org/drawingml/2006/spreadsheetDrawing" xmlns:a="http://schemas.openxmlformats.org/drawingml/2006/main">
  <xdr:twoCellAnchor>
    <xdr:from>
      <xdr:col>3</xdr:col>
      <xdr:colOff>76200</xdr:colOff>
      <xdr:row>8</xdr:row>
      <xdr:rowOff>152400</xdr:rowOff>
    </xdr:from>
    <xdr:to>
      <xdr:col>4</xdr:col>
      <xdr:colOff>0</xdr:colOff>
      <xdr:row>8</xdr:row>
      <xdr:rowOff>152400</xdr:rowOff>
    </xdr:to>
    <xdr:sp macro="" textlink="">
      <xdr:nvSpPr>
        <xdr:cNvPr id="695482" name="Line 1">
          <a:extLst>
            <a:ext uri="{FF2B5EF4-FFF2-40B4-BE49-F238E27FC236}">
              <a16:creationId xmlns:a16="http://schemas.microsoft.com/office/drawing/2014/main" id="{00000000-0008-0000-2000-0000BA9C0A00}"/>
            </a:ext>
          </a:extLst>
        </xdr:cNvPr>
        <xdr:cNvSpPr>
          <a:spLocks noChangeShapeType="1"/>
        </xdr:cNvSpPr>
      </xdr:nvSpPr>
      <xdr:spPr bwMode="auto">
        <a:xfrm>
          <a:off x="3019425" y="2124075"/>
          <a:ext cx="217170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76200</xdr:colOff>
      <xdr:row>8</xdr:row>
      <xdr:rowOff>152400</xdr:rowOff>
    </xdr:from>
    <xdr:to>
      <xdr:col>8</xdr:col>
      <xdr:colOff>285750</xdr:colOff>
      <xdr:row>8</xdr:row>
      <xdr:rowOff>152400</xdr:rowOff>
    </xdr:to>
    <xdr:sp macro="" textlink="">
      <xdr:nvSpPr>
        <xdr:cNvPr id="695485" name="Line 1">
          <a:extLst>
            <a:ext uri="{FF2B5EF4-FFF2-40B4-BE49-F238E27FC236}">
              <a16:creationId xmlns:a16="http://schemas.microsoft.com/office/drawing/2014/main" id="{00000000-0008-0000-2000-0000BD9C0A00}"/>
            </a:ext>
          </a:extLst>
        </xdr:cNvPr>
        <xdr:cNvSpPr>
          <a:spLocks noChangeShapeType="1"/>
        </xdr:cNvSpPr>
      </xdr:nvSpPr>
      <xdr:spPr bwMode="auto">
        <a:xfrm>
          <a:off x="8905875" y="2124075"/>
          <a:ext cx="217170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76200</xdr:colOff>
      <xdr:row>8</xdr:row>
      <xdr:rowOff>152400</xdr:rowOff>
    </xdr:from>
    <xdr:to>
      <xdr:col>14</xdr:col>
      <xdr:colOff>285750</xdr:colOff>
      <xdr:row>8</xdr:row>
      <xdr:rowOff>152400</xdr:rowOff>
    </xdr:to>
    <xdr:sp macro="" textlink="">
      <xdr:nvSpPr>
        <xdr:cNvPr id="9" name="Line 1">
          <a:extLst>
            <a:ext uri="{FF2B5EF4-FFF2-40B4-BE49-F238E27FC236}">
              <a16:creationId xmlns:a16="http://schemas.microsoft.com/office/drawing/2014/main" id="{00000000-0008-0000-2000-000009000000}"/>
            </a:ext>
          </a:extLst>
        </xdr:cNvPr>
        <xdr:cNvSpPr>
          <a:spLocks noChangeShapeType="1"/>
        </xdr:cNvSpPr>
      </xdr:nvSpPr>
      <xdr:spPr bwMode="auto">
        <a:xfrm>
          <a:off x="8067675" y="2124075"/>
          <a:ext cx="217170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76200</xdr:colOff>
      <xdr:row>8</xdr:row>
      <xdr:rowOff>152400</xdr:rowOff>
    </xdr:from>
    <xdr:to>
      <xdr:col>14</xdr:col>
      <xdr:colOff>285750</xdr:colOff>
      <xdr:row>8</xdr:row>
      <xdr:rowOff>152400</xdr:rowOff>
    </xdr:to>
    <xdr:sp macro="" textlink="">
      <xdr:nvSpPr>
        <xdr:cNvPr id="12" name="Line 1">
          <a:extLst>
            <a:ext uri="{FF2B5EF4-FFF2-40B4-BE49-F238E27FC236}">
              <a16:creationId xmlns:a16="http://schemas.microsoft.com/office/drawing/2014/main" id="{00000000-0008-0000-2000-00000C000000}"/>
            </a:ext>
          </a:extLst>
        </xdr:cNvPr>
        <xdr:cNvSpPr>
          <a:spLocks noChangeShapeType="1"/>
        </xdr:cNvSpPr>
      </xdr:nvSpPr>
      <xdr:spPr bwMode="auto">
        <a:xfrm>
          <a:off x="8067675" y="2124075"/>
          <a:ext cx="209550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76200</xdr:colOff>
      <xdr:row>8</xdr:row>
      <xdr:rowOff>152400</xdr:rowOff>
    </xdr:from>
    <xdr:to>
      <xdr:col>20</xdr:col>
      <xdr:colOff>285750</xdr:colOff>
      <xdr:row>8</xdr:row>
      <xdr:rowOff>152400</xdr:rowOff>
    </xdr:to>
    <xdr:sp macro="" textlink="">
      <xdr:nvSpPr>
        <xdr:cNvPr id="13" name="Line 1">
          <a:extLst>
            <a:ext uri="{FF2B5EF4-FFF2-40B4-BE49-F238E27FC236}">
              <a16:creationId xmlns:a16="http://schemas.microsoft.com/office/drawing/2014/main" id="{00000000-0008-0000-2000-00000D000000}"/>
            </a:ext>
          </a:extLst>
        </xdr:cNvPr>
        <xdr:cNvSpPr>
          <a:spLocks noChangeShapeType="1"/>
        </xdr:cNvSpPr>
      </xdr:nvSpPr>
      <xdr:spPr bwMode="auto">
        <a:xfrm>
          <a:off x="12049125" y="2124075"/>
          <a:ext cx="173355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76200</xdr:colOff>
      <xdr:row>8</xdr:row>
      <xdr:rowOff>152400</xdr:rowOff>
    </xdr:from>
    <xdr:to>
      <xdr:col>20</xdr:col>
      <xdr:colOff>285750</xdr:colOff>
      <xdr:row>8</xdr:row>
      <xdr:rowOff>152400</xdr:rowOff>
    </xdr:to>
    <xdr:sp macro="" textlink="">
      <xdr:nvSpPr>
        <xdr:cNvPr id="15" name="Line 1">
          <a:extLst>
            <a:ext uri="{FF2B5EF4-FFF2-40B4-BE49-F238E27FC236}">
              <a16:creationId xmlns:a16="http://schemas.microsoft.com/office/drawing/2014/main" id="{00000000-0008-0000-2000-00000F000000}"/>
            </a:ext>
          </a:extLst>
        </xdr:cNvPr>
        <xdr:cNvSpPr>
          <a:spLocks noChangeShapeType="1"/>
        </xdr:cNvSpPr>
      </xdr:nvSpPr>
      <xdr:spPr bwMode="auto">
        <a:xfrm>
          <a:off x="12049125" y="2124075"/>
          <a:ext cx="173355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76200</xdr:colOff>
      <xdr:row>52</xdr:row>
      <xdr:rowOff>152400</xdr:rowOff>
    </xdr:from>
    <xdr:to>
      <xdr:col>4</xdr:col>
      <xdr:colOff>0</xdr:colOff>
      <xdr:row>52</xdr:row>
      <xdr:rowOff>152400</xdr:rowOff>
    </xdr:to>
    <xdr:sp macro="" textlink="">
      <xdr:nvSpPr>
        <xdr:cNvPr id="20" name="Line 1">
          <a:extLst>
            <a:ext uri="{FF2B5EF4-FFF2-40B4-BE49-F238E27FC236}">
              <a16:creationId xmlns:a16="http://schemas.microsoft.com/office/drawing/2014/main" id="{00000000-0008-0000-2000-000014000000}"/>
            </a:ext>
          </a:extLst>
        </xdr:cNvPr>
        <xdr:cNvSpPr>
          <a:spLocks noChangeShapeType="1"/>
        </xdr:cNvSpPr>
      </xdr:nvSpPr>
      <xdr:spPr bwMode="auto">
        <a:xfrm>
          <a:off x="3019425" y="2124075"/>
          <a:ext cx="2028825"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76200</xdr:colOff>
      <xdr:row>52</xdr:row>
      <xdr:rowOff>152400</xdr:rowOff>
    </xdr:from>
    <xdr:to>
      <xdr:col>8</xdr:col>
      <xdr:colOff>285750</xdr:colOff>
      <xdr:row>52</xdr:row>
      <xdr:rowOff>152400</xdr:rowOff>
    </xdr:to>
    <xdr:sp macro="" textlink="">
      <xdr:nvSpPr>
        <xdr:cNvPr id="22" name="Line 1">
          <a:extLst>
            <a:ext uri="{FF2B5EF4-FFF2-40B4-BE49-F238E27FC236}">
              <a16:creationId xmlns:a16="http://schemas.microsoft.com/office/drawing/2014/main" id="{00000000-0008-0000-2000-000016000000}"/>
            </a:ext>
          </a:extLst>
        </xdr:cNvPr>
        <xdr:cNvSpPr>
          <a:spLocks noChangeShapeType="1"/>
        </xdr:cNvSpPr>
      </xdr:nvSpPr>
      <xdr:spPr bwMode="auto">
        <a:xfrm>
          <a:off x="8067675" y="2124075"/>
          <a:ext cx="1190625"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76200</xdr:colOff>
      <xdr:row>52</xdr:row>
      <xdr:rowOff>152400</xdr:rowOff>
    </xdr:from>
    <xdr:to>
      <xdr:col>14</xdr:col>
      <xdr:colOff>285750</xdr:colOff>
      <xdr:row>52</xdr:row>
      <xdr:rowOff>152400</xdr:rowOff>
    </xdr:to>
    <xdr:sp macro="" textlink="">
      <xdr:nvSpPr>
        <xdr:cNvPr id="24" name="Line 1">
          <a:extLst>
            <a:ext uri="{FF2B5EF4-FFF2-40B4-BE49-F238E27FC236}">
              <a16:creationId xmlns:a16="http://schemas.microsoft.com/office/drawing/2014/main" id="{00000000-0008-0000-2000-000018000000}"/>
            </a:ext>
          </a:extLst>
        </xdr:cNvPr>
        <xdr:cNvSpPr>
          <a:spLocks noChangeShapeType="1"/>
        </xdr:cNvSpPr>
      </xdr:nvSpPr>
      <xdr:spPr bwMode="auto">
        <a:xfrm>
          <a:off x="12049125" y="2124075"/>
          <a:ext cx="173355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76200</xdr:colOff>
      <xdr:row>52</xdr:row>
      <xdr:rowOff>152400</xdr:rowOff>
    </xdr:from>
    <xdr:to>
      <xdr:col>14</xdr:col>
      <xdr:colOff>285750</xdr:colOff>
      <xdr:row>52</xdr:row>
      <xdr:rowOff>152400</xdr:rowOff>
    </xdr:to>
    <xdr:sp macro="" textlink="">
      <xdr:nvSpPr>
        <xdr:cNvPr id="26" name="Line 1">
          <a:extLst>
            <a:ext uri="{FF2B5EF4-FFF2-40B4-BE49-F238E27FC236}">
              <a16:creationId xmlns:a16="http://schemas.microsoft.com/office/drawing/2014/main" id="{00000000-0008-0000-2000-00001A000000}"/>
            </a:ext>
          </a:extLst>
        </xdr:cNvPr>
        <xdr:cNvSpPr>
          <a:spLocks noChangeShapeType="1"/>
        </xdr:cNvSpPr>
      </xdr:nvSpPr>
      <xdr:spPr bwMode="auto">
        <a:xfrm>
          <a:off x="12049125" y="2124075"/>
          <a:ext cx="173355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76200</xdr:colOff>
      <xdr:row>52</xdr:row>
      <xdr:rowOff>152400</xdr:rowOff>
    </xdr:from>
    <xdr:to>
      <xdr:col>20</xdr:col>
      <xdr:colOff>285750</xdr:colOff>
      <xdr:row>52</xdr:row>
      <xdr:rowOff>152400</xdr:rowOff>
    </xdr:to>
    <xdr:sp macro="" textlink="">
      <xdr:nvSpPr>
        <xdr:cNvPr id="27" name="Line 1">
          <a:extLst>
            <a:ext uri="{FF2B5EF4-FFF2-40B4-BE49-F238E27FC236}">
              <a16:creationId xmlns:a16="http://schemas.microsoft.com/office/drawing/2014/main" id="{00000000-0008-0000-2000-00001B000000}"/>
            </a:ext>
          </a:extLst>
        </xdr:cNvPr>
        <xdr:cNvSpPr>
          <a:spLocks noChangeShapeType="1"/>
        </xdr:cNvSpPr>
      </xdr:nvSpPr>
      <xdr:spPr bwMode="auto">
        <a:xfrm>
          <a:off x="16621125" y="2124075"/>
          <a:ext cx="173355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76200</xdr:colOff>
      <xdr:row>52</xdr:row>
      <xdr:rowOff>152400</xdr:rowOff>
    </xdr:from>
    <xdr:to>
      <xdr:col>20</xdr:col>
      <xdr:colOff>285750</xdr:colOff>
      <xdr:row>52</xdr:row>
      <xdr:rowOff>152400</xdr:rowOff>
    </xdr:to>
    <xdr:sp macro="" textlink="">
      <xdr:nvSpPr>
        <xdr:cNvPr id="28" name="Line 1">
          <a:extLst>
            <a:ext uri="{FF2B5EF4-FFF2-40B4-BE49-F238E27FC236}">
              <a16:creationId xmlns:a16="http://schemas.microsoft.com/office/drawing/2014/main" id="{00000000-0008-0000-2000-00001C000000}"/>
            </a:ext>
          </a:extLst>
        </xdr:cNvPr>
        <xdr:cNvSpPr>
          <a:spLocks noChangeShapeType="1"/>
        </xdr:cNvSpPr>
      </xdr:nvSpPr>
      <xdr:spPr bwMode="auto">
        <a:xfrm>
          <a:off x="16621125" y="2124075"/>
          <a:ext cx="173355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76200</xdr:colOff>
      <xdr:row>8</xdr:row>
      <xdr:rowOff>152400</xdr:rowOff>
    </xdr:from>
    <xdr:to>
      <xdr:col>9</xdr:col>
      <xdr:colOff>0</xdr:colOff>
      <xdr:row>8</xdr:row>
      <xdr:rowOff>152400</xdr:rowOff>
    </xdr:to>
    <xdr:sp macro="" textlink="">
      <xdr:nvSpPr>
        <xdr:cNvPr id="25" name="Line 1">
          <a:extLst>
            <a:ext uri="{FF2B5EF4-FFF2-40B4-BE49-F238E27FC236}">
              <a16:creationId xmlns:a16="http://schemas.microsoft.com/office/drawing/2014/main" id="{00000000-0008-0000-2000-000019000000}"/>
            </a:ext>
          </a:extLst>
        </xdr:cNvPr>
        <xdr:cNvSpPr>
          <a:spLocks noChangeShapeType="1"/>
        </xdr:cNvSpPr>
      </xdr:nvSpPr>
      <xdr:spPr bwMode="auto">
        <a:xfrm>
          <a:off x="3033380" y="1747284"/>
          <a:ext cx="2028161"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76200</xdr:colOff>
      <xdr:row>52</xdr:row>
      <xdr:rowOff>152400</xdr:rowOff>
    </xdr:from>
    <xdr:to>
      <xdr:col>4</xdr:col>
      <xdr:colOff>0</xdr:colOff>
      <xdr:row>52</xdr:row>
      <xdr:rowOff>152400</xdr:rowOff>
    </xdr:to>
    <xdr:sp macro="" textlink="">
      <xdr:nvSpPr>
        <xdr:cNvPr id="29" name="Line 1">
          <a:extLst>
            <a:ext uri="{FF2B5EF4-FFF2-40B4-BE49-F238E27FC236}">
              <a16:creationId xmlns:a16="http://schemas.microsoft.com/office/drawing/2014/main" id="{00000000-0008-0000-2000-00001D000000}"/>
            </a:ext>
          </a:extLst>
        </xdr:cNvPr>
        <xdr:cNvSpPr>
          <a:spLocks noChangeShapeType="1"/>
        </xdr:cNvSpPr>
      </xdr:nvSpPr>
      <xdr:spPr bwMode="auto">
        <a:xfrm>
          <a:off x="3033380" y="1747284"/>
          <a:ext cx="2028161"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76200</xdr:colOff>
      <xdr:row>52</xdr:row>
      <xdr:rowOff>152400</xdr:rowOff>
    </xdr:from>
    <xdr:to>
      <xdr:col>8</xdr:col>
      <xdr:colOff>285750</xdr:colOff>
      <xdr:row>52</xdr:row>
      <xdr:rowOff>152400</xdr:rowOff>
    </xdr:to>
    <xdr:sp macro="" textlink="">
      <xdr:nvSpPr>
        <xdr:cNvPr id="21" name="Line 1">
          <a:extLst>
            <a:ext uri="{FF2B5EF4-FFF2-40B4-BE49-F238E27FC236}">
              <a16:creationId xmlns:a16="http://schemas.microsoft.com/office/drawing/2014/main" id="{00000000-0008-0000-2000-000015000000}"/>
            </a:ext>
          </a:extLst>
        </xdr:cNvPr>
        <xdr:cNvSpPr>
          <a:spLocks noChangeShapeType="1"/>
        </xdr:cNvSpPr>
      </xdr:nvSpPr>
      <xdr:spPr bwMode="auto">
        <a:xfrm>
          <a:off x="7601997" y="1711988"/>
          <a:ext cx="1193451"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76200</xdr:colOff>
      <xdr:row>52</xdr:row>
      <xdr:rowOff>152400</xdr:rowOff>
    </xdr:from>
    <xdr:to>
      <xdr:col>9</xdr:col>
      <xdr:colOff>0</xdr:colOff>
      <xdr:row>52</xdr:row>
      <xdr:rowOff>152400</xdr:rowOff>
    </xdr:to>
    <xdr:sp macro="" textlink="">
      <xdr:nvSpPr>
        <xdr:cNvPr id="23" name="Line 1">
          <a:extLst>
            <a:ext uri="{FF2B5EF4-FFF2-40B4-BE49-F238E27FC236}">
              <a16:creationId xmlns:a16="http://schemas.microsoft.com/office/drawing/2014/main" id="{00000000-0008-0000-2000-000017000000}"/>
            </a:ext>
          </a:extLst>
        </xdr:cNvPr>
        <xdr:cNvSpPr>
          <a:spLocks noChangeShapeType="1"/>
        </xdr:cNvSpPr>
      </xdr:nvSpPr>
      <xdr:spPr bwMode="auto">
        <a:xfrm>
          <a:off x="7601997" y="1711988"/>
          <a:ext cx="1619459"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76200</xdr:colOff>
      <xdr:row>52</xdr:row>
      <xdr:rowOff>152400</xdr:rowOff>
    </xdr:from>
    <xdr:to>
      <xdr:col>14</xdr:col>
      <xdr:colOff>285750</xdr:colOff>
      <xdr:row>52</xdr:row>
      <xdr:rowOff>152400</xdr:rowOff>
    </xdr:to>
    <xdr:sp macro="" textlink="">
      <xdr:nvSpPr>
        <xdr:cNvPr id="31" name="Line 1">
          <a:extLst>
            <a:ext uri="{FF2B5EF4-FFF2-40B4-BE49-F238E27FC236}">
              <a16:creationId xmlns:a16="http://schemas.microsoft.com/office/drawing/2014/main" id="{00000000-0008-0000-2000-00001F000000}"/>
            </a:ext>
          </a:extLst>
        </xdr:cNvPr>
        <xdr:cNvSpPr>
          <a:spLocks noChangeShapeType="1"/>
        </xdr:cNvSpPr>
      </xdr:nvSpPr>
      <xdr:spPr bwMode="auto">
        <a:xfrm>
          <a:off x="11589936" y="1711988"/>
          <a:ext cx="1737737"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76200</xdr:colOff>
      <xdr:row>52</xdr:row>
      <xdr:rowOff>152400</xdr:rowOff>
    </xdr:from>
    <xdr:to>
      <xdr:col>14</xdr:col>
      <xdr:colOff>285750</xdr:colOff>
      <xdr:row>52</xdr:row>
      <xdr:rowOff>152400</xdr:rowOff>
    </xdr:to>
    <xdr:sp macro="" textlink="">
      <xdr:nvSpPr>
        <xdr:cNvPr id="32" name="Line 1">
          <a:extLst>
            <a:ext uri="{FF2B5EF4-FFF2-40B4-BE49-F238E27FC236}">
              <a16:creationId xmlns:a16="http://schemas.microsoft.com/office/drawing/2014/main" id="{00000000-0008-0000-2000-000020000000}"/>
            </a:ext>
          </a:extLst>
        </xdr:cNvPr>
        <xdr:cNvSpPr>
          <a:spLocks noChangeShapeType="1"/>
        </xdr:cNvSpPr>
      </xdr:nvSpPr>
      <xdr:spPr bwMode="auto">
        <a:xfrm>
          <a:off x="11589936" y="1711988"/>
          <a:ext cx="1737737"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76200</xdr:colOff>
      <xdr:row>52</xdr:row>
      <xdr:rowOff>152400</xdr:rowOff>
    </xdr:from>
    <xdr:to>
      <xdr:col>20</xdr:col>
      <xdr:colOff>285750</xdr:colOff>
      <xdr:row>52</xdr:row>
      <xdr:rowOff>152400</xdr:rowOff>
    </xdr:to>
    <xdr:sp macro="" textlink="">
      <xdr:nvSpPr>
        <xdr:cNvPr id="34" name="Line 1">
          <a:extLst>
            <a:ext uri="{FF2B5EF4-FFF2-40B4-BE49-F238E27FC236}">
              <a16:creationId xmlns:a16="http://schemas.microsoft.com/office/drawing/2014/main" id="{00000000-0008-0000-2000-000022000000}"/>
            </a:ext>
          </a:extLst>
        </xdr:cNvPr>
        <xdr:cNvSpPr>
          <a:spLocks noChangeShapeType="1"/>
        </xdr:cNvSpPr>
      </xdr:nvSpPr>
      <xdr:spPr bwMode="auto">
        <a:xfrm>
          <a:off x="16174497" y="1711988"/>
          <a:ext cx="1737737"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76200</xdr:colOff>
      <xdr:row>52</xdr:row>
      <xdr:rowOff>152400</xdr:rowOff>
    </xdr:from>
    <xdr:to>
      <xdr:col>20</xdr:col>
      <xdr:colOff>285750</xdr:colOff>
      <xdr:row>52</xdr:row>
      <xdr:rowOff>152400</xdr:rowOff>
    </xdr:to>
    <xdr:sp macro="" textlink="">
      <xdr:nvSpPr>
        <xdr:cNvPr id="35" name="Line 1">
          <a:extLst>
            <a:ext uri="{FF2B5EF4-FFF2-40B4-BE49-F238E27FC236}">
              <a16:creationId xmlns:a16="http://schemas.microsoft.com/office/drawing/2014/main" id="{00000000-0008-0000-2000-000023000000}"/>
            </a:ext>
          </a:extLst>
        </xdr:cNvPr>
        <xdr:cNvSpPr>
          <a:spLocks noChangeShapeType="1"/>
        </xdr:cNvSpPr>
      </xdr:nvSpPr>
      <xdr:spPr bwMode="auto">
        <a:xfrm>
          <a:off x="16174497" y="1711988"/>
          <a:ext cx="1737737"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11</xdr:col>
      <xdr:colOff>0</xdr:colOff>
      <xdr:row>284</xdr:row>
      <xdr:rowOff>0</xdr:rowOff>
    </xdr:from>
    <xdr:to>
      <xdr:col>22</xdr:col>
      <xdr:colOff>297403</xdr:colOff>
      <xdr:row>333</xdr:row>
      <xdr:rowOff>79130</xdr:rowOff>
    </xdr:to>
    <xdr:pic>
      <xdr:nvPicPr>
        <xdr:cNvPr id="6" name="Imagen 5">
          <a:extLst>
            <a:ext uri="{FF2B5EF4-FFF2-40B4-BE49-F238E27FC236}">
              <a16:creationId xmlns:a16="http://schemas.microsoft.com/office/drawing/2014/main" id="{00000000-0008-0000-2000-00000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0749643" y="45207115"/>
          <a:ext cx="8702430" cy="7772400"/>
        </a:xfrm>
        <a:prstGeom prst="rect">
          <a:avLst/>
        </a:prstGeom>
      </xdr:spPr>
    </xdr:pic>
    <xdr:clientData/>
  </xdr:twoCellAnchor>
  <xdr:twoCellAnchor editAs="oneCell">
    <xdr:from>
      <xdr:col>0</xdr:col>
      <xdr:colOff>546551</xdr:colOff>
      <xdr:row>11</xdr:row>
      <xdr:rowOff>62803</xdr:rowOff>
    </xdr:from>
    <xdr:to>
      <xdr:col>3</xdr:col>
      <xdr:colOff>905357</xdr:colOff>
      <xdr:row>43</xdr:row>
      <xdr:rowOff>125605</xdr:rowOff>
    </xdr:to>
    <xdr:pic>
      <xdr:nvPicPr>
        <xdr:cNvPr id="2" name="Imagen 1">
          <a:extLst>
            <a:ext uri="{FF2B5EF4-FFF2-40B4-BE49-F238E27FC236}">
              <a16:creationId xmlns:a16="http://schemas.microsoft.com/office/drawing/2014/main" id="{00000000-0008-0000-2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46551" y="2103874"/>
          <a:ext cx="3310509" cy="5086978"/>
        </a:xfrm>
        <a:prstGeom prst="rect">
          <a:avLst/>
        </a:prstGeom>
      </xdr:spPr>
    </xdr:pic>
    <xdr:clientData/>
  </xdr:twoCellAnchor>
  <xdr:twoCellAnchor editAs="oneCell">
    <xdr:from>
      <xdr:col>15</xdr:col>
      <xdr:colOff>626974</xdr:colOff>
      <xdr:row>11</xdr:row>
      <xdr:rowOff>20933</xdr:rowOff>
    </xdr:from>
    <xdr:to>
      <xdr:col>20</xdr:col>
      <xdr:colOff>117016</xdr:colOff>
      <xdr:row>43</xdr:row>
      <xdr:rowOff>83736</xdr:rowOff>
    </xdr:to>
    <xdr:pic>
      <xdr:nvPicPr>
        <xdr:cNvPr id="3" name="Imagen 2">
          <a:extLst>
            <a:ext uri="{FF2B5EF4-FFF2-40B4-BE49-F238E27FC236}">
              <a16:creationId xmlns:a16="http://schemas.microsoft.com/office/drawing/2014/main" id="{00000000-0008-0000-2000-000003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4432990" y="2062004"/>
          <a:ext cx="3310510" cy="5086979"/>
        </a:xfrm>
        <a:prstGeom prst="rect">
          <a:avLst/>
        </a:prstGeom>
      </xdr:spPr>
    </xdr:pic>
    <xdr:clientData/>
  </xdr:twoCellAnchor>
  <xdr:twoCellAnchor editAs="oneCell">
    <xdr:from>
      <xdr:col>10</xdr:col>
      <xdr:colOff>54300</xdr:colOff>
      <xdr:row>11</xdr:row>
      <xdr:rowOff>83736</xdr:rowOff>
    </xdr:from>
    <xdr:to>
      <xdr:col>13</xdr:col>
      <xdr:colOff>461941</xdr:colOff>
      <xdr:row>43</xdr:row>
      <xdr:rowOff>104670</xdr:rowOff>
    </xdr:to>
    <xdr:pic>
      <xdr:nvPicPr>
        <xdr:cNvPr id="5" name="Imagen 4">
          <a:extLst>
            <a:ext uri="{FF2B5EF4-FFF2-40B4-BE49-F238E27FC236}">
              <a16:creationId xmlns:a16="http://schemas.microsoft.com/office/drawing/2014/main" id="{00000000-0008-0000-2000-000005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0039849" y="2124807"/>
          <a:ext cx="2699922" cy="5045110"/>
        </a:xfrm>
        <a:prstGeom prst="rect">
          <a:avLst/>
        </a:prstGeom>
      </xdr:spPr>
    </xdr:pic>
    <xdr:clientData/>
  </xdr:twoCellAnchor>
  <xdr:twoCellAnchor editAs="oneCell">
    <xdr:from>
      <xdr:col>4</xdr:col>
      <xdr:colOff>324477</xdr:colOff>
      <xdr:row>27</xdr:row>
      <xdr:rowOff>72295</xdr:rowOff>
    </xdr:from>
    <xdr:to>
      <xdr:col>8</xdr:col>
      <xdr:colOff>397747</xdr:colOff>
      <xdr:row>43</xdr:row>
      <xdr:rowOff>62802</xdr:rowOff>
    </xdr:to>
    <xdr:pic>
      <xdr:nvPicPr>
        <xdr:cNvPr id="18" name="Imagen 17">
          <a:extLst>
            <a:ext uri="{FF2B5EF4-FFF2-40B4-BE49-F238E27FC236}">
              <a16:creationId xmlns:a16="http://schemas.microsoft.com/office/drawing/2014/main" id="{00000000-0008-0000-2000-000012000000}"/>
            </a:ext>
          </a:extLst>
        </xdr:cNvPr>
        <xdr:cNvPicPr>
          <a:picLocks noChangeAspect="1"/>
        </xdr:cNvPicPr>
      </xdr:nvPicPr>
      <xdr:blipFill rotWithShape="1">
        <a:blip xmlns:r="http://schemas.openxmlformats.org/officeDocument/2006/relationships" r:embed="rId5" cstate="print">
          <a:extLst>
            <a:ext uri="{28A0092B-C50C-407E-A947-70E740481C1C}">
              <a14:useLocalDpi xmlns:a14="http://schemas.microsoft.com/office/drawing/2010/main" val="0"/>
            </a:ext>
          </a:extLst>
        </a:blip>
        <a:srcRect t="3119" b="8197"/>
        <a:stretch/>
      </xdr:blipFill>
      <xdr:spPr>
        <a:xfrm>
          <a:off x="4898570" y="4625454"/>
          <a:ext cx="4008875" cy="2502595"/>
        </a:xfrm>
        <a:prstGeom prst="rect">
          <a:avLst/>
        </a:prstGeom>
      </xdr:spPr>
    </xdr:pic>
    <xdr:clientData/>
  </xdr:twoCellAnchor>
  <xdr:twoCellAnchor editAs="oneCell">
    <xdr:from>
      <xdr:col>4</xdr:col>
      <xdr:colOff>303543</xdr:colOff>
      <xdr:row>11</xdr:row>
      <xdr:rowOff>83738</xdr:rowOff>
    </xdr:from>
    <xdr:to>
      <xdr:col>8</xdr:col>
      <xdr:colOff>408213</xdr:colOff>
      <xdr:row>26</xdr:row>
      <xdr:rowOff>125604</xdr:rowOff>
    </xdr:to>
    <xdr:pic>
      <xdr:nvPicPr>
        <xdr:cNvPr id="30" name="Imagen 29">
          <a:extLst>
            <a:ext uri="{FF2B5EF4-FFF2-40B4-BE49-F238E27FC236}">
              <a16:creationId xmlns:a16="http://schemas.microsoft.com/office/drawing/2014/main" id="{00000000-0008-0000-2000-00001E000000}"/>
            </a:ext>
          </a:extLst>
        </xdr:cNvPr>
        <xdr:cNvPicPr>
          <a:picLocks noChangeAspect="1"/>
        </xdr:cNvPicPr>
      </xdr:nvPicPr>
      <xdr:blipFill rotWithShape="1">
        <a:blip xmlns:r="http://schemas.openxmlformats.org/officeDocument/2006/relationships" r:embed="rId6">
          <a:extLst>
            <a:ext uri="{28A0092B-C50C-407E-A947-70E740481C1C}">
              <a14:useLocalDpi xmlns:a14="http://schemas.microsoft.com/office/drawing/2010/main" val="0"/>
            </a:ext>
          </a:extLst>
        </a:blip>
        <a:srcRect t="3592"/>
        <a:stretch/>
      </xdr:blipFill>
      <xdr:spPr>
        <a:xfrm>
          <a:off x="4877636" y="2124809"/>
          <a:ext cx="4040275" cy="2396949"/>
        </a:xfrm>
        <a:prstGeom prst="rect">
          <a:avLst/>
        </a:prstGeom>
      </xdr:spPr>
    </xdr:pic>
    <xdr:clientData/>
  </xdr:twoCellAnchor>
  <xdr:twoCellAnchor editAs="oneCell">
    <xdr:from>
      <xdr:col>4</xdr:col>
      <xdr:colOff>31402</xdr:colOff>
      <xdr:row>55</xdr:row>
      <xdr:rowOff>104672</xdr:rowOff>
    </xdr:from>
    <xdr:to>
      <xdr:col>6</xdr:col>
      <xdr:colOff>172316</xdr:colOff>
      <xdr:row>73</xdr:row>
      <xdr:rowOff>20935</xdr:rowOff>
    </xdr:to>
    <xdr:pic>
      <xdr:nvPicPr>
        <xdr:cNvPr id="33" name="Imagen 32">
          <a:extLst>
            <a:ext uri="{FF2B5EF4-FFF2-40B4-BE49-F238E27FC236}">
              <a16:creationId xmlns:a16="http://schemas.microsoft.com/office/drawing/2014/main" id="{00000000-0008-0000-2000-000021000000}"/>
            </a:ext>
          </a:extLst>
        </xdr:cNvPr>
        <xdr:cNvPicPr>
          <a:picLocks noChangeAspect="1"/>
        </xdr:cNvPicPr>
      </xdr:nvPicPr>
      <xdr:blipFill rotWithShape="1">
        <a:blip xmlns:r="http://schemas.openxmlformats.org/officeDocument/2006/relationships" r:embed="rId7" cstate="print">
          <a:extLst>
            <a:ext uri="{28A0092B-C50C-407E-A947-70E740481C1C}">
              <a14:useLocalDpi xmlns:a14="http://schemas.microsoft.com/office/drawing/2010/main" val="0"/>
            </a:ext>
          </a:extLst>
        </a:blip>
        <a:srcRect l="-2353" t="12756" r="929" b="7587"/>
        <a:stretch/>
      </xdr:blipFill>
      <xdr:spPr>
        <a:xfrm>
          <a:off x="4605495" y="9347062"/>
          <a:ext cx="2108717" cy="2742362"/>
        </a:xfrm>
        <a:prstGeom prst="rect">
          <a:avLst/>
        </a:prstGeom>
      </xdr:spPr>
    </xdr:pic>
    <xdr:clientData/>
  </xdr:twoCellAnchor>
  <xdr:twoCellAnchor editAs="oneCell">
    <xdr:from>
      <xdr:col>5</xdr:col>
      <xdr:colOff>952499</xdr:colOff>
      <xdr:row>63</xdr:row>
      <xdr:rowOff>125606</xdr:rowOff>
    </xdr:from>
    <xdr:to>
      <xdr:col>8</xdr:col>
      <xdr:colOff>648956</xdr:colOff>
      <xdr:row>87</xdr:row>
      <xdr:rowOff>103651</xdr:rowOff>
    </xdr:to>
    <xdr:pic>
      <xdr:nvPicPr>
        <xdr:cNvPr id="36" name="Imagen 35">
          <a:extLst>
            <a:ext uri="{FF2B5EF4-FFF2-40B4-BE49-F238E27FC236}">
              <a16:creationId xmlns:a16="http://schemas.microsoft.com/office/drawing/2014/main" id="{00000000-0008-0000-2000-000024000000}"/>
            </a:ext>
          </a:extLst>
        </xdr:cNvPr>
        <xdr:cNvPicPr>
          <a:picLocks noChangeAspect="1"/>
        </xdr:cNvPicPr>
      </xdr:nvPicPr>
      <xdr:blipFill rotWithShape="1">
        <a:blip xmlns:r="http://schemas.openxmlformats.org/officeDocument/2006/relationships" r:embed="rId8" cstate="print">
          <a:extLst>
            <a:ext uri="{28A0092B-C50C-407E-A947-70E740481C1C}">
              <a14:useLocalDpi xmlns:a14="http://schemas.microsoft.com/office/drawing/2010/main" val="0"/>
            </a:ext>
          </a:extLst>
        </a:blip>
        <a:srcRect l="-424" t="10158" r="516" b="18734"/>
        <a:stretch/>
      </xdr:blipFill>
      <xdr:spPr>
        <a:xfrm>
          <a:off x="6510494" y="10624040"/>
          <a:ext cx="2648160" cy="3746177"/>
        </a:xfrm>
        <a:prstGeom prst="rect">
          <a:avLst/>
        </a:prstGeom>
      </xdr:spPr>
    </xdr:pic>
    <xdr:clientData/>
  </xdr:twoCellAnchor>
  <xdr:twoCellAnchor editAs="oneCell">
    <xdr:from>
      <xdr:col>16</xdr:col>
      <xdr:colOff>418680</xdr:colOff>
      <xdr:row>55</xdr:row>
      <xdr:rowOff>85367</xdr:rowOff>
    </xdr:from>
    <xdr:to>
      <xdr:col>19</xdr:col>
      <xdr:colOff>711757</xdr:colOff>
      <xdr:row>87</xdr:row>
      <xdr:rowOff>128966</xdr:rowOff>
    </xdr:to>
    <xdr:pic>
      <xdr:nvPicPr>
        <xdr:cNvPr id="37" name="Imagen 36">
          <a:extLst>
            <a:ext uri="{FF2B5EF4-FFF2-40B4-BE49-F238E27FC236}">
              <a16:creationId xmlns:a16="http://schemas.microsoft.com/office/drawing/2014/main" id="{00000000-0008-0000-2000-000025000000}"/>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14988790" y="9327757"/>
          <a:ext cx="2585357" cy="5067775"/>
        </a:xfrm>
        <a:prstGeom prst="rect">
          <a:avLst/>
        </a:prstGeom>
      </xdr:spPr>
    </xdr:pic>
    <xdr:clientData/>
  </xdr:twoCellAnchor>
  <xdr:twoCellAnchor editAs="oneCell">
    <xdr:from>
      <xdr:col>0</xdr:col>
      <xdr:colOff>523351</xdr:colOff>
      <xdr:row>55</xdr:row>
      <xdr:rowOff>29156</xdr:rowOff>
    </xdr:from>
    <xdr:to>
      <xdr:col>3</xdr:col>
      <xdr:colOff>634017</xdr:colOff>
      <xdr:row>87</xdr:row>
      <xdr:rowOff>135651</xdr:rowOff>
    </xdr:to>
    <xdr:pic>
      <xdr:nvPicPr>
        <xdr:cNvPr id="42" name="Imagen 41">
          <a:extLst>
            <a:ext uri="{FF2B5EF4-FFF2-40B4-BE49-F238E27FC236}">
              <a16:creationId xmlns:a16="http://schemas.microsoft.com/office/drawing/2014/main" id="{00000000-0008-0000-2000-00002A000000}"/>
            </a:ext>
          </a:extLst>
        </xdr:cNvPr>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523351" y="9271546"/>
          <a:ext cx="3062369" cy="5130671"/>
        </a:xfrm>
        <a:prstGeom prst="rect">
          <a:avLst/>
        </a:prstGeom>
      </xdr:spPr>
    </xdr:pic>
    <xdr:clientData/>
  </xdr:twoCellAnchor>
  <xdr:twoCellAnchor editAs="oneCell">
    <xdr:from>
      <xdr:col>9</xdr:col>
      <xdr:colOff>579937</xdr:colOff>
      <xdr:row>55</xdr:row>
      <xdr:rowOff>52335</xdr:rowOff>
    </xdr:from>
    <xdr:to>
      <xdr:col>14</xdr:col>
      <xdr:colOff>38431</xdr:colOff>
      <xdr:row>87</xdr:row>
      <xdr:rowOff>146538</xdr:rowOff>
    </xdr:to>
    <xdr:pic>
      <xdr:nvPicPr>
        <xdr:cNvPr id="43" name="Imagen 42">
          <a:extLst>
            <a:ext uri="{FF2B5EF4-FFF2-40B4-BE49-F238E27FC236}">
              <a16:creationId xmlns:a16="http://schemas.microsoft.com/office/drawing/2014/main" id="{00000000-0008-0000-2000-00002B000000}"/>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9801393" y="9294725"/>
          <a:ext cx="3278961" cy="5118379"/>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xdr:twoCellAnchor>
    <xdr:from>
      <xdr:col>4</xdr:col>
      <xdr:colOff>200025</xdr:colOff>
      <xdr:row>10</xdr:row>
      <xdr:rowOff>0</xdr:rowOff>
    </xdr:from>
    <xdr:to>
      <xdr:col>5</xdr:col>
      <xdr:colOff>533400</xdr:colOff>
      <xdr:row>10</xdr:row>
      <xdr:rowOff>0</xdr:rowOff>
    </xdr:to>
    <xdr:sp macro="" textlink="">
      <xdr:nvSpPr>
        <xdr:cNvPr id="14020" name="Line 2">
          <a:extLst>
            <a:ext uri="{FF2B5EF4-FFF2-40B4-BE49-F238E27FC236}">
              <a16:creationId xmlns:a16="http://schemas.microsoft.com/office/drawing/2014/main" id="{00000000-0008-0000-2100-0000C4360000}"/>
            </a:ext>
          </a:extLst>
        </xdr:cNvPr>
        <xdr:cNvSpPr>
          <a:spLocks noChangeShapeType="1"/>
        </xdr:cNvSpPr>
      </xdr:nvSpPr>
      <xdr:spPr bwMode="auto">
        <a:xfrm>
          <a:off x="2819400" y="2047875"/>
          <a:ext cx="215265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2</xdr:col>
          <xdr:colOff>38100</xdr:colOff>
          <xdr:row>3</xdr:row>
          <xdr:rowOff>114300</xdr:rowOff>
        </xdr:to>
        <xdr:sp macro="" textlink="">
          <xdr:nvSpPr>
            <xdr:cNvPr id="13313" name="Imagen 1" hidden="1">
              <a:extLst>
                <a:ext uri="{63B3BB69-23CF-44E3-9099-C40C66FF867C}">
                  <a14:compatExt spid="_x0000_s13313"/>
                </a:ext>
                <a:ext uri="{FF2B5EF4-FFF2-40B4-BE49-F238E27FC236}">
                  <a16:creationId xmlns:a16="http://schemas.microsoft.com/office/drawing/2014/main" id="{00000000-0008-0000-2100-00000134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xdr:twoCellAnchor>
    <xdr:from>
      <xdr:col>11</xdr:col>
      <xdr:colOff>323850</xdr:colOff>
      <xdr:row>10</xdr:row>
      <xdr:rowOff>0</xdr:rowOff>
    </xdr:from>
    <xdr:to>
      <xdr:col>12</xdr:col>
      <xdr:colOff>657225</xdr:colOff>
      <xdr:row>10</xdr:row>
      <xdr:rowOff>0</xdr:rowOff>
    </xdr:to>
    <xdr:sp macro="" textlink="">
      <xdr:nvSpPr>
        <xdr:cNvPr id="14021" name="Line 2">
          <a:extLst>
            <a:ext uri="{FF2B5EF4-FFF2-40B4-BE49-F238E27FC236}">
              <a16:creationId xmlns:a16="http://schemas.microsoft.com/office/drawing/2014/main" id="{00000000-0008-0000-2100-0000C5360000}"/>
            </a:ext>
          </a:extLst>
        </xdr:cNvPr>
        <xdr:cNvSpPr>
          <a:spLocks noChangeShapeType="1"/>
        </xdr:cNvSpPr>
      </xdr:nvSpPr>
      <xdr:spPr bwMode="auto">
        <a:xfrm>
          <a:off x="9563100" y="2047875"/>
          <a:ext cx="215265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7</xdr:col>
          <xdr:colOff>0</xdr:colOff>
          <xdr:row>0</xdr:row>
          <xdr:rowOff>0</xdr:rowOff>
        </xdr:from>
        <xdr:to>
          <xdr:col>9</xdr:col>
          <xdr:colOff>38100</xdr:colOff>
          <xdr:row>3</xdr:row>
          <xdr:rowOff>114300</xdr:rowOff>
        </xdr:to>
        <xdr:sp macro="" textlink="">
          <xdr:nvSpPr>
            <xdr:cNvPr id="13685" name="Imagen 1" hidden="1">
              <a:extLst>
                <a:ext uri="{63B3BB69-23CF-44E3-9099-C40C66FF867C}">
                  <a14:compatExt spid="_x0000_s13685"/>
                </a:ext>
                <a:ext uri="{FF2B5EF4-FFF2-40B4-BE49-F238E27FC236}">
                  <a16:creationId xmlns:a16="http://schemas.microsoft.com/office/drawing/2014/main" id="{00000000-0008-0000-2100-00007535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xdr:wsDr>
</file>

<file path=xl/drawings/drawing21.xml><?xml version="1.0" encoding="utf-8"?>
<xdr:wsDr xmlns:xdr="http://schemas.openxmlformats.org/drawingml/2006/spreadsheetDrawing" xmlns:a="http://schemas.openxmlformats.org/drawingml/2006/main">
  <xdr:twoCellAnchor>
    <xdr:from>
      <xdr:col>4</xdr:col>
      <xdr:colOff>276225</xdr:colOff>
      <xdr:row>10</xdr:row>
      <xdr:rowOff>9525</xdr:rowOff>
    </xdr:from>
    <xdr:to>
      <xdr:col>5</xdr:col>
      <xdr:colOff>609600</xdr:colOff>
      <xdr:row>10</xdr:row>
      <xdr:rowOff>9525</xdr:rowOff>
    </xdr:to>
    <xdr:sp macro="" textlink="">
      <xdr:nvSpPr>
        <xdr:cNvPr id="768145" name="Line 2">
          <a:extLst>
            <a:ext uri="{FF2B5EF4-FFF2-40B4-BE49-F238E27FC236}">
              <a16:creationId xmlns:a16="http://schemas.microsoft.com/office/drawing/2014/main" id="{00000000-0008-0000-2200-000091B80B00}"/>
            </a:ext>
          </a:extLst>
        </xdr:cNvPr>
        <xdr:cNvSpPr>
          <a:spLocks noChangeShapeType="1"/>
        </xdr:cNvSpPr>
      </xdr:nvSpPr>
      <xdr:spPr bwMode="auto">
        <a:xfrm>
          <a:off x="2895600" y="2057400"/>
          <a:ext cx="215265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2</xdr:col>
          <xdr:colOff>38100</xdr:colOff>
          <xdr:row>3</xdr:row>
          <xdr:rowOff>114300</xdr:rowOff>
        </xdr:to>
        <xdr:sp macro="" textlink="">
          <xdr:nvSpPr>
            <xdr:cNvPr id="47105" name="Imagen 1" hidden="1">
              <a:extLst>
                <a:ext uri="{63B3BB69-23CF-44E3-9099-C40C66FF867C}">
                  <a14:compatExt spid="_x0000_s47105"/>
                </a:ext>
                <a:ext uri="{FF2B5EF4-FFF2-40B4-BE49-F238E27FC236}">
                  <a16:creationId xmlns:a16="http://schemas.microsoft.com/office/drawing/2014/main" id="{00000000-0008-0000-2200-000001B8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xdr:twoCellAnchor>
    <xdr:from>
      <xdr:col>0</xdr:col>
      <xdr:colOff>0</xdr:colOff>
      <xdr:row>11</xdr:row>
      <xdr:rowOff>9525</xdr:rowOff>
    </xdr:from>
    <xdr:to>
      <xdr:col>6</xdr:col>
      <xdr:colOff>761999</xdr:colOff>
      <xdr:row>26</xdr:row>
      <xdr:rowOff>11075</xdr:rowOff>
    </xdr:to>
    <xdr:sp macro="" textlink="">
      <xdr:nvSpPr>
        <xdr:cNvPr id="19" name="CuadroTexto 18">
          <a:extLst>
            <a:ext uri="{FF2B5EF4-FFF2-40B4-BE49-F238E27FC236}">
              <a16:creationId xmlns:a16="http://schemas.microsoft.com/office/drawing/2014/main" id="{00000000-0008-0000-2200-000013000000}"/>
            </a:ext>
          </a:extLst>
        </xdr:cNvPr>
        <xdr:cNvSpPr txBox="1"/>
      </xdr:nvSpPr>
      <xdr:spPr>
        <a:xfrm>
          <a:off x="0" y="2257868"/>
          <a:ext cx="6620982" cy="300303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s-ES" sz="1100" b="1">
              <a:solidFill>
                <a:schemeClr val="dk1"/>
              </a:solidFill>
              <a:effectLst/>
              <a:latin typeface="+mn-lt"/>
              <a:ea typeface="+mn-ea"/>
              <a:cs typeface="+mn-cs"/>
            </a:rPr>
            <a:t>CIUDAD Y FECHA:</a:t>
          </a:r>
          <a:r>
            <a:rPr lang="es-ES" sz="1100">
              <a:solidFill>
                <a:schemeClr val="dk1"/>
              </a:solidFill>
              <a:effectLst/>
              <a:latin typeface="+mn-lt"/>
              <a:ea typeface="+mn-ea"/>
              <a:cs typeface="+mn-cs"/>
            </a:rPr>
            <a:t> LA UNIÓN ANTIOQUIA, 30 DE ENERO DE 2023</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b="1">
              <a:solidFill>
                <a:schemeClr val="dk1"/>
              </a:solidFill>
              <a:effectLst/>
              <a:latin typeface="+mn-lt"/>
              <a:ea typeface="+mn-ea"/>
              <a:cs typeface="+mn-cs"/>
            </a:rPr>
            <a:t>CONTRATO: </a:t>
          </a:r>
          <a:r>
            <a:rPr lang="es-ES" sz="1100">
              <a:solidFill>
                <a:schemeClr val="dk1"/>
              </a:solidFill>
              <a:effectLst/>
              <a:latin typeface="+mn-lt"/>
              <a:ea typeface="+mn-ea"/>
              <a:cs typeface="+mn-cs"/>
            </a:rPr>
            <a:t>NO. 2461 DE 2019</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b="1">
              <a:solidFill>
                <a:schemeClr val="dk1"/>
              </a:solidFill>
              <a:effectLst/>
              <a:latin typeface="+mn-lt"/>
              <a:ea typeface="+mn-ea"/>
              <a:cs typeface="+mn-cs"/>
            </a:rPr>
            <a:t>NOMBRE DEL ADMINISTRADOR VÍAL: </a:t>
          </a:r>
          <a:r>
            <a:rPr lang="es-ES" sz="1100">
              <a:solidFill>
                <a:schemeClr val="dk1"/>
              </a:solidFill>
              <a:effectLst/>
              <a:latin typeface="+mn-lt"/>
              <a:ea typeface="+mn-ea"/>
              <a:cs typeface="+mn-cs"/>
            </a:rPr>
            <a:t>ARA INGENIERÍA S.A.S</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b="1">
              <a:solidFill>
                <a:schemeClr val="dk1"/>
              </a:solidFill>
              <a:effectLst/>
              <a:latin typeface="+mn-lt"/>
              <a:ea typeface="+mn-ea"/>
              <a:cs typeface="+mn-cs"/>
            </a:rPr>
            <a:t>NOMBRE DEL GESTOR TÉCNICO DEL CONTRATO: </a:t>
          </a:r>
          <a:r>
            <a:rPr lang="es-ES" sz="1100">
              <a:solidFill>
                <a:schemeClr val="dk1"/>
              </a:solidFill>
              <a:effectLst/>
              <a:latin typeface="+mn-lt"/>
              <a:ea typeface="+mn-ea"/>
              <a:cs typeface="+mn-cs"/>
            </a:rPr>
            <a:t>ING</a:t>
          </a:r>
          <a:r>
            <a:rPr lang="es-ES" sz="1100" b="1">
              <a:solidFill>
                <a:schemeClr val="dk1"/>
              </a:solidFill>
              <a:effectLst/>
              <a:latin typeface="+mn-lt"/>
              <a:ea typeface="+mn-ea"/>
              <a:cs typeface="+mn-cs"/>
            </a:rPr>
            <a:t>. </a:t>
          </a:r>
          <a:r>
            <a:rPr lang="es-ES" sz="1100">
              <a:solidFill>
                <a:schemeClr val="dk1"/>
              </a:solidFill>
              <a:effectLst/>
              <a:latin typeface="+mn-lt"/>
              <a:ea typeface="+mn-ea"/>
              <a:cs typeface="+mn-cs"/>
            </a:rPr>
            <a:t>JAIME PINEDA ESPINOSA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EN EL MUNICIPIO DE LA UNIÓN ANTIOQUIA, ACTA A LOS TREINTA (30) DÍAS DEL MES DE ENERO DE 2023, SE REUNIERON LOS INTEGRANTES DE LA MICROEMPRESA DE MANTENIMIENTO RUTINARIO DE LAS VÍAS A CARGO DEL INSTITUTO NACIONAL DE VÍAS, DIRECCIÓN TERRITORIAL ANTIOQUIA: VIAS DE ORIENTE S.A.S CON EL INGENIERO RESIDENTE CARLOS MARIO MORENO, CON EL FIN DE REALIZAR LA </a:t>
          </a:r>
          <a:r>
            <a:rPr lang="es-ES" sz="1100" b="1">
              <a:solidFill>
                <a:schemeClr val="dk1"/>
              </a:solidFill>
              <a:effectLst/>
              <a:latin typeface="+mn-lt"/>
              <a:ea typeface="+mn-ea"/>
              <a:cs typeface="+mn-cs"/>
            </a:rPr>
            <a:t>REINDUCCIÓN EN SEGURIDAD Y SALUD EN EL TRABAJO</a:t>
          </a:r>
          <a:r>
            <a:rPr lang="es-ES" sz="1100">
              <a:solidFill>
                <a:schemeClr val="dk1"/>
              </a:solidFill>
              <a:effectLst/>
              <a:latin typeface="+mn-lt"/>
              <a:ea typeface="+mn-ea"/>
              <a:cs typeface="+mn-cs"/>
            </a:rPr>
            <a:t>, COMO PARTE DEL SISTEMA DE GESTIÓN DE LA SEGURIDAD Y SALUD EN EL TRABAJO.</a:t>
          </a:r>
          <a:endParaRPr lang="es-CO" sz="1100">
            <a:solidFill>
              <a:schemeClr val="dk1"/>
            </a:solidFill>
            <a:effectLst/>
            <a:latin typeface="+mn-lt"/>
            <a:ea typeface="+mn-ea"/>
            <a:cs typeface="+mn-cs"/>
          </a:endParaRPr>
        </a:p>
      </xdr:txBody>
    </xdr:sp>
    <xdr:clientData/>
  </xdr:twoCellAnchor>
  <xdr:twoCellAnchor>
    <xdr:from>
      <xdr:col>0</xdr:col>
      <xdr:colOff>69133</xdr:colOff>
      <xdr:row>108</xdr:row>
      <xdr:rowOff>9525</xdr:rowOff>
    </xdr:from>
    <xdr:to>
      <xdr:col>6</xdr:col>
      <xdr:colOff>790575</xdr:colOff>
      <xdr:row>126</xdr:row>
      <xdr:rowOff>145947</xdr:rowOff>
    </xdr:to>
    <xdr:sp macro="" textlink="">
      <xdr:nvSpPr>
        <xdr:cNvPr id="20" name="CuadroTexto 19">
          <a:extLst>
            <a:ext uri="{FF2B5EF4-FFF2-40B4-BE49-F238E27FC236}">
              <a16:creationId xmlns:a16="http://schemas.microsoft.com/office/drawing/2014/main" id="{00000000-0008-0000-2200-000014000000}"/>
            </a:ext>
          </a:extLst>
        </xdr:cNvPr>
        <xdr:cNvSpPr txBox="1"/>
      </xdr:nvSpPr>
      <xdr:spPr>
        <a:xfrm>
          <a:off x="69133" y="18445009"/>
          <a:ext cx="6574708" cy="304001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s-ES" sz="1100" b="1">
              <a:solidFill>
                <a:schemeClr val="dk1"/>
              </a:solidFill>
              <a:effectLst/>
              <a:latin typeface="+mn-lt"/>
              <a:ea typeface="+mn-ea"/>
              <a:cs typeface="+mn-cs"/>
            </a:rPr>
            <a:t>ACTA DE CAPACITACIÓN</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CO" sz="1100" b="1" i="0" u="none" strike="noStrike" baseline="0">
              <a:solidFill>
                <a:schemeClr val="dk1"/>
              </a:solidFill>
              <a:latin typeface="+mn-lt"/>
              <a:ea typeface="+mn-ea"/>
              <a:cs typeface="+mn-cs"/>
            </a:rPr>
            <a:t>CIUDAD Y FECHA: </a:t>
          </a:r>
          <a:r>
            <a:rPr lang="es-CO" sz="1100" b="0" i="0" u="none" strike="noStrike" baseline="0">
              <a:solidFill>
                <a:schemeClr val="dk1"/>
              </a:solidFill>
              <a:latin typeface="+mn-lt"/>
              <a:ea typeface="+mn-ea"/>
              <a:cs typeface="+mn-cs"/>
            </a:rPr>
            <a:t>LA UNIÓN ANTIOQUIA, 28 DE FEBRERO DE 2023</a:t>
          </a:r>
        </a:p>
        <a:p>
          <a:r>
            <a:rPr lang="es-CO" sz="1100" b="1" i="0" u="none" strike="noStrike" baseline="0">
              <a:solidFill>
                <a:schemeClr val="dk1"/>
              </a:solidFill>
              <a:latin typeface="+mn-lt"/>
              <a:ea typeface="+mn-ea"/>
              <a:cs typeface="+mn-cs"/>
            </a:rPr>
            <a:t>CONTRATO: </a:t>
          </a:r>
          <a:r>
            <a:rPr lang="es-CO" sz="1100" b="0" i="0" u="none" strike="noStrike" baseline="0">
              <a:solidFill>
                <a:schemeClr val="dk1"/>
              </a:solidFill>
              <a:latin typeface="+mn-lt"/>
              <a:ea typeface="+mn-ea"/>
              <a:cs typeface="+mn-cs"/>
            </a:rPr>
            <a:t>NO. 2461 DE 2019</a:t>
          </a:r>
        </a:p>
        <a:p>
          <a:r>
            <a:rPr lang="es-CO" sz="1100" b="1" i="0" u="none" strike="noStrike" baseline="0">
              <a:solidFill>
                <a:schemeClr val="dk1"/>
              </a:solidFill>
              <a:latin typeface="+mn-lt"/>
              <a:ea typeface="+mn-ea"/>
              <a:cs typeface="+mn-cs"/>
            </a:rPr>
            <a:t>NOMBRE DEL ADMINISTRADOR VÍAL: </a:t>
          </a:r>
          <a:r>
            <a:rPr lang="es-CO" sz="1100" b="0" i="0" u="none" strike="noStrike" baseline="0">
              <a:solidFill>
                <a:schemeClr val="dk1"/>
              </a:solidFill>
              <a:latin typeface="+mn-lt"/>
              <a:ea typeface="+mn-ea"/>
              <a:cs typeface="+mn-cs"/>
            </a:rPr>
            <a:t>ARA INGENIERÍA S.A.S</a:t>
          </a:r>
        </a:p>
        <a:p>
          <a:r>
            <a:rPr lang="es-CO" sz="1100" b="1" i="0" u="none" strike="noStrike" baseline="0">
              <a:solidFill>
                <a:schemeClr val="dk1"/>
              </a:solidFill>
              <a:latin typeface="+mn-lt"/>
              <a:ea typeface="+mn-ea"/>
              <a:cs typeface="+mn-cs"/>
            </a:rPr>
            <a:t>NOMBRE DEL GESTOR TÉCNICO DEL CONTRATO: </a:t>
          </a:r>
          <a:r>
            <a:rPr lang="es-CO" sz="1100" b="0" i="0" u="none" strike="noStrike" baseline="0">
              <a:solidFill>
                <a:schemeClr val="dk1"/>
              </a:solidFill>
              <a:latin typeface="+mn-lt"/>
              <a:ea typeface="+mn-ea"/>
              <a:cs typeface="+mn-cs"/>
            </a:rPr>
            <a:t>ING</a:t>
          </a:r>
          <a:r>
            <a:rPr lang="es-CO" sz="1100" b="1" i="0" u="none" strike="noStrike" baseline="0">
              <a:solidFill>
                <a:schemeClr val="dk1"/>
              </a:solidFill>
              <a:latin typeface="+mn-lt"/>
              <a:ea typeface="+mn-ea"/>
              <a:cs typeface="+mn-cs"/>
            </a:rPr>
            <a:t>. </a:t>
          </a:r>
          <a:r>
            <a:rPr lang="es-CO" sz="1100" b="0" i="0" u="none" strike="noStrike" baseline="0">
              <a:solidFill>
                <a:schemeClr val="dk1"/>
              </a:solidFill>
              <a:latin typeface="+mn-lt"/>
              <a:ea typeface="+mn-ea"/>
              <a:cs typeface="+mn-cs"/>
            </a:rPr>
            <a:t>JAIME PINEDA ESPINOSA</a:t>
          </a:r>
        </a:p>
        <a:p>
          <a:r>
            <a:rPr lang="es-CO" sz="1100" b="0" i="0" u="none" strike="noStrike" baseline="0">
              <a:solidFill>
                <a:schemeClr val="dk1"/>
              </a:solidFill>
              <a:latin typeface="+mn-lt"/>
              <a:ea typeface="+mn-ea"/>
              <a:cs typeface="+mn-cs"/>
            </a:rPr>
            <a:t>EN EL MUNICIPIO DE LA UNIÓN ANTIOQUIA, ACTA A LOS VEINTIOCHO (28) DÍAS DEL MES DE</a:t>
          </a:r>
        </a:p>
        <a:p>
          <a:r>
            <a:rPr lang="es-CO" sz="1100" b="0" i="0" u="none" strike="noStrike" baseline="0">
              <a:solidFill>
                <a:schemeClr val="dk1"/>
              </a:solidFill>
              <a:latin typeface="+mn-lt"/>
              <a:ea typeface="+mn-ea"/>
              <a:cs typeface="+mn-cs"/>
            </a:rPr>
            <a:t>FEBRERO DE 2023, SE REUNIERON LOS INTEGRANTES DE LA MICROEMPRESA DE</a:t>
          </a:r>
        </a:p>
        <a:p>
          <a:r>
            <a:rPr lang="es-CO" sz="1100" b="0" i="0" u="none" strike="noStrike" baseline="0">
              <a:solidFill>
                <a:schemeClr val="dk1"/>
              </a:solidFill>
              <a:latin typeface="+mn-lt"/>
              <a:ea typeface="+mn-ea"/>
              <a:cs typeface="+mn-cs"/>
            </a:rPr>
            <a:t>MANTENIMIENTO RUTINARIO DE LAS VÍAS A CARGO DEL INSTITUTO NACIONAL DE VÍAS,</a:t>
          </a:r>
        </a:p>
        <a:p>
          <a:r>
            <a:rPr lang="es-CO" sz="1100" b="0" i="0" u="none" strike="noStrike" baseline="0">
              <a:solidFill>
                <a:schemeClr val="dk1"/>
              </a:solidFill>
              <a:latin typeface="+mn-lt"/>
              <a:ea typeface="+mn-ea"/>
              <a:cs typeface="+mn-cs"/>
            </a:rPr>
            <a:t>DIRECCIÓN TERRITORIAL ANTIOQUIA: VIAS DE ORIENTE S.A.S CON EL INGENIERO RESIDENTE</a:t>
          </a:r>
        </a:p>
        <a:p>
          <a:r>
            <a:rPr lang="es-CO" sz="1100" b="0" i="0" u="none" strike="noStrike" baseline="0">
              <a:solidFill>
                <a:schemeClr val="dk1"/>
              </a:solidFill>
              <a:latin typeface="+mn-lt"/>
              <a:ea typeface="+mn-ea"/>
              <a:cs typeface="+mn-cs"/>
            </a:rPr>
            <a:t>CARLOS MARIO MORENO, CON EL FIN DE TRATAR LOS </a:t>
          </a:r>
          <a:r>
            <a:rPr lang="es-CO" sz="1100" b="1" i="0" u="none" strike="noStrike" baseline="0">
              <a:solidFill>
                <a:schemeClr val="dk1"/>
              </a:solidFill>
              <a:latin typeface="+mn-lt"/>
              <a:ea typeface="+mn-ea"/>
              <a:cs typeface="+mn-cs"/>
            </a:rPr>
            <a:t>ASPECTOS TÉCNICOS DE LA VÍA</a:t>
          </a:r>
          <a:r>
            <a:rPr lang="es-CO" sz="1100" b="0" i="0" u="none" strike="noStrike" baseline="0">
              <a:solidFill>
                <a:schemeClr val="dk1"/>
              </a:solidFill>
              <a:latin typeface="+mn-lt"/>
              <a:ea typeface="+mn-ea"/>
              <a:cs typeface="+mn-cs"/>
            </a:rPr>
            <a:t>.</a:t>
          </a:r>
          <a:endParaRPr lang="es-CO" sz="1100">
            <a:solidFill>
              <a:schemeClr val="dk1"/>
            </a:solidFill>
            <a:effectLst/>
            <a:latin typeface="+mn-lt"/>
            <a:ea typeface="+mn-ea"/>
            <a:cs typeface="+mn-cs"/>
          </a:endParaRPr>
        </a:p>
      </xdr:txBody>
    </xdr:sp>
    <xdr:clientData/>
  </xdr:twoCellAnchor>
  <xdr:twoCellAnchor>
    <xdr:from>
      <xdr:col>0</xdr:col>
      <xdr:colOff>0</xdr:colOff>
      <xdr:row>211</xdr:row>
      <xdr:rowOff>28575</xdr:rowOff>
    </xdr:from>
    <xdr:to>
      <xdr:col>6</xdr:col>
      <xdr:colOff>753138</xdr:colOff>
      <xdr:row>226</xdr:row>
      <xdr:rowOff>99680</xdr:rowOff>
    </xdr:to>
    <xdr:sp macro="" textlink="">
      <xdr:nvSpPr>
        <xdr:cNvPr id="21" name="CuadroTexto 20">
          <a:extLst>
            <a:ext uri="{FF2B5EF4-FFF2-40B4-BE49-F238E27FC236}">
              <a16:creationId xmlns:a16="http://schemas.microsoft.com/office/drawing/2014/main" id="{00000000-0008-0000-2200-000015000000}"/>
            </a:ext>
          </a:extLst>
        </xdr:cNvPr>
        <xdr:cNvSpPr txBox="1"/>
      </xdr:nvSpPr>
      <xdr:spPr>
        <a:xfrm>
          <a:off x="0" y="36101744"/>
          <a:ext cx="6612121" cy="281784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s-ES" sz="1100" b="1">
              <a:solidFill>
                <a:schemeClr val="dk1"/>
              </a:solidFill>
              <a:effectLst/>
              <a:latin typeface="+mn-lt"/>
              <a:ea typeface="+mn-ea"/>
              <a:cs typeface="+mn-cs"/>
            </a:rPr>
            <a:t>ACTA DE CAPACITACIÓN</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CO" sz="1100" b="1">
              <a:solidFill>
                <a:schemeClr val="dk1"/>
              </a:solidFill>
              <a:latin typeface="+mn-lt"/>
              <a:ea typeface="+mn-ea"/>
              <a:cs typeface="+mn-cs"/>
            </a:rPr>
            <a:t>CIUDAD Y FECHA: LA UNIÓN ANTIOQUIA, 14 DE MARZO DE 2023</a:t>
          </a:r>
        </a:p>
        <a:p>
          <a:endParaRPr lang="es-CO" sz="1100">
            <a:solidFill>
              <a:schemeClr val="dk1"/>
            </a:solidFill>
            <a:latin typeface="+mn-lt"/>
            <a:ea typeface="+mn-ea"/>
            <a:cs typeface="+mn-cs"/>
          </a:endParaRPr>
        </a:p>
        <a:p>
          <a:r>
            <a:rPr lang="es-CO" sz="1100" b="1">
              <a:solidFill>
                <a:schemeClr val="dk1"/>
              </a:solidFill>
              <a:latin typeface="+mn-lt"/>
              <a:ea typeface="+mn-ea"/>
              <a:cs typeface="+mn-cs"/>
            </a:rPr>
            <a:t>CONTRATO: NO. 2461 DE 2019</a:t>
          </a:r>
        </a:p>
        <a:p>
          <a:endParaRPr lang="es-CO" sz="1100">
            <a:solidFill>
              <a:schemeClr val="dk1"/>
            </a:solidFill>
            <a:latin typeface="+mn-lt"/>
            <a:ea typeface="+mn-ea"/>
            <a:cs typeface="+mn-cs"/>
          </a:endParaRPr>
        </a:p>
        <a:p>
          <a:r>
            <a:rPr lang="es-CO" sz="1100" b="1">
              <a:solidFill>
                <a:schemeClr val="dk1"/>
              </a:solidFill>
              <a:latin typeface="+mn-lt"/>
              <a:ea typeface="+mn-ea"/>
              <a:cs typeface="+mn-cs"/>
            </a:rPr>
            <a:t>NOMBRE DEL ADMINISTRADOR VÍAL: ARA INGENIERÍA S.A.S</a:t>
          </a:r>
        </a:p>
        <a:p>
          <a:endParaRPr lang="es-CO" sz="1100">
            <a:solidFill>
              <a:schemeClr val="dk1"/>
            </a:solidFill>
            <a:latin typeface="+mn-lt"/>
            <a:ea typeface="+mn-ea"/>
            <a:cs typeface="+mn-cs"/>
          </a:endParaRPr>
        </a:p>
        <a:p>
          <a:r>
            <a:rPr lang="es-CO" sz="1100" b="1">
              <a:solidFill>
                <a:schemeClr val="dk1"/>
              </a:solidFill>
              <a:latin typeface="+mn-lt"/>
              <a:ea typeface="+mn-ea"/>
              <a:cs typeface="+mn-cs"/>
            </a:rPr>
            <a:t>NOMBRE DEL GESTOR TÉCNICO DEL CONTRATO: ING. JAIME PINEDA ESPINOSA </a:t>
          </a:r>
        </a:p>
        <a:p>
          <a:endParaRPr lang="es-CO" sz="1100">
            <a:solidFill>
              <a:schemeClr val="dk1"/>
            </a:solidFill>
            <a:latin typeface="+mn-lt"/>
            <a:ea typeface="+mn-ea"/>
            <a:cs typeface="+mn-cs"/>
          </a:endParaRPr>
        </a:p>
        <a:p>
          <a:endParaRPr lang="es-CO" sz="1100">
            <a:solidFill>
              <a:schemeClr val="dk1"/>
            </a:solidFill>
            <a:latin typeface="+mn-lt"/>
            <a:ea typeface="+mn-ea"/>
            <a:cs typeface="+mn-cs"/>
          </a:endParaRPr>
        </a:p>
        <a:p>
          <a:r>
            <a:rPr lang="es-CO" sz="1100">
              <a:solidFill>
                <a:schemeClr val="dk1"/>
              </a:solidFill>
              <a:latin typeface="+mn-lt"/>
              <a:ea typeface="+mn-ea"/>
              <a:cs typeface="+mn-cs"/>
            </a:rPr>
            <a:t>EN EL MUNICIPIO DE LA UNIÓN ANTIOQUIA, ACTA A LOS CATORCE (14) DÍAS DEL MES DE MARZO</a:t>
          </a:r>
        </a:p>
        <a:p>
          <a:r>
            <a:rPr lang="es-CO" sz="1100">
              <a:solidFill>
                <a:schemeClr val="dk1"/>
              </a:solidFill>
              <a:latin typeface="+mn-lt"/>
              <a:ea typeface="+mn-ea"/>
              <a:cs typeface="+mn-cs"/>
            </a:rPr>
            <a:t>DE 2023, SE REUNIERON LOS INTEGRANTES DE LA MICROEMPRESA DE MANTENIMIENTO</a:t>
          </a:r>
        </a:p>
        <a:p>
          <a:r>
            <a:rPr lang="es-CO" sz="1100">
              <a:solidFill>
                <a:schemeClr val="dk1"/>
              </a:solidFill>
              <a:latin typeface="+mn-lt"/>
              <a:ea typeface="+mn-ea"/>
              <a:cs typeface="+mn-cs"/>
            </a:rPr>
            <a:t>RUTINARIO DE LAS VÍAS A CARGO DEL INSTITUTO NACIONAL DE VÍAS, DIRECCIÓN TERRITORIAL</a:t>
          </a:r>
        </a:p>
        <a:p>
          <a:r>
            <a:rPr lang="es-CO" sz="1100">
              <a:solidFill>
                <a:schemeClr val="dk1"/>
              </a:solidFill>
              <a:latin typeface="+mn-lt"/>
              <a:ea typeface="+mn-ea"/>
              <a:cs typeface="+mn-cs"/>
            </a:rPr>
            <a:t>ANTIOQUIA: VIAS DE ORIENTE S.A.S CON EL INGENIERO RESIDENTE CARLOS MARIO MORENO,</a:t>
          </a:r>
        </a:p>
        <a:p>
          <a:r>
            <a:rPr lang="es-CO" sz="1100">
              <a:solidFill>
                <a:schemeClr val="dk1"/>
              </a:solidFill>
              <a:latin typeface="+mn-lt"/>
              <a:ea typeface="+mn-ea"/>
              <a:cs typeface="+mn-cs"/>
            </a:rPr>
            <a:t>CON EL FIN DE TRATAR </a:t>
          </a:r>
          <a:r>
            <a:rPr lang="es-CO" sz="1100" b="1">
              <a:solidFill>
                <a:schemeClr val="dk1"/>
              </a:solidFill>
              <a:latin typeface="+mn-lt"/>
              <a:ea typeface="+mn-ea"/>
              <a:cs typeface="+mn-cs"/>
            </a:rPr>
            <a:t>LA SISMOLOGÍA.</a:t>
          </a:r>
        </a:p>
      </xdr:txBody>
    </xdr:sp>
    <xdr:clientData/>
  </xdr:twoCellAnchor>
  <xdr:twoCellAnchor>
    <xdr:from>
      <xdr:col>0</xdr:col>
      <xdr:colOff>11075</xdr:colOff>
      <xdr:row>26</xdr:row>
      <xdr:rowOff>58699</xdr:rowOff>
    </xdr:from>
    <xdr:to>
      <xdr:col>6</xdr:col>
      <xdr:colOff>730988</xdr:colOff>
      <xdr:row>45</xdr:row>
      <xdr:rowOff>44302</xdr:rowOff>
    </xdr:to>
    <xdr:sp macro="" textlink="">
      <xdr:nvSpPr>
        <xdr:cNvPr id="2" name="CuadroTexto 1">
          <a:extLst>
            <a:ext uri="{FF2B5EF4-FFF2-40B4-BE49-F238E27FC236}">
              <a16:creationId xmlns:a16="http://schemas.microsoft.com/office/drawing/2014/main" id="{00000000-0008-0000-2200-000002000000}"/>
            </a:ext>
          </a:extLst>
        </xdr:cNvPr>
        <xdr:cNvSpPr txBox="1"/>
      </xdr:nvSpPr>
      <xdr:spPr>
        <a:xfrm>
          <a:off x="11075" y="5308525"/>
          <a:ext cx="6578896" cy="3142143"/>
        </a:xfrm>
        <a:prstGeom prst="rect">
          <a:avLst/>
        </a:prstGeom>
        <a:solidFill>
          <a:sysClr val="window" lastClr="FF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b="1" i="0" baseline="0">
              <a:solidFill>
                <a:schemeClr val="dk1"/>
              </a:solidFill>
              <a:effectLst/>
              <a:latin typeface="+mn-lt"/>
              <a:ea typeface="+mn-ea"/>
              <a:cs typeface="+mn-cs"/>
            </a:rPr>
            <a:t>RESUMEN: </a:t>
          </a:r>
          <a:r>
            <a:rPr lang="es-ES" sz="1100">
              <a:solidFill>
                <a:schemeClr val="dk1"/>
              </a:solidFill>
              <a:effectLst/>
              <a:latin typeface="+mn-lt"/>
              <a:ea typeface="+mn-ea"/>
              <a:cs typeface="+mn-cs"/>
            </a:rPr>
            <a:t>SE DIO INICIO TRATANDO QUE LA REINDUCCIÓN EN SST ES EL PROCESO MEDIANTE EL CUAL SE FORTALECE Y ACTUALIZA AL PERSONAL, FRENTE A LOS CAMBIOS GENERADOS EN PROCESOS, PROCEDIMIENTOS, NORMATIVIDAD, PLAN DE DESARROLLO, ENTRE OTROS; SE DEBE REALIZAR CADA AÑO, O CUANDO SE CONSIDERE PERTINENTE DE ACUERDO CON LAS NECESIDADES Y DINÁMICA INSTITUCIONAL.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ES POR LO ANTERIOR, QUE SE DIO ACTUALIZACIÓN LOS MICROEMPRESARIOS SOBRE LA POLÍTICA EN SST DE LA ORGANIZACIÓN, SEÑALIZACIÓN DE TRÁNSITO Y ACCIONES PREVENTIVAS.</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LOS RESULTADOS DE LA CAPACITACIÓN CON LOS MICROEMPRESARIOS FUERON SATISFACTORIOS. </a:t>
          </a:r>
          <a:endParaRPr lang="es-CO" sz="1100">
            <a:solidFill>
              <a:schemeClr val="dk1"/>
            </a:solidFill>
            <a:effectLst/>
            <a:latin typeface="+mn-lt"/>
            <a:ea typeface="+mn-ea"/>
            <a:cs typeface="+mn-cs"/>
          </a:endParaRPr>
        </a:p>
        <a:p>
          <a:r>
            <a:rPr lang="es-ES" sz="1100">
              <a:solidFill>
                <a:schemeClr val="dk1"/>
              </a:solidFill>
              <a:effectLst/>
              <a:latin typeface="+mn-lt"/>
              <a:ea typeface="+mn-ea"/>
              <a:cs typeface="+mn-cs"/>
            </a:rPr>
            <a:t> </a:t>
          </a:r>
          <a:r>
            <a:rPr lang="es-ES" sz="1100" b="1">
              <a:solidFill>
                <a:schemeClr val="dk1"/>
              </a:solidFill>
              <a:effectLst/>
              <a:latin typeface="+mn-lt"/>
              <a:ea typeface="+mn-ea"/>
              <a:cs typeface="+mn-cs"/>
            </a:rPr>
            <a:t> </a:t>
          </a:r>
          <a:r>
            <a:rPr lang="es-ES" sz="1100">
              <a:solidFill>
                <a:schemeClr val="dk1"/>
              </a:solidFill>
              <a:effectLst/>
              <a:latin typeface="+mn-lt"/>
              <a:ea typeface="+mn-ea"/>
              <a:cs typeface="+mn-cs"/>
            </a:rPr>
            <a:t> </a:t>
          </a:r>
          <a:endParaRPr lang="es-CO" sz="1100">
            <a:solidFill>
              <a:schemeClr val="dk1"/>
            </a:solidFill>
            <a:effectLst/>
            <a:latin typeface="+mn-lt"/>
            <a:ea typeface="+mn-ea"/>
            <a:cs typeface="+mn-cs"/>
          </a:endParaRPr>
        </a:p>
      </xdr:txBody>
    </xdr:sp>
    <xdr:clientData/>
  </xdr:twoCellAnchor>
  <xdr:twoCellAnchor>
    <xdr:from>
      <xdr:col>0</xdr:col>
      <xdr:colOff>76814</xdr:colOff>
      <xdr:row>127</xdr:row>
      <xdr:rowOff>55612</xdr:rowOff>
    </xdr:from>
    <xdr:to>
      <xdr:col>6</xdr:col>
      <xdr:colOff>752782</xdr:colOff>
      <xdr:row>144</xdr:row>
      <xdr:rowOff>138266</xdr:rowOff>
    </xdr:to>
    <xdr:sp macro="" textlink="">
      <xdr:nvSpPr>
        <xdr:cNvPr id="14" name="CuadroTexto 13">
          <a:extLst>
            <a:ext uri="{FF2B5EF4-FFF2-40B4-BE49-F238E27FC236}">
              <a16:creationId xmlns:a16="http://schemas.microsoft.com/office/drawing/2014/main" id="{00000000-0008-0000-2200-00000E000000}"/>
            </a:ext>
          </a:extLst>
        </xdr:cNvPr>
        <xdr:cNvSpPr txBox="1"/>
      </xdr:nvSpPr>
      <xdr:spPr>
        <a:xfrm>
          <a:off x="76814" y="21555995"/>
          <a:ext cx="6529234" cy="2824932"/>
        </a:xfrm>
        <a:prstGeom prst="rect">
          <a:avLst/>
        </a:prstGeom>
        <a:solidFill>
          <a:sysClr val="window" lastClr="FF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b="1" i="0" u="none" strike="noStrike" baseline="0">
              <a:solidFill>
                <a:schemeClr val="dk1"/>
              </a:solidFill>
              <a:latin typeface="+mn-lt"/>
              <a:ea typeface="+mn-ea"/>
              <a:cs typeface="+mn-cs"/>
            </a:rPr>
            <a:t>RESUMEN: </a:t>
          </a:r>
          <a:r>
            <a:rPr lang="es-CO" sz="1100" b="0" i="0" u="none" strike="noStrike" baseline="0">
              <a:solidFill>
                <a:schemeClr val="dk1"/>
              </a:solidFill>
              <a:latin typeface="+mn-lt"/>
              <a:ea typeface="+mn-ea"/>
              <a:cs typeface="+mn-cs"/>
            </a:rPr>
            <a:t>SE DIO INICIO TRATANDO QUE LOS </a:t>
          </a:r>
          <a:r>
            <a:rPr lang="es-CO" sz="1100" b="1" i="0" u="none" strike="noStrike" baseline="0">
              <a:solidFill>
                <a:schemeClr val="dk1"/>
              </a:solidFill>
              <a:latin typeface="+mn-lt"/>
              <a:ea typeface="+mn-ea"/>
              <a:cs typeface="+mn-cs"/>
            </a:rPr>
            <a:t>ASPECTOS TÉCNICOS DE LA VÍA</a:t>
          </a:r>
          <a:r>
            <a:rPr lang="es-CO" sz="1100" b="0" i="0" u="none" strike="noStrike" baseline="0">
              <a:solidFill>
                <a:schemeClr val="dk1"/>
              </a:solidFill>
              <a:latin typeface="+mn-lt"/>
              <a:ea typeface="+mn-ea"/>
              <a:cs typeface="+mn-cs"/>
            </a:rPr>
            <a:t>, CONSISTE EN CONSIDERAR</a:t>
          </a:r>
        </a:p>
        <a:p>
          <a:r>
            <a:rPr lang="es-CO" sz="1100" b="0" i="0" u="none" strike="noStrike" baseline="0">
              <a:solidFill>
                <a:schemeClr val="dk1"/>
              </a:solidFill>
              <a:latin typeface="+mn-lt"/>
              <a:ea typeface="+mn-ea"/>
              <a:cs typeface="+mn-cs"/>
            </a:rPr>
            <a:t>TODO LO QUE NECESITA UNA VÍA PARA SU ADECUADO FUNCIONAMIENTO., COMO LO SON LOS</a:t>
          </a:r>
        </a:p>
        <a:p>
          <a:r>
            <a:rPr lang="es-CO" sz="1100" b="0" i="0" u="none" strike="noStrike" baseline="0">
              <a:solidFill>
                <a:schemeClr val="dk1"/>
              </a:solidFill>
              <a:latin typeface="+mn-lt"/>
              <a:ea typeface="+mn-ea"/>
              <a:cs typeface="+mn-cs"/>
            </a:rPr>
            <a:t>CONCEPTOS GENERALES DE CALIDAD LA IMPORTANCIA DEL ENTORNO, QUE INFLUYEN EL</a:t>
          </a:r>
        </a:p>
        <a:p>
          <a:r>
            <a:rPr lang="es-CO" sz="1100" b="0" i="0" u="none" strike="noStrike" baseline="0">
              <a:solidFill>
                <a:schemeClr val="dk1"/>
              </a:solidFill>
              <a:latin typeface="+mn-lt"/>
              <a:ea typeface="+mn-ea"/>
              <a:cs typeface="+mn-cs"/>
            </a:rPr>
            <a:t>COMPORTAMIENTO DE LAS OBRAS VIALES, TAMBIÉN CONSIDERAR LOS RECURSOS QUE SE</a:t>
          </a:r>
        </a:p>
        <a:p>
          <a:r>
            <a:rPr lang="es-CO" sz="1100" b="0" i="0" u="none" strike="noStrike" baseline="0">
              <a:solidFill>
                <a:schemeClr val="dk1"/>
              </a:solidFill>
              <a:latin typeface="+mn-lt"/>
              <a:ea typeface="+mn-ea"/>
              <a:cs typeface="+mn-cs"/>
            </a:rPr>
            <a:t>NECESITAN PARA EL BUEN ESTADO DE LA VÍA, COMO EL TALENTO HUMANO, INSUMOS, EQUIPOS,</a:t>
          </a:r>
        </a:p>
        <a:p>
          <a:r>
            <a:rPr lang="es-CO" sz="1100" b="0" i="0" u="none" strike="noStrike" baseline="0">
              <a:solidFill>
                <a:schemeClr val="dk1"/>
              </a:solidFill>
              <a:latin typeface="+mn-lt"/>
              <a:ea typeface="+mn-ea"/>
              <a:cs typeface="+mn-cs"/>
            </a:rPr>
            <a:t>MAQUINARIAS Y VEHÍCULOS.</a:t>
          </a:r>
        </a:p>
        <a:p>
          <a:r>
            <a:rPr lang="es-CO" sz="1100" b="0" i="0" u="none" strike="noStrike" baseline="0">
              <a:solidFill>
                <a:schemeClr val="dk1"/>
              </a:solidFill>
              <a:latin typeface="+mn-lt"/>
              <a:ea typeface="+mn-ea"/>
              <a:cs typeface="+mn-cs"/>
            </a:rPr>
            <a:t>SE APROVECHÓ EL ESPACIO PARA TRATAR LA IMPORTANCIA DEL TRABAJO CONJUNTO, CON</a:t>
          </a:r>
        </a:p>
        <a:p>
          <a:r>
            <a:rPr lang="es-CO" sz="1100" b="0" i="0" u="none" strike="noStrike" baseline="0">
              <a:solidFill>
                <a:schemeClr val="dk1"/>
              </a:solidFill>
              <a:latin typeface="+mn-lt"/>
              <a:ea typeface="+mn-ea"/>
              <a:cs typeface="+mn-cs"/>
            </a:rPr>
            <a:t>TODOS LOS ASPECTOS QUE DEBEN CONSIDERARSE PARA EL DESARROLLO DE TRABAJOS EN LA</a:t>
          </a:r>
        </a:p>
        <a:p>
          <a:r>
            <a:rPr lang="es-CO" sz="1100" b="0" i="0" u="none" strike="noStrike" baseline="0">
              <a:solidFill>
                <a:schemeClr val="dk1"/>
              </a:solidFill>
              <a:latin typeface="+mn-lt"/>
              <a:ea typeface="+mn-ea"/>
              <a:cs typeface="+mn-cs"/>
            </a:rPr>
            <a:t>VÍA, COMO CONTAR CON EL AVAL DEL INVIAS, REPORTAR TODAS NOVEDADES QUE SURJAN EN</a:t>
          </a:r>
        </a:p>
        <a:p>
          <a:r>
            <a:rPr lang="es-CO" sz="1100" b="0" i="0" u="none" strike="noStrike" baseline="0">
              <a:solidFill>
                <a:schemeClr val="dk1"/>
              </a:solidFill>
              <a:latin typeface="+mn-lt"/>
              <a:ea typeface="+mn-ea"/>
              <a:cs typeface="+mn-cs"/>
            </a:rPr>
            <a:t>LA VÍA.</a:t>
          </a:r>
        </a:p>
        <a:p>
          <a:r>
            <a:rPr lang="es-CO" sz="1100" b="0" i="0" u="none" strike="noStrike" baseline="0">
              <a:solidFill>
                <a:schemeClr val="dk1"/>
              </a:solidFill>
              <a:latin typeface="+mn-lt"/>
              <a:ea typeface="+mn-ea"/>
              <a:cs typeface="+mn-cs"/>
            </a:rPr>
            <a:t>LOS RESULTADOS DE LA CAPACITACIÓN CON LOS MICROEMPRESARIOS FUERON</a:t>
          </a:r>
        </a:p>
        <a:p>
          <a:r>
            <a:rPr lang="es-CO" sz="1100" b="0" i="0" u="none" strike="noStrike" baseline="0">
              <a:solidFill>
                <a:schemeClr val="dk1"/>
              </a:solidFill>
              <a:latin typeface="+mn-lt"/>
              <a:ea typeface="+mn-ea"/>
              <a:cs typeface="+mn-cs"/>
            </a:rPr>
            <a:t>SATISFACTORIOS.</a:t>
          </a:r>
          <a:endParaRPr lang="es-CO" sz="1100">
            <a:solidFill>
              <a:schemeClr val="dk1"/>
            </a:solidFill>
            <a:effectLst/>
            <a:latin typeface="+mn-lt"/>
            <a:ea typeface="+mn-ea"/>
            <a:cs typeface="+mn-cs"/>
          </a:endParaRPr>
        </a:p>
      </xdr:txBody>
    </xdr:sp>
    <xdr:clientData/>
  </xdr:twoCellAnchor>
  <xdr:twoCellAnchor>
    <xdr:from>
      <xdr:col>0</xdr:col>
      <xdr:colOff>0</xdr:colOff>
      <xdr:row>226</xdr:row>
      <xdr:rowOff>143982</xdr:rowOff>
    </xdr:from>
    <xdr:to>
      <xdr:col>6</xdr:col>
      <xdr:colOff>786365</xdr:colOff>
      <xdr:row>242</xdr:row>
      <xdr:rowOff>143983</xdr:rowOff>
    </xdr:to>
    <xdr:sp macro="" textlink="">
      <xdr:nvSpPr>
        <xdr:cNvPr id="15" name="CuadroTexto 14">
          <a:extLst>
            <a:ext uri="{FF2B5EF4-FFF2-40B4-BE49-F238E27FC236}">
              <a16:creationId xmlns:a16="http://schemas.microsoft.com/office/drawing/2014/main" id="{00000000-0008-0000-2200-00000F000000}"/>
            </a:ext>
          </a:extLst>
        </xdr:cNvPr>
        <xdr:cNvSpPr txBox="1"/>
      </xdr:nvSpPr>
      <xdr:spPr>
        <a:xfrm>
          <a:off x="0" y="38963895"/>
          <a:ext cx="6645348" cy="2658140"/>
        </a:xfrm>
        <a:prstGeom prst="rect">
          <a:avLst/>
        </a:prstGeom>
        <a:solidFill>
          <a:sysClr val="window" lastClr="FFFFFF"/>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b="1">
              <a:solidFill>
                <a:schemeClr val="dk1"/>
              </a:solidFill>
              <a:effectLst/>
              <a:latin typeface="+mn-lt"/>
              <a:ea typeface="+mn-ea"/>
              <a:cs typeface="+mn-cs"/>
            </a:rPr>
            <a:t>RESUMEN</a:t>
          </a:r>
          <a:r>
            <a:rPr lang="es-CO" sz="1100">
              <a:solidFill>
                <a:schemeClr val="dk1"/>
              </a:solidFill>
              <a:latin typeface="+mn-lt"/>
              <a:ea typeface="+mn-ea"/>
              <a:cs typeface="+mn-cs"/>
            </a:rPr>
            <a:t>: SE DIO INICIO TRATANDO QUE LOS </a:t>
          </a:r>
          <a:r>
            <a:rPr lang="es-CO" sz="1100" b="1">
              <a:solidFill>
                <a:schemeClr val="dk1"/>
              </a:solidFill>
              <a:latin typeface="+mn-lt"/>
              <a:ea typeface="+mn-ea"/>
              <a:cs typeface="+mn-cs"/>
            </a:rPr>
            <a:t>SISMOS SON UNA SERIE DE VIBRACIONES DE LA SUPERFICIE</a:t>
          </a:r>
        </a:p>
        <a:p>
          <a:r>
            <a:rPr lang="es-CO" sz="1100">
              <a:solidFill>
                <a:schemeClr val="dk1"/>
              </a:solidFill>
              <a:latin typeface="+mn-lt"/>
              <a:ea typeface="+mn-ea"/>
              <a:cs typeface="+mn-cs"/>
            </a:rPr>
            <a:t>TERRESTRE GENERADAS POR UN MOVIMIENTO BRUSCO Y REPENTINO DE LAS CAPAS INTERNAS</a:t>
          </a:r>
        </a:p>
        <a:p>
          <a:r>
            <a:rPr lang="es-CO" sz="1100">
              <a:solidFill>
                <a:schemeClr val="dk1"/>
              </a:solidFill>
              <a:latin typeface="+mn-lt"/>
              <a:ea typeface="+mn-ea"/>
              <a:cs typeface="+mn-cs"/>
            </a:rPr>
            <a:t>(CORTEZA Y MANTO). LOS </a:t>
          </a:r>
          <a:r>
            <a:rPr lang="es-CO" sz="1100" b="1">
              <a:solidFill>
                <a:schemeClr val="dk1"/>
              </a:solidFill>
              <a:latin typeface="+mn-lt"/>
              <a:ea typeface="+mn-ea"/>
              <a:cs typeface="+mn-cs"/>
            </a:rPr>
            <a:t>TIPOS DE SISMOS SE DAN DEPENDIENDO DE LA PROFUNDIDAD DEL</a:t>
          </a:r>
        </a:p>
        <a:p>
          <a:r>
            <a:rPr lang="es-CO" sz="1100">
              <a:solidFill>
                <a:schemeClr val="dk1"/>
              </a:solidFill>
              <a:latin typeface="+mn-lt"/>
              <a:ea typeface="+mn-ea"/>
              <a:cs typeface="+mn-cs"/>
            </a:rPr>
            <a:t>FOCO DE LIBERACIÓN DE ENERGÍA DE UN TERREMOTO (HIPOCENTRO), ES QUE PODEMOS</a:t>
          </a:r>
        </a:p>
        <a:p>
          <a:r>
            <a:rPr lang="es-CO" sz="1100">
              <a:solidFill>
                <a:schemeClr val="dk1"/>
              </a:solidFill>
              <a:latin typeface="+mn-lt"/>
              <a:ea typeface="+mn-ea"/>
              <a:cs typeface="+mn-cs"/>
            </a:rPr>
            <a:t>CLASIFICARLOS EN TRES TIPOS; SUPERFICIALES -CON UN FOCO DE 70 KM DE PROFUNDIDAD-,</a:t>
          </a:r>
        </a:p>
        <a:p>
          <a:r>
            <a:rPr lang="es-CO" sz="1100">
              <a:solidFill>
                <a:schemeClr val="dk1"/>
              </a:solidFill>
              <a:latin typeface="+mn-lt"/>
              <a:ea typeface="+mn-ea"/>
              <a:cs typeface="+mn-cs"/>
            </a:rPr>
            <a:t>INTERMEDIOS –CON UNA PROFUNDIDAD DE ENTRE LOS 70 Y 300 KM- Y LOS PROFUNDOS, CON</a:t>
          </a:r>
        </a:p>
        <a:p>
          <a:r>
            <a:rPr lang="es-CO" sz="1100">
              <a:solidFill>
                <a:schemeClr val="dk1"/>
              </a:solidFill>
              <a:latin typeface="+mn-lt"/>
              <a:ea typeface="+mn-ea"/>
              <a:cs typeface="+mn-cs"/>
            </a:rPr>
            <a:t>MÁS DE 300 KM DE PROFUNDIDAD. </a:t>
          </a:r>
        </a:p>
        <a:p>
          <a:endParaRPr lang="es-CO" sz="1100">
            <a:solidFill>
              <a:schemeClr val="dk1"/>
            </a:solidFill>
            <a:latin typeface="+mn-lt"/>
            <a:ea typeface="+mn-ea"/>
            <a:cs typeface="+mn-cs"/>
          </a:endParaRPr>
        </a:p>
        <a:p>
          <a:r>
            <a:rPr lang="es-CO" sz="1100">
              <a:solidFill>
                <a:schemeClr val="dk1"/>
              </a:solidFill>
              <a:latin typeface="+mn-lt"/>
              <a:ea typeface="+mn-ea"/>
              <a:cs typeface="+mn-cs"/>
            </a:rPr>
            <a:t>SE APROVECHÓ EL ESPACIO PARA TRATAR LOS PROTOCOLOS EN CASO DE SISMOS, QUE PARTEN</a:t>
          </a:r>
        </a:p>
        <a:p>
          <a:r>
            <a:rPr lang="es-CO" sz="1100">
              <a:solidFill>
                <a:schemeClr val="dk1"/>
              </a:solidFill>
              <a:latin typeface="+mn-lt"/>
              <a:ea typeface="+mn-ea"/>
              <a:cs typeface="+mn-cs"/>
            </a:rPr>
            <a:t>DE CONSERVAR LA CALMA, DE ANALIZAR EL LUGAR A ESPERAR A QUE EL SISMO CESE COMO LO</a:t>
          </a:r>
        </a:p>
        <a:p>
          <a:r>
            <a:rPr lang="es-CO" sz="1100">
              <a:solidFill>
                <a:schemeClr val="dk1"/>
              </a:solidFill>
              <a:latin typeface="+mn-lt"/>
              <a:ea typeface="+mn-ea"/>
              <a:cs typeface="+mn-cs"/>
            </a:rPr>
            <a:t>SON LOS LUGARES ABIERTOS O ESQUINAS DONDE SE ESTÉ EN CONDICIONES SEGURAS. </a:t>
          </a:r>
        </a:p>
        <a:p>
          <a:endParaRPr lang="es-CO" sz="1100">
            <a:solidFill>
              <a:schemeClr val="dk1"/>
            </a:solidFill>
            <a:latin typeface="+mn-lt"/>
            <a:ea typeface="+mn-ea"/>
            <a:cs typeface="+mn-cs"/>
          </a:endParaRPr>
        </a:p>
        <a:p>
          <a:r>
            <a:rPr lang="es-CO" sz="1100">
              <a:solidFill>
                <a:schemeClr val="dk1"/>
              </a:solidFill>
              <a:latin typeface="+mn-lt"/>
              <a:ea typeface="+mn-ea"/>
              <a:cs typeface="+mn-cs"/>
            </a:rPr>
            <a:t>LOS RESULTADOS DE LA CAPACITACIÓN CON LOS MICROEMPRESARIOS FUERON</a:t>
          </a:r>
        </a:p>
        <a:p>
          <a:r>
            <a:rPr lang="es-CO" sz="1100">
              <a:solidFill>
                <a:schemeClr val="dk1"/>
              </a:solidFill>
              <a:latin typeface="+mn-lt"/>
              <a:ea typeface="+mn-ea"/>
              <a:cs typeface="+mn-cs"/>
            </a:rPr>
            <a:t>SATISFACTORIOS. </a:t>
          </a:r>
        </a:p>
        <a:p>
          <a:r>
            <a:rPr lang="es-CO" sz="1100">
              <a:solidFill>
                <a:schemeClr val="dk1"/>
              </a:solidFill>
              <a:latin typeface="+mn-lt"/>
              <a:ea typeface="+mn-ea"/>
              <a:cs typeface="+mn-cs"/>
            </a:rPr>
            <a:t> </a:t>
          </a:r>
          <a:r>
            <a:rPr lang="es-CO" sz="1100" b="1">
              <a:solidFill>
                <a:schemeClr val="dk1"/>
              </a:solidFill>
              <a:latin typeface="+mn-lt"/>
              <a:ea typeface="+mn-ea"/>
              <a:cs typeface="+mn-cs"/>
            </a:rPr>
            <a:t> </a:t>
          </a:r>
        </a:p>
        <a:p>
          <a:r>
            <a:rPr lang="es-CO" sz="1100">
              <a:solidFill>
                <a:schemeClr val="dk1"/>
              </a:solidFill>
              <a:latin typeface="+mn-lt"/>
              <a:ea typeface="+mn-ea"/>
              <a:cs typeface="+mn-cs"/>
            </a:rPr>
            <a:t>PARA CONSTANCIA SE FIRMA LA PRESENTE ACTA A LOS CATORCE (14) DÍAS DEL MES DE MARZO</a:t>
          </a:r>
        </a:p>
        <a:p>
          <a:r>
            <a:rPr lang="es-CO" sz="1100">
              <a:solidFill>
                <a:schemeClr val="dk1"/>
              </a:solidFill>
              <a:latin typeface="+mn-lt"/>
              <a:ea typeface="+mn-ea"/>
              <a:cs typeface="+mn-cs"/>
            </a:rPr>
            <a:t>DE 2023.</a:t>
          </a:r>
        </a:p>
        <a:p>
          <a:endParaRPr lang="es-CO">
            <a:effectLst/>
          </a:endParaRPr>
        </a:p>
        <a:p>
          <a:r>
            <a:rPr lang="es-ES" sz="1100">
              <a:solidFill>
                <a:schemeClr val="dk1"/>
              </a:solidFill>
              <a:effectLst/>
              <a:latin typeface="+mn-lt"/>
              <a:ea typeface="+mn-ea"/>
              <a:cs typeface="+mn-cs"/>
            </a:rPr>
            <a:t> </a:t>
          </a:r>
          <a:r>
            <a:rPr lang="es-CO" sz="1100">
              <a:solidFill>
                <a:schemeClr val="dk1"/>
              </a:solidFill>
              <a:effectLst/>
              <a:latin typeface="+mn-lt"/>
              <a:ea typeface="+mn-ea"/>
              <a:cs typeface="+mn-cs"/>
            </a:rPr>
            <a:t> </a:t>
          </a:r>
          <a:r>
            <a:rPr lang="es-CO" sz="1100" b="1">
              <a:solidFill>
                <a:schemeClr val="dk1"/>
              </a:solidFill>
              <a:effectLst/>
              <a:latin typeface="+mn-lt"/>
              <a:ea typeface="+mn-ea"/>
              <a:cs typeface="+mn-cs"/>
            </a:rPr>
            <a:t> </a:t>
          </a:r>
          <a:r>
            <a:rPr lang="es-CO" sz="1100">
              <a:solidFill>
                <a:schemeClr val="dk1"/>
              </a:solidFill>
              <a:effectLst/>
              <a:latin typeface="+mn-lt"/>
              <a:ea typeface="+mn-ea"/>
              <a:cs typeface="+mn-cs"/>
            </a:rPr>
            <a:t> </a:t>
          </a:r>
        </a:p>
        <a:p>
          <a:endParaRPr lang="es-CO" sz="1100" b="0" i="0">
            <a:solidFill>
              <a:schemeClr val="dk1"/>
            </a:solidFill>
            <a:effectLst/>
            <a:latin typeface="+mn-lt"/>
            <a:ea typeface="+mn-ea"/>
            <a:cs typeface="+mn-cs"/>
          </a:endParaRPr>
        </a:p>
      </xdr:txBody>
    </xdr:sp>
    <xdr:clientData/>
  </xdr:twoCellAnchor>
  <xdr:twoCellAnchor editAs="oneCell">
    <xdr:from>
      <xdr:col>0</xdr:col>
      <xdr:colOff>299041</xdr:colOff>
      <xdr:row>81</xdr:row>
      <xdr:rowOff>110754</xdr:rowOff>
    </xdr:from>
    <xdr:to>
      <xdr:col>6</xdr:col>
      <xdr:colOff>433123</xdr:colOff>
      <xdr:row>106</xdr:row>
      <xdr:rowOff>33224</xdr:rowOff>
    </xdr:to>
    <xdr:pic>
      <xdr:nvPicPr>
        <xdr:cNvPr id="4" name="Imagen 3">
          <a:extLst>
            <a:ext uri="{FF2B5EF4-FFF2-40B4-BE49-F238E27FC236}">
              <a16:creationId xmlns:a16="http://schemas.microsoft.com/office/drawing/2014/main" id="{00000000-0008-0000-2200-000004000000}"/>
            </a:ext>
          </a:extLst>
        </xdr:cNvPr>
        <xdr:cNvPicPr>
          <a:picLocks noChangeAspect="1"/>
        </xdr:cNvPicPr>
      </xdr:nvPicPr>
      <xdr:blipFill rotWithShape="1">
        <a:blip xmlns:r="http://schemas.openxmlformats.org/officeDocument/2006/relationships" r:embed="rId1"/>
        <a:srcRect l="20245" t="21105" r="35923" b="25901"/>
        <a:stretch/>
      </xdr:blipFill>
      <xdr:spPr>
        <a:xfrm>
          <a:off x="299041" y="14542237"/>
          <a:ext cx="5993065" cy="4075813"/>
        </a:xfrm>
        <a:prstGeom prst="rect">
          <a:avLst/>
        </a:prstGeom>
      </xdr:spPr>
    </xdr:pic>
    <xdr:clientData/>
  </xdr:twoCellAnchor>
  <xdr:twoCellAnchor editAs="oneCell">
    <xdr:from>
      <xdr:col>1</xdr:col>
      <xdr:colOff>431949</xdr:colOff>
      <xdr:row>48</xdr:row>
      <xdr:rowOff>55379</xdr:rowOff>
    </xdr:from>
    <xdr:to>
      <xdr:col>5</xdr:col>
      <xdr:colOff>1299804</xdr:colOff>
      <xdr:row>79</xdr:row>
      <xdr:rowOff>77529</xdr:rowOff>
    </xdr:to>
    <xdr:pic>
      <xdr:nvPicPr>
        <xdr:cNvPr id="5" name="Imagen 4">
          <a:extLst>
            <a:ext uri="{FF2B5EF4-FFF2-40B4-BE49-F238E27FC236}">
              <a16:creationId xmlns:a16="http://schemas.microsoft.com/office/drawing/2014/main" id="{00000000-0008-0000-2200-000005000000}"/>
            </a:ext>
          </a:extLst>
        </xdr:cNvPr>
        <xdr:cNvPicPr>
          <a:picLocks noChangeAspect="1"/>
        </xdr:cNvPicPr>
      </xdr:nvPicPr>
      <xdr:blipFill rotWithShape="1">
        <a:blip xmlns:r="http://schemas.openxmlformats.org/officeDocument/2006/relationships" r:embed="rId2"/>
        <a:srcRect l="20143" t="11439" r="35808" b="7176"/>
        <a:stretch/>
      </xdr:blipFill>
      <xdr:spPr>
        <a:xfrm>
          <a:off x="764216" y="8982298"/>
          <a:ext cx="4976896" cy="5172295"/>
        </a:xfrm>
        <a:prstGeom prst="rect">
          <a:avLst/>
        </a:prstGeom>
      </xdr:spPr>
    </xdr:pic>
    <xdr:clientData/>
  </xdr:twoCellAnchor>
  <xdr:twoCellAnchor editAs="oneCell">
    <xdr:from>
      <xdr:col>1</xdr:col>
      <xdr:colOff>365495</xdr:colOff>
      <xdr:row>147</xdr:row>
      <xdr:rowOff>66454</xdr:rowOff>
    </xdr:from>
    <xdr:to>
      <xdr:col>6</xdr:col>
      <xdr:colOff>11075</xdr:colOff>
      <xdr:row>180</xdr:row>
      <xdr:rowOff>24710</xdr:rowOff>
    </xdr:to>
    <xdr:pic>
      <xdr:nvPicPr>
        <xdr:cNvPr id="7" name="Imagen 6">
          <a:extLst>
            <a:ext uri="{FF2B5EF4-FFF2-40B4-BE49-F238E27FC236}">
              <a16:creationId xmlns:a16="http://schemas.microsoft.com/office/drawing/2014/main" id="{00000000-0008-0000-2200-000007000000}"/>
            </a:ext>
          </a:extLst>
        </xdr:cNvPr>
        <xdr:cNvPicPr>
          <a:picLocks noChangeAspect="1"/>
        </xdr:cNvPicPr>
      </xdr:nvPicPr>
      <xdr:blipFill rotWithShape="1">
        <a:blip xmlns:r="http://schemas.openxmlformats.org/officeDocument/2006/relationships" r:embed="rId3"/>
        <a:srcRect l="19939" t="13087" r="36485" b="5424"/>
        <a:stretch/>
      </xdr:blipFill>
      <xdr:spPr>
        <a:xfrm>
          <a:off x="697762" y="25484913"/>
          <a:ext cx="5172296" cy="5440669"/>
        </a:xfrm>
        <a:prstGeom prst="rect">
          <a:avLst/>
        </a:prstGeom>
      </xdr:spPr>
    </xdr:pic>
    <xdr:clientData/>
  </xdr:twoCellAnchor>
  <xdr:twoCellAnchor editAs="oneCell">
    <xdr:from>
      <xdr:col>1</xdr:col>
      <xdr:colOff>110757</xdr:colOff>
      <xdr:row>182</xdr:row>
      <xdr:rowOff>44301</xdr:rowOff>
    </xdr:from>
    <xdr:to>
      <xdr:col>6</xdr:col>
      <xdr:colOff>376569</xdr:colOff>
      <xdr:row>210</xdr:row>
      <xdr:rowOff>8480</xdr:rowOff>
    </xdr:to>
    <xdr:pic>
      <xdr:nvPicPr>
        <xdr:cNvPr id="9" name="Imagen 8">
          <a:extLst>
            <a:ext uri="{FF2B5EF4-FFF2-40B4-BE49-F238E27FC236}">
              <a16:creationId xmlns:a16="http://schemas.microsoft.com/office/drawing/2014/main" id="{00000000-0008-0000-2200-000009000000}"/>
            </a:ext>
          </a:extLst>
        </xdr:cNvPr>
        <xdr:cNvPicPr>
          <a:picLocks noChangeAspect="1"/>
        </xdr:cNvPicPr>
      </xdr:nvPicPr>
      <xdr:blipFill rotWithShape="1">
        <a:blip xmlns:r="http://schemas.openxmlformats.org/officeDocument/2006/relationships" r:embed="rId4"/>
        <a:srcRect l="21906" t="25014" r="38202" b="18471"/>
        <a:stretch/>
      </xdr:blipFill>
      <xdr:spPr>
        <a:xfrm>
          <a:off x="443024" y="31299592"/>
          <a:ext cx="5792528" cy="4615923"/>
        </a:xfrm>
        <a:prstGeom prst="rect">
          <a:avLst/>
        </a:prstGeom>
      </xdr:spPr>
    </xdr:pic>
    <xdr:clientData/>
  </xdr:twoCellAnchor>
  <xdr:twoCellAnchor editAs="oneCell">
    <xdr:from>
      <xdr:col>1</xdr:col>
      <xdr:colOff>531627</xdr:colOff>
      <xdr:row>246</xdr:row>
      <xdr:rowOff>66453</xdr:rowOff>
    </xdr:from>
    <xdr:to>
      <xdr:col>5</xdr:col>
      <xdr:colOff>1148168</xdr:colOff>
      <xdr:row>276</xdr:row>
      <xdr:rowOff>66452</xdr:rowOff>
    </xdr:to>
    <xdr:pic>
      <xdr:nvPicPr>
        <xdr:cNvPr id="10" name="Imagen 9">
          <a:extLst>
            <a:ext uri="{FF2B5EF4-FFF2-40B4-BE49-F238E27FC236}">
              <a16:creationId xmlns:a16="http://schemas.microsoft.com/office/drawing/2014/main" id="{00000000-0008-0000-2200-00000A000000}"/>
            </a:ext>
          </a:extLst>
        </xdr:cNvPr>
        <xdr:cNvPicPr>
          <a:picLocks noChangeAspect="1"/>
        </xdr:cNvPicPr>
      </xdr:nvPicPr>
      <xdr:blipFill rotWithShape="1">
        <a:blip xmlns:r="http://schemas.openxmlformats.org/officeDocument/2006/relationships" r:embed="rId5"/>
        <a:srcRect l="31429" t="20537" r="30738" b="8527"/>
        <a:stretch/>
      </xdr:blipFill>
      <xdr:spPr>
        <a:xfrm>
          <a:off x="863894" y="42231191"/>
          <a:ext cx="4725582" cy="4984011"/>
        </a:xfrm>
        <a:prstGeom prst="rect">
          <a:avLst/>
        </a:prstGeom>
      </xdr:spPr>
    </xdr:pic>
    <xdr:clientData/>
  </xdr:twoCellAnchor>
  <xdr:twoCellAnchor editAs="oneCell">
    <xdr:from>
      <xdr:col>1</xdr:col>
      <xdr:colOff>199360</xdr:colOff>
      <xdr:row>278</xdr:row>
      <xdr:rowOff>110755</xdr:rowOff>
    </xdr:from>
    <xdr:to>
      <xdr:col>5</xdr:col>
      <xdr:colOff>1320634</xdr:colOff>
      <xdr:row>303</xdr:row>
      <xdr:rowOff>88604</xdr:rowOff>
    </xdr:to>
    <xdr:pic>
      <xdr:nvPicPr>
        <xdr:cNvPr id="11" name="Imagen 10">
          <a:extLst>
            <a:ext uri="{FF2B5EF4-FFF2-40B4-BE49-F238E27FC236}">
              <a16:creationId xmlns:a16="http://schemas.microsoft.com/office/drawing/2014/main" id="{00000000-0008-0000-2200-00000B000000}"/>
            </a:ext>
          </a:extLst>
        </xdr:cNvPr>
        <xdr:cNvPicPr>
          <a:picLocks noChangeAspect="1"/>
        </xdr:cNvPicPr>
      </xdr:nvPicPr>
      <xdr:blipFill rotWithShape="1">
        <a:blip xmlns:r="http://schemas.openxmlformats.org/officeDocument/2006/relationships" r:embed="rId6"/>
        <a:srcRect l="31708" t="24917" r="30894" b="22568"/>
        <a:stretch/>
      </xdr:blipFill>
      <xdr:spPr>
        <a:xfrm>
          <a:off x="531627" y="47613924"/>
          <a:ext cx="5230315" cy="4131192"/>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H:\Users\dchaves\Desktop\NARI&#209;O\CONECTIVIDAD\EL%20EMPATE%20-%20LA%20UNION%20PR%2060+240%20al%20PR%2066+090\OBRA\BASE\PRESUPUESTO%20P.xls" TargetMode="External"/></Relationships>
</file>

<file path=xl/externalLinks/_rels/externalLink6.xml.rels><?xml version="1.0" encoding="UTF-8" standalone="yes"?>
<Relationships xmlns="http://schemas.openxmlformats.org/package/2006/relationships"><Relationship Id="rId2" Type="http://schemas.microsoft.com/office/2019/04/relationships/externalLinkLongPath" Target="file:///H:\Documents%20and%20Settings\mromero\Configuraci&#243;n%20local\Archivos%20temporales%20de%20Internet\OLK77\20-02-09%20observaciones%20de%20mario%20romero\enviado%20por%20la%20territorial\Documents%20and%20Settings\Jaime%20Rojas\Mis%20documentos\Contrato\Interv\JunBarba\a%20%20aaInformaci&#243;n%20GRUPO?7F9E5056" TargetMode="External"/><Relationship Id="rId1" Type="http://schemas.openxmlformats.org/officeDocument/2006/relationships/externalLinkPath" Target="file:///\\7F9E5056\a%20%20aaInformaci&#243;n%20GRUPO" TargetMode="External"/></Relationships>
</file>

<file path=xl/externalLinks/_rels/externalLink7.xml.rels><?xml version="1.0" encoding="UTF-8" standalone="yes"?>
<Relationships xmlns="http://schemas.openxmlformats.org/package/2006/relationships"><Relationship Id="rId2" Type="http://schemas.microsoft.com/office/2019/04/relationships/externalLinkLongPath" Target="file:///H:\Documents%20and%20Settings\Pedro%20Garcia%20Realpe\Mis%20documentos\AMV_G1_2006_TUMACO\Informes\Trimestre%20No.%201_Jul_Sept_06_Tumaco\a%20%20aaInformaci&#243;n%20GRUPO%204\A%20MInformes%20Mensuales\Informe%20de%20estado%20vial%20ene\aCCIDENTES%20DE%201995%20-%201996.xls?A51317DF" TargetMode="External"/><Relationship Id="rId1" Type="http://schemas.openxmlformats.org/officeDocument/2006/relationships/externalLinkPath" Target="file:///\\A51317DF\aCCIDENTES%20DE%201995%20-%201996.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H:\a%20%20aaInformaci&#243;n%20GRUPO%204\A%20MInformes%20Mensuales\Informe%20de%20estado%20vial%20ene\aCCIDENTES%20DE%201995%20-%201996.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H:\ZXPREPLIEGOS%20PUENTE%20ARMADA\PRESUP\ZPREPLIEGOS%20PUENTE%20ARMADA\OBRAS%20PUENTE%20ARMADA2.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17.xml.rels><?xml version="1.0" encoding="UTF-8" standalone="yes"?>
<Relationships xmlns="http://schemas.openxmlformats.org/package/2006/relationships"><Relationship Id="rId2" Type="http://schemas.microsoft.com/office/2019/04/relationships/externalLinkLongPath" Target="file:///H:\Users\Administrador\Desktop\AMV03NARI&#209;O%20ACTUAL\PRESUPUESTOS\Ruta%201702\PRESENTACI&#211;N%20BOGOT&#193;_RUTA%201702_26%20MARZO%202012\a%20%20aaInformaci&#243;n%20GRUPO%204\A%20MInformes%20Mensuales\Informe%20de%20estado%20vial%20ene\aCCIDENTES%20DE%201995%20-%201996.xls?5E8FB59E" TargetMode="External"/><Relationship Id="rId1" Type="http://schemas.openxmlformats.org/officeDocument/2006/relationships/externalLinkPath" Target="file:///\\5E8FB59E\aCCIDENTES%20DE%201995%20-%201996.xls" TargetMode="External"/></Relationships>
</file>

<file path=xl/externalLinks/_rels/externalLink18.xml.rels><?xml version="1.0" encoding="UTF-8" standalone="yes"?>
<Relationships xmlns="http://schemas.openxmlformats.org/package/2006/relationships"><Relationship Id="rId1" Type="http://schemas.microsoft.com/office/2006/relationships/xlExternalLinkPath/xlPathMissing" Target="Analisis%20de%20Precios%20Unitarios%20ASTRID.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H:\PAVICOL\MSOFFICE\LICITAR\analisis%20del%20AIU\AIU.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http://mapale/Aquitania/Cofinanciacion/FICHAS%20Y%20FORMATOS/UNITARIOS%20GENERALES.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H:\Users\JorgeF\Documents\amv%20grupo%203%20boyaca%202009\PRECIOS%20UNITARIOS\corregidos\2011\LICITACIONES%20AGOSTO%202011\apus%20boyaca%20VIA%20chiquinquira%20-%20TUNJA.xlsx"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H:\Ingevias%20S.A\Contrato%200526%20de%202012%20MHC\Precios%20No%20Previstos%20MHC\Viaducto%20K45\PROPUESTA%20CARARE%20PR45+200%20ULTIMO\3.PRESUPUESTO%20CARARE%20CAMBIO%20DE%20DISE&#209;O-INGENIERIA%20DE%20VIAS.xlsx"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H:\MANTENIMIENTO%20RUTA%201001_MARZO%20DE%202008\Documents%20and%20Settings\PEDRO%20GARCIA%20REALPE\Mis%20documentos\AMV_G1_2006_TUMACO\Actas%20AMV_G1_Tumaco\a%20%20aaInformaci&#243;n"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http://mapale/Aquitania/Mis%20documentos/MIKO%20EN%20EJECUCION/NUNCHIA/Cofinanciacion/FICHAS%20Y%20FORMATOS/UNITARIOS%20GENERALES.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H:\MANTENIMIENTO%20RUTA%201001_MARZO%20DE%202008\Documents%20and%20Settings\Jaime%20Rojas\Mis%20documentos\Contrato\Interv\JunBarba\a%20%20aaInformaci&#243;n%20GRUPO%204\A%20MInformes%20M"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APU_0506_ANTIOQUIA__ORIENTE_2023_1_PROYECTAD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Datos"/>
      <sheetName val="PRESUPUESTOS-REV1"/>
      <sheetName val="G&amp;G"/>
      <sheetName val="PU (2)"/>
      <sheetName val="PESOS"/>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CABG"/>
      <sheetName val="COSTOS UNITARIOS"/>
      <sheetName val="CA-2909"/>
      <sheetName val="TRAYECTO 1"/>
      <sheetName val="Varios"/>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TORTA EST"/>
      <sheetName val="ACTIVIDADES"/>
      <sheetName val="BD"/>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Accidentalidad"/>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sheetData sheetId="54"/>
      <sheetData sheetId="55"/>
      <sheetData sheetId="56"/>
      <sheetData sheetId="57"/>
      <sheetData sheetId="58"/>
      <sheetData sheetId="59" refreshError="1"/>
      <sheetData sheetId="60" refreshError="1"/>
      <sheetData sheetId="61"/>
      <sheetData sheetId="62"/>
      <sheetData sheetId="63"/>
      <sheetData sheetId="64"/>
      <sheetData sheetId="65"/>
      <sheetData sheetId="66"/>
      <sheetData sheetId="67"/>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refreshError="1"/>
      <sheetData sheetId="209" refreshError="1"/>
      <sheetData sheetId="210" refreshError="1"/>
      <sheetData sheetId="211" refreshError="1"/>
      <sheetData sheetId="212" refreshError="1"/>
      <sheetData sheetId="213" refreshError="1"/>
      <sheetData sheetId="214" refreshError="1"/>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sheetData sheetId="479"/>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sheetData sheetId="750" refreshError="1"/>
      <sheetData sheetId="751" refreshError="1"/>
      <sheetData sheetId="752" refreshError="1"/>
      <sheetData sheetId="753" refreshError="1"/>
      <sheetData sheetId="754"/>
      <sheetData sheetId="755"/>
      <sheetData sheetId="756"/>
      <sheetData sheetId="757"/>
      <sheetData sheetId="758"/>
      <sheetData sheetId="759"/>
      <sheetData sheetId="760"/>
      <sheetData sheetId="761"/>
      <sheetData sheetId="762"/>
      <sheetData sheetId="763"/>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refreshError="1"/>
      <sheetData sheetId="870" refreshError="1"/>
      <sheetData sheetId="871" refreshError="1"/>
      <sheetData sheetId="872" refreshError="1"/>
      <sheetData sheetId="873" refreshError="1"/>
      <sheetData sheetId="874" refreshError="1"/>
      <sheetData sheetId="875" refreshError="1"/>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INV"/>
      <sheetName val="AASHTO"/>
      <sheetName val="PRESUPUESTO ESTADIO 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a  aaInformación GRUPO 4\A MIn"/>
      <sheetName val="ACTA DE MODIFICACION  (2)"/>
      <sheetName val="INDICMICROEMP"/>
      <sheetName val="items"/>
      <sheetName val="Informacion"/>
      <sheetName val="MATERIALES"/>
      <sheetName val="#¡REF"/>
      <sheetName val="Datos Básicos"/>
      <sheetName val="SALARIOS"/>
      <sheetName val="SUB APU"/>
      <sheetName val="Informe"/>
      <sheetName val="Seguim-16"/>
      <sheetName val="INV"/>
      <sheetName val="AASHTO"/>
      <sheetName val="PESOS"/>
      <sheetName val="Base Muestras"/>
      <sheetName val="Formulario N° 4"/>
      <sheetName val="EQUIP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otros"/>
      <sheetName val="PRESUPUESTO"/>
      <sheetName val="Res-Accide-10"/>
      <sheetName val="[aCCIDENTES DE 1995 - 1996.xls]"/>
      <sheetName val="\AMV _ no borrar\PRESUPUESTOS\a"/>
      <sheetName val="\I\AMV _ no borrar\PRESUPUESTOS"/>
      <sheetName val="\G\I\AMV _ no borrar\PRESUPUEST"/>
      <sheetName val="\A\a  aaInformación GRUPO 4\A M"/>
      <sheetName val="\G\A\a  aaInformación GRUPO 4\A"/>
      <sheetName val="\\Escritorio\amv 2011\a  aaInfo"/>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efreshError="1"/>
      <sheetData sheetId="50" refreshError="1"/>
      <sheetData sheetId="51" refreshError="1"/>
      <sheetData sheetId="52" refreshError="1"/>
      <sheetData sheetId="53"/>
      <sheetData sheetId="54"/>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sheetData sheetId="123"/>
      <sheetData sheetId="124"/>
      <sheetData sheetId="125"/>
      <sheetData sheetId="126"/>
      <sheetData sheetId="127"/>
      <sheetData sheetId="128"/>
      <sheetData sheetId="129"/>
      <sheetData sheetId="130"/>
      <sheetData sheetId="131" refreshError="1"/>
      <sheetData sheetId="132" refreshError="1"/>
      <sheetData sheetId="133"/>
      <sheetData sheetId="134" refreshError="1"/>
      <sheetData sheetId="135"/>
      <sheetData sheetId="136" refreshError="1"/>
      <sheetData sheetId="137" refreshError="1"/>
      <sheetData sheetId="138" refreshError="1"/>
      <sheetData sheetId="139" refreshError="1"/>
      <sheetData sheetId="140" refreshError="1"/>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DATA I"/>
      <sheetName val="LIQ"/>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aCCIDENTES%20DE%201995%20-%2019"/>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refreshError="1"/>
      <sheetData sheetId="12" refreshError="1"/>
      <sheetData sheetId="13"/>
      <sheetData sheetId="14" refreshError="1"/>
      <sheetData sheetId="15" refreshError="1"/>
      <sheetData sheetId="16"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INDICMICROEMP"/>
      <sheetName val="Datos"/>
      <sheetName val="aCCIDENTES DE 1995 - 1996.xls"/>
      <sheetName val="items"/>
      <sheetName val="#¡REF"/>
      <sheetName val="Informe"/>
      <sheetName val="Seguim-16"/>
      <sheetName val="otros"/>
      <sheetName val="PRESUPUESTO"/>
      <sheetName val="Res-Accide-10"/>
      <sheetName val="MATERIALES"/>
      <sheetName val="Datos Básicos"/>
      <sheetName val="SALARIOS"/>
      <sheetName val="SUB APU"/>
      <sheetName val="INV"/>
      <sheetName val="AASHTO"/>
      <sheetName val="PESOS"/>
      <sheetName val="Formulario N° 4"/>
      <sheetName val="EQUIPO"/>
      <sheetName val="Base Muestras"/>
      <sheetName val="[aCCIDENTES DE 1995 - 1996.xls]"/>
    </sheetNames>
    <definedNames>
      <definedName name="absc"/>
    </defined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refreshError="1"/>
      <sheetData sheetId="14" refreshError="1"/>
      <sheetData sheetId="15"/>
      <sheetData sheetId="16" refreshError="1"/>
      <sheetData sheetId="17" refreshError="1"/>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CCIDENTES DE 1995 - 1996"/>
      <sheetName val="Informacion"/>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5094-2003"/>
      <sheetName val="FINANCIERA"/>
      <sheetName val="DATOS"/>
      <sheetName val="PREACTA"/>
      <sheetName val="ESTADO VÍA-CRIT.TECNICO"/>
      <sheetName val="FLUJOS"/>
      <sheetName val="PRESUPUESTO"/>
      <sheetName val="MANO"/>
      <sheetName val="EQUIPO"/>
      <sheetName val="MATERIAL"/>
      <sheetName val="TRANSPORTE"/>
      <sheetName val="BASES"/>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sheetData sheetId="1"/>
      <sheetData sheetId="2"/>
      <sheetData sheetId="3"/>
      <sheetData sheetId="4"/>
      <sheetData sheetId="5"/>
      <sheetData sheetId="6"/>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Otros"/>
      <sheetName val="Equip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s>
    <sheetDataSet>
      <sheetData sheetId="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 val="PR_1"/>
      <sheetName val="Itemes Renovación"/>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Reprograma 4"/>
      <sheetName val="ITEMS"/>
      <sheetName val="PRECIOS"/>
      <sheetName val="Desmonte y Limpieza"/>
      <sheetName val="MC SF GAVIONES"/>
      <sheetName val="PR 1"/>
      <sheetName val="5.2"/>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s>
    <sheetDataSet>
      <sheetData sheetId="0"/>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PROGR_"/>
      <sheetName val="PROGR_1"/>
      <sheetName val="ACTA DE MODIFICACION  (2)"/>
      <sheetName val="VrEqpBasica"/>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efreshError="1"/>
      <sheetData sheetId="19"/>
      <sheetData sheetId="20"/>
      <sheetData sheetId="21" refreshError="1"/>
      <sheetData sheetId="22"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MENU"/>
      <sheetName val="LISTADO PROVINCIAS"/>
      <sheetName val="ÍNDICE"/>
      <sheetName val="MATERIALES"/>
      <sheetName val="EQUIPOS"/>
      <sheetName val="TRANSPORTE"/>
      <sheetName val="MANO DE OBRA"/>
      <sheetName val="200.1"/>
      <sheetName val="200.2"/>
      <sheetName val="201.7"/>
      <sheetName val="201.8"/>
      <sheetName val="201.9"/>
      <sheetName val="201.10"/>
      <sheetName val="201.11"/>
      <sheetName val="201.14"/>
      <sheetName val="201.15"/>
      <sheetName val="201.16"/>
      <sheetName val="201.19"/>
      <sheetName val="201.20"/>
      <sheetName val="201.21"/>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1"/>
      <sheetName val="223.3.2.1"/>
      <sheetName val="223.3.2.2"/>
      <sheetName val="223.3.2.3"/>
      <sheetName val="223.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1"/>
      <sheetName val="320.1.2"/>
      <sheetName val="320.2.1"/>
      <sheetName val="320.2.2"/>
      <sheetName val="320.3.1"/>
      <sheetName val="320.3.2"/>
      <sheetName val="320.4.1"/>
      <sheetName val="320.4.2"/>
      <sheetName val="320.5.1"/>
      <sheetName val="320.5.2"/>
      <sheetName val="320.6.1"/>
      <sheetName val="320.6.2"/>
      <sheetName val="330.1.1"/>
      <sheetName val="330.1.2"/>
      <sheetName val="330.2.1"/>
      <sheetName val="330.2.2"/>
      <sheetName val="330.3.1"/>
      <sheetName val="330.3.2"/>
      <sheetName val="330.4.1"/>
      <sheetName val="330.4.2"/>
      <sheetName val="330.5.1"/>
      <sheetName val="330.5.2"/>
      <sheetName val="330.6.1"/>
      <sheetName val="330.6.2"/>
      <sheetName val="340.1"/>
      <sheetName val="340.2"/>
      <sheetName val="340.3"/>
      <sheetName val="350.1"/>
      <sheetName val="350.2"/>
      <sheetName val="350.3"/>
      <sheetName val="350.4"/>
      <sheetName val="350.10"/>
      <sheetName val="350.11"/>
      <sheetName val="350.12"/>
      <sheetName val="350.13"/>
      <sheetName val="350.14"/>
      <sheetName val="351.1"/>
      <sheetName val="351.2"/>
      <sheetName val="351.10"/>
      <sheetName val="351.11"/>
      <sheetName val="351.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15.2"/>
      <sheetName val="415.3"/>
      <sheetName val="415.4"/>
      <sheetName val="420.1"/>
      <sheetName val="420.2"/>
      <sheetName val="420.3"/>
      <sheetName val="421.1"/>
      <sheetName val="421.2"/>
      <sheetName val="421.3"/>
      <sheetName val="421.4"/>
      <sheetName val="430.1.1"/>
      <sheetName val="430.1.2"/>
      <sheetName val="430.2.1"/>
      <sheetName val="430.2.2"/>
      <sheetName val="430.3.1"/>
      <sheetName val="430.3.2"/>
      <sheetName val="430.4.1"/>
      <sheetName val="430.4.2"/>
      <sheetName val="432.1"/>
      <sheetName val="432.2"/>
      <sheetName val="433.1"/>
      <sheetName val="433.2"/>
      <sheetName val="433.3"/>
      <sheetName val="433.4"/>
      <sheetName val="433.5"/>
      <sheetName val="433.6"/>
      <sheetName val="433.7"/>
      <sheetName val="433.8"/>
      <sheetName val="440.1"/>
      <sheetName val="440.2"/>
      <sheetName val="440.3"/>
      <sheetName val="440.4.1"/>
      <sheetName val="440.4.2"/>
      <sheetName val="441.1"/>
      <sheetName val="441.2"/>
      <sheetName val="441.3"/>
      <sheetName val="441.4"/>
      <sheetName val="450.1"/>
      <sheetName val="450.1P"/>
      <sheetName val="450.2"/>
      <sheetName val="450.2P"/>
      <sheetName val="450.3"/>
      <sheetName val="450.3P"/>
      <sheetName val="450.4"/>
      <sheetName val="450.4P"/>
      <sheetName val="450.5"/>
      <sheetName val="450.5P"/>
      <sheetName val="450.6"/>
      <sheetName val="450.6P"/>
      <sheetName val="450.7"/>
      <sheetName val="450.7P"/>
      <sheetName val="450.8P"/>
      <sheetName val="450.10P"/>
      <sheetName val="450.11P"/>
      <sheetName val="450.12P"/>
      <sheetName val="450.13P"/>
      <sheetName val="450.14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53.1P"/>
      <sheetName val="460.1.1"/>
      <sheetName val="460.1.2"/>
      <sheetName val="461.1"/>
      <sheetName val="461.2"/>
      <sheetName val="462.1.1"/>
      <sheetName val="462.1.2"/>
      <sheetName val="462.2.1"/>
      <sheetName val="462.2.2"/>
      <sheetName val="464.1.1"/>
      <sheetName val="464.1.2"/>
      <sheetName val="465.1"/>
      <sheetName val="465.2"/>
      <sheetName val="466.1"/>
      <sheetName val="466.2"/>
      <sheetName val="500.1.1"/>
      <sheetName val="500.1.2"/>
      <sheetName val="500.2"/>
      <sheetName val="501.1"/>
      <sheetName val="501.10"/>
      <sheetName val="501.20.1"/>
      <sheetName val="501.20.2"/>
      <sheetName val="501.20.3"/>
      <sheetName val="501.20.4"/>
      <sheetName val="505.1"/>
      <sheetName val="510.1"/>
      <sheetName val="600.1.1"/>
      <sheetName val="600.2.1"/>
      <sheetName val="600.2.2"/>
      <sheetName val="600.2.3"/>
      <sheetName val="600.2.4"/>
      <sheetName val="610.1"/>
      <sheetName val="610.2"/>
      <sheetName val="610.3"/>
      <sheetName val="610.4"/>
      <sheetName val="610.5"/>
      <sheetName val="610.6"/>
      <sheetName val="610.7"/>
      <sheetName val="610.8"/>
      <sheetName val="610.9"/>
      <sheetName val="610.10"/>
      <sheetName val="620.1.1"/>
      <sheetName val="620.1.2"/>
      <sheetName val="620.2"/>
      <sheetName val="620.3"/>
      <sheetName val="621.1.1"/>
      <sheetName val="621.1.2"/>
      <sheetName val="621.2"/>
      <sheetName val="621.3"/>
      <sheetName val="621.4"/>
      <sheetName val="621.5.1"/>
      <sheetName val="621.5.2"/>
      <sheetName val="621.5.3P"/>
      <sheetName val="621.6"/>
      <sheetName val="621.7"/>
      <sheetName val="622.1"/>
      <sheetName val="622.2"/>
      <sheetName val="622.3"/>
      <sheetName val="622.4"/>
      <sheetName val="622.5"/>
      <sheetName val="623.1"/>
      <sheetName val="623.2"/>
      <sheetName val="630.P"/>
      <sheetName val="630.1.1"/>
      <sheetName val="630.1.2"/>
      <sheetName val="630.1.3.1"/>
      <sheetName val="630.1.3.2"/>
      <sheetName val="630.1.4.1"/>
      <sheetName val="630.1.4.2"/>
      <sheetName val="630.1.5"/>
      <sheetName val="630.1.6"/>
      <sheetName val="630.1.7"/>
      <sheetName val="632.1"/>
      <sheetName val="632.2"/>
      <sheetName val="640.1"/>
      <sheetName val="640.2"/>
      <sheetName val="641.1"/>
      <sheetName val="642.1"/>
      <sheetName val="642.2.1"/>
      <sheetName val="642.2.2"/>
      <sheetName val="650.2"/>
      <sheetName val="650.3"/>
      <sheetName val="650.4"/>
      <sheetName val="660.1"/>
      <sheetName val="660.2"/>
      <sheetName val="660.3"/>
      <sheetName val="660.4"/>
      <sheetName val="661.1"/>
      <sheetName val="661.2"/>
      <sheetName val="661.3"/>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1"/>
      <sheetName val="673.1.2"/>
      <sheetName val="673.2"/>
      <sheetName val="673.3.1"/>
      <sheetName val="673.3.2"/>
      <sheetName val="673.3.3"/>
      <sheetName val="674.1"/>
      <sheetName val="674.2"/>
      <sheetName val="680.1"/>
      <sheetName val="680.2"/>
      <sheetName val="680.3"/>
      <sheetName val="681.1"/>
      <sheetName val="681.2"/>
      <sheetName val="681.3"/>
      <sheetName val="681.4"/>
      <sheetName val="682.1"/>
      <sheetName val="683.1"/>
      <sheetName val="683.2"/>
      <sheetName val="683.3"/>
      <sheetName val="683.4"/>
      <sheetName val="683.5"/>
      <sheetName val="690.1.1"/>
      <sheetName val="690.1.2"/>
      <sheetName val="690.1.3"/>
      <sheetName val="700.1"/>
      <sheetName val="700.1P"/>
      <sheetName val="700.2"/>
      <sheetName val="700.3"/>
      <sheetName val="700.3P"/>
      <sheetName val="700.4"/>
      <sheetName val="701.1.1"/>
      <sheetName val="701.1.2"/>
      <sheetName val="710.1.1"/>
      <sheetName val="710.1.2"/>
      <sheetName val="710.1.3"/>
      <sheetName val="710.1.4"/>
      <sheetName val="710.1.5"/>
      <sheetName val="710.2.1"/>
      <sheetName val="710.2.2"/>
      <sheetName val="710.2.3"/>
      <sheetName val="710.2.4"/>
      <sheetName val="730.1.1"/>
      <sheetName val="730.1.2"/>
      <sheetName val="730.2"/>
      <sheetName val="730.3"/>
      <sheetName val="730.4"/>
      <sheetName val="731.1"/>
      <sheetName val="731.2"/>
      <sheetName val="740.1"/>
      <sheetName val="741.1.1"/>
      <sheetName val="741.1.2"/>
      <sheetName val="800.1"/>
      <sheetName val="800.2"/>
      <sheetName val="800.3"/>
      <sheetName val="800.4"/>
      <sheetName val="802.1"/>
      <sheetName val="802.2"/>
      <sheetName val="802.3"/>
      <sheetName val="802.4"/>
      <sheetName val="802.5"/>
      <sheetName val="802.6"/>
      <sheetName val="802.7"/>
      <sheetName val="802.8"/>
      <sheetName val="810.1"/>
      <sheetName val="810.2"/>
      <sheetName val="810.3"/>
      <sheetName val="811.1"/>
      <sheetName val="811.2"/>
      <sheetName val="812.1"/>
      <sheetName val="812.2"/>
      <sheetName val="820.1.1"/>
      <sheetName val="820.1.2"/>
      <sheetName val="900.1"/>
      <sheetName val="900.2.1"/>
      <sheetName val="900.2.2"/>
      <sheetName val="900.3.1"/>
      <sheetName val="900.3.2"/>
      <sheetName val="900.3.3"/>
    </sheetNames>
    <sheetDataSet>
      <sheetData sheetId="0" refreshError="1"/>
      <sheetData sheetId="1" refreshError="1"/>
      <sheetData sheetId="2" refreshError="1"/>
      <sheetData sheetId="3">
        <row r="6">
          <cell r="C6" t="str">
            <v>200.1</v>
          </cell>
          <cell r="D6" t="str">
            <v>ha</v>
          </cell>
          <cell r="E6" t="str">
            <v>C$33$</v>
          </cell>
          <cell r="F6" t="str">
            <v>='200.1'!C$33$</v>
          </cell>
          <cell r="G6" t="str">
            <v>DESMONTE Y LIMPIEZA EN BOSQUE</v>
          </cell>
          <cell r="I6">
            <v>3030897.7153027984</v>
          </cell>
          <cell r="J6">
            <v>0</v>
          </cell>
          <cell r="K6">
            <v>35148.001943171861</v>
          </cell>
          <cell r="L6">
            <v>238444.44444444444</v>
          </cell>
          <cell r="M6">
            <v>3304490.1616904149</v>
          </cell>
          <cell r="N6">
            <v>4295837.2101975391</v>
          </cell>
        </row>
        <row r="7">
          <cell r="C7" t="str">
            <v>200.2</v>
          </cell>
          <cell r="D7" t="str">
            <v>ha</v>
          </cell>
          <cell r="E7" t="str">
            <v>C$33$</v>
          </cell>
          <cell r="F7" t="str">
            <v>='200.2'!C$33$</v>
          </cell>
          <cell r="G7" t="str">
            <v>DESMONTE Y LIMPIEZA EN ZONAS NO BOSCOSAS</v>
          </cell>
          <cell r="I7">
            <v>72050.914707082571</v>
          </cell>
          <cell r="J7">
            <v>0</v>
          </cell>
          <cell r="K7">
            <v>50211.431347388374</v>
          </cell>
          <cell r="L7">
            <v>49675.925925925927</v>
          </cell>
          <cell r="M7">
            <v>171938.27198039688</v>
          </cell>
          <cell r="N7">
            <v>223519.75357451593</v>
          </cell>
        </row>
        <row r="8">
          <cell r="C8" t="str">
            <v>201.7</v>
          </cell>
          <cell r="D8" t="str">
            <v>m3</v>
          </cell>
          <cell r="E8" t="str">
            <v>C$33$</v>
          </cell>
          <cell r="F8" t="str">
            <v>='201.7'!C$33$</v>
          </cell>
          <cell r="G8" t="str">
            <v>DEMOLICIÓN DE ESTRUCTURAS</v>
          </cell>
          <cell r="I8">
            <v>118692.33435892152</v>
          </cell>
          <cell r="J8">
            <v>11722.817134261468</v>
          </cell>
          <cell r="K8">
            <v>23859.25489840778</v>
          </cell>
          <cell r="L8">
            <v>13233.666666666666</v>
          </cell>
          <cell r="M8">
            <v>167508.07305825743</v>
          </cell>
          <cell r="N8">
            <v>217760.49497573468</v>
          </cell>
        </row>
        <row r="9">
          <cell r="C9" t="str">
            <v>201.8</v>
          </cell>
          <cell r="D9" t="str">
            <v>m2</v>
          </cell>
          <cell r="E9" t="str">
            <v>C$33$</v>
          </cell>
          <cell r="F9" t="str">
            <v>='201.8'!C$33$</v>
          </cell>
          <cell r="G9" t="str">
            <v>DEMOLICIÓN DE PAVIMENTOS RÍGIDOS</v>
          </cell>
          <cell r="I9">
            <v>10252.369942719528</v>
          </cell>
          <cell r="J9">
            <v>3516.8451402784403</v>
          </cell>
          <cell r="K9">
            <v>14315.552939044668</v>
          </cell>
          <cell r="L9">
            <v>1503.8257575757575</v>
          </cell>
          <cell r="M9">
            <v>29588.593779618393</v>
          </cell>
          <cell r="N9">
            <v>38465.171913503909</v>
          </cell>
        </row>
        <row r="10">
          <cell r="C10" t="str">
            <v>201.9</v>
          </cell>
          <cell r="D10" t="str">
            <v>m2</v>
          </cell>
          <cell r="E10" t="str">
            <v>C$33$</v>
          </cell>
          <cell r="F10" t="str">
            <v>='201.9'!C$33$</v>
          </cell>
          <cell r="G10" t="str">
            <v>DEMOLICIÓN DE PISOS Y ANDENES DE CONCRETO</v>
          </cell>
          <cell r="I10">
            <v>10252.369942719528</v>
          </cell>
          <cell r="J10">
            <v>1758.4225701392202</v>
          </cell>
          <cell r="K10">
            <v>238.59254898407781</v>
          </cell>
          <cell r="L10">
            <v>1503.8257575757575</v>
          </cell>
          <cell r="M10">
            <v>13753.210819418584</v>
          </cell>
          <cell r="N10">
            <v>17879.174065244159</v>
          </cell>
        </row>
        <row r="11">
          <cell r="C11" t="str">
            <v>201.10</v>
          </cell>
          <cell r="D11" t="str">
            <v>m</v>
          </cell>
          <cell r="E11" t="str">
            <v>C$33$</v>
          </cell>
          <cell r="F11" t="str">
            <v>='201.10'!C$33$</v>
          </cell>
          <cell r="G11" t="str">
            <v>DEMOLICIÓN DE BORDILLOS DE CONCRETO</v>
          </cell>
          <cell r="I11">
            <v>2765.7348818606738</v>
          </cell>
          <cell r="J11">
            <v>669.87526481494103</v>
          </cell>
          <cell r="K11">
            <v>90.892399612982032</v>
          </cell>
          <cell r="L11">
            <v>894.16666666666663</v>
          </cell>
          <cell r="M11">
            <v>4420.6692129552639</v>
          </cell>
          <cell r="N11">
            <v>5746.8699768418428</v>
          </cell>
        </row>
        <row r="12">
          <cell r="C12" t="str">
            <v>201.11</v>
          </cell>
          <cell r="D12" t="str">
            <v>kg</v>
          </cell>
          <cell r="E12" t="str">
            <v>C$33$</v>
          </cell>
          <cell r="F12" t="str">
            <v>='201.11'!C$33$</v>
          </cell>
          <cell r="G12" t="str">
            <v>DESMONTAJE Y TRASLADO DE ESTRUCTURAS METÁLICAS</v>
          </cell>
          <cell r="I12">
            <v>1369.9218631056838</v>
          </cell>
          <cell r="J12">
            <v>0</v>
          </cell>
          <cell r="K12">
            <v>1.1361549951622754</v>
          </cell>
          <cell r="L12">
            <v>222.84527518172376</v>
          </cell>
          <cell r="M12">
            <v>1593.9032932825698</v>
          </cell>
          <cell r="N12">
            <v>2072.0742812673407</v>
          </cell>
        </row>
        <row r="13">
          <cell r="C13" t="str">
            <v>201.14</v>
          </cell>
          <cell r="D13" t="str">
            <v>m</v>
          </cell>
          <cell r="E13" t="str">
            <v>C$33$</v>
          </cell>
          <cell r="F13" t="str">
            <v>='201.14'!C$33$</v>
          </cell>
          <cell r="G13" t="str">
            <v>REMOCIÓN DE DUCTOS DE SERVICIOS EXISTENTES</v>
          </cell>
          <cell r="I13">
            <v>30258.313511175682</v>
          </cell>
          <cell r="J13">
            <v>5861.4085671307339</v>
          </cell>
          <cell r="K13">
            <v>795.30849661359264</v>
          </cell>
          <cell r="L13">
            <v>6616.833333333333</v>
          </cell>
          <cell r="M13">
            <v>43531.863908253348</v>
          </cell>
          <cell r="N13">
            <v>56591.423080729357</v>
          </cell>
        </row>
        <row r="14">
          <cell r="C14" t="str">
            <v>201.15</v>
          </cell>
          <cell r="D14" t="str">
            <v>m</v>
          </cell>
          <cell r="E14" t="str">
            <v>C$33$</v>
          </cell>
          <cell r="F14" t="str">
            <v>='201.15'!C$33$</v>
          </cell>
          <cell r="G14" t="str">
            <v>REMOCIÓN DE ALCANTARILLAS</v>
          </cell>
          <cell r="I14">
            <v>37746.887722302934</v>
          </cell>
          <cell r="J14">
            <v>0</v>
          </cell>
          <cell r="K14">
            <v>3442.5496353416938</v>
          </cell>
          <cell r="L14">
            <v>4470.833333333333</v>
          </cell>
          <cell r="M14">
            <v>45660.270690977966</v>
          </cell>
          <cell r="N14">
            <v>59358.351898271358</v>
          </cell>
        </row>
        <row r="15">
          <cell r="C15" t="str">
            <v>201.16</v>
          </cell>
          <cell r="D15" t="str">
            <v>m</v>
          </cell>
          <cell r="E15" t="str">
            <v>C$33$</v>
          </cell>
          <cell r="F15" t="str">
            <v>='201.16'!C$33$</v>
          </cell>
          <cell r="G15" t="str">
            <v>REMOCIÓN DE CERCAS DE ALAMBRE</v>
          </cell>
          <cell r="I15">
            <v>190.75555555555556</v>
          </cell>
          <cell r="J15">
            <v>0</v>
          </cell>
          <cell r="K15">
            <v>0</v>
          </cell>
          <cell r="L15">
            <v>1907.5555555555554</v>
          </cell>
          <cell r="M15">
            <v>2098.3111111111111</v>
          </cell>
          <cell r="N15">
            <v>2727.8044444444445</v>
          </cell>
        </row>
        <row r="16">
          <cell r="C16" t="str">
            <v>201.19</v>
          </cell>
          <cell r="D16" t="str">
            <v>m</v>
          </cell>
          <cell r="E16" t="str">
            <v>C$33$</v>
          </cell>
          <cell r="F16" t="str">
            <v>='201.19'!C$33$</v>
          </cell>
          <cell r="G16" t="str">
            <v>REMOCIÓN DE RIELES</v>
          </cell>
          <cell r="I16">
            <v>5069.3429350014812</v>
          </cell>
          <cell r="J16">
            <v>0</v>
          </cell>
          <cell r="K16">
            <v>795.30849661359264</v>
          </cell>
          <cell r="L16">
            <v>198.7037037037037</v>
          </cell>
          <cell r="M16">
            <v>6063.3551353187777</v>
          </cell>
          <cell r="N16">
            <v>7882.3616759144115</v>
          </cell>
        </row>
        <row r="17">
          <cell r="C17" t="str">
            <v>201.20</v>
          </cell>
          <cell r="D17" t="str">
            <v>m</v>
          </cell>
          <cell r="E17" t="str">
            <v>C$33$</v>
          </cell>
          <cell r="F17" t="str">
            <v>='201.20'!C$33$</v>
          </cell>
          <cell r="G17" t="str">
            <v>REMOCIÓN DE DEFENSAS METÁLICAS</v>
          </cell>
          <cell r="I17">
            <v>79.481481481481481</v>
          </cell>
          <cell r="J17">
            <v>0</v>
          </cell>
          <cell r="K17">
            <v>12.247750847849328</v>
          </cell>
          <cell r="L17">
            <v>794.81481481481478</v>
          </cell>
          <cell r="M17">
            <v>886.54404714414557</v>
          </cell>
          <cell r="N17">
            <v>1152.5072612873892</v>
          </cell>
        </row>
        <row r="18">
          <cell r="C18" t="str">
            <v>201.21</v>
          </cell>
          <cell r="D18" t="str">
            <v>m</v>
          </cell>
          <cell r="E18" t="str">
            <v>C$33$</v>
          </cell>
          <cell r="F18" t="str">
            <v>='201.21'!C$33$</v>
          </cell>
          <cell r="G18" t="str">
            <v>REMOCIÓN DE BARRERAS DE SEGURIDAD</v>
          </cell>
          <cell r="I18">
            <v>5069.3429350014812</v>
          </cell>
          <cell r="J18">
            <v>0</v>
          </cell>
          <cell r="K18">
            <v>1284.3896076462356</v>
          </cell>
          <cell r="L18">
            <v>198.7037037037037</v>
          </cell>
          <cell r="M18">
            <v>6552.4362463514199</v>
          </cell>
          <cell r="N18">
            <v>8518.1671202568468</v>
          </cell>
        </row>
        <row r="19">
          <cell r="C19" t="str">
            <v>203.1</v>
          </cell>
          <cell r="D19" t="str">
            <v>u</v>
          </cell>
          <cell r="E19" t="str">
            <v>C$33$</v>
          </cell>
          <cell r="F19" t="str">
            <v>='203.1'!C$33$</v>
          </cell>
          <cell r="G19" t="str">
            <v>TRANSPLANTE DE ARBOLES TIPO I TRASLADO CORTO</v>
          </cell>
          <cell r="I19">
            <v>649882.10924499156</v>
          </cell>
          <cell r="J19">
            <v>219779.63916482226</v>
          </cell>
          <cell r="K19">
            <v>539.33481883138643</v>
          </cell>
          <cell r="L19">
            <v>71533.333333333328</v>
          </cell>
          <cell r="M19">
            <v>941734.41656197864</v>
          </cell>
          <cell r="N19">
            <v>1224254.7415305723</v>
          </cell>
        </row>
        <row r="20">
          <cell r="C20" t="str">
            <v>203.2</v>
          </cell>
          <cell r="D20" t="str">
            <v>u</v>
          </cell>
          <cell r="E20" t="str">
            <v>C$33$</v>
          </cell>
          <cell r="F20" t="str">
            <v>='203.2'!C$33$</v>
          </cell>
          <cell r="G20" t="str">
            <v>TRANSPLANTE DE ARBOLES TIPO I TRASLADO LARGO</v>
          </cell>
          <cell r="I20">
            <v>812352.63655623945</v>
          </cell>
          <cell r="J20">
            <v>219779.63916482226</v>
          </cell>
          <cell r="K20">
            <v>539.33481883138643</v>
          </cell>
          <cell r="L20">
            <v>89416.666666666657</v>
          </cell>
          <cell r="M20">
            <v>1122088.2772065599</v>
          </cell>
          <cell r="N20">
            <v>1458714.7603685278</v>
          </cell>
        </row>
        <row r="21">
          <cell r="C21" t="str">
            <v>203.3</v>
          </cell>
          <cell r="D21" t="str">
            <v>u</v>
          </cell>
          <cell r="E21" t="str">
            <v>C$33$</v>
          </cell>
          <cell r="F21" t="str">
            <v>='203.3'!C$33$</v>
          </cell>
          <cell r="G21" t="str">
            <v>TRANSPLANTE DE ARBOLES TIPO I TRASLADO ESPECIAL</v>
          </cell>
          <cell r="I21">
            <v>928403.01320713083</v>
          </cell>
          <cell r="J21">
            <v>219779.63916482226</v>
          </cell>
          <cell r="K21">
            <v>539.33481883138643</v>
          </cell>
          <cell r="L21">
            <v>102190.47619047618</v>
          </cell>
          <cell r="M21">
            <v>1250912.4633812606</v>
          </cell>
          <cell r="N21">
            <v>1626186.2023956389</v>
          </cell>
        </row>
        <row r="22">
          <cell r="C22" t="str">
            <v>203.4</v>
          </cell>
          <cell r="D22" t="str">
            <v>u</v>
          </cell>
          <cell r="E22" t="str">
            <v>C$33$</v>
          </cell>
          <cell r="F22" t="str">
            <v>='203.4'!C$33$</v>
          </cell>
          <cell r="G22" t="str">
            <v>TRANSPLANTE DE ARBOLES TIPO II TRASLADO CORTO</v>
          </cell>
          <cell r="I22">
            <v>463690.55422261305</v>
          </cell>
          <cell r="J22">
            <v>89015.949103544292</v>
          </cell>
          <cell r="K22">
            <v>539.33481883138643</v>
          </cell>
          <cell r="L22">
            <v>40876.190476190473</v>
          </cell>
          <cell r="M22">
            <v>594122.02862117928</v>
          </cell>
          <cell r="N22">
            <v>772358.637207533</v>
          </cell>
        </row>
        <row r="23">
          <cell r="C23" t="str">
            <v>203.5</v>
          </cell>
          <cell r="D23" t="str">
            <v>u</v>
          </cell>
          <cell r="E23" t="str">
            <v>C$33$</v>
          </cell>
          <cell r="F23" t="str">
            <v>='203.5'!C$33$</v>
          </cell>
          <cell r="G23" t="str">
            <v>TRANSPLANTE DE ARBOLES TIPO II. TRASLADO LARGO</v>
          </cell>
          <cell r="I23">
            <v>540972.31325971521</v>
          </cell>
          <cell r="J23">
            <v>89015.949103544292</v>
          </cell>
          <cell r="K23">
            <v>539.33481883138643</v>
          </cell>
          <cell r="L23">
            <v>47688.888888888883</v>
          </cell>
          <cell r="M23">
            <v>678216.48607097974</v>
          </cell>
          <cell r="N23">
            <v>881681.43189227371</v>
          </cell>
        </row>
        <row r="24">
          <cell r="C24" t="str">
            <v>203.6</v>
          </cell>
          <cell r="D24" t="str">
            <v>u</v>
          </cell>
          <cell r="E24" t="str">
            <v>C$33$</v>
          </cell>
          <cell r="F24" t="str">
            <v>='203.6'!C$33$</v>
          </cell>
          <cell r="G24" t="str">
            <v>TRANSPLANTE DE ARBOLES TIPO II TRASLADO ESPECIAL</v>
          </cell>
          <cell r="I24">
            <v>590151.61446514388</v>
          </cell>
          <cell r="J24">
            <v>89015.949103544292</v>
          </cell>
          <cell r="K24">
            <v>539.33481883138643</v>
          </cell>
          <cell r="L24">
            <v>52024.242424242424</v>
          </cell>
          <cell r="M24">
            <v>731731.14081176207</v>
          </cell>
          <cell r="N24">
            <v>951250.48305529077</v>
          </cell>
        </row>
        <row r="25">
          <cell r="C25" t="str">
            <v>203.7</v>
          </cell>
          <cell r="D25" t="str">
            <v>u</v>
          </cell>
          <cell r="E25" t="str">
            <v>C$33$</v>
          </cell>
          <cell r="F25" t="str">
            <v>='203.7'!C$33$</v>
          </cell>
          <cell r="G25" t="str">
            <v>TRANSPLANTE DE ARBOLES TIPO III TRASLADO CORTO</v>
          </cell>
          <cell r="I25">
            <v>158172.66269560932</v>
          </cell>
          <cell r="J25">
            <v>89015.949103544292</v>
          </cell>
          <cell r="K25">
            <v>539.33481883138643</v>
          </cell>
          <cell r="L25">
            <v>31792.592592592591</v>
          </cell>
          <cell r="M25">
            <v>279520.53921057761</v>
          </cell>
          <cell r="N25">
            <v>363376.70097375091</v>
          </cell>
        </row>
        <row r="26">
          <cell r="C26" t="str">
            <v>203.8</v>
          </cell>
          <cell r="D26" t="str">
            <v>u</v>
          </cell>
          <cell r="E26" t="str">
            <v>C$33$</v>
          </cell>
          <cell r="F26" t="str">
            <v>='203.8'!C$33$</v>
          </cell>
          <cell r="G26" t="str">
            <v>TRANSPLANTE DE ARBOLE TIPO III TRASLADO LARGO</v>
          </cell>
          <cell r="I26">
            <v>285604.02315818268</v>
          </cell>
          <cell r="J26">
            <v>89015.949103544292</v>
          </cell>
          <cell r="K26">
            <v>539.33481883138643</v>
          </cell>
          <cell r="L26">
            <v>35766.666666666664</v>
          </cell>
          <cell r="M26">
            <v>410925.97374722507</v>
          </cell>
          <cell r="N26">
            <v>534203.76587139256</v>
          </cell>
        </row>
        <row r="27">
          <cell r="C27" t="str">
            <v>203.9</v>
          </cell>
          <cell r="D27" t="str">
            <v>u</v>
          </cell>
          <cell r="E27" t="str">
            <v>C$33$</v>
          </cell>
          <cell r="F27" t="str">
            <v>='203.9'!C$33$</v>
          </cell>
          <cell r="G27" t="str">
            <v>TRANSPLANTE  DE ARBOLES TIPO III TRASLADO ESPECIAL</v>
          </cell>
          <cell r="I27">
            <v>304644.29136872821</v>
          </cell>
          <cell r="J27">
            <v>89015.949103544292</v>
          </cell>
          <cell r="K27">
            <v>539.33481883138643</v>
          </cell>
          <cell r="L27">
            <v>38151.111111111109</v>
          </cell>
          <cell r="M27">
            <v>432350.68640221504</v>
          </cell>
          <cell r="N27">
            <v>562055.89232287952</v>
          </cell>
        </row>
        <row r="28">
          <cell r="C28" t="str">
            <v>203.10</v>
          </cell>
          <cell r="D28" t="str">
            <v>u</v>
          </cell>
          <cell r="E28" t="str">
            <v>C$33$</v>
          </cell>
          <cell r="F28" t="str">
            <v>='203.10'!C$33$</v>
          </cell>
          <cell r="G28" t="str">
            <v>TRANSPLANTE DE ARBOLES TIPO IV TRASLADO CORTO</v>
          </cell>
          <cell r="I28">
            <v>118629.49702170699</v>
          </cell>
          <cell r="J28">
            <v>89015.949103544292</v>
          </cell>
          <cell r="K28">
            <v>539.33481883138643</v>
          </cell>
          <cell r="L28">
            <v>23844.444444444442</v>
          </cell>
          <cell r="M28">
            <v>232029.22538852712</v>
          </cell>
          <cell r="N28">
            <v>301637.99300508527</v>
          </cell>
        </row>
        <row r="29">
          <cell r="C29" t="str">
            <v>203.11</v>
          </cell>
          <cell r="D29" t="str">
            <v>u</v>
          </cell>
          <cell r="E29" t="str">
            <v>C$33$</v>
          </cell>
          <cell r="F29" t="str">
            <v>='203.11'!C$33$</v>
          </cell>
          <cell r="G29" t="str">
            <v>TRANSPLANTE DE ARBOLES TIPO IV TRASLADO LARGO</v>
          </cell>
          <cell r="I29">
            <v>207712.01684231465</v>
          </cell>
          <cell r="J29">
            <v>89015.949103544292</v>
          </cell>
          <cell r="K29">
            <v>539.33481883138643</v>
          </cell>
          <cell r="L29">
            <v>26012.121212121212</v>
          </cell>
          <cell r="M29">
            <v>323279.4219768116</v>
          </cell>
          <cell r="N29">
            <v>420263.24856985512</v>
          </cell>
        </row>
        <row r="30">
          <cell r="C30" t="str">
            <v>203.12</v>
          </cell>
          <cell r="D30" t="str">
            <v>u</v>
          </cell>
          <cell r="E30" t="str">
            <v>C$33$</v>
          </cell>
          <cell r="F30" t="str">
            <v>='203.12'!C$33$</v>
          </cell>
          <cell r="G30" t="str">
            <v>TRANSPLANTE DE ARBOLES TIPO IV TRASLADO ESPECIAL</v>
          </cell>
          <cell r="I30">
            <v>217603.06526337724</v>
          </cell>
          <cell r="J30">
            <v>89015.949103544292</v>
          </cell>
          <cell r="K30">
            <v>539.33481883138643</v>
          </cell>
          <cell r="L30">
            <v>27250.79365079365</v>
          </cell>
          <cell r="M30">
            <v>334409.14283654658</v>
          </cell>
          <cell r="N30">
            <v>434731.88568751054</v>
          </cell>
        </row>
        <row r="31">
          <cell r="C31" t="str">
            <v>210.1.1</v>
          </cell>
          <cell r="D31" t="str">
            <v>m3</v>
          </cell>
          <cell r="E31" t="str">
            <v>C$33$</v>
          </cell>
          <cell r="F31" t="str">
            <v>='210.1.1'!C$33$</v>
          </cell>
          <cell r="G31" t="str">
            <v>EXCAVACIÓN SIN CLASIFICAR DE LA EXPLANACIÓN Y CANALES</v>
          </cell>
          <cell r="I31">
            <v>13931.194139108997</v>
          </cell>
          <cell r="J31">
            <v>8035.119969371136</v>
          </cell>
          <cell r="K31">
            <v>0</v>
          </cell>
          <cell r="L31">
            <v>622.76078431372548</v>
          </cell>
          <cell r="M31">
            <v>22589.074892793858</v>
          </cell>
          <cell r="N31">
            <v>29365.797360632016</v>
          </cell>
        </row>
        <row r="32">
          <cell r="C32" t="str">
            <v>210.1.2</v>
          </cell>
          <cell r="D32" t="str">
            <v>m3</v>
          </cell>
          <cell r="E32" t="str">
            <v>C$33$</v>
          </cell>
          <cell r="F32" t="str">
            <v>='210.1.2'!C$33$</v>
          </cell>
          <cell r="G32" t="str">
            <v xml:space="preserve">EXCAVACION SIN CLASIFICAR DE PRESTAMOS </v>
          </cell>
          <cell r="I32">
            <v>3456.3701829555553</v>
          </cell>
          <cell r="J32">
            <v>0</v>
          </cell>
          <cell r="K32">
            <v>0</v>
          </cell>
          <cell r="L32">
            <v>135.47979797979798</v>
          </cell>
          <cell r="M32">
            <v>3591.8499809353534</v>
          </cell>
          <cell r="N32">
            <v>4669.404975215959</v>
          </cell>
        </row>
        <row r="33">
          <cell r="C33" t="str">
            <v>210.2.1</v>
          </cell>
          <cell r="D33" t="str">
            <v>m3</v>
          </cell>
          <cell r="E33" t="str">
            <v>C$33$</v>
          </cell>
          <cell r="F33" t="str">
            <v>='210.2.1'!C$33$</v>
          </cell>
          <cell r="G33" t="str">
            <v>EXCAVACIÓN EN ROCA DE LA EXPLANACIÓN Y CANALES</v>
          </cell>
          <cell r="I33">
            <v>16778.329700808015</v>
          </cell>
          <cell r="J33">
            <v>24771.23174819324</v>
          </cell>
          <cell r="K33">
            <v>0</v>
          </cell>
          <cell r="L33">
            <v>1207.125</v>
          </cell>
          <cell r="M33">
            <v>42756.686449001252</v>
          </cell>
          <cell r="N33">
            <v>55583.692383701629</v>
          </cell>
        </row>
        <row r="34">
          <cell r="C34" t="str">
            <v>210.2.2</v>
          </cell>
          <cell r="D34" t="str">
            <v>m3</v>
          </cell>
          <cell r="E34" t="str">
            <v>C$33$</v>
          </cell>
          <cell r="F34" t="str">
            <v>='210.2.2'!C$33$</v>
          </cell>
          <cell r="G34" t="str">
            <v>EXCAVACIÓN EN MATERIAL COMÚN DE LA EXPLANACIÓN Y CANALES</v>
          </cell>
          <cell r="I34">
            <v>5315.0941739184518</v>
          </cell>
          <cell r="J34">
            <v>8035.119969371136</v>
          </cell>
          <cell r="K34">
            <v>0</v>
          </cell>
          <cell r="L34">
            <v>135.47979797979798</v>
          </cell>
          <cell r="M34">
            <v>13485.693941269386</v>
          </cell>
          <cell r="N34">
            <v>17531.402123650201</v>
          </cell>
        </row>
        <row r="35">
          <cell r="C35" t="str">
            <v>210.2.3</v>
          </cell>
          <cell r="D35" t="str">
            <v>m3</v>
          </cell>
          <cell r="E35" t="str">
            <v>C$33$</v>
          </cell>
          <cell r="F35" t="str">
            <v>='210.2.3'!C$33$</v>
          </cell>
          <cell r="G35" t="str">
            <v>EXCAVACIÓN EN ROCA DE PRÉSTAMOS</v>
          </cell>
          <cell r="I35">
            <v>4273.3368138224259</v>
          </cell>
          <cell r="J35">
            <v>13522.06379107365</v>
          </cell>
          <cell r="K35">
            <v>0</v>
          </cell>
          <cell r="L35">
            <v>365.7954545454545</v>
          </cell>
          <cell r="M35">
            <v>18161.196059441532</v>
          </cell>
          <cell r="N35">
            <v>23609.554877273993</v>
          </cell>
        </row>
        <row r="36">
          <cell r="C36" t="str">
            <v>210.2.4</v>
          </cell>
          <cell r="D36" t="str">
            <v>m3</v>
          </cell>
          <cell r="E36" t="str">
            <v>C$33$</v>
          </cell>
          <cell r="F36" t="str">
            <v>='210.2.4'!C$33$</v>
          </cell>
          <cell r="G36" t="str">
            <v>EXCAVACIÓN EN MATERIAL COMÚN DE PRÉSTAMOS</v>
          </cell>
          <cell r="I36">
            <v>3456.3701829555553</v>
          </cell>
          <cell r="J36">
            <v>0</v>
          </cell>
          <cell r="K36">
            <v>0</v>
          </cell>
          <cell r="L36">
            <v>135.47979797979798</v>
          </cell>
          <cell r="M36">
            <v>3591.8499809353534</v>
          </cell>
          <cell r="N36">
            <v>4669.404975215959</v>
          </cell>
        </row>
        <row r="37">
          <cell r="C37" t="str">
            <v>211.1</v>
          </cell>
          <cell r="D37" t="str">
            <v>m3</v>
          </cell>
          <cell r="E37" t="str">
            <v>C$33$</v>
          </cell>
          <cell r="F37" t="str">
            <v>='211.1'!C$33$</v>
          </cell>
          <cell r="G37" t="str">
            <v>REMOCIÓN DE DERRUMBES</v>
          </cell>
          <cell r="I37">
            <v>9841.4695843988557</v>
          </cell>
          <cell r="J37">
            <v>8373.440810186763</v>
          </cell>
          <cell r="K37">
            <v>0</v>
          </cell>
          <cell r="L37">
            <v>764.95183044315991</v>
          </cell>
          <cell r="M37">
            <v>18979.862225028777</v>
          </cell>
          <cell r="N37">
            <v>24673.820892537409</v>
          </cell>
        </row>
        <row r="38">
          <cell r="C38" t="str">
            <v>220.1</v>
          </cell>
          <cell r="D38" t="str">
            <v>m3</v>
          </cell>
          <cell r="E38" t="str">
            <v>C$33$</v>
          </cell>
          <cell r="F38" t="str">
            <v>='220.1'!C$33$</v>
          </cell>
          <cell r="G38" t="str">
            <v>TERRAPLENES</v>
          </cell>
          <cell r="I38">
            <v>14061.230999127722</v>
          </cell>
          <cell r="J38">
            <v>0</v>
          </cell>
          <cell r="K38">
            <v>0</v>
          </cell>
          <cell r="L38">
            <v>482.84999999999997</v>
          </cell>
          <cell r="M38">
            <v>14544.080999127722</v>
          </cell>
          <cell r="N38">
            <v>18907.305298866038</v>
          </cell>
        </row>
        <row r="39">
          <cell r="C39" t="str">
            <v>221.1</v>
          </cell>
          <cell r="D39" t="str">
            <v>m3</v>
          </cell>
          <cell r="E39" t="str">
            <v>C$33$</v>
          </cell>
          <cell r="F39" t="str">
            <v>='221.1'!C$33$</v>
          </cell>
          <cell r="G39" t="str">
            <v>PEDRAPLÉN COMPACTO</v>
          </cell>
          <cell r="I39">
            <v>16434.433295863637</v>
          </cell>
          <cell r="J39">
            <v>0</v>
          </cell>
          <cell r="K39">
            <v>0</v>
          </cell>
          <cell r="L39">
            <v>1609.5</v>
          </cell>
          <cell r="M39">
            <v>18043.933295863637</v>
          </cell>
          <cell r="N39">
            <v>23457.113284622726</v>
          </cell>
        </row>
        <row r="40">
          <cell r="C40" t="str">
            <v>221.2</v>
          </cell>
          <cell r="D40" t="str">
            <v>m3</v>
          </cell>
          <cell r="E40" t="str">
            <v>C$33$</v>
          </cell>
          <cell r="F40" t="str">
            <v>='221.2'!C$33$</v>
          </cell>
          <cell r="G40" t="str">
            <v>PEDRAPLÉN SUELTO</v>
          </cell>
          <cell r="I40">
            <v>4646.8099774072434</v>
          </cell>
          <cell r="J40">
            <v>0</v>
          </cell>
          <cell r="K40">
            <v>0</v>
          </cell>
          <cell r="L40">
            <v>603.5625</v>
          </cell>
          <cell r="M40">
            <v>5250.3724774072434</v>
          </cell>
          <cell r="N40">
            <v>6825.484220629417</v>
          </cell>
        </row>
        <row r="41">
          <cell r="C41" t="str">
            <v>223.1</v>
          </cell>
          <cell r="D41" t="str">
            <v>m2</v>
          </cell>
          <cell r="E41" t="str">
            <v>C$33$</v>
          </cell>
          <cell r="F41" t="str">
            <v>='223.1'!C$33$</v>
          </cell>
          <cell r="G41" t="str">
            <v>GEOTEXTIL DE REFUERZO TIPO TEJIDO PARA TERRAPLENES REFORZADOS CON GEOSINTÉTICOS</v>
          </cell>
          <cell r="I41">
            <v>2.6467333333333332</v>
          </cell>
          <cell r="J41">
            <v>9815.9289913400698</v>
          </cell>
          <cell r="K41">
            <v>0</v>
          </cell>
          <cell r="L41">
            <v>264.67333333333329</v>
          </cell>
          <cell r="M41">
            <v>10083.249058006737</v>
          </cell>
          <cell r="N41">
            <v>13108.223775408758</v>
          </cell>
        </row>
        <row r="42">
          <cell r="C42" t="str">
            <v>223.2</v>
          </cell>
          <cell r="D42" t="str">
            <v>m2</v>
          </cell>
          <cell r="E42" t="str">
            <v>C$33$</v>
          </cell>
          <cell r="F42" t="str">
            <v>='223.2'!C$33$</v>
          </cell>
          <cell r="G42" t="str">
            <v xml:space="preserve">GEOMALLA DE REFUERZO TIPO UNIAXIAL PARA TERRAPLENES REFORZADOS CON GEOSINTÉTICOS   </v>
          </cell>
          <cell r="I42">
            <v>2.6467333333333332</v>
          </cell>
          <cell r="J42">
            <v>21374.286897276794</v>
          </cell>
          <cell r="K42">
            <v>0</v>
          </cell>
          <cell r="L42">
            <v>264.67333333333329</v>
          </cell>
          <cell r="M42">
            <v>21641.606963943461</v>
          </cell>
          <cell r="N42">
            <v>28134.089053126499</v>
          </cell>
        </row>
        <row r="43">
          <cell r="C43" t="str">
            <v>223.3.1</v>
          </cell>
          <cell r="D43" t="str">
            <v>m3</v>
          </cell>
          <cell r="E43" t="str">
            <v>C$33$</v>
          </cell>
          <cell r="F43" t="str">
            <v>='223.3.1'!C$33$</v>
          </cell>
          <cell r="G43" t="str">
            <v xml:space="preserve">RELLENO TIPO RECEBO PARA TERRAPLENES REFORZADOS CON GEOSINTÉTICOS   </v>
          </cell>
          <cell r="I43">
            <v>15638.294073104873</v>
          </cell>
          <cell r="J43">
            <v>40709.44901655276</v>
          </cell>
          <cell r="K43">
            <v>1607.1887533686834</v>
          </cell>
          <cell r="L43">
            <v>735.2037037037037</v>
          </cell>
          <cell r="M43">
            <v>58690.135546730016</v>
          </cell>
          <cell r="N43">
            <v>76297</v>
          </cell>
        </row>
        <row r="44">
          <cell r="C44" t="str">
            <v>223.3.2.1</v>
          </cell>
          <cell r="D44" t="str">
            <v>m3</v>
          </cell>
          <cell r="E44" t="str">
            <v>C$33$</v>
          </cell>
          <cell r="F44" t="str">
            <v>='223.3.2.1'!C$33$</v>
          </cell>
          <cell r="G44" t="str">
            <v xml:space="preserve">RELLENO TIPO SBG-50 CLASE C PARA TERRAPLENES REFORZADOS CON GEOSINTÉTICOS </v>
          </cell>
          <cell r="I44">
            <v>15638.294073104873</v>
          </cell>
          <cell r="J44">
            <v>77718.039031600725</v>
          </cell>
          <cell r="K44">
            <v>1607.1887533686834</v>
          </cell>
          <cell r="L44">
            <v>735.2037037037037</v>
          </cell>
          <cell r="M44">
            <v>95698.725561777988</v>
          </cell>
          <cell r="N44">
            <v>124408.34323031138</v>
          </cell>
        </row>
        <row r="45">
          <cell r="C45" t="str">
            <v>223.3.2.2</v>
          </cell>
          <cell r="D45" t="str">
            <v>m3</v>
          </cell>
          <cell r="E45" t="str">
            <v>C$33$</v>
          </cell>
          <cell r="F45" t="str">
            <v>='223.3.2.2'!C$33$</v>
          </cell>
          <cell r="G45" t="str">
            <v xml:space="preserve">RELLENO TIPO SBG-38 CLASE C PARA TERRAPLENES REFORZADOS CON GEOSINTÉTICOS </v>
          </cell>
          <cell r="I45">
            <v>15638.294073104873</v>
          </cell>
          <cell r="J45">
            <v>77718.039031600725</v>
          </cell>
          <cell r="K45">
            <v>1607.1887533686834</v>
          </cell>
          <cell r="L45">
            <v>735.2037037037037</v>
          </cell>
          <cell r="M45">
            <v>95698.725561777988</v>
          </cell>
          <cell r="N45">
            <v>124408.34323031138</v>
          </cell>
        </row>
        <row r="46">
          <cell r="C46" t="str">
            <v>223.3.2.3</v>
          </cell>
          <cell r="D46" t="str">
            <v>m3</v>
          </cell>
          <cell r="E46" t="str">
            <v>C$33$</v>
          </cell>
          <cell r="F46" t="str">
            <v>='223.3.2.3'!C$33$</v>
          </cell>
          <cell r="G46" t="str">
            <v xml:space="preserve">RELLENO TIPO SBG-20 CLASE C PARA TERRAPLENES REFORZADOS CON GEOSINTÉTICOS </v>
          </cell>
          <cell r="I46">
            <v>15638.294073104873</v>
          </cell>
          <cell r="J46">
            <v>77718.039031600725</v>
          </cell>
          <cell r="K46">
            <v>1607.1887533686834</v>
          </cell>
          <cell r="L46">
            <v>735.2037037037037</v>
          </cell>
          <cell r="M46">
            <v>95698.725561777988</v>
          </cell>
          <cell r="N46">
            <v>124408.34323031138</v>
          </cell>
        </row>
        <row r="47">
          <cell r="C47" t="str">
            <v>223.3.3</v>
          </cell>
          <cell r="D47" t="str">
            <v>m3</v>
          </cell>
          <cell r="E47" t="str">
            <v>C$33$</v>
          </cell>
          <cell r="F47" t="str">
            <v>='223.3.3'!C$33$</v>
          </cell>
          <cell r="G47" t="str">
            <v>RELLENO TIPO BG PARA TERRAPLENES REFORZADOS CON GEOSINTÉTICOS</v>
          </cell>
          <cell r="I47">
            <v>15638.294073104873</v>
          </cell>
          <cell r="J47">
            <v>92151.389137469436</v>
          </cell>
          <cell r="K47">
            <v>1607.1887533686834</v>
          </cell>
          <cell r="L47">
            <v>735.2037037037037</v>
          </cell>
          <cell r="M47">
            <v>110132.0756676467</v>
          </cell>
          <cell r="N47">
            <v>143171.69836794073</v>
          </cell>
        </row>
        <row r="48">
          <cell r="C48" t="str">
            <v>230.1</v>
          </cell>
          <cell r="D48" t="str">
            <v>m2</v>
          </cell>
          <cell r="E48" t="str">
            <v>C$33$</v>
          </cell>
          <cell r="F48" t="str">
            <v>='230.1'!C$33$</v>
          </cell>
          <cell r="G48" t="str">
            <v>MEJORAMIENTO DE LA SUBRASANTE CON ADICION DE MATERIALES</v>
          </cell>
          <cell r="I48">
            <v>3053.9351687078724</v>
          </cell>
          <cell r="J48">
            <v>0</v>
          </cell>
          <cell r="K48">
            <v>0</v>
          </cell>
          <cell r="L48">
            <v>165.42083333333332</v>
          </cell>
          <cell r="M48">
            <v>3219.3560020412056</v>
          </cell>
          <cell r="N48">
            <v>4185.1628026535673</v>
          </cell>
        </row>
        <row r="49">
          <cell r="C49" t="str">
            <v>231.1</v>
          </cell>
          <cell r="D49" t="str">
            <v>m2</v>
          </cell>
          <cell r="E49" t="str">
            <v>C$33$</v>
          </cell>
          <cell r="F49" t="str">
            <v>='231.1'!C$33$</v>
          </cell>
          <cell r="G49" t="str">
            <v>GEOTEXTIL PARA SEPARACIÓN DE SUELOS DE SUBRASANTE Y CAPAS GRANULARES</v>
          </cell>
          <cell r="I49">
            <v>2.6467333333333332</v>
          </cell>
          <cell r="J49">
            <v>9060.8575304677561</v>
          </cell>
          <cell r="K49">
            <v>0</v>
          </cell>
          <cell r="L49">
            <v>264.67333333333329</v>
          </cell>
          <cell r="M49">
            <v>9328.1775971344232</v>
          </cell>
          <cell r="N49">
            <v>12126.63087627475</v>
          </cell>
        </row>
        <row r="50">
          <cell r="C50" t="str">
            <v>232.1</v>
          </cell>
          <cell r="D50" t="str">
            <v>m2</v>
          </cell>
          <cell r="E50" t="str">
            <v>C$33$</v>
          </cell>
          <cell r="F50" t="str">
            <v>='232.1'!C$33$</v>
          </cell>
          <cell r="G50" t="str">
            <v xml:space="preserve">GEOTEXTIL PARA ESTABILIZACIÓN DE LA SUBRASANTE </v>
          </cell>
          <cell r="I50">
            <v>2.6467333333333332</v>
          </cell>
          <cell r="J50">
            <v>8305.7860695954441</v>
          </cell>
          <cell r="K50">
            <v>0</v>
          </cell>
          <cell r="L50">
            <v>264.67333333333329</v>
          </cell>
          <cell r="M50">
            <v>8573.1061362621112</v>
          </cell>
          <cell r="N50">
            <v>11145.037977140744</v>
          </cell>
        </row>
        <row r="51">
          <cell r="C51" t="str">
            <v>233.1</v>
          </cell>
          <cell r="D51" t="str">
            <v>m2</v>
          </cell>
          <cell r="E51" t="str">
            <v>C$33$</v>
          </cell>
          <cell r="F51" t="str">
            <v>='233.1'!C$33$</v>
          </cell>
          <cell r="G51" t="str">
            <v>GEOMALLA PARA ESTABILIZACION DE SUELOS DE SUBRASANTE</v>
          </cell>
          <cell r="I51">
            <v>2.6467333333333332</v>
          </cell>
          <cell r="J51">
            <v>16295.361255663571</v>
          </cell>
          <cell r="K51">
            <v>0</v>
          </cell>
          <cell r="L51">
            <v>264.67333333333329</v>
          </cell>
          <cell r="M51">
            <v>16562.681322330238</v>
          </cell>
          <cell r="N51">
            <v>21531.485719029311</v>
          </cell>
        </row>
        <row r="52">
          <cell r="C52" t="str">
            <v>233.10</v>
          </cell>
          <cell r="D52" t="str">
            <v>m2</v>
          </cell>
          <cell r="E52" t="str">
            <v>C$33$</v>
          </cell>
          <cell r="F52" t="str">
            <v>='233.10'!C$33$</v>
          </cell>
          <cell r="G52" t="str">
            <v>GEOMALLA PARA REFUERZO DE CAPAS GRANULARES</v>
          </cell>
          <cell r="I52">
            <v>2.6467333333333332</v>
          </cell>
          <cell r="J52">
            <v>17653.308026968869</v>
          </cell>
          <cell r="K52">
            <v>0</v>
          </cell>
          <cell r="L52">
            <v>264.67333333333329</v>
          </cell>
          <cell r="M52">
            <v>17920.628093635536</v>
          </cell>
          <cell r="N52">
            <v>23296.816521726196</v>
          </cell>
        </row>
        <row r="53">
          <cell r="C53" t="str">
            <v>234.1</v>
          </cell>
          <cell r="D53" t="str">
            <v>m2</v>
          </cell>
          <cell r="E53" t="str">
            <v>C$33$</v>
          </cell>
          <cell r="F53" t="str">
            <v>='234.1'!C$33$</v>
          </cell>
          <cell r="G53" t="str">
            <v>CONFORMACIÓN DE TALUDES EXISTENTES</v>
          </cell>
          <cell r="I53">
            <v>814.98670981767543</v>
          </cell>
          <cell r="J53">
            <v>0</v>
          </cell>
          <cell r="K53">
            <v>0</v>
          </cell>
          <cell r="L53">
            <v>132.33666666666664</v>
          </cell>
          <cell r="M53">
            <v>947.32337648434213</v>
          </cell>
          <cell r="N53">
            <v>1231.5203894296449</v>
          </cell>
        </row>
        <row r="54">
          <cell r="C54" t="str">
            <v>235.1</v>
          </cell>
          <cell r="D54" t="str">
            <v>m3</v>
          </cell>
          <cell r="E54" t="str">
            <v>C$33$</v>
          </cell>
          <cell r="F54" t="str">
            <v>='235.1'!C$33$</v>
          </cell>
          <cell r="G54" t="str">
            <v>SUBRASANTE ESTABILIZADA CON CEMENTO (INCLUYE SUMINISTRO DEl CEMENTO)</v>
          </cell>
          <cell r="I54">
            <v>14795.738119812271</v>
          </cell>
          <cell r="J54">
            <v>57447.588074422238</v>
          </cell>
          <cell r="K54">
            <v>0</v>
          </cell>
          <cell r="L54">
            <v>945.2619047619047</v>
          </cell>
          <cell r="M54">
            <v>73188.588098996421</v>
          </cell>
          <cell r="N54">
            <v>95145.164528695343</v>
          </cell>
        </row>
        <row r="55">
          <cell r="C55" t="str">
            <v>235.10</v>
          </cell>
          <cell r="D55" t="str">
            <v>m3</v>
          </cell>
          <cell r="E55" t="str">
            <v>C$33$</v>
          </cell>
          <cell r="F55" t="str">
            <v>='235.10'!C$33$</v>
          </cell>
          <cell r="G55" t="str">
            <v>SUBRASANTE ESTABILIZADA CON CEMENTO (NO INCLUYE SUMINISTRO DEL CEMENTO)</v>
          </cell>
          <cell r="I55">
            <v>14795.738119812271</v>
          </cell>
          <cell r="J55">
            <v>2311.0895164664412</v>
          </cell>
          <cell r="K55">
            <v>0</v>
          </cell>
          <cell r="L55">
            <v>945.2619047619047</v>
          </cell>
          <cell r="M55">
            <v>18052.089541040616</v>
          </cell>
          <cell r="N55">
            <v>23467.716403352802</v>
          </cell>
        </row>
        <row r="56">
          <cell r="C56" t="str">
            <v>235.11</v>
          </cell>
          <cell r="D56" t="str">
            <v>kg</v>
          </cell>
          <cell r="E56" t="str">
            <v>C$33$</v>
          </cell>
          <cell r="F56" t="str">
            <v>='235.11'!C$33$</v>
          </cell>
          <cell r="G56" t="str">
            <v>CEMENTO PARA ESTABILIZACIÓN DE SUBRASANTE</v>
          </cell>
          <cell r="I56">
            <v>0</v>
          </cell>
          <cell r="J56">
            <v>689.20623197444752</v>
          </cell>
          <cell r="K56">
            <v>0</v>
          </cell>
          <cell r="L56">
            <v>0</v>
          </cell>
          <cell r="M56">
            <v>689.20623197444752</v>
          </cell>
          <cell r="N56">
            <v>895.9681015667818</v>
          </cell>
        </row>
        <row r="57">
          <cell r="C57" t="str">
            <v>236.1</v>
          </cell>
          <cell r="D57" t="str">
            <v>m3</v>
          </cell>
          <cell r="E57" t="str">
            <v>C$33$</v>
          </cell>
          <cell r="F57" t="str">
            <v>='236.1'!C$33$</v>
          </cell>
          <cell r="G57" t="str">
            <v>SUBRASANTE ESTABILIZADA CON CAL (INCLUYE SUMINISTRO DE LA CAL)</v>
          </cell>
          <cell r="I57">
            <v>14795.738119812271</v>
          </cell>
          <cell r="J57">
            <v>87567.941402004377</v>
          </cell>
          <cell r="K57">
            <v>0</v>
          </cell>
          <cell r="L57">
            <v>945.2619047619047</v>
          </cell>
          <cell r="M57">
            <v>103308.94142657856</v>
          </cell>
          <cell r="N57">
            <v>134301.62385455213</v>
          </cell>
        </row>
        <row r="58">
          <cell r="C58" t="str">
            <v>236.10</v>
          </cell>
          <cell r="D58" t="str">
            <v>m3</v>
          </cell>
          <cell r="E58" t="str">
            <v>C$33$</v>
          </cell>
          <cell r="F58" t="str">
            <v>='236.10'!C$33$</v>
          </cell>
          <cell r="G58" t="str">
            <v>SUBRASANTE ESTABILIZADA CON CAL (NO INCLUYE SUMINISTRO DE LA CAL)</v>
          </cell>
          <cell r="I58">
            <v>14795.738119812271</v>
          </cell>
          <cell r="J58">
            <v>2311.0895164664412</v>
          </cell>
          <cell r="K58">
            <v>0</v>
          </cell>
          <cell r="L58">
            <v>945.2619047619047</v>
          </cell>
          <cell r="M58">
            <v>18052.089541040616</v>
          </cell>
          <cell r="N58">
            <v>23467.716403352802</v>
          </cell>
        </row>
        <row r="59">
          <cell r="C59" t="str">
            <v>236.11</v>
          </cell>
          <cell r="D59" t="str">
            <v>kg</v>
          </cell>
          <cell r="E59" t="str">
            <v>C$33$</v>
          </cell>
          <cell r="F59" t="str">
            <v>='236.11'!C$33$</v>
          </cell>
          <cell r="G59" t="str">
            <v>CAL HIDRATADA PARA ESTABILIZACIÓN DE SUBRASANTE</v>
          </cell>
          <cell r="I59">
            <v>0</v>
          </cell>
          <cell r="J59">
            <v>1065.7106485692243</v>
          </cell>
          <cell r="K59">
            <v>0</v>
          </cell>
          <cell r="L59">
            <v>0</v>
          </cell>
          <cell r="M59">
            <v>1065.7106485692243</v>
          </cell>
          <cell r="N59">
            <v>1385.4238431399917</v>
          </cell>
        </row>
        <row r="60">
          <cell r="C60" t="str">
            <v>310.1</v>
          </cell>
          <cell r="D60" t="str">
            <v>m2</v>
          </cell>
          <cell r="E60" t="str">
            <v>C$33$</v>
          </cell>
          <cell r="F60" t="str">
            <v>='310.1'!C$33$</v>
          </cell>
          <cell r="G60" t="str">
            <v>CONFORMACIÓN DE LA CALZADA EXISTENTE</v>
          </cell>
          <cell r="I60">
            <v>1245.3097545595688</v>
          </cell>
          <cell r="J60">
            <v>277.33074197597296</v>
          </cell>
          <cell r="K60">
            <v>0</v>
          </cell>
          <cell r="L60">
            <v>53.415405314497136</v>
          </cell>
          <cell r="M60">
            <v>1576.0559018500389</v>
          </cell>
          <cell r="N60">
            <v>2048.8726724050507</v>
          </cell>
        </row>
        <row r="61">
          <cell r="C61" t="str">
            <v>311.1</v>
          </cell>
          <cell r="D61" t="str">
            <v>m3</v>
          </cell>
          <cell r="E61" t="str">
            <v>C$33$</v>
          </cell>
          <cell r="F61" t="str">
            <v>='311.1'!C$33$</v>
          </cell>
          <cell r="G61" t="str">
            <v>AFIRMADO</v>
          </cell>
          <cell r="I61">
            <v>11529.852426520656</v>
          </cell>
          <cell r="J61">
            <v>60137.245098115767</v>
          </cell>
          <cell r="K61">
            <v>1420.1937439528442</v>
          </cell>
          <cell r="L61">
            <v>735.2037037037037</v>
          </cell>
          <cell r="M61">
            <v>73822.494972292974</v>
          </cell>
          <cell r="N61">
            <v>95969.243463980863</v>
          </cell>
        </row>
        <row r="62">
          <cell r="C62" t="str">
            <v>312.1</v>
          </cell>
          <cell r="D62" t="str">
            <v>kg</v>
          </cell>
          <cell r="E62" t="str">
            <v>C$33$</v>
          </cell>
          <cell r="F62" t="str">
            <v>='312.1'!C$33$</v>
          </cell>
          <cell r="G62" t="str">
            <v>TRATAMIENTO PALIATIVO DE POLVO APLICADO EN FORMA SÓLIDA EN HOJUELAS</v>
          </cell>
          <cell r="I62">
            <v>0</v>
          </cell>
          <cell r="J62">
            <v>6789.4884180959343</v>
          </cell>
          <cell r="K62">
            <v>0</v>
          </cell>
          <cell r="L62">
            <v>0</v>
          </cell>
          <cell r="M62">
            <v>6789.4884180959343</v>
          </cell>
          <cell r="N62">
            <v>8826.3349435247146</v>
          </cell>
        </row>
        <row r="63">
          <cell r="C63" t="str">
            <v>312.2</v>
          </cell>
          <cell r="D63" t="str">
            <v>kg</v>
          </cell>
          <cell r="E63" t="str">
            <v>C$33$</v>
          </cell>
          <cell r="F63" t="str">
            <v>='312.2'!C$33$</v>
          </cell>
          <cell r="G63" t="str">
            <v>TRATAMIENTO PALIATIVO DE POLVO APLICADO EN FORMA SÓLIDA EN ESFERAS</v>
          </cell>
          <cell r="I63">
            <v>0</v>
          </cell>
          <cell r="J63">
            <v>5925.9009774112137</v>
          </cell>
          <cell r="K63">
            <v>0</v>
          </cell>
          <cell r="L63">
            <v>0</v>
          </cell>
          <cell r="M63">
            <v>5925.9009774112137</v>
          </cell>
          <cell r="N63">
            <v>7703.6712706345779</v>
          </cell>
        </row>
        <row r="64">
          <cell r="C64" t="str">
            <v>312.3</v>
          </cell>
          <cell r="D64" t="str">
            <v>L</v>
          </cell>
          <cell r="E64" t="str">
            <v>C$33$</v>
          </cell>
          <cell r="F64" t="str">
            <v>='312.3'!C$33$</v>
          </cell>
          <cell r="G64" t="str">
            <v>TRATAMIENTO PALIATIVO DE POLVO APLICADO EN FORMA LÍQUIDA</v>
          </cell>
          <cell r="I64">
            <v>0</v>
          </cell>
          <cell r="J64">
            <v>2225.7679325266945</v>
          </cell>
          <cell r="K64">
            <v>0</v>
          </cell>
          <cell r="L64">
            <v>0</v>
          </cell>
          <cell r="M64">
            <v>2225.7679325266945</v>
          </cell>
          <cell r="N64">
            <v>2893.4983122847029</v>
          </cell>
        </row>
        <row r="65">
          <cell r="C65" t="str">
            <v>312.4</v>
          </cell>
          <cell r="D65" t="str">
            <v>m3</v>
          </cell>
          <cell r="E65" t="str">
            <v>C$33$</v>
          </cell>
          <cell r="F65" t="str">
            <v>='312.4'!C$33$</v>
          </cell>
          <cell r="G65" t="str">
            <v>MATERIAL GRANULAR DE ADICIÓN</v>
          </cell>
          <cell r="I65">
            <v>13892.652598694765</v>
          </cell>
          <cell r="J65">
            <v>60414.57584009174</v>
          </cell>
          <cell r="K65">
            <v>1420.1937439528442</v>
          </cell>
          <cell r="L65">
            <v>735.2037037037037</v>
          </cell>
          <cell r="M65">
            <v>76462.625886443057</v>
          </cell>
          <cell r="N65">
            <v>99401.413652375981</v>
          </cell>
        </row>
        <row r="66">
          <cell r="C66" t="str">
            <v>320.1.1</v>
          </cell>
          <cell r="D66" t="str">
            <v>m3</v>
          </cell>
          <cell r="E66" t="str">
            <v>C$33$</v>
          </cell>
          <cell r="F66" t="str">
            <v>='320.1.1'!C$33$</v>
          </cell>
          <cell r="G66" t="str">
            <v>SUB-BASE GRANULAR CLASE A SBG-50</v>
          </cell>
          <cell r="I66">
            <v>12952.082938169073</v>
          </cell>
          <cell r="J66">
            <v>82860.519367355228</v>
          </cell>
          <cell r="K66">
            <v>1671.4763035034307</v>
          </cell>
          <cell r="L66">
            <v>447.08333333333331</v>
          </cell>
          <cell r="M66">
            <v>97931.161942361054</v>
          </cell>
          <cell r="N66">
            <v>127310.51052506937</v>
          </cell>
        </row>
        <row r="67">
          <cell r="C67" t="str">
            <v>320.1.2</v>
          </cell>
          <cell r="D67" t="str">
            <v>m3</v>
          </cell>
          <cell r="E67" t="str">
            <v>C$33$</v>
          </cell>
          <cell r="F67" t="str">
            <v>='320.1.2'!C$33$</v>
          </cell>
          <cell r="G67" t="str">
            <v>SUB-BASE GRANULAR CLASE A SBG-38</v>
          </cell>
          <cell r="I67">
            <v>12952.082938169073</v>
          </cell>
          <cell r="J67">
            <v>82860.519367355228</v>
          </cell>
          <cell r="K67">
            <v>1671.4763035034307</v>
          </cell>
          <cell r="L67">
            <v>447.08333333333331</v>
          </cell>
          <cell r="M67">
            <v>97931.161942361054</v>
          </cell>
          <cell r="N67">
            <v>127310.51052506937</v>
          </cell>
        </row>
        <row r="68">
          <cell r="C68" t="str">
            <v>320.2.1</v>
          </cell>
          <cell r="D68" t="str">
            <v>m3</v>
          </cell>
          <cell r="E68" t="str">
            <v>C$33$</v>
          </cell>
          <cell r="F68" t="str">
            <v>='320.2.1'!C$33$</v>
          </cell>
          <cell r="G68" t="str">
            <v>SUB-BASE GRANULAR CLASE B SBG-50</v>
          </cell>
          <cell r="I68">
            <v>12952.082938169073</v>
          </cell>
          <cell r="J68">
            <v>82860.519367355228</v>
          </cell>
          <cell r="K68">
            <v>1671.4763035034307</v>
          </cell>
          <cell r="L68">
            <v>447.08333333333331</v>
          </cell>
          <cell r="M68">
            <v>97931.161942361054</v>
          </cell>
          <cell r="N68">
            <v>127310.51052506937</v>
          </cell>
        </row>
        <row r="69">
          <cell r="C69" t="str">
            <v>320.2.2</v>
          </cell>
          <cell r="D69" t="str">
            <v>m3</v>
          </cell>
          <cell r="E69" t="str">
            <v>C$33$</v>
          </cell>
          <cell r="F69" t="str">
            <v>='320.2.2'!C$33$</v>
          </cell>
          <cell r="G69" t="str">
            <v>SUB-BASE GRANULAR CLASE B SBG-38</v>
          </cell>
          <cell r="I69">
            <v>12952.082938169073</v>
          </cell>
          <cell r="J69">
            <v>82860.519367355228</v>
          </cell>
          <cell r="K69">
            <v>1671.4763035034307</v>
          </cell>
          <cell r="L69">
            <v>447.08333333333331</v>
          </cell>
          <cell r="M69">
            <v>97931.161942361054</v>
          </cell>
          <cell r="N69">
            <v>127310.51052506937</v>
          </cell>
        </row>
        <row r="70">
          <cell r="C70" t="str">
            <v>320.3.1</v>
          </cell>
          <cell r="D70" t="str">
            <v>m3</v>
          </cell>
          <cell r="E70" t="str">
            <v>C$33$</v>
          </cell>
          <cell r="F70" t="str">
            <v>='320.3.1'!C$33$</v>
          </cell>
          <cell r="G70" t="str">
            <v>SUBBASE GRANULAR CLASE C SBG-50</v>
          </cell>
          <cell r="I70">
            <v>12952.082938169073</v>
          </cell>
          <cell r="J70">
            <v>82860.519367355228</v>
          </cell>
          <cell r="K70">
            <v>1671.4763035034307</v>
          </cell>
          <cell r="L70">
            <v>447.08333333333331</v>
          </cell>
          <cell r="M70">
            <v>97931.161942361054</v>
          </cell>
          <cell r="N70">
            <v>127310.51052506937</v>
          </cell>
        </row>
        <row r="71">
          <cell r="C71" t="str">
            <v>320.3.2</v>
          </cell>
          <cell r="D71" t="str">
            <v>m3</v>
          </cell>
          <cell r="E71" t="str">
            <v>C$33$</v>
          </cell>
          <cell r="F71" t="str">
            <v>='320.3.2'!C$33$</v>
          </cell>
          <cell r="G71" t="str">
            <v>SUBBASE GRANULAR CLASE C SBG-38</v>
          </cell>
          <cell r="I71">
            <v>12952.082938169073</v>
          </cell>
          <cell r="J71">
            <v>82860.519367355228</v>
          </cell>
          <cell r="K71">
            <v>1671.4763035034307</v>
          </cell>
          <cell r="L71">
            <v>447.08333333333331</v>
          </cell>
          <cell r="M71">
            <v>97931.161942361054</v>
          </cell>
          <cell r="N71">
            <v>127310.51052506937</v>
          </cell>
        </row>
        <row r="72">
          <cell r="C72" t="str">
            <v>320.4.1</v>
          </cell>
          <cell r="D72" t="str">
            <v>m3</v>
          </cell>
          <cell r="E72" t="str">
            <v>C$33$</v>
          </cell>
          <cell r="F72" t="str">
            <v>='320.4.1'!C$33$</v>
          </cell>
          <cell r="G72" t="str">
            <v>SUB-BASE GRANULAR  PARA BACHEO CLASE A SBG.50</v>
          </cell>
          <cell r="I72">
            <v>2494.9595381685372</v>
          </cell>
          <cell r="J72">
            <v>82860.519367355228</v>
          </cell>
          <cell r="K72">
            <v>1671.4763035034307</v>
          </cell>
          <cell r="L72">
            <v>8941.6666666666661</v>
          </cell>
          <cell r="M72">
            <v>95968.621875693862</v>
          </cell>
          <cell r="N72">
            <v>124759.20843840201</v>
          </cell>
        </row>
        <row r="73">
          <cell r="C73" t="str">
            <v>320.4.2</v>
          </cell>
          <cell r="D73" t="str">
            <v>m3</v>
          </cell>
          <cell r="E73" t="str">
            <v>C$33$</v>
          </cell>
          <cell r="F73" t="str">
            <v>='320.4.2'!C$33$</v>
          </cell>
          <cell r="G73" t="str">
            <v>SUB-BASE GRANULAR  PARA BACHEO CLASE A SBG-38</v>
          </cell>
          <cell r="I73">
            <v>2494.9595381685372</v>
          </cell>
          <cell r="J73">
            <v>82860.519367355228</v>
          </cell>
          <cell r="K73">
            <v>1671.4763035034307</v>
          </cell>
          <cell r="L73">
            <v>8941.6666666666661</v>
          </cell>
          <cell r="M73">
            <v>95968.621875693862</v>
          </cell>
          <cell r="N73">
            <v>124759.20843840201</v>
          </cell>
        </row>
        <row r="74">
          <cell r="C74" t="str">
            <v>320.5.1</v>
          </cell>
          <cell r="D74" t="str">
            <v>m3</v>
          </cell>
          <cell r="E74" t="str">
            <v>C$33$</v>
          </cell>
          <cell r="F74" t="str">
            <v>='320.5.1'!C$33$</v>
          </cell>
          <cell r="G74" t="str">
            <v>SUB-BASE GRANULAR  PARA BACHEO CLASE B SBG-50</v>
          </cell>
          <cell r="I74">
            <v>2494.9595381685372</v>
          </cell>
          <cell r="J74">
            <v>82860.519367355228</v>
          </cell>
          <cell r="K74">
            <v>1671.4763035034307</v>
          </cell>
          <cell r="L74">
            <v>8941.6666666666661</v>
          </cell>
          <cell r="M74">
            <v>95968.621875693862</v>
          </cell>
          <cell r="N74">
            <v>124759.20843840201</v>
          </cell>
        </row>
        <row r="75">
          <cell r="C75" t="str">
            <v>320.5.2</v>
          </cell>
          <cell r="D75" t="str">
            <v>m3</v>
          </cell>
          <cell r="E75" t="str">
            <v>C$33$</v>
          </cell>
          <cell r="F75" t="str">
            <v>='320.5.2'!C$33$</v>
          </cell>
          <cell r="G75" t="str">
            <v>SUB-BASE GRANULAR  PARA BACHEO CLASE B SBG-38</v>
          </cell>
          <cell r="I75">
            <v>2494.9595381685372</v>
          </cell>
          <cell r="J75">
            <v>82860.519367355228</v>
          </cell>
          <cell r="K75">
            <v>1671.4763035034307</v>
          </cell>
          <cell r="L75">
            <v>8941.6666666666661</v>
          </cell>
          <cell r="M75">
            <v>95968.621875693862</v>
          </cell>
          <cell r="N75">
            <v>124759.20843840201</v>
          </cell>
        </row>
        <row r="76">
          <cell r="C76" t="str">
            <v>320.6.1</v>
          </cell>
          <cell r="D76" t="str">
            <v>m3</v>
          </cell>
          <cell r="E76" t="str">
            <v>C$33$</v>
          </cell>
          <cell r="F76" t="str">
            <v>='320.6.1'!C$33$</v>
          </cell>
          <cell r="G76" t="str">
            <v>SUB-BASE GRANULAR  PARA BACHEO CLASE C SBG-50</v>
          </cell>
          <cell r="I76">
            <v>2494.9595381685372</v>
          </cell>
          <cell r="J76">
            <v>82860.519367355228</v>
          </cell>
          <cell r="K76">
            <v>1671.4763035034307</v>
          </cell>
          <cell r="L76">
            <v>8941.6666666666661</v>
          </cell>
          <cell r="M76">
            <v>95968.621875693862</v>
          </cell>
          <cell r="N76">
            <v>124759.20843840201</v>
          </cell>
        </row>
        <row r="77">
          <cell r="C77" t="str">
            <v>320.6.2</v>
          </cell>
          <cell r="D77" t="str">
            <v>m3</v>
          </cell>
          <cell r="E77" t="str">
            <v>C$33$</v>
          </cell>
          <cell r="F77" t="str">
            <v>='320.6.2'!C$33$</v>
          </cell>
          <cell r="G77" t="str">
            <v>SUB-BASE GRANULAR  PARA BACHEO CLASE C SBG-38</v>
          </cell>
          <cell r="I77">
            <v>2494.9595381685372</v>
          </cell>
          <cell r="J77">
            <v>82860.519367355228</v>
          </cell>
          <cell r="K77">
            <v>1671.4763035034307</v>
          </cell>
          <cell r="L77">
            <v>8941.6666666666661</v>
          </cell>
          <cell r="M77">
            <v>95968.621875693862</v>
          </cell>
          <cell r="N77">
            <v>124759.20843840201</v>
          </cell>
        </row>
        <row r="78">
          <cell r="C78" t="str">
            <v>330.1.1</v>
          </cell>
          <cell r="D78" t="str">
            <v>m3</v>
          </cell>
          <cell r="E78" t="str">
            <v>C$33$</v>
          </cell>
          <cell r="F78" t="str">
            <v>='330.1.1'!C$33$</v>
          </cell>
          <cell r="G78" t="str">
            <v>BASE GRANULAR CLASE A GRADACION FINA</v>
          </cell>
          <cell r="I78">
            <v>17245.599473114318</v>
          </cell>
          <cell r="J78">
            <v>97871.203477458694</v>
          </cell>
          <cell r="K78">
            <v>250721.4455255146</v>
          </cell>
          <cell r="L78">
            <v>596.11111111111109</v>
          </cell>
          <cell r="M78">
            <v>366434.35958719871</v>
          </cell>
          <cell r="N78">
            <v>476364.66746335832</v>
          </cell>
        </row>
        <row r="79">
          <cell r="C79" t="str">
            <v>330.1.2</v>
          </cell>
          <cell r="D79" t="str">
            <v>m3</v>
          </cell>
          <cell r="E79" t="str">
            <v>C$33$</v>
          </cell>
          <cell r="F79" t="str">
            <v>='330.1.2'!C$33$</v>
          </cell>
          <cell r="G79" t="str">
            <v>BASE GRANULAR CLASE A GRADACION GRUESA</v>
          </cell>
          <cell r="I79">
            <v>17245.599473114318</v>
          </cell>
          <cell r="J79">
            <v>97871.203477458694</v>
          </cell>
          <cell r="K79">
            <v>1671.4763035034307</v>
          </cell>
          <cell r="L79">
            <v>596.11111111111109</v>
          </cell>
          <cell r="M79">
            <v>117384.39036518754</v>
          </cell>
          <cell r="N79">
            <v>152599.7074747438</v>
          </cell>
        </row>
        <row r="80">
          <cell r="C80" t="str">
            <v>330.2.1</v>
          </cell>
          <cell r="D80" t="str">
            <v>m3</v>
          </cell>
          <cell r="E80" t="str">
            <v>C$33$</v>
          </cell>
          <cell r="F80" t="str">
            <v>='330.2.1'!C$33$</v>
          </cell>
          <cell r="G80" t="str">
            <v>BASE GRANULAR CLASE B GRADACION FINA</v>
          </cell>
          <cell r="I80">
            <v>17245.599473114318</v>
          </cell>
          <cell r="J80">
            <v>97871.203477458694</v>
          </cell>
          <cell r="K80">
            <v>1671.4763035034307</v>
          </cell>
          <cell r="L80">
            <v>596.11111111111109</v>
          </cell>
          <cell r="M80">
            <v>117384.39036518754</v>
          </cell>
          <cell r="N80">
            <v>152599.7074747438</v>
          </cell>
        </row>
        <row r="81">
          <cell r="C81" t="str">
            <v>330.2.2</v>
          </cell>
          <cell r="D81" t="str">
            <v>m3</v>
          </cell>
          <cell r="E81" t="str">
            <v>C$33$</v>
          </cell>
          <cell r="F81" t="str">
            <v>='330.2.2'!C$33$</v>
          </cell>
          <cell r="G81" t="str">
            <v>BASE GRANULAR CLASE B GRADACION GRUESA</v>
          </cell>
          <cell r="I81">
            <v>17245.599473114318</v>
          </cell>
          <cell r="J81">
            <v>97871.203477458694</v>
          </cell>
          <cell r="K81">
            <v>1671.4763035034307</v>
          </cell>
          <cell r="L81">
            <v>596.11111111111109</v>
          </cell>
          <cell r="M81">
            <v>117384.39036518754</v>
          </cell>
          <cell r="N81">
            <v>152599.7074747438</v>
          </cell>
        </row>
        <row r="82">
          <cell r="C82" t="str">
            <v>330.3.1</v>
          </cell>
          <cell r="D82" t="str">
            <v>m3</v>
          </cell>
          <cell r="E82" t="str">
            <v>C$33$</v>
          </cell>
          <cell r="F82" t="str">
            <v>='330.3.1'!C$33$</v>
          </cell>
          <cell r="G82" t="str">
            <v>BASE GRANULAR CLASE C GRADACION FINA</v>
          </cell>
          <cell r="I82">
            <v>17245.599473114318</v>
          </cell>
          <cell r="J82">
            <v>97871.203477458694</v>
          </cell>
          <cell r="K82">
            <v>1671.4763035034307</v>
          </cell>
          <cell r="L82">
            <v>596.11111111111109</v>
          </cell>
          <cell r="M82">
            <v>117384.39036518754</v>
          </cell>
          <cell r="N82">
            <v>152599.7074747438</v>
          </cell>
        </row>
        <row r="83">
          <cell r="C83" t="str">
            <v>330.3.2</v>
          </cell>
          <cell r="D83" t="str">
            <v>m3</v>
          </cell>
          <cell r="E83" t="str">
            <v>C$33$</v>
          </cell>
          <cell r="F83" t="str">
            <v>='330.3.2'!C$33$</v>
          </cell>
          <cell r="G83" t="str">
            <v xml:space="preserve">BASE GRANULAR CLASE C GRADACION GRUESA </v>
          </cell>
          <cell r="I83">
            <v>17245.599473114318</v>
          </cell>
          <cell r="J83">
            <v>97871.203477458694</v>
          </cell>
          <cell r="K83">
            <v>1671.4763035034307</v>
          </cell>
          <cell r="L83">
            <v>596.11111111111109</v>
          </cell>
          <cell r="M83">
            <v>117384.39036518754</v>
          </cell>
          <cell r="N83">
            <v>152599.7074747438</v>
          </cell>
        </row>
        <row r="84">
          <cell r="C84" t="str">
            <v>330.4.1</v>
          </cell>
          <cell r="D84" t="str">
            <v>m3</v>
          </cell>
          <cell r="E84" t="str">
            <v>C$33$</v>
          </cell>
          <cell r="F84" t="str">
            <v>='330.4.1'!C$33$</v>
          </cell>
          <cell r="G84" t="str">
            <v>BASE GRANULAR PARA BACHEO CLASE A GRADACION FINA</v>
          </cell>
          <cell r="I84">
            <v>2494.9595381685372</v>
          </cell>
          <cell r="J84">
            <v>97871.203477458694</v>
          </cell>
          <cell r="K84">
            <v>250721.4455255146</v>
          </cell>
          <cell r="L84">
            <v>8941.6666666666661</v>
          </cell>
          <cell r="M84">
            <v>360029.27520780853</v>
          </cell>
          <cell r="N84">
            <v>468038.05777015106</v>
          </cell>
        </row>
        <row r="85">
          <cell r="C85" t="str">
            <v>330.4.2</v>
          </cell>
          <cell r="D85" t="str">
            <v>m3</v>
          </cell>
          <cell r="E85" t="str">
            <v>C$33$</v>
          </cell>
          <cell r="F85" t="str">
            <v>='330.4.2'!C$33$</v>
          </cell>
          <cell r="G85" t="str">
            <v>BASE GRANULAR PARA BACHEO CLASE A GRADACION GRUESA</v>
          </cell>
          <cell r="I85">
            <v>2494.9595381685372</v>
          </cell>
          <cell r="J85">
            <v>97871.203477458694</v>
          </cell>
          <cell r="K85">
            <v>1671.4763035034307</v>
          </cell>
          <cell r="L85">
            <v>8941.6666666666661</v>
          </cell>
          <cell r="M85">
            <v>110979.30598579733</v>
          </cell>
          <cell r="N85">
            <v>144273.09778153652</v>
          </cell>
        </row>
        <row r="86">
          <cell r="C86" t="str">
            <v>330.5.1</v>
          </cell>
          <cell r="D86" t="str">
            <v>m3</v>
          </cell>
          <cell r="E86" t="str">
            <v>C$33$</v>
          </cell>
          <cell r="F86" t="str">
            <v>='330.5.1'!C$33$</v>
          </cell>
          <cell r="G86" t="str">
            <v xml:space="preserve">BASE GRANULAR PARA BACHEO CLASE B GRADACION FINA </v>
          </cell>
          <cell r="I86">
            <v>2494.9595381685372</v>
          </cell>
          <cell r="J86">
            <v>97871.203477458694</v>
          </cell>
          <cell r="K86">
            <v>1671.4763035034307</v>
          </cell>
          <cell r="L86">
            <v>8941.6666666666661</v>
          </cell>
          <cell r="M86">
            <v>110979.30598579733</v>
          </cell>
          <cell r="N86">
            <v>144273.09778153652</v>
          </cell>
        </row>
        <row r="87">
          <cell r="C87" t="str">
            <v>330.5.2</v>
          </cell>
          <cell r="D87" t="str">
            <v>m3</v>
          </cell>
          <cell r="E87" t="str">
            <v>C$33$</v>
          </cell>
          <cell r="F87" t="str">
            <v>='330.5.2'!C$33$</v>
          </cell>
          <cell r="G87" t="str">
            <v>BASE GRANULAR PARA BACHEO CLASE B GRADACION GRUESA</v>
          </cell>
          <cell r="I87">
            <v>2494.9595381685372</v>
          </cell>
          <cell r="J87">
            <v>97871.203477458694</v>
          </cell>
          <cell r="K87">
            <v>1671.4763035034307</v>
          </cell>
          <cell r="L87">
            <v>8941.6666666666661</v>
          </cell>
          <cell r="M87">
            <v>110979.30598579733</v>
          </cell>
          <cell r="N87">
            <v>144273.09778153652</v>
          </cell>
        </row>
        <row r="88">
          <cell r="C88" t="str">
            <v>330.6.1</v>
          </cell>
          <cell r="D88" t="str">
            <v>m3</v>
          </cell>
          <cell r="E88" t="str">
            <v>C$33$</v>
          </cell>
          <cell r="F88" t="str">
            <v>='330.6.1'!C$33$</v>
          </cell>
          <cell r="G88" t="str">
            <v>BASE GRANULAR PARA BACHEO CLASE C GRADACION FINA</v>
          </cell>
          <cell r="I88">
            <v>2494.9595381685372</v>
          </cell>
          <cell r="J88">
            <v>97871.203477458694</v>
          </cell>
          <cell r="K88">
            <v>1671.4763035034307</v>
          </cell>
          <cell r="L88">
            <v>8941.6666666666661</v>
          </cell>
          <cell r="M88">
            <v>110979.30598579733</v>
          </cell>
          <cell r="N88">
            <v>144273.09778153652</v>
          </cell>
        </row>
        <row r="89">
          <cell r="C89" t="str">
            <v>330.6.2</v>
          </cell>
          <cell r="D89" t="str">
            <v>m3</v>
          </cell>
          <cell r="E89" t="str">
            <v>C$33$</v>
          </cell>
          <cell r="F89" t="str">
            <v>='330.6.2'!C$33$</v>
          </cell>
          <cell r="G89" t="str">
            <v>BASE GRANULAR PARA BACHEO CLASE C GRADACION GRUESA</v>
          </cell>
          <cell r="I89">
            <v>2494.9595381685372</v>
          </cell>
          <cell r="J89">
            <v>97871.203477458694</v>
          </cell>
          <cell r="K89">
            <v>1671.4763035034307</v>
          </cell>
          <cell r="L89">
            <v>8941.6666666666661</v>
          </cell>
          <cell r="M89">
            <v>110979.30598579733</v>
          </cell>
          <cell r="N89">
            <v>144273.09778153652</v>
          </cell>
        </row>
        <row r="90">
          <cell r="C90" t="str">
            <v>340.1</v>
          </cell>
          <cell r="D90" t="str">
            <v>m3</v>
          </cell>
          <cell r="E90" t="str">
            <v>C$33$</v>
          </cell>
          <cell r="F90" t="str">
            <v>='340.1'!C$33$</v>
          </cell>
          <cell r="G90" t="str">
            <v>BASE ESTABILIZADA CON EMULSIÓN ASFÁLTICA TIPO BEE-38</v>
          </cell>
          <cell r="I90">
            <v>17877.361281203306</v>
          </cell>
          <cell r="J90">
            <v>80826.760592864754</v>
          </cell>
          <cell r="K90">
            <v>1671.4763035034307</v>
          </cell>
          <cell r="L90">
            <v>1102.8055555555554</v>
          </cell>
          <cell r="M90">
            <v>101478.40373312705</v>
          </cell>
          <cell r="N90">
            <v>131921.92485306517</v>
          </cell>
        </row>
        <row r="91">
          <cell r="C91" t="str">
            <v>340.2</v>
          </cell>
          <cell r="D91" t="str">
            <v>m3</v>
          </cell>
          <cell r="E91" t="str">
            <v>C$33$</v>
          </cell>
          <cell r="F91" t="str">
            <v>='340.2'!C$33$</v>
          </cell>
          <cell r="G91" t="str">
            <v>BASE ESTABILIZADA CON EMULSIÓN ASFÁLTICA TIPO BEE-25</v>
          </cell>
          <cell r="I91">
            <v>17877.361281203306</v>
          </cell>
          <cell r="J91">
            <v>80826.760592864754</v>
          </cell>
          <cell r="K91">
            <v>1671.4763035034307</v>
          </cell>
          <cell r="L91">
            <v>1102.8055555555554</v>
          </cell>
          <cell r="M91">
            <v>101478.40373312705</v>
          </cell>
          <cell r="N91">
            <v>131921.92485306517</v>
          </cell>
        </row>
        <row r="92">
          <cell r="C92" t="str">
            <v>340.3</v>
          </cell>
          <cell r="D92" t="str">
            <v>m3</v>
          </cell>
          <cell r="E92" t="str">
            <v>C$33$</v>
          </cell>
          <cell r="F92" t="str">
            <v>='340.3'!C$33$</v>
          </cell>
          <cell r="G92" t="str">
            <v>BASE ESTABILIZADA CON EMULSIÓN ASFÁLTICA TIPO BEE-5</v>
          </cell>
          <cell r="I92">
            <v>17877.361281203306</v>
          </cell>
          <cell r="J92">
            <v>114011.33697072759</v>
          </cell>
          <cell r="K92">
            <v>1671.4763035034307</v>
          </cell>
          <cell r="L92">
            <v>1102.8055555555554</v>
          </cell>
          <cell r="M92">
            <v>134662.98011098988</v>
          </cell>
          <cell r="N92">
            <v>175061.87414428685</v>
          </cell>
        </row>
        <row r="93">
          <cell r="C93" t="str">
            <v>350.1</v>
          </cell>
          <cell r="D93" t="str">
            <v>m3</v>
          </cell>
          <cell r="E93" t="str">
            <v>C$33$</v>
          </cell>
          <cell r="F93" t="str">
            <v>='350.1'!C$33$</v>
          </cell>
          <cell r="G93" t="str">
            <v>SUELO-CEMENTO CLASE SC-D GRADACION TIPO A (INCLUYE SUMINISTRO DEL CEMENTO)</v>
          </cell>
          <cell r="I93">
            <v>11777.00156285678</v>
          </cell>
          <cell r="J93">
            <v>160084.6515164763</v>
          </cell>
          <cell r="K93">
            <v>1671.4763035034307</v>
          </cell>
          <cell r="L93">
            <v>735.2037037037037</v>
          </cell>
          <cell r="M93">
            <v>174268.33308654022</v>
          </cell>
          <cell r="N93">
            <v>226548.83301250229</v>
          </cell>
        </row>
        <row r="94">
          <cell r="C94" t="str">
            <v>350.2</v>
          </cell>
          <cell r="D94" t="str">
            <v>m3</v>
          </cell>
          <cell r="E94" t="str">
            <v>C$33$</v>
          </cell>
          <cell r="F94" t="str">
            <v>='350.2'!C$33$</v>
          </cell>
          <cell r="G94" t="str">
            <v>SUELO-CEMENTO CLASE SC-D GRADACION TIPO B (INCLUYE SUMINISTRO DEL CEMENTO)</v>
          </cell>
          <cell r="I94">
            <v>11465.47357408377</v>
          </cell>
          <cell r="J94">
            <v>160084.6515164763</v>
          </cell>
          <cell r="K94">
            <v>1671.4763035034307</v>
          </cell>
          <cell r="L94">
            <v>735.2037037037037</v>
          </cell>
          <cell r="M94">
            <v>173956.80509776721</v>
          </cell>
          <cell r="N94">
            <v>226143.84662709737</v>
          </cell>
        </row>
        <row r="95">
          <cell r="C95" t="str">
            <v>350.3</v>
          </cell>
          <cell r="D95" t="str">
            <v>m3</v>
          </cell>
          <cell r="E95" t="str">
            <v>C$33$</v>
          </cell>
          <cell r="F95" t="str">
            <v>='350.3'!C$33$</v>
          </cell>
          <cell r="G95" t="str">
            <v>SUELO-CEMENTO CLASE SC-R GRADACION TIPO A (INCLUYE SUMINISTRO DEL CEMENTO)</v>
          </cell>
          <cell r="I95">
            <v>11465.47357408377</v>
          </cell>
          <cell r="J95">
            <v>160084.6515164763</v>
          </cell>
          <cell r="K95">
            <v>1671.4763035034307</v>
          </cell>
          <cell r="L95">
            <v>735.2037037037037</v>
          </cell>
          <cell r="M95">
            <v>173956.80509776721</v>
          </cell>
          <cell r="N95">
            <v>226143.84662709737</v>
          </cell>
        </row>
        <row r="96">
          <cell r="C96" t="str">
            <v>350.4</v>
          </cell>
          <cell r="D96" t="str">
            <v>m3</v>
          </cell>
          <cell r="E96" t="str">
            <v>C$33$</v>
          </cell>
          <cell r="F96" t="str">
            <v>='350.4'!C$33$</v>
          </cell>
          <cell r="G96" t="str">
            <v>SUELO-CEMENTO CLASE SC-R GRADACION TIPO B (INCLUYE SUMINISTRO DEL CEMENTO)</v>
          </cell>
          <cell r="I96">
            <v>11465.47357408377</v>
          </cell>
          <cell r="J96">
            <v>160084.6515164763</v>
          </cell>
          <cell r="K96">
            <v>1671.4763035034307</v>
          </cell>
          <cell r="L96">
            <v>735.2037037037037</v>
          </cell>
          <cell r="M96">
            <v>173956.80509776721</v>
          </cell>
          <cell r="N96">
            <v>226143.84662709737</v>
          </cell>
        </row>
        <row r="97">
          <cell r="C97" t="str">
            <v>350.10</v>
          </cell>
          <cell r="D97" t="str">
            <v>m3</v>
          </cell>
          <cell r="E97" t="str">
            <v>C$33$</v>
          </cell>
          <cell r="F97" t="str">
            <v>='350.10'!C$33$</v>
          </cell>
          <cell r="G97" t="str">
            <v>SUELO-CEMENTO CLASE SC-D GRADACION TIPO A (NO INCLUYE SUMINISTRO DEL CEMENTO)</v>
          </cell>
          <cell r="I97">
            <v>11465.47357408377</v>
          </cell>
          <cell r="J97">
            <v>98056.090638776004</v>
          </cell>
          <cell r="K97">
            <v>1671.4763035034307</v>
          </cell>
          <cell r="L97">
            <v>735.2037037037037</v>
          </cell>
          <cell r="M97">
            <v>111928.2442200669</v>
          </cell>
          <cell r="N97">
            <v>145506.71748608697</v>
          </cell>
        </row>
        <row r="98">
          <cell r="C98" t="str">
            <v>350.11</v>
          </cell>
          <cell r="D98" t="str">
            <v>m3</v>
          </cell>
          <cell r="E98" t="str">
            <v>C$33$</v>
          </cell>
          <cell r="F98" t="str">
            <v>='350.11'!C$33$</v>
          </cell>
          <cell r="G98" t="str">
            <v>SUELO-CEMENTO CLASE SC-D GRADACION TIPO B (NO INCLUYE SUMINISTRO DEL CEMENTO)</v>
          </cell>
          <cell r="I98">
            <v>11465.47357408377</v>
          </cell>
          <cell r="J98">
            <v>98056.090638776004</v>
          </cell>
          <cell r="K98">
            <v>1671.4763035034307</v>
          </cell>
          <cell r="L98">
            <v>735.2037037037037</v>
          </cell>
          <cell r="M98">
            <v>111928.2442200669</v>
          </cell>
          <cell r="N98">
            <v>145506.71748608697</v>
          </cell>
        </row>
        <row r="99">
          <cell r="C99" t="str">
            <v>350.12</v>
          </cell>
          <cell r="D99" t="str">
            <v>m3</v>
          </cell>
          <cell r="E99" t="str">
            <v>C$33$</v>
          </cell>
          <cell r="F99" t="str">
            <v>='350.12'!C$33$</v>
          </cell>
          <cell r="G99" t="str">
            <v>SUELO-CEMENTO CLASE SC-R GRADACION TIPO A (NO INCLUYE SUMINISTRO DEL CEMENTO)</v>
          </cell>
          <cell r="I99">
            <v>11465.47357408377</v>
          </cell>
          <cell r="J99">
            <v>98056.090638776004</v>
          </cell>
          <cell r="K99">
            <v>1671.4763035034307</v>
          </cell>
          <cell r="L99">
            <v>735.2037037037037</v>
          </cell>
          <cell r="M99">
            <v>111928.2442200669</v>
          </cell>
          <cell r="N99">
            <v>145506.71748608697</v>
          </cell>
        </row>
        <row r="100">
          <cell r="C100" t="str">
            <v>350.13</v>
          </cell>
          <cell r="D100" t="str">
            <v>m3</v>
          </cell>
          <cell r="E100" t="str">
            <v>C$33$</v>
          </cell>
          <cell r="F100" t="str">
            <v>='350.13'!C$33$</v>
          </cell>
          <cell r="G100" t="str">
            <v>SUELO-CEMENTO CLASE SC-R GRADACION TIPO B (NO INCLUYE SUMINISTRO DEL CEMENTO)</v>
          </cell>
          <cell r="I100">
            <v>11465.47357408377</v>
          </cell>
          <cell r="J100">
            <v>98056.090638776004</v>
          </cell>
          <cell r="K100">
            <v>1671.4763035034307</v>
          </cell>
          <cell r="L100">
            <v>735.2037037037037</v>
          </cell>
          <cell r="M100">
            <v>111928.2442200669</v>
          </cell>
          <cell r="N100">
            <v>145506.71748608697</v>
          </cell>
        </row>
        <row r="101">
          <cell r="C101" t="str">
            <v>350.14</v>
          </cell>
          <cell r="D101" t="str">
            <v>Kg</v>
          </cell>
          <cell r="E101" t="str">
            <v>C$33$</v>
          </cell>
          <cell r="F101" t="str">
            <v>='350.14'!C$33$</v>
          </cell>
          <cell r="G101" t="str">
            <v xml:space="preserve">CEMENTO HIDRÁULICO PARA SUELO-CEMENTO </v>
          </cell>
          <cell r="I101">
            <v>0</v>
          </cell>
          <cell r="J101">
            <v>689.20623197444752</v>
          </cell>
          <cell r="K101">
            <v>0</v>
          </cell>
          <cell r="L101">
            <v>0</v>
          </cell>
          <cell r="M101">
            <v>689.20623197444752</v>
          </cell>
          <cell r="N101">
            <v>895.9681015667818</v>
          </cell>
        </row>
        <row r="102">
          <cell r="C102" t="str">
            <v>351.1</v>
          </cell>
          <cell r="D102" t="str">
            <v>m3</v>
          </cell>
          <cell r="E102" t="str">
            <v>C$33$</v>
          </cell>
          <cell r="F102" t="str">
            <v>='351.1'!C$33$</v>
          </cell>
          <cell r="G102" t="str">
            <v>BASE TRATADA CON CEMENTO RESISTENCIA R-3.5 (INCLUYE SUMINISTRO DE CEMENTO)</v>
          </cell>
          <cell r="I102">
            <v>17198.210361125653</v>
          </cell>
          <cell r="J102">
            <v>160084.6515164763</v>
          </cell>
          <cell r="K102">
            <v>1671.4763035034307</v>
          </cell>
          <cell r="L102">
            <v>1102.8055555555554</v>
          </cell>
          <cell r="M102">
            <v>180057.14373666095</v>
          </cell>
          <cell r="N102">
            <v>234074.28685765923</v>
          </cell>
        </row>
        <row r="103">
          <cell r="C103" t="str">
            <v>351.2</v>
          </cell>
          <cell r="D103" t="str">
            <v>m3</v>
          </cell>
          <cell r="E103" t="str">
            <v>C$33$</v>
          </cell>
          <cell r="F103" t="str">
            <v>='351.2'!C$33$</v>
          </cell>
          <cell r="G103" t="str">
            <v>BASE TRATADA CON CEMENTO RESISTENCIA R-5.2 (INCLUYE SUMINISTRO DE CEMENTO)</v>
          </cell>
          <cell r="I103">
            <v>17198.210361125653</v>
          </cell>
          <cell r="J103">
            <v>160084.6515164763</v>
          </cell>
          <cell r="K103">
            <v>1671.4763035034307</v>
          </cell>
          <cell r="L103">
            <v>1102.8055555555554</v>
          </cell>
          <cell r="M103">
            <v>180057.14373666095</v>
          </cell>
          <cell r="N103">
            <v>234074.28685765923</v>
          </cell>
        </row>
        <row r="104">
          <cell r="C104" t="str">
            <v>351.10</v>
          </cell>
          <cell r="D104" t="str">
            <v>m3</v>
          </cell>
          <cell r="E104" t="str">
            <v>C$33$</v>
          </cell>
          <cell r="F104" t="str">
            <v>='351.10'!C$33$</v>
          </cell>
          <cell r="G104" t="str">
            <v>BASE TRATADA CON CEMENTO RESISTENCIA R-3.5 (NO INCLUYE SUMINISTRO DE CEMENTO)</v>
          </cell>
          <cell r="I104">
            <v>17198.210361125653</v>
          </cell>
          <cell r="J104">
            <v>98056.090638776004</v>
          </cell>
          <cell r="K104">
            <v>1671.4763035034307</v>
          </cell>
          <cell r="L104">
            <v>1102.8055555555554</v>
          </cell>
          <cell r="M104">
            <v>118028.58285896065</v>
          </cell>
          <cell r="N104">
            <v>153437.15771664886</v>
          </cell>
        </row>
        <row r="105">
          <cell r="C105" t="str">
            <v>351.11</v>
          </cell>
          <cell r="D105" t="str">
            <v>m3</v>
          </cell>
          <cell r="E105" t="str">
            <v>C$33$</v>
          </cell>
          <cell r="F105" t="str">
            <v>='351.11'!C$33$</v>
          </cell>
          <cell r="G105" t="str">
            <v>BASE TRATADA CON CEMENTO RESISTENCIA R-5.2 (NO INCLUYE SUMINISTRO DE CEMENTO)</v>
          </cell>
          <cell r="I105">
            <v>17198.210361125653</v>
          </cell>
          <cell r="J105">
            <v>98056.090638776004</v>
          </cell>
          <cell r="K105">
            <v>1671.4763035034307</v>
          </cell>
          <cell r="L105">
            <v>1102.8055555555554</v>
          </cell>
          <cell r="M105">
            <v>118028.58285896065</v>
          </cell>
          <cell r="N105">
            <v>153437.15771664886</v>
          </cell>
        </row>
        <row r="106">
          <cell r="C106" t="str">
            <v>351.12</v>
          </cell>
          <cell r="D106" t="str">
            <v>Kg</v>
          </cell>
          <cell r="E106" t="str">
            <v>C$33$</v>
          </cell>
          <cell r="F106" t="str">
            <v>='351.12'!C$33$</v>
          </cell>
          <cell r="G106" t="str">
            <v>CEMENTO HIDRÁULICO PARA BASE TRATADA CON CEMENTO</v>
          </cell>
          <cell r="I106">
            <v>0</v>
          </cell>
          <cell r="J106">
            <v>689.20623197444752</v>
          </cell>
          <cell r="K106">
            <v>0</v>
          </cell>
          <cell r="L106">
            <v>0</v>
          </cell>
          <cell r="M106">
            <v>689.20623197444752</v>
          </cell>
          <cell r="N106">
            <v>895.9681015667818</v>
          </cell>
        </row>
        <row r="107">
          <cell r="C107" t="str">
            <v>410.1</v>
          </cell>
          <cell r="D107" t="str">
            <v>kg</v>
          </cell>
          <cell r="E107" t="str">
            <v>C$33$</v>
          </cell>
          <cell r="F107" t="str">
            <v>='410.1'!C$33$</v>
          </cell>
          <cell r="G107" t="str">
            <v>CEMENTO ASFÁLTICO DE PENETRACIÓN 40-50</v>
          </cell>
          <cell r="I107">
            <v>0</v>
          </cell>
          <cell r="J107">
            <v>2937.8642449299273</v>
          </cell>
          <cell r="K107">
            <v>0</v>
          </cell>
          <cell r="L107">
            <v>0</v>
          </cell>
          <cell r="M107">
            <v>2937.8642449299273</v>
          </cell>
          <cell r="N107">
            <v>3819.2235184089059</v>
          </cell>
        </row>
        <row r="108">
          <cell r="C108" t="str">
            <v>410.2</v>
          </cell>
          <cell r="D108" t="str">
            <v>kg</v>
          </cell>
          <cell r="E108" t="str">
            <v>C$33$</v>
          </cell>
          <cell r="F108" t="str">
            <v>='410.2'!C$33$</v>
          </cell>
          <cell r="G108" t="str">
            <v>SUMINISTRO DE CEMENTO ASFÁLTICO DE PENETRACIÓN 60-70</v>
          </cell>
          <cell r="I108">
            <v>0</v>
          </cell>
          <cell r="J108">
            <v>2799.6118098744014</v>
          </cell>
          <cell r="K108">
            <v>0</v>
          </cell>
          <cell r="L108">
            <v>0</v>
          </cell>
          <cell r="M108">
            <v>2799.6118098744014</v>
          </cell>
          <cell r="N108">
            <v>3639.4953528367218</v>
          </cell>
        </row>
        <row r="109">
          <cell r="C109" t="str">
            <v>410.3</v>
          </cell>
          <cell r="D109" t="str">
            <v>kg</v>
          </cell>
          <cell r="E109" t="str">
            <v>C$33$</v>
          </cell>
          <cell r="F109" t="str">
            <v>='410.3'!C$33$</v>
          </cell>
          <cell r="G109" t="str">
            <v>CEMENTO ASFÁLTICO DE PENETRACIÓN 80-100</v>
          </cell>
          <cell r="I109">
            <v>0</v>
          </cell>
          <cell r="J109">
            <v>2816.893364256342</v>
          </cell>
          <cell r="K109">
            <v>0</v>
          </cell>
          <cell r="L109">
            <v>0</v>
          </cell>
          <cell r="M109">
            <v>2816.893364256342</v>
          </cell>
          <cell r="N109">
            <v>3661.961373533245</v>
          </cell>
        </row>
        <row r="110">
          <cell r="C110" t="str">
            <v>411.1</v>
          </cell>
          <cell r="D110" t="str">
            <v>L</v>
          </cell>
          <cell r="E110" t="str">
            <v>C$33$</v>
          </cell>
          <cell r="F110" t="str">
            <v>='411.1'!C$33$</v>
          </cell>
          <cell r="G110" t="str">
            <v>EMULSIÓN ASFÁLTICA DE ROTURA MEDIA CRM</v>
          </cell>
          <cell r="I110">
            <v>0</v>
          </cell>
          <cell r="J110">
            <v>2290.1551826965001</v>
          </cell>
          <cell r="K110">
            <v>0</v>
          </cell>
          <cell r="L110">
            <v>0</v>
          </cell>
          <cell r="M110">
            <v>2290.1551826965001</v>
          </cell>
          <cell r="N110">
            <v>2977.2017375054502</v>
          </cell>
        </row>
        <row r="111">
          <cell r="C111" t="str">
            <v>411.2</v>
          </cell>
          <cell r="D111" t="str">
            <v>L</v>
          </cell>
          <cell r="E111" t="str">
            <v>C$33$</v>
          </cell>
          <cell r="F111" t="str">
            <v>='411.2'!C$33$</v>
          </cell>
          <cell r="G111" t="str">
            <v>EMULSIÓN ASFÁLTICA DE ROTURA LENTA CRL-1 ARD</v>
          </cell>
          <cell r="I111">
            <v>0</v>
          </cell>
          <cell r="J111">
            <v>1975.0347865075141</v>
          </cell>
          <cell r="K111">
            <v>0</v>
          </cell>
          <cell r="L111">
            <v>0</v>
          </cell>
          <cell r="M111">
            <v>1975.0347865075141</v>
          </cell>
          <cell r="N111">
            <v>2567.5452224597684</v>
          </cell>
        </row>
        <row r="112">
          <cell r="C112" t="str">
            <v>411.3</v>
          </cell>
          <cell r="D112" t="str">
            <v>L</v>
          </cell>
          <cell r="E112" t="str">
            <v>C$33$</v>
          </cell>
          <cell r="F112" t="str">
            <v>='411.3'!C$33$</v>
          </cell>
          <cell r="G112" t="str">
            <v>EMULSIÓN ASFÁLTICA DE ROTURA LENTA CRL-1 ARB</v>
          </cell>
          <cell r="I112">
            <v>0</v>
          </cell>
          <cell r="J112">
            <v>1975.0347865075141</v>
          </cell>
          <cell r="K112">
            <v>0</v>
          </cell>
          <cell r="L112">
            <v>0</v>
          </cell>
          <cell r="M112">
            <v>1975.0347865075141</v>
          </cell>
          <cell r="N112">
            <v>2567.5452224597684</v>
          </cell>
        </row>
        <row r="113">
          <cell r="C113" t="str">
            <v>411.4</v>
          </cell>
          <cell r="D113" t="str">
            <v>L</v>
          </cell>
          <cell r="E113" t="str">
            <v>C$33$</v>
          </cell>
          <cell r="F113" t="str">
            <v>='411.4'!C$33$</v>
          </cell>
          <cell r="G113" t="str">
            <v>EMULSIÓN ASFÁLTICA DE ROTURA LENTA CRL-1h</v>
          </cell>
          <cell r="I113">
            <v>0</v>
          </cell>
          <cell r="J113">
            <v>2290.1551826965001</v>
          </cell>
          <cell r="K113">
            <v>0</v>
          </cell>
          <cell r="L113">
            <v>0</v>
          </cell>
          <cell r="M113">
            <v>2290.1551826965001</v>
          </cell>
          <cell r="N113">
            <v>2977.2017375054502</v>
          </cell>
        </row>
        <row r="114">
          <cell r="C114" t="str">
            <v>413.1</v>
          </cell>
          <cell r="D114" t="str">
            <v>kg</v>
          </cell>
          <cell r="E114" t="str">
            <v>C$33$</v>
          </cell>
          <cell r="F114" t="str">
            <v>='413.1'!C$33$</v>
          </cell>
          <cell r="G114" t="str">
            <v>CEMENTO ASFÁLTICO MODIFICADO CON GRANO DE CAUCHO RECICLADO TIPO I</v>
          </cell>
          <cell r="I114">
            <v>0</v>
          </cell>
          <cell r="J114">
            <v>3275.2660209582937</v>
          </cell>
          <cell r="K114">
            <v>0</v>
          </cell>
          <cell r="L114">
            <v>0</v>
          </cell>
          <cell r="M114">
            <v>3275.2660209582937</v>
          </cell>
          <cell r="N114">
            <v>4257.8458272457819</v>
          </cell>
        </row>
        <row r="115">
          <cell r="C115" t="str">
            <v>413.2</v>
          </cell>
          <cell r="D115" t="str">
            <v>kg</v>
          </cell>
          <cell r="E115" t="str">
            <v>C$33$</v>
          </cell>
          <cell r="F115" t="str">
            <v>='413.2'!C$33$</v>
          </cell>
          <cell r="G115" t="str">
            <v>CEMENTO ASFÁLTICO MODIFICADO CON GRANO DE CAUCHO RECICLADO TIPO II</v>
          </cell>
          <cell r="I115">
            <v>0</v>
          </cell>
          <cell r="J115">
            <v>3275.2660209582937</v>
          </cell>
          <cell r="K115">
            <v>0</v>
          </cell>
          <cell r="L115">
            <v>0</v>
          </cell>
          <cell r="M115">
            <v>3275.2660209582937</v>
          </cell>
          <cell r="N115">
            <v>4257.8458272457819</v>
          </cell>
        </row>
        <row r="116">
          <cell r="C116" t="str">
            <v>413.3</v>
          </cell>
          <cell r="D116" t="str">
            <v>kg</v>
          </cell>
          <cell r="E116" t="str">
            <v>C$33$</v>
          </cell>
          <cell r="F116" t="str">
            <v>='413.3'!C$33$</v>
          </cell>
          <cell r="G116" t="str">
            <v xml:space="preserve">CEMENTO ASFÁLTICO MODIFICADO CON GRANO DE CAUCHO RECICLADO TIPO III </v>
          </cell>
          <cell r="I116">
            <v>0</v>
          </cell>
          <cell r="J116">
            <v>3275.2660209582937</v>
          </cell>
          <cell r="K116">
            <v>0</v>
          </cell>
          <cell r="L116">
            <v>0</v>
          </cell>
          <cell r="M116">
            <v>3275.2660209582937</v>
          </cell>
          <cell r="N116">
            <v>4257.8458272457819</v>
          </cell>
        </row>
        <row r="117">
          <cell r="C117" t="str">
            <v>414.1</v>
          </cell>
          <cell r="D117" t="str">
            <v>kg</v>
          </cell>
          <cell r="E117" t="str">
            <v>C$33$</v>
          </cell>
          <cell r="F117" t="str">
            <v>='414.1'!C$33$</v>
          </cell>
          <cell r="G117" t="str">
            <v>CEMENTO ASFÁLTICO MODIFICADO CON POLIMEROS TIPO I</v>
          </cell>
          <cell r="I117">
            <v>0</v>
          </cell>
          <cell r="J117">
            <v>3385.5387965382974</v>
          </cell>
          <cell r="K117">
            <v>0</v>
          </cell>
          <cell r="L117">
            <v>0</v>
          </cell>
          <cell r="M117">
            <v>3385.5387965382974</v>
          </cell>
          <cell r="N117">
            <v>4401.2004354997871</v>
          </cell>
        </row>
        <row r="118">
          <cell r="C118" t="str">
            <v>414.2</v>
          </cell>
          <cell r="D118" t="str">
            <v>kg</v>
          </cell>
          <cell r="E118" t="str">
            <v>C$33$</v>
          </cell>
          <cell r="F118" t="str">
            <v>='414.2'!C$33$</v>
          </cell>
          <cell r="G118" t="str">
            <v>CEMENTO ASFALTICO MODIFICADO CON POLIMEROS TIPO II A</v>
          </cell>
          <cell r="I118">
            <v>0</v>
          </cell>
          <cell r="J118">
            <v>3385.5387965382974</v>
          </cell>
          <cell r="K118">
            <v>0</v>
          </cell>
          <cell r="L118">
            <v>0</v>
          </cell>
          <cell r="M118">
            <v>3385.5387965382974</v>
          </cell>
          <cell r="N118">
            <v>4401.2004354997871</v>
          </cell>
        </row>
        <row r="119">
          <cell r="C119" t="str">
            <v>414.3</v>
          </cell>
          <cell r="D119" t="str">
            <v>kg</v>
          </cell>
          <cell r="E119" t="str">
            <v>C$33$</v>
          </cell>
          <cell r="F119" t="str">
            <v>='414.3'!C$33$</v>
          </cell>
          <cell r="G119" t="str">
            <v>CEMENTO ASFALTICO MODIFIFCADO CON POLIMEROS TIPO II B</v>
          </cell>
          <cell r="I119">
            <v>0</v>
          </cell>
          <cell r="J119">
            <v>3385.5387965382974</v>
          </cell>
          <cell r="K119">
            <v>0</v>
          </cell>
          <cell r="L119">
            <v>0</v>
          </cell>
          <cell r="M119">
            <v>3385.5387965382974</v>
          </cell>
          <cell r="N119">
            <v>4401.2004354997871</v>
          </cell>
        </row>
        <row r="120">
          <cell r="C120" t="str">
            <v>414.4</v>
          </cell>
          <cell r="D120" t="str">
            <v>kg</v>
          </cell>
          <cell r="E120" t="str">
            <v>C$33$</v>
          </cell>
          <cell r="F120" t="str">
            <v>='414.4'!C$33$</v>
          </cell>
          <cell r="G120" t="str">
            <v>CEMENTO ASFALTICO MODIFICADO CON POLIMEROS TIPO III</v>
          </cell>
          <cell r="I120">
            <v>0</v>
          </cell>
          <cell r="J120">
            <v>3489.2281228299416</v>
          </cell>
          <cell r="K120">
            <v>0</v>
          </cell>
          <cell r="L120">
            <v>0</v>
          </cell>
          <cell r="M120">
            <v>3489.2281228299416</v>
          </cell>
          <cell r="N120">
            <v>4535.9965596789243</v>
          </cell>
        </row>
        <row r="121">
          <cell r="C121" t="str">
            <v>414.5</v>
          </cell>
          <cell r="D121" t="str">
            <v>kg</v>
          </cell>
          <cell r="E121" t="str">
            <v>C$33$</v>
          </cell>
          <cell r="F121" t="str">
            <v>='414.5'!C$33$</v>
          </cell>
          <cell r="G121" t="str">
            <v>CEMENTO ASFALTICO MODIFICADO CON POLIMEROS TIPO IV</v>
          </cell>
          <cell r="I121">
            <v>0</v>
          </cell>
          <cell r="J121">
            <v>3489.2281228299416</v>
          </cell>
          <cell r="K121">
            <v>0</v>
          </cell>
          <cell r="L121">
            <v>0</v>
          </cell>
          <cell r="M121">
            <v>3489.2281228299416</v>
          </cell>
          <cell r="N121">
            <v>4535.9965596789243</v>
          </cell>
        </row>
        <row r="122">
          <cell r="C122" t="str">
            <v>414.6</v>
          </cell>
          <cell r="D122" t="str">
            <v>kg</v>
          </cell>
          <cell r="E122" t="str">
            <v>C$33$</v>
          </cell>
          <cell r="F122" t="str">
            <v>='414.6'!C$33$</v>
          </cell>
          <cell r="G122" t="str">
            <v>CEMENTO ASFALTICO MODIFICADO CON POLIMEROS TIPO V</v>
          </cell>
          <cell r="I122">
            <v>0</v>
          </cell>
          <cell r="J122">
            <v>3620.8971085971102</v>
          </cell>
          <cell r="K122">
            <v>0</v>
          </cell>
          <cell r="L122">
            <v>0</v>
          </cell>
          <cell r="M122">
            <v>3620.8971085971102</v>
          </cell>
          <cell r="N122">
            <v>4707.1662411762436</v>
          </cell>
        </row>
        <row r="123">
          <cell r="C123" t="str">
            <v>415.1</v>
          </cell>
          <cell r="D123" t="str">
            <v>L</v>
          </cell>
          <cell r="E123" t="str">
            <v>C$33$</v>
          </cell>
          <cell r="F123" t="str">
            <v>='415.1'!C$33$</v>
          </cell>
          <cell r="G123" t="str">
            <v>EMULSIÓN ASFÁLTICA DE ROTURA MEDIA MODIFICADA CON POLIMEROS CRM-60m (anteriormente CRM-m)</v>
          </cell>
          <cell r="I123">
            <v>0</v>
          </cell>
          <cell r="J123">
            <v>2290.1551826965001</v>
          </cell>
          <cell r="K123">
            <v>0</v>
          </cell>
          <cell r="L123">
            <v>0</v>
          </cell>
          <cell r="M123">
            <v>2290.1551826965001</v>
          </cell>
          <cell r="N123">
            <v>2977.2017375054502</v>
          </cell>
        </row>
        <row r="124">
          <cell r="C124" t="str">
            <v>415.2</v>
          </cell>
          <cell r="D124" t="str">
            <v>L</v>
          </cell>
          <cell r="E124" t="str">
            <v>C$33$</v>
          </cell>
          <cell r="F124" t="str">
            <v>='415.2'!C$33$</v>
          </cell>
          <cell r="G124" t="str">
            <v>EMULSIÓN ASFÁLTICA DE ROTURA RÁPIDA MODIFICADA CON POLÍMEROS CRR-60m (anteriormente CRR-1m)</v>
          </cell>
          <cell r="I124">
            <v>0</v>
          </cell>
          <cell r="J124">
            <v>2518.1693527970801</v>
          </cell>
          <cell r="K124">
            <v>0</v>
          </cell>
          <cell r="L124">
            <v>0</v>
          </cell>
          <cell r="M124">
            <v>2518.1693527970801</v>
          </cell>
          <cell r="N124">
            <v>3273.620158636204</v>
          </cell>
        </row>
        <row r="125">
          <cell r="C125" t="str">
            <v>415.3</v>
          </cell>
          <cell r="D125" t="str">
            <v>L</v>
          </cell>
          <cell r="E125" t="str">
            <v>C$33$</v>
          </cell>
          <cell r="F125" t="str">
            <v>='415.3'!C$33$</v>
          </cell>
          <cell r="G125" t="str">
            <v>EMULSIÓN ASFÁLTICA DE ROTURA RÁPIDA MODIFICADA CON POLÍMEROS CRR-65m (anteriormente CRR-2m)</v>
          </cell>
          <cell r="I125">
            <v>0</v>
          </cell>
          <cell r="J125">
            <v>2702.5842356901949</v>
          </cell>
          <cell r="K125">
            <v>0</v>
          </cell>
          <cell r="L125">
            <v>0</v>
          </cell>
          <cell r="M125">
            <v>2702.5842356901949</v>
          </cell>
          <cell r="N125">
            <v>3513.3595063972534</v>
          </cell>
        </row>
        <row r="126">
          <cell r="C126" t="str">
            <v>415.4</v>
          </cell>
          <cell r="D126" t="str">
            <v>L</v>
          </cell>
          <cell r="E126" t="str">
            <v>C$33$</v>
          </cell>
          <cell r="F126" t="str">
            <v>='415.4'!C$33$</v>
          </cell>
          <cell r="G126" t="str">
            <v>EMULSIÓN ASFÁLTICA DE ROTURA LENTA MODIFICADA CON POLÍMEROS CRL-57hm (anteriormente CRL-1hm)</v>
          </cell>
          <cell r="I126">
            <v>0</v>
          </cell>
          <cell r="J126">
            <v>2320.6658741463293</v>
          </cell>
          <cell r="K126">
            <v>0</v>
          </cell>
          <cell r="L126">
            <v>0</v>
          </cell>
          <cell r="M126">
            <v>2320.6658741463293</v>
          </cell>
          <cell r="N126">
            <v>3016.8656363902282</v>
          </cell>
        </row>
        <row r="127">
          <cell r="C127" t="str">
            <v>420.1</v>
          </cell>
          <cell r="D127" t="str">
            <v>m2</v>
          </cell>
          <cell r="E127" t="str">
            <v>C$33$</v>
          </cell>
          <cell r="F127" t="str">
            <v>='420.1'!C$33$</v>
          </cell>
          <cell r="G127" t="str">
            <v>RIEGO DE IMPRIMACIÓN CON EMULSIÓN ASFÁLTICA CRL-40 (anteriormente CRL-0)</v>
          </cell>
          <cell r="I127">
            <v>384.63537794877368</v>
          </cell>
          <cell r="J127">
            <v>2551.0865992388722</v>
          </cell>
          <cell r="K127">
            <v>0</v>
          </cell>
          <cell r="L127">
            <v>73.688728646235717</v>
          </cell>
          <cell r="M127">
            <v>3009.4107058338814</v>
          </cell>
          <cell r="N127">
            <v>3912.2339175840457</v>
          </cell>
        </row>
        <row r="128">
          <cell r="C128" t="str">
            <v>420.2</v>
          </cell>
          <cell r="D128" t="str">
            <v>m2</v>
          </cell>
          <cell r="E128" t="str">
            <v>C$33$</v>
          </cell>
          <cell r="F128" t="str">
            <v>='420.2'!C$33$</v>
          </cell>
          <cell r="G128" t="str">
            <v>RIEGO DE IMPRIMACIÓN CON EMULSIÓN ASFÁLTICA CRL-57 (anteriormente CRL-1)</v>
          </cell>
          <cell r="I128">
            <v>384.63537794877368</v>
          </cell>
          <cell r="J128">
            <v>3061.3039190866471</v>
          </cell>
          <cell r="K128">
            <v>0</v>
          </cell>
          <cell r="L128">
            <v>73.688728646235717</v>
          </cell>
          <cell r="M128">
            <v>3519.6280256816563</v>
          </cell>
          <cell r="N128">
            <v>4575.516433386153</v>
          </cell>
        </row>
        <row r="129">
          <cell r="C129" t="str">
            <v>420.3</v>
          </cell>
          <cell r="D129" t="str">
            <v>m2</v>
          </cell>
          <cell r="E129" t="str">
            <v>C$33$</v>
          </cell>
          <cell r="F129" t="str">
            <v>='420.3'!C$33$</v>
          </cell>
          <cell r="G129" t="str">
            <v>RIEGO DE IMPRIMACIÓN CON ASFALTO LIQUIDO MC-30</v>
          </cell>
          <cell r="I129">
            <v>370.52345981043868</v>
          </cell>
          <cell r="J129">
            <v>5297.9320630670818</v>
          </cell>
          <cell r="K129">
            <v>0</v>
          </cell>
          <cell r="L129">
            <v>71.533333333333331</v>
          </cell>
          <cell r="M129">
            <v>5739.9888562108545</v>
          </cell>
          <cell r="N129">
            <v>7461.9855130741107</v>
          </cell>
        </row>
        <row r="130">
          <cell r="C130" t="str">
            <v>421.1</v>
          </cell>
          <cell r="D130" t="str">
            <v>m2</v>
          </cell>
          <cell r="E130" t="str">
            <v>C$33$</v>
          </cell>
          <cell r="F130" t="str">
            <v>='421.1'!C$33$</v>
          </cell>
          <cell r="G130" t="str">
            <v>RIEGO DE LIGA CON EMULSIÓN ASFÁLTICA CRR-60 (anteriormente CRR-1)</v>
          </cell>
          <cell r="I130">
            <v>373.38479314377201</v>
          </cell>
          <cell r="J130">
            <v>1139.4403607565594</v>
          </cell>
          <cell r="K130">
            <v>0</v>
          </cell>
          <cell r="L130">
            <v>71.533333333333331</v>
          </cell>
          <cell r="M130">
            <v>1584.3584872336646</v>
          </cell>
          <cell r="N130">
            <v>2059.6660334037642</v>
          </cell>
        </row>
        <row r="131">
          <cell r="C131" t="str">
            <v>421.2</v>
          </cell>
          <cell r="D131" t="str">
            <v>m2</v>
          </cell>
          <cell r="E131" t="str">
            <v>C$33$</v>
          </cell>
          <cell r="F131" t="str">
            <v>='421.2'!C$33$</v>
          </cell>
          <cell r="G131" t="str">
            <v>RIEGO DE LIGA CON EMULSION ASFALTICA CRR-65 (anteriormente CRR-2)</v>
          </cell>
          <cell r="I131">
            <v>373.38479314377201</v>
          </cell>
          <cell r="J131">
            <v>1188.3290551719083</v>
          </cell>
          <cell r="K131">
            <v>0</v>
          </cell>
          <cell r="L131">
            <v>71.533333333333331</v>
          </cell>
          <cell r="M131">
            <v>1633.2471816490136</v>
          </cell>
          <cell r="N131">
            <v>2123.2213361437175</v>
          </cell>
        </row>
        <row r="132">
          <cell r="C132" t="str">
            <v>421.3</v>
          </cell>
          <cell r="D132" t="str">
            <v>m2</v>
          </cell>
          <cell r="E132" t="str">
            <v>C$33$</v>
          </cell>
          <cell r="F132" t="str">
            <v>='421.3'!C$33$</v>
          </cell>
          <cell r="G132" t="str">
            <v>RIEGO DE LIGA CON EMULSIÓN MODIFICADA CON POLIMEROS CRR-60m (anteriormente CRR-1m)</v>
          </cell>
          <cell r="I132">
            <v>373.38479314377201</v>
          </cell>
          <cell r="J132">
            <v>1477.4099592860468</v>
          </cell>
          <cell r="K132">
            <v>0</v>
          </cell>
          <cell r="L132">
            <v>71.533333333333331</v>
          </cell>
          <cell r="M132">
            <v>1922.3280857631521</v>
          </cell>
          <cell r="N132">
            <v>2499.0265114920976</v>
          </cell>
        </row>
        <row r="133">
          <cell r="C133" t="str">
            <v>421.4</v>
          </cell>
          <cell r="D133" t="str">
            <v>m2</v>
          </cell>
          <cell r="E133" t="str">
            <v>C$33$</v>
          </cell>
          <cell r="F133" t="str">
            <v>='421.4'!C$33$</v>
          </cell>
          <cell r="G133" t="str">
            <v>RIEGO DE LIGA CON EMULSIÓN MODIFICADA CON POLIMEROS CRR-65m (anteriormente CRR-2m)</v>
          </cell>
          <cell r="I133">
            <v>373.38479314377201</v>
          </cell>
          <cell r="J133">
            <v>1585.6061710794372</v>
          </cell>
          <cell r="K133">
            <v>0</v>
          </cell>
          <cell r="L133">
            <v>71.533333333333331</v>
          </cell>
          <cell r="M133">
            <v>2030.5242975565425</v>
          </cell>
          <cell r="N133">
            <v>2639.6815868235053</v>
          </cell>
        </row>
        <row r="134">
          <cell r="C134" t="str">
            <v>430.1.1</v>
          </cell>
          <cell r="D134" t="str">
            <v>m2</v>
          </cell>
          <cell r="E134" t="str">
            <v>C$33$</v>
          </cell>
          <cell r="F134" t="str">
            <v>='430.1.1'!C$33$</v>
          </cell>
          <cell r="G134" t="str">
            <v>TRATAMIENTO SUPERFICIAL SIMPLE CON EMULSIÓN CRR-65 (anteriormente CRR‐2) GRADACIÓN 19</v>
          </cell>
          <cell r="I134">
            <v>1133.0175796779181</v>
          </cell>
          <cell r="J134">
            <v>5158.2457619468732</v>
          </cell>
          <cell r="K134">
            <v>24.429269051203988</v>
          </cell>
          <cell r="L134">
            <v>127.41874999999999</v>
          </cell>
          <cell r="M134">
            <v>6443.1113606759955</v>
          </cell>
          <cell r="N134">
            <v>8376.0447688787935</v>
          </cell>
        </row>
        <row r="135">
          <cell r="C135" t="str">
            <v>430.1.2</v>
          </cell>
          <cell r="D135" t="str">
            <v>m2</v>
          </cell>
          <cell r="E135" t="str">
            <v>C$33$</v>
          </cell>
          <cell r="F135" t="str">
            <v>='430.1.2'!C$33$</v>
          </cell>
          <cell r="G135" t="str">
            <v>TRATAMIENTO SUPERFICIAL SIMPLE CON EMULSIÓN CRR-65 (anteriormente CRR-2) GRADACIÓN 13</v>
          </cell>
          <cell r="I135">
            <v>1133.0175796779181</v>
          </cell>
          <cell r="J135">
            <v>4031.1667945195259</v>
          </cell>
          <cell r="K135">
            <v>16.714763035034306</v>
          </cell>
          <cell r="L135">
            <v>127.41874999999999</v>
          </cell>
          <cell r="M135">
            <v>5308.3178872324788</v>
          </cell>
          <cell r="N135">
            <v>6900.8132534022225</v>
          </cell>
        </row>
        <row r="136">
          <cell r="C136" t="str">
            <v>430.2.1</v>
          </cell>
          <cell r="D136" t="str">
            <v>m2</v>
          </cell>
          <cell r="E136" t="str">
            <v>C$33$</v>
          </cell>
          <cell r="F136" t="str">
            <v>='430.2.1'!C$33$</v>
          </cell>
          <cell r="G136" t="str">
            <v>TRATAMIENTO SUPERFICIAL SIMPLE CON EMULSIÓN CRR-65m (anteriormente CRR‐2m) GRADACIÓN 19</v>
          </cell>
          <cell r="I136">
            <v>1133.0175796779181</v>
          </cell>
          <cell r="J136">
            <v>6399.30341246846</v>
          </cell>
          <cell r="K136">
            <v>24.429269051203988</v>
          </cell>
          <cell r="L136">
            <v>127.41874999999999</v>
          </cell>
          <cell r="M136">
            <v>7684.1690111975822</v>
          </cell>
          <cell r="N136">
            <v>9989.4197145568578</v>
          </cell>
        </row>
        <row r="137">
          <cell r="C137" t="str">
            <v>430.2.2</v>
          </cell>
          <cell r="D137" t="str">
            <v>m2</v>
          </cell>
          <cell r="E137" t="str">
            <v>C$33$</v>
          </cell>
          <cell r="F137" t="str">
            <v>='430.2.2'!C$33$</v>
          </cell>
          <cell r="G137" t="str">
            <v>TRATAMIENTO SUPERFICIAL SIMPLE CON EMULSIÓN CRR-65m (anteriormente CRR‐2m) GRADACIÓN 13</v>
          </cell>
          <cell r="I137">
            <v>1133.0175796779181</v>
          </cell>
          <cell r="J137">
            <v>5048.4271637995162</v>
          </cell>
          <cell r="K137">
            <v>16.714763035034306</v>
          </cell>
          <cell r="L137">
            <v>127.41874999999999</v>
          </cell>
          <cell r="M137">
            <v>6325.5782565124682</v>
          </cell>
          <cell r="N137">
            <v>8223.251733466208</v>
          </cell>
        </row>
        <row r="138">
          <cell r="C138" t="str">
            <v>431.1.1</v>
          </cell>
          <cell r="D138" t="str">
            <v>m2</v>
          </cell>
          <cell r="E138" t="str">
            <v>C$33$</v>
          </cell>
          <cell r="F138" t="str">
            <v>='431.1.1'!C$33$</v>
          </cell>
          <cell r="G138" t="str">
            <v>TRATAMIENTO SUPERFICIAL DOBLE CON EMULSIÓN CRR-65 (anteriormente CRR‐2) TIPO 3</v>
          </cell>
          <cell r="I138">
            <v>1648.0255704406081</v>
          </cell>
          <cell r="J138">
            <v>11490.649704472464</v>
          </cell>
          <cell r="K138">
            <v>48.858538102407977</v>
          </cell>
          <cell r="L138">
            <v>185.33636363636364</v>
          </cell>
          <cell r="M138">
            <v>13372.870176651842</v>
          </cell>
          <cell r="N138">
            <v>17384.731229647394</v>
          </cell>
        </row>
        <row r="139">
          <cell r="C139" t="str">
            <v>431.1.2</v>
          </cell>
          <cell r="D139" t="str">
            <v>m2</v>
          </cell>
          <cell r="E139" t="str">
            <v>C$33$</v>
          </cell>
          <cell r="F139" t="str">
            <v>='431.1.2'!C$33$</v>
          </cell>
          <cell r="G139" t="str">
            <v>TRATAMIENTO SUPERFICIAL DOBLE CON EMULSIÓN CRR-65 (anteriormente CRR‐2) TIPO 4</v>
          </cell>
          <cell r="I139">
            <v>1648.0255704406081</v>
          </cell>
          <cell r="J139">
            <v>8777.703871965492</v>
          </cell>
          <cell r="K139">
            <v>37.286779078153451</v>
          </cell>
          <cell r="L139">
            <v>185.33636363636364</v>
          </cell>
          <cell r="M139">
            <v>10648.352585120616</v>
          </cell>
          <cell r="N139">
            <v>13842.858360656801</v>
          </cell>
        </row>
        <row r="140">
          <cell r="C140" t="str">
            <v>431.2.1</v>
          </cell>
          <cell r="D140" t="str">
            <v>m2</v>
          </cell>
          <cell r="E140" t="str">
            <v>C$33$</v>
          </cell>
          <cell r="F140" t="str">
            <v>='431.2.1'!C$33$</v>
          </cell>
          <cell r="G140" t="str">
            <v>TRATAMIENTO SUPERFICIAL DOBLE CON EMULSIÓN CRR-65m (anteriormente CRR‐2m) TIPO 3</v>
          </cell>
          <cell r="I140">
            <v>1648.0255704406081</v>
          </cell>
          <cell r="J140">
            <v>14366.105681637233</v>
          </cell>
          <cell r="K140">
            <v>48.858538102407977</v>
          </cell>
          <cell r="L140">
            <v>185.33636363636364</v>
          </cell>
          <cell r="M140">
            <v>16248.326153816612</v>
          </cell>
          <cell r="N140">
            <v>21122.823999961594</v>
          </cell>
        </row>
        <row r="141">
          <cell r="C141" t="str">
            <v>431.2.2</v>
          </cell>
          <cell r="D141" t="str">
            <v>m2</v>
          </cell>
          <cell r="E141" t="str">
            <v>C$33$</v>
          </cell>
          <cell r="F141" t="str">
            <v>='431.2.2'!C$33$</v>
          </cell>
          <cell r="G141" t="str">
            <v>TRATAMIENTO SUPERFICIAL DOBLE CON EMULSIÓN CRR-65m (anteriormente CRR‐2m) TIPO 4</v>
          </cell>
          <cell r="I141">
            <v>1648.0255704406081</v>
          </cell>
          <cell r="J141">
            <v>10974.98626961027</v>
          </cell>
          <cell r="K141">
            <v>37.286779078153451</v>
          </cell>
          <cell r="L141">
            <v>185.33636363636364</v>
          </cell>
          <cell r="M141">
            <v>12845.634982765394</v>
          </cell>
          <cell r="N141">
            <v>16699.325477595012</v>
          </cell>
        </row>
        <row r="142">
          <cell r="C142" t="str">
            <v>432.1</v>
          </cell>
          <cell r="D142" t="str">
            <v>m2</v>
          </cell>
          <cell r="E142" t="str">
            <v>C$33$</v>
          </cell>
          <cell r="F142" t="str">
            <v>='432.1'!C$33$</v>
          </cell>
          <cell r="G142" t="str">
            <v xml:space="preserve">SELLO DE ARENA-ASFALTO CON EMULSION CRR-65 (anteriormente CRR-2) </v>
          </cell>
          <cell r="I142">
            <v>1084.2273489740842</v>
          </cell>
          <cell r="J142">
            <v>3184.3950063589673</v>
          </cell>
          <cell r="K142">
            <v>12.857510026949468</v>
          </cell>
          <cell r="L142">
            <v>121.93181818181816</v>
          </cell>
          <cell r="M142">
            <v>4403.4116835418181</v>
          </cell>
          <cell r="N142">
            <v>5724.4351886043632</v>
          </cell>
        </row>
        <row r="143">
          <cell r="C143" t="str">
            <v>432.2</v>
          </cell>
          <cell r="D143" t="str">
            <v>m2</v>
          </cell>
          <cell r="E143" t="str">
            <v>C$33$</v>
          </cell>
          <cell r="F143" t="str">
            <v>='432.2'!C$33$</v>
          </cell>
          <cell r="G143" t="str">
            <v xml:space="preserve">SELLO DE ARENA-ASFALTO CON EMULSION CRR-65m (anteriormente CRR-2m) </v>
          </cell>
          <cell r="I143">
            <v>1084.2273489740842</v>
          </cell>
          <cell r="J143">
            <v>4032.1119807589589</v>
          </cell>
          <cell r="K143">
            <v>12.857510026949468</v>
          </cell>
          <cell r="L143">
            <v>121.93181818181816</v>
          </cell>
          <cell r="M143">
            <v>5251.1286579418102</v>
          </cell>
          <cell r="N143">
            <v>6826.4672553243527</v>
          </cell>
        </row>
        <row r="144">
          <cell r="C144" t="str">
            <v>433.1</v>
          </cell>
          <cell r="D144" t="str">
            <v>m2</v>
          </cell>
          <cell r="E144" t="str">
            <v>C$33$</v>
          </cell>
          <cell r="F144" t="str">
            <v>='433.1'!C$33$</v>
          </cell>
          <cell r="G144" t="str">
            <v>LECHADA ASFÁLTICA CON EMULSIÓN CRL-57h (anteriormente CRL‐1h) TIPO LA‐13</v>
          </cell>
          <cell r="I144">
            <v>339.76057168085242</v>
          </cell>
          <cell r="J144">
            <v>4418.3164246446631</v>
          </cell>
          <cell r="K144">
            <v>16.071887533686834</v>
          </cell>
          <cell r="L144">
            <v>84.945833333333326</v>
          </cell>
          <cell r="M144">
            <v>4859.0947171925354</v>
          </cell>
          <cell r="N144">
            <v>6316.8231323502969</v>
          </cell>
        </row>
        <row r="145">
          <cell r="C145" t="str">
            <v>433.2</v>
          </cell>
          <cell r="D145" t="str">
            <v>m2</v>
          </cell>
          <cell r="E145" t="str">
            <v>C$33$</v>
          </cell>
          <cell r="F145" t="str">
            <v>='433.2'!C$33$</v>
          </cell>
          <cell r="G145" t="str">
            <v>LECHADA ASFÁLTICA CON EMULSIÓN CRL-57h (anteriormente CRL‐1h) TIPO LA‐10</v>
          </cell>
          <cell r="I145">
            <v>339.76057168085242</v>
          </cell>
          <cell r="J145">
            <v>4066.3025390786238</v>
          </cell>
          <cell r="K145">
            <v>12.214634525601994</v>
          </cell>
          <cell r="L145">
            <v>84.945833333333326</v>
          </cell>
          <cell r="M145">
            <v>4503.2235786184119</v>
          </cell>
          <cell r="N145">
            <v>5854.1906522039353</v>
          </cell>
        </row>
        <row r="146">
          <cell r="C146" t="str">
            <v>433.3</v>
          </cell>
          <cell r="D146" t="str">
            <v>m2</v>
          </cell>
          <cell r="E146" t="str">
            <v>C$33$</v>
          </cell>
          <cell r="F146" t="str">
            <v>='433.3'!C$33$</v>
          </cell>
          <cell r="G146" t="str">
            <v>LECHADA ASFÁLTICA CON EMULSIÓN CRL-57h (anteriormente CRL‐1h) TIPO LA‐5</v>
          </cell>
          <cell r="I146">
            <v>339.76057168085242</v>
          </cell>
          <cell r="J146">
            <v>4774.684595427304</v>
          </cell>
          <cell r="K146">
            <v>12.214634525601994</v>
          </cell>
          <cell r="L146">
            <v>84.945833333333326</v>
          </cell>
          <cell r="M146">
            <v>5211.6056349670916</v>
          </cell>
          <cell r="N146">
            <v>6775.0873254572189</v>
          </cell>
        </row>
        <row r="147">
          <cell r="C147" t="str">
            <v>433.4</v>
          </cell>
          <cell r="D147" t="str">
            <v>m2</v>
          </cell>
          <cell r="E147" t="str">
            <v>C$33$</v>
          </cell>
          <cell r="F147" t="str">
            <v>='433.4'!C$33$</v>
          </cell>
          <cell r="G147" t="str">
            <v>LECHADA ASFÁLTICA CON EMULSIÓN CRL-57h (anteriormente CRL‐1h) TIPO LA‐3</v>
          </cell>
          <cell r="I147">
            <v>339.76057168085242</v>
          </cell>
          <cell r="J147">
            <v>2893.3294808198521</v>
          </cell>
          <cell r="K147">
            <v>6.1073172628009971</v>
          </cell>
          <cell r="L147">
            <v>84.945833333333326</v>
          </cell>
          <cell r="M147">
            <v>3324.143203096839</v>
          </cell>
          <cell r="N147">
            <v>4321.386164025891</v>
          </cell>
        </row>
        <row r="148">
          <cell r="C148" t="str">
            <v>433.5</v>
          </cell>
          <cell r="D148" t="str">
            <v>m2</v>
          </cell>
          <cell r="E148" t="str">
            <v>C$33$</v>
          </cell>
          <cell r="F148" t="str">
            <v>='433.5'!C$33$</v>
          </cell>
          <cell r="G148" t="str">
            <v>LECHADA ASFÁLTICA CON EMULSIÓN CRL‐57hm (anteriormente CRL‐1hm) TIPO LA‐13</v>
          </cell>
          <cell r="I148">
            <v>339.76057168085242</v>
          </cell>
          <cell r="J148">
            <v>4462.9383108900383</v>
          </cell>
          <cell r="K148">
            <v>16.071887533686834</v>
          </cell>
          <cell r="L148">
            <v>84.945833333333326</v>
          </cell>
          <cell r="M148">
            <v>4903.7166034379106</v>
          </cell>
          <cell r="N148">
            <v>6374.8315844692843</v>
          </cell>
        </row>
        <row r="149">
          <cell r="C149" t="str">
            <v>433.6</v>
          </cell>
          <cell r="D149" t="str">
            <v>m2</v>
          </cell>
          <cell r="E149" t="str">
            <v>C$33$</v>
          </cell>
          <cell r="F149" t="str">
            <v>='433.6'!C$33$</v>
          </cell>
          <cell r="G149" t="str">
            <v>LECHADA ASFÁLTICA CON EMULSIÓN CRL‐57hm (anteriormente CRL‐1hm) TIPO LA‐10</v>
          </cell>
          <cell r="I149">
            <v>339.76057168085242</v>
          </cell>
          <cell r="J149">
            <v>4109.3454970414705</v>
          </cell>
          <cell r="K149">
            <v>12.214634525601994</v>
          </cell>
          <cell r="L149">
            <v>84.945833333333326</v>
          </cell>
          <cell r="M149">
            <v>4546.2665365812582</v>
          </cell>
          <cell r="N149">
            <v>5910.1464975556355</v>
          </cell>
        </row>
        <row r="150">
          <cell r="C150" t="str">
            <v>433.7</v>
          </cell>
          <cell r="D150" t="str">
            <v>m2</v>
          </cell>
          <cell r="E150" t="str">
            <v>C$33$</v>
          </cell>
          <cell r="F150" t="str">
            <v>='433.7'!C$33$</v>
          </cell>
          <cell r="G150" t="str">
            <v>LECHADA ASFÁLTICA CON EMULSIÓN CRL‐57hm (anteriormente CRL‐1hm) TIPO LA‐5</v>
          </cell>
          <cell r="I150">
            <v>339.76057168085242</v>
          </cell>
          <cell r="J150">
            <v>4826.8578778065121</v>
          </cell>
          <cell r="K150">
            <v>12.214634525601994</v>
          </cell>
          <cell r="L150">
            <v>84.945833333333326</v>
          </cell>
          <cell r="M150">
            <v>5263.7789173462997</v>
          </cell>
          <cell r="N150">
            <v>6842.9125925501894</v>
          </cell>
        </row>
        <row r="151">
          <cell r="C151" t="str">
            <v>433.8</v>
          </cell>
          <cell r="D151" t="str">
            <v>m2</v>
          </cell>
          <cell r="E151" t="str">
            <v>C$33$</v>
          </cell>
          <cell r="F151" t="str">
            <v>='433.8'!C$33$</v>
          </cell>
          <cell r="G151" t="str">
            <v>LECHADA ASFÁLTICA CON EMULSIÓN CRL‐57hm (anteriormente CRL‐1hm) TIPO LA‐3</v>
          </cell>
          <cell r="I151">
            <v>339.76057168085242</v>
          </cell>
          <cell r="J151">
            <v>2925.9377823068567</v>
          </cell>
          <cell r="K151">
            <v>6.1073172628009971</v>
          </cell>
          <cell r="L151">
            <v>84.945833333333326</v>
          </cell>
          <cell r="M151">
            <v>3356.7515045838436</v>
          </cell>
          <cell r="N151">
            <v>4363.776955958997</v>
          </cell>
        </row>
        <row r="152">
          <cell r="C152" t="str">
            <v>440.1</v>
          </cell>
          <cell r="D152" t="str">
            <v>m3</v>
          </cell>
          <cell r="E152" t="str">
            <v>C$33$</v>
          </cell>
          <cell r="F152" t="str">
            <v>='440.1'!C$33$</v>
          </cell>
          <cell r="G152" t="str">
            <v>MEZCLA DENSA EN FRÍO TIPO MDF-38</v>
          </cell>
          <cell r="I152">
            <v>121139.78010967851</v>
          </cell>
          <cell r="J152">
            <v>109416.56139107513</v>
          </cell>
          <cell r="K152">
            <v>3779.46277841141</v>
          </cell>
          <cell r="L152">
            <v>12180.537037037036</v>
          </cell>
          <cell r="M152">
            <v>246516.34131620207</v>
          </cell>
          <cell r="N152">
            <v>320471.24371106271</v>
          </cell>
        </row>
        <row r="153">
          <cell r="C153" t="str">
            <v>440.2</v>
          </cell>
          <cell r="D153" t="str">
            <v>m3</v>
          </cell>
          <cell r="E153" t="str">
            <v>C$33$</v>
          </cell>
          <cell r="F153" t="str">
            <v>='440.2'!C$33$</v>
          </cell>
          <cell r="G153" t="str">
            <v>MEZCLA DENSA EN FRÍO TIPO MDF-25</v>
          </cell>
          <cell r="I153">
            <v>121139.78010967851</v>
          </cell>
          <cell r="J153">
            <v>109416.56139107513</v>
          </cell>
          <cell r="K153">
            <v>3779.46277841141</v>
          </cell>
          <cell r="L153">
            <v>12180.537037037036</v>
          </cell>
          <cell r="M153">
            <v>246516.34131620207</v>
          </cell>
          <cell r="N153">
            <v>320471.24371106271</v>
          </cell>
        </row>
        <row r="154">
          <cell r="C154" t="str">
            <v>440.3</v>
          </cell>
          <cell r="D154" t="str">
            <v>m3</v>
          </cell>
          <cell r="E154" t="str">
            <v>C$33$</v>
          </cell>
          <cell r="F154" t="str">
            <v>='440.3'!C$33$</v>
          </cell>
          <cell r="G154" t="str">
            <v>MEZCLA DENSA EN FRÍO TIPO MDF-19</v>
          </cell>
          <cell r="I154">
            <v>121139.78010967851</v>
          </cell>
          <cell r="J154">
            <v>109416.56139107513</v>
          </cell>
          <cell r="K154">
            <v>3779.46277841141</v>
          </cell>
          <cell r="L154">
            <v>12180.537037037036</v>
          </cell>
          <cell r="M154">
            <v>246516.34131620207</v>
          </cell>
          <cell r="N154">
            <v>320471.24371106271</v>
          </cell>
        </row>
        <row r="155">
          <cell r="C155" t="str">
            <v>440.4.1</v>
          </cell>
          <cell r="D155" t="str">
            <v>m3</v>
          </cell>
          <cell r="E155" t="str">
            <v>C$33$</v>
          </cell>
          <cell r="F155" t="str">
            <v>='440.4.1'!C$33$</v>
          </cell>
          <cell r="G155" t="str">
            <v>MEZCLA DENSA EN FRÍO PARA BACHEO TIPO MDF-19</v>
          </cell>
          <cell r="I155">
            <v>95819.307017044543</v>
          </cell>
          <cell r="J155">
            <v>109416.56139107513</v>
          </cell>
          <cell r="K155">
            <v>3779.46277841141</v>
          </cell>
          <cell r="L155">
            <v>13920.613756613755</v>
          </cell>
          <cell r="M155">
            <v>222935.9449431448</v>
          </cell>
          <cell r="N155">
            <v>289816.72842608823</v>
          </cell>
        </row>
        <row r="156">
          <cell r="C156" t="str">
            <v>440.4.2</v>
          </cell>
          <cell r="D156" t="str">
            <v>m3</v>
          </cell>
          <cell r="E156" t="str">
            <v>C$33$</v>
          </cell>
          <cell r="F156" t="str">
            <v>='440.4.2'!C$33$</v>
          </cell>
          <cell r="G156" t="str">
            <v>MEZCLA DENSA EN FRÍO PARA BACHEO TIPO MDF-25</v>
          </cell>
          <cell r="I156">
            <v>95819.307017044543</v>
          </cell>
          <cell r="J156">
            <v>109416.56139107513</v>
          </cell>
          <cell r="K156">
            <v>3779.46277841141</v>
          </cell>
          <cell r="L156">
            <v>13920.613756613755</v>
          </cell>
          <cell r="M156">
            <v>222935.9449431448</v>
          </cell>
          <cell r="N156">
            <v>289816.72842608823</v>
          </cell>
        </row>
        <row r="157">
          <cell r="C157" t="str">
            <v>441.1</v>
          </cell>
          <cell r="D157" t="str">
            <v>m3</v>
          </cell>
          <cell r="E157" t="str">
            <v>C$33$</v>
          </cell>
          <cell r="F157" t="str">
            <v>='441.1'!C$33$</v>
          </cell>
          <cell r="G157" t="str">
            <v>MEZCLA ABIERTA EN FRIO TIPO MAF-19</v>
          </cell>
          <cell r="I157">
            <v>121139.78010967851</v>
          </cell>
          <cell r="J157">
            <v>109416.56139107513</v>
          </cell>
          <cell r="K157">
            <v>3779.46277841141</v>
          </cell>
          <cell r="L157">
            <v>12180.537037037036</v>
          </cell>
          <cell r="M157">
            <v>246516.34131620207</v>
          </cell>
          <cell r="N157">
            <v>320471.24371106271</v>
          </cell>
        </row>
        <row r="158">
          <cell r="C158" t="str">
            <v>441.2</v>
          </cell>
          <cell r="D158" t="str">
            <v>m3</v>
          </cell>
          <cell r="E158" t="str">
            <v>C$33$</v>
          </cell>
          <cell r="F158" t="str">
            <v>='441.2'!C$33$</v>
          </cell>
          <cell r="G158" t="str">
            <v>MEZCLA ABIERTA EN FRIO TIPO MAF-25</v>
          </cell>
          <cell r="I158">
            <v>121139.78010967851</v>
          </cell>
          <cell r="J158">
            <v>109416.56139107513</v>
          </cell>
          <cell r="K158">
            <v>3779.46277841141</v>
          </cell>
          <cell r="L158">
            <v>12180.537037037036</v>
          </cell>
          <cell r="M158">
            <v>246516.34131620207</v>
          </cell>
          <cell r="N158">
            <v>320471.24371106271</v>
          </cell>
        </row>
        <row r="159">
          <cell r="C159" t="str">
            <v>441.3</v>
          </cell>
          <cell r="D159" t="str">
            <v>m3</v>
          </cell>
          <cell r="E159" t="str">
            <v>C$33$</v>
          </cell>
          <cell r="F159" t="str">
            <v>='441.3'!C$33$</v>
          </cell>
          <cell r="G159" t="str">
            <v>MEZCLA ABIERTA EN FRIO TIPO MAF-38</v>
          </cell>
          <cell r="I159">
            <v>121139.78010967851</v>
          </cell>
          <cell r="J159">
            <v>109416.56139107513</v>
          </cell>
          <cell r="K159">
            <v>3779.46277841141</v>
          </cell>
          <cell r="L159">
            <v>12180.537037037036</v>
          </cell>
          <cell r="M159">
            <v>246516.34131620207</v>
          </cell>
          <cell r="N159">
            <v>320471.24371106271</v>
          </cell>
        </row>
        <row r="160">
          <cell r="C160" t="str">
            <v>441.4</v>
          </cell>
          <cell r="D160" t="str">
            <v>m3</v>
          </cell>
          <cell r="E160" t="str">
            <v>C$33$</v>
          </cell>
          <cell r="F160" t="str">
            <v>='441.4'!C$33$</v>
          </cell>
          <cell r="G160" t="str">
            <v>MEZCLA ABIERTA EN FRÍO TIPO MAF- 38 PARA BACHEO</v>
          </cell>
          <cell r="I160">
            <v>95819.307017044543</v>
          </cell>
          <cell r="J160">
            <v>109416.56139107513</v>
          </cell>
          <cell r="K160">
            <v>3779.46277841141</v>
          </cell>
          <cell r="L160">
            <v>13920.613756613755</v>
          </cell>
          <cell r="M160">
            <v>222935.9449431448</v>
          </cell>
          <cell r="N160">
            <v>289816.72842608823</v>
          </cell>
        </row>
        <row r="161">
          <cell r="C161" t="str">
            <v>450.1</v>
          </cell>
          <cell r="D161" t="str">
            <v>m3</v>
          </cell>
          <cell r="E161" t="str">
            <v>C$33$</v>
          </cell>
          <cell r="F161" t="str">
            <v>='450.1'!C$33$</v>
          </cell>
          <cell r="G161" t="str">
            <v xml:space="preserve">MEZCLA DENSA EN CALIENTE TIPO MDC‐25 - MEZCLA IN SITU   </v>
          </cell>
          <cell r="I161">
            <v>213042.11091581057</v>
          </cell>
          <cell r="J161">
            <v>89355.29323185925</v>
          </cell>
          <cell r="K161">
            <v>1800.0514037729251</v>
          </cell>
          <cell r="L161">
            <v>10962.483333333334</v>
          </cell>
          <cell r="M161">
            <v>315159.93888477603</v>
          </cell>
          <cell r="N161">
            <v>181609.55321407996</v>
          </cell>
        </row>
        <row r="162">
          <cell r="C162" t="str">
            <v>450.1P</v>
          </cell>
          <cell r="D162" t="str">
            <v>m3</v>
          </cell>
          <cell r="E162" t="str">
            <v>C$33$</v>
          </cell>
          <cell r="F162" t="str">
            <v>='450.1P'!C$33$</v>
          </cell>
          <cell r="G162" t="str">
            <v xml:space="preserve">MEZCLA DENSA EN CALIENTE TIPO MDC‐25 - COMPRA DE MEZCLA </v>
          </cell>
          <cell r="I162">
            <v>41986.271275616047</v>
          </cell>
          <cell r="J162">
            <v>835439.71469267854</v>
          </cell>
          <cell r="K162">
            <v>1979.4113746384849</v>
          </cell>
          <cell r="L162">
            <v>9744.4296296296288</v>
          </cell>
          <cell r="M162">
            <v>889149.82697256259</v>
          </cell>
          <cell r="N162">
            <v>1155894.7750643315</v>
          </cell>
        </row>
        <row r="163">
          <cell r="C163" t="str">
            <v>450.2</v>
          </cell>
          <cell r="D163" t="str">
            <v>m3</v>
          </cell>
          <cell r="E163" t="str">
            <v>C$33$</v>
          </cell>
          <cell r="F163" t="str">
            <v>='450.2'!C$33$</v>
          </cell>
          <cell r="G163" t="str">
            <v xml:space="preserve">MEZCLA DENSA EN CALIENTE TIPO MDC‐19 - MEZCLA IN SITU   </v>
          </cell>
          <cell r="I163">
            <v>213042.11091581057</v>
          </cell>
          <cell r="J163">
            <v>89355.29323185925</v>
          </cell>
          <cell r="K163">
            <v>1800.0514037729251</v>
          </cell>
          <cell r="L163">
            <v>10962.483333333334</v>
          </cell>
          <cell r="M163">
            <v>315159.93888477603</v>
          </cell>
          <cell r="N163">
            <v>181609.55321407996</v>
          </cell>
        </row>
        <row r="164">
          <cell r="C164" t="str">
            <v>450.2P</v>
          </cell>
          <cell r="D164" t="str">
            <v>m3</v>
          </cell>
          <cell r="E164" t="str">
            <v>C$33$</v>
          </cell>
          <cell r="F164" t="str">
            <v>='450.2P'!C$33$</v>
          </cell>
          <cell r="G164" t="str">
            <v xml:space="preserve">MEZCLA DENSA EN CALIENTE TIPO MDC‐19 - COMPRA DE MEZCLA </v>
          </cell>
          <cell r="I164">
            <v>41986.271275616047</v>
          </cell>
          <cell r="J164">
            <v>941536.11463037902</v>
          </cell>
          <cell r="K164">
            <v>296911.70619577274</v>
          </cell>
          <cell r="L164">
            <v>9744.4296296296288</v>
          </cell>
          <cell r="M164">
            <v>1290178.5217313974</v>
          </cell>
          <cell r="N164">
            <v>1677232.0782508166</v>
          </cell>
        </row>
        <row r="165">
          <cell r="C165" t="str">
            <v>450.3</v>
          </cell>
          <cell r="D165" t="str">
            <v>m3</v>
          </cell>
          <cell r="E165" t="str">
            <v>C$33$</v>
          </cell>
          <cell r="F165" t="str">
            <v>='450.3'!C$33$</v>
          </cell>
          <cell r="G165" t="str">
            <v xml:space="preserve">MEZCLA DENSA EN CALIENTE TIPO MDC‐10 - MEZCLA IN SITU   </v>
          </cell>
          <cell r="I165">
            <v>213042.11091581057</v>
          </cell>
          <cell r="J165">
            <v>89355.29323185925</v>
          </cell>
          <cell r="K165">
            <v>1800.0514037729251</v>
          </cell>
          <cell r="L165">
            <v>10962.483333333334</v>
          </cell>
          <cell r="M165">
            <v>315159.93888477603</v>
          </cell>
          <cell r="N165">
            <v>268933.27865602262</v>
          </cell>
        </row>
        <row r="166">
          <cell r="C166" t="str">
            <v>450.3P</v>
          </cell>
          <cell r="D166" t="str">
            <v>m3</v>
          </cell>
          <cell r="E166" t="str">
            <v>C$33$</v>
          </cell>
          <cell r="F166" t="str">
            <v>='450.3P'!C$33$</v>
          </cell>
          <cell r="G166" t="str">
            <v xml:space="preserve">MEZCLA DENSA EN CALIENTE TIPO MDC‐10 - COMPRA DE MEZCLA </v>
          </cell>
          <cell r="I166">
            <v>41986.271275616047</v>
          </cell>
          <cell r="J166">
            <v>928574.94884392351</v>
          </cell>
          <cell r="K166">
            <v>1979.4113746384849</v>
          </cell>
          <cell r="L166">
            <v>9744.4296296296288</v>
          </cell>
          <cell r="M166">
            <v>982285.06112380757</v>
          </cell>
          <cell r="N166">
            <v>1276970.5794609499</v>
          </cell>
        </row>
        <row r="167">
          <cell r="C167" t="str">
            <v>450.4</v>
          </cell>
          <cell r="D167" t="str">
            <v>m3</v>
          </cell>
          <cell r="E167" t="str">
            <v>C$33$</v>
          </cell>
          <cell r="F167" t="str">
            <v>='450.4'!C$33$</v>
          </cell>
          <cell r="G167" t="str">
            <v xml:space="preserve">MEZCLA SEMIDENSA EN CALIENTE TIPO MSC‐25 - MEZCLA IN SITU   </v>
          </cell>
          <cell r="H167" t="str">
            <v>Pavimentos con Asfalto y otros*</v>
          </cell>
          <cell r="I167">
            <v>213042.11091581057</v>
          </cell>
          <cell r="J167">
            <v>89355.29323185925</v>
          </cell>
          <cell r="K167">
            <v>1800.0514037729251</v>
          </cell>
          <cell r="L167">
            <v>10962.483333333334</v>
          </cell>
          <cell r="M167">
            <v>315159.93888477603</v>
          </cell>
          <cell r="N167">
            <v>278441.99865602265</v>
          </cell>
        </row>
        <row r="168">
          <cell r="C168" t="str">
            <v>450.4P</v>
          </cell>
          <cell r="D168" t="str">
            <v>m3</v>
          </cell>
          <cell r="E168" t="str">
            <v>C$33$</v>
          </cell>
          <cell r="F168" t="str">
            <v>='450.4P'!C$33$</v>
          </cell>
          <cell r="G168" t="str">
            <v xml:space="preserve">MEZCLA SEMIDENSA EN CALIENTE TIPO MSC‐25 - COMPRA DE MEZCLA  </v>
          </cell>
          <cell r="I168">
            <v>41986.271275616047</v>
          </cell>
          <cell r="J168">
            <v>835439.71469267854</v>
          </cell>
          <cell r="K168">
            <v>1979.4113746384849</v>
          </cell>
          <cell r="L168">
            <v>9744.4296296296288</v>
          </cell>
          <cell r="M168">
            <v>889149.82697256259</v>
          </cell>
          <cell r="N168">
            <v>1155894.7750643315</v>
          </cell>
        </row>
        <row r="169">
          <cell r="C169" t="str">
            <v>450.5</v>
          </cell>
          <cell r="D169" t="str">
            <v>m3</v>
          </cell>
          <cell r="E169" t="str">
            <v>C$33$</v>
          </cell>
          <cell r="F169" t="str">
            <v>='450.5'!C$33$</v>
          </cell>
          <cell r="G169" t="str">
            <v xml:space="preserve">MEZCLA SEMIDENSA EN CALIENTE TIPO MSC‐19 - MEZCLA IN SITU   </v>
          </cell>
          <cell r="H169" t="str">
            <v>Pavimentos con Asfalto y otros*</v>
          </cell>
          <cell r="I169">
            <v>213042.11091581057</v>
          </cell>
          <cell r="J169">
            <v>89355.29323185925</v>
          </cell>
          <cell r="K169">
            <v>1800.0514037729251</v>
          </cell>
          <cell r="L169">
            <v>10962.483333333334</v>
          </cell>
          <cell r="M169">
            <v>315159.93888477603</v>
          </cell>
          <cell r="N169">
            <v>227558.92809355762</v>
          </cell>
        </row>
        <row r="170">
          <cell r="C170" t="str">
            <v>450.5P</v>
          </cell>
          <cell r="D170" t="str">
            <v>m3</v>
          </cell>
          <cell r="E170" t="str">
            <v>C$33$</v>
          </cell>
          <cell r="F170" t="str">
            <v>='450.5P'!C$33$</v>
          </cell>
          <cell r="G170" t="str">
            <v xml:space="preserve">MEZCLA SEMIDENSA EN CALIENTE TIPO MSC‐19 - COMPRA DE MEZCLA </v>
          </cell>
          <cell r="I170">
            <v>41986.271275616047</v>
          </cell>
          <cell r="J170">
            <v>848956.35901283927</v>
          </cell>
          <cell r="K170">
            <v>1979.4113746384849</v>
          </cell>
          <cell r="L170">
            <v>9744.4296296296288</v>
          </cell>
          <cell r="M170">
            <v>902666.47129272332</v>
          </cell>
          <cell r="N170">
            <v>1173466.4126805402</v>
          </cell>
        </row>
        <row r="171">
          <cell r="C171" t="str">
            <v>450.6</v>
          </cell>
          <cell r="D171" t="str">
            <v>m3</v>
          </cell>
          <cell r="E171" t="str">
            <v>C$33$</v>
          </cell>
          <cell r="F171" t="str">
            <v>='450.6'!C$33$</v>
          </cell>
          <cell r="G171" t="str">
            <v xml:space="preserve">MEZCLA GRUESA EN CALIENTE TIPO MGC‐38 - MEZCLA IN SITU   </v>
          </cell>
          <cell r="H171" t="str">
            <v>Pavimentos con Asfalto y otros*</v>
          </cell>
          <cell r="I171">
            <v>213042.11091581057</v>
          </cell>
          <cell r="J171">
            <v>89355.29323185925</v>
          </cell>
          <cell r="K171">
            <v>1800.0514037729251</v>
          </cell>
          <cell r="L171">
            <v>10962.483333333334</v>
          </cell>
          <cell r="M171">
            <v>315159.93888477603</v>
          </cell>
          <cell r="N171">
            <v>278441.99865602265</v>
          </cell>
        </row>
        <row r="172">
          <cell r="C172" t="str">
            <v>450.6P</v>
          </cell>
          <cell r="D172" t="str">
            <v>m3</v>
          </cell>
          <cell r="E172" t="str">
            <v>C$33$</v>
          </cell>
          <cell r="F172" t="str">
            <v>='450.6P'!C$33$</v>
          </cell>
          <cell r="G172" t="str">
            <v xml:space="preserve">MEZCLA GRUESA EN CALIENTE TIPO MGC‐38 - COMPRA DE MEZCLA </v>
          </cell>
          <cell r="I172">
            <v>41986.271275616047</v>
          </cell>
          <cell r="J172">
            <v>810813.49969841295</v>
          </cell>
          <cell r="K172">
            <v>1979.4113746384849</v>
          </cell>
          <cell r="L172">
            <v>9744.4296296296288</v>
          </cell>
          <cell r="M172">
            <v>864523.61197829701</v>
          </cell>
          <cell r="N172">
            <v>1123880.6955717863</v>
          </cell>
        </row>
        <row r="173">
          <cell r="C173" t="str">
            <v>450.7</v>
          </cell>
          <cell r="D173" t="str">
            <v>m3</v>
          </cell>
          <cell r="E173" t="str">
            <v>C$33$</v>
          </cell>
          <cell r="F173" t="str">
            <v>='450.7'!C$33$</v>
          </cell>
          <cell r="G173" t="str">
            <v xml:space="preserve">MEZCLA GRUESA EN CALIENTE TIPO MGC‐25 - MEZCLA IN SITU   </v>
          </cell>
          <cell r="H173" t="str">
            <v>Pavimentos con Asfalto y otros*</v>
          </cell>
          <cell r="I173">
            <v>213042.11091581057</v>
          </cell>
          <cell r="J173">
            <v>89355.29323185925</v>
          </cell>
          <cell r="K173">
            <v>1800.0514037729251</v>
          </cell>
          <cell r="L173">
            <v>10962.483333333334</v>
          </cell>
          <cell r="M173">
            <v>315159.93888477603</v>
          </cell>
          <cell r="N173">
            <v>268933.27865602262</v>
          </cell>
        </row>
        <row r="174">
          <cell r="C174" t="str">
            <v>450.7P</v>
          </cell>
          <cell r="D174" t="str">
            <v>m3</v>
          </cell>
          <cell r="E174" t="str">
            <v>C$33$</v>
          </cell>
          <cell r="F174" t="str">
            <v>='450.7P'!C$33$</v>
          </cell>
          <cell r="G174" t="str">
            <v xml:space="preserve">MEZCLA GRUESA EN CALIENTE TIPO MGC‐25 - COMPRA DE MEZCLA  </v>
          </cell>
          <cell r="I174">
            <v>41986.271275616047</v>
          </cell>
          <cell r="J174">
            <v>803407.11924900988</v>
          </cell>
          <cell r="K174">
            <v>1979.4113746384849</v>
          </cell>
          <cell r="L174">
            <v>9744.4296296296288</v>
          </cell>
          <cell r="M174">
            <v>857117.23152889393</v>
          </cell>
          <cell r="N174">
            <v>1114252.4009875623</v>
          </cell>
        </row>
        <row r="175">
          <cell r="C175" t="str">
            <v>450.8P</v>
          </cell>
          <cell r="D175" t="str">
            <v>m3</v>
          </cell>
          <cell r="E175" t="str">
            <v>C$33$</v>
          </cell>
          <cell r="F175" t="str">
            <v>='450.8P'!C$33$</v>
          </cell>
          <cell r="G175" t="str">
            <v xml:space="preserve">MEZCLA DE ALTO MÓDULO MAM‐25 - COMPRA DE MEZCLA </v>
          </cell>
          <cell r="I175">
            <v>41986.271275616047</v>
          </cell>
          <cell r="J175">
            <v>1170022.9514944672</v>
          </cell>
          <cell r="K175">
            <v>1979.4113746384849</v>
          </cell>
          <cell r="L175">
            <v>9744.4296296296288</v>
          </cell>
          <cell r="M175">
            <v>1223733.0637743515</v>
          </cell>
          <cell r="N175">
            <v>1590852.9829066568</v>
          </cell>
        </row>
        <row r="176">
          <cell r="C176" t="str">
            <v>450.10P</v>
          </cell>
          <cell r="D176" t="str">
            <v>m3</v>
          </cell>
          <cell r="E176" t="str">
            <v>C$33$</v>
          </cell>
          <cell r="F176" t="str">
            <v>='450.10P'!C$33$</v>
          </cell>
          <cell r="G176" t="str">
            <v xml:space="preserve">MEZCLA EN CALIENTE PARA BACHEO MSC‐25 - COMPRA DE MEZCLA </v>
          </cell>
          <cell r="I176">
            <v>39513.804288351843</v>
          </cell>
          <cell r="J176">
            <v>835439.71469267854</v>
          </cell>
          <cell r="K176">
            <v>1979.4113746384849</v>
          </cell>
          <cell r="L176">
            <v>13799.972222222221</v>
          </cell>
          <cell r="M176">
            <v>890732.90257789101</v>
          </cell>
          <cell r="N176">
            <v>1157952.7733512584</v>
          </cell>
        </row>
        <row r="177">
          <cell r="C177" t="str">
            <v>450.11P</v>
          </cell>
          <cell r="D177" t="str">
            <v>m3</v>
          </cell>
          <cell r="E177" t="str">
            <v>C$33$</v>
          </cell>
          <cell r="F177" t="str">
            <v>='450.11P'!C$33$</v>
          </cell>
          <cell r="G177" t="str">
            <v xml:space="preserve">MEZCLA EN CALIENTE PARA BACHEO MGC‐25 - COMPRA DE MEZCLA </v>
          </cell>
          <cell r="I177">
            <v>39513.804288351843</v>
          </cell>
          <cell r="J177">
            <v>803407.11924900988</v>
          </cell>
          <cell r="K177">
            <v>1979.4113746384849</v>
          </cell>
          <cell r="L177">
            <v>13799.972222222221</v>
          </cell>
          <cell r="M177">
            <v>858700.30713422236</v>
          </cell>
          <cell r="N177">
            <v>1116310.3992744891</v>
          </cell>
        </row>
        <row r="178">
          <cell r="C178" t="str">
            <v>450.12P</v>
          </cell>
          <cell r="D178" t="str">
            <v>m3</v>
          </cell>
          <cell r="E178" t="str">
            <v>C$33$</v>
          </cell>
          <cell r="F178" t="str">
            <v>='450.12P'!C$33$</v>
          </cell>
          <cell r="G178" t="str">
            <v xml:space="preserve">MEZCLA EN CALIENTE PARA BACHEO MGC‐38 - COMPRA DE MEZCLA </v>
          </cell>
          <cell r="I178">
            <v>39513.804288351843</v>
          </cell>
          <cell r="J178">
            <v>810813.49969841295</v>
          </cell>
          <cell r="K178">
            <v>1979.4113746384849</v>
          </cell>
          <cell r="L178">
            <v>13799.972222222221</v>
          </cell>
          <cell r="M178">
            <v>866106.68758362543</v>
          </cell>
          <cell r="N178">
            <v>1125938.6938587131</v>
          </cell>
        </row>
        <row r="179">
          <cell r="C179" t="str">
            <v>450.13P</v>
          </cell>
          <cell r="D179" t="str">
            <v>m3</v>
          </cell>
          <cell r="E179" t="str">
            <v>C$33$</v>
          </cell>
          <cell r="F179" t="str">
            <v>='450.13P'!C$33$</v>
          </cell>
          <cell r="G179" t="str">
            <v xml:space="preserve">MEZCLA EN CALIENTE PARA BACHEO MDC-25 - COMPRA DE MEZCLA </v>
          </cell>
          <cell r="I179">
            <v>39513.804288351843</v>
          </cell>
          <cell r="J179">
            <v>835439.71469267854</v>
          </cell>
          <cell r="K179">
            <v>1979.4113746384849</v>
          </cell>
          <cell r="L179">
            <v>13799.972222222221</v>
          </cell>
          <cell r="M179">
            <v>890732.90257789101</v>
          </cell>
          <cell r="N179">
            <v>1157952.7733512584</v>
          </cell>
        </row>
        <row r="180">
          <cell r="C180" t="str">
            <v>450.14P</v>
          </cell>
          <cell r="D180" t="str">
            <v>m3</v>
          </cell>
          <cell r="E180" t="str">
            <v>C$33$</v>
          </cell>
          <cell r="F180" t="str">
            <v>='450.14P'!C$33$</v>
          </cell>
          <cell r="G180" t="str">
            <v xml:space="preserve">MEZCLA EN CALIENTE PARA BACHEO MDC-19 - COMPRA DE MEZCLA </v>
          </cell>
          <cell r="I180">
            <v>39513.804288351843</v>
          </cell>
          <cell r="J180">
            <v>941536.11463037902</v>
          </cell>
          <cell r="K180">
            <v>1979.4113746384849</v>
          </cell>
          <cell r="L180">
            <v>13799.972222222221</v>
          </cell>
          <cell r="M180">
            <v>996829.30251559149</v>
          </cell>
          <cell r="N180">
            <v>1295878.093270269</v>
          </cell>
        </row>
        <row r="181">
          <cell r="C181" t="str">
            <v>451.1</v>
          </cell>
          <cell r="D181" t="str">
            <v>m3</v>
          </cell>
          <cell r="E181" t="str">
            <v>C$33$</v>
          </cell>
          <cell r="F181" t="str">
            <v>='451.1'!C$33$</v>
          </cell>
          <cell r="G181" t="str">
            <v xml:space="preserve">MEZCLA ABIERTA EN CALIENTE TIPO MAC‐75 - MEZCLA IN SITU    </v>
          </cell>
          <cell r="H181" t="str">
            <v>Pavimentos con Asfalto y otros*</v>
          </cell>
          <cell r="I181">
            <v>210329.04493578858</v>
          </cell>
          <cell r="J181">
            <v>89355.29323185925</v>
          </cell>
          <cell r="K181">
            <v>1800.0514037729251</v>
          </cell>
          <cell r="L181">
            <v>10962.483333333334</v>
          </cell>
          <cell r="M181">
            <v>312446.87290475407</v>
          </cell>
          <cell r="N181">
            <v>406180.93477618031</v>
          </cell>
        </row>
        <row r="182">
          <cell r="C182" t="str">
            <v>451.1P</v>
          </cell>
          <cell r="D182" t="str">
            <v>m3</v>
          </cell>
          <cell r="E182" t="str">
            <v>C$33$</v>
          </cell>
          <cell r="F182" t="str">
            <v>='451.1P'!C$33$</v>
          </cell>
          <cell r="G182" t="str">
            <v xml:space="preserve">MEZCLA ABIERTA EN CALIENTE TIPO MAC‐75 - COMPRA DE MEZCLA  </v>
          </cell>
          <cell r="I182">
            <v>41986.271275616047</v>
          </cell>
          <cell r="J182">
            <v>913095.12962751742</v>
          </cell>
          <cell r="K182">
            <v>1979.4113746384849</v>
          </cell>
          <cell r="L182">
            <v>9744.4296296296288</v>
          </cell>
          <cell r="M182">
            <v>966805.24190740148</v>
          </cell>
          <cell r="N182">
            <v>1256846.8144796221</v>
          </cell>
        </row>
        <row r="183">
          <cell r="C183" t="str">
            <v>451.2</v>
          </cell>
          <cell r="D183" t="str">
            <v>m3</v>
          </cell>
          <cell r="E183" t="str">
            <v>C$33$</v>
          </cell>
          <cell r="F183" t="str">
            <v>='451.2'!C$33$</v>
          </cell>
          <cell r="G183" t="str">
            <v xml:space="preserve">MEZCLA ABIERTA EN CALIENTE TIPO MAC‐63 - MEZCLA IN SITU    </v>
          </cell>
          <cell r="H183" t="str">
            <v>Pavimentos con Asfalto y otros*</v>
          </cell>
          <cell r="I183">
            <v>210329.04493578858</v>
          </cell>
          <cell r="J183">
            <v>89355.29323185925</v>
          </cell>
          <cell r="K183">
            <v>1800.0514037729251</v>
          </cell>
          <cell r="L183">
            <v>10962.483333333334</v>
          </cell>
          <cell r="M183">
            <v>312446.87290475407</v>
          </cell>
          <cell r="N183">
            <v>406180.93477618031</v>
          </cell>
        </row>
        <row r="184">
          <cell r="C184" t="str">
            <v>451.2P</v>
          </cell>
          <cell r="D184" t="str">
            <v>m3</v>
          </cell>
          <cell r="E184" t="str">
            <v>C$33$</v>
          </cell>
          <cell r="F184" t="str">
            <v>='451.2P'!C$33$</v>
          </cell>
          <cell r="G184" t="str">
            <v xml:space="preserve">MEZCLA ABIERTA EN CALIENTE TIPO MAC‐63 - COMPRA DE MEZCLA  </v>
          </cell>
          <cell r="I184">
            <v>41986.271275616047</v>
          </cell>
          <cell r="J184">
            <v>921600.81903782336</v>
          </cell>
          <cell r="K184">
            <v>1979.4113746384849</v>
          </cell>
          <cell r="L184">
            <v>9744.4296296296288</v>
          </cell>
          <cell r="M184">
            <v>975310.93131770741</v>
          </cell>
          <cell r="N184">
            <v>1267904.2107130196</v>
          </cell>
        </row>
        <row r="185">
          <cell r="C185" t="str">
            <v>451.3</v>
          </cell>
          <cell r="D185" t="str">
            <v>m3</v>
          </cell>
          <cell r="E185" t="str">
            <v>C$33$</v>
          </cell>
          <cell r="F185" t="str">
            <v>='451.3'!C$33$</v>
          </cell>
          <cell r="G185" t="str">
            <v xml:space="preserve">MEZCLA ABIERTA EN CALIENTE TIPO MAC‐50 - MEZCLA IN SITU    </v>
          </cell>
          <cell r="H185" t="str">
            <v>Pavimentos con Asfalto y otros*</v>
          </cell>
          <cell r="I185">
            <v>210329.04493578858</v>
          </cell>
          <cell r="J185">
            <v>89355.29323185925</v>
          </cell>
          <cell r="K185">
            <v>1800.0514037729251</v>
          </cell>
          <cell r="L185">
            <v>10962.483333333334</v>
          </cell>
          <cell r="M185">
            <v>312446.87290475407</v>
          </cell>
          <cell r="N185">
            <v>406180.93477618031</v>
          </cell>
        </row>
        <row r="186">
          <cell r="C186" t="str">
            <v>451.3P</v>
          </cell>
          <cell r="D186" t="str">
            <v>m3</v>
          </cell>
          <cell r="E186" t="str">
            <v>C$33$</v>
          </cell>
          <cell r="F186" t="str">
            <v>='451.3P'!C$33$</v>
          </cell>
          <cell r="G186" t="str">
            <v xml:space="preserve">MEZCLA ABIERTA EN CALIENTE TIPO MAC‐50 - COMPRA DE MEZCLA  </v>
          </cell>
          <cell r="I186">
            <v>41986.271275616047</v>
          </cell>
          <cell r="J186">
            <v>828461.28870184056</v>
          </cell>
          <cell r="K186">
            <v>1979.4113746384849</v>
          </cell>
          <cell r="L186">
            <v>9744.4296296296288</v>
          </cell>
          <cell r="M186">
            <v>882171.40098172461</v>
          </cell>
          <cell r="N186">
            <v>1146822.8212762419</v>
          </cell>
        </row>
        <row r="187">
          <cell r="C187" t="str">
            <v>451.4P</v>
          </cell>
          <cell r="D187" t="str">
            <v>m3</v>
          </cell>
          <cell r="E187" t="str">
            <v>C$33$</v>
          </cell>
          <cell r="F187" t="str">
            <v>='451.4P'!C$33$</v>
          </cell>
          <cell r="G187" t="str">
            <v xml:space="preserve">MEZCLA ABIERTA EN CALIENTE TIPO MAC‐50 PARA BACHEO - COMPRA DE MEZCLA  </v>
          </cell>
          <cell r="I187">
            <v>39513.804288351843</v>
          </cell>
          <cell r="J187">
            <v>828461.28870184056</v>
          </cell>
          <cell r="K187">
            <v>1979.4113746384849</v>
          </cell>
          <cell r="L187">
            <v>13799.972222222221</v>
          </cell>
          <cell r="M187">
            <v>883754.47658705304</v>
          </cell>
          <cell r="N187">
            <v>1148880.819563169</v>
          </cell>
        </row>
        <row r="188">
          <cell r="C188" t="str">
            <v>452.1</v>
          </cell>
          <cell r="D188" t="str">
            <v>m3</v>
          </cell>
          <cell r="E188" t="str">
            <v>C$33$</v>
          </cell>
          <cell r="F188" t="str">
            <v>='452.1'!C$33$</v>
          </cell>
          <cell r="G188" t="str">
            <v xml:space="preserve">MEZCLA DISCONTINUA EN CALIENTE TIPO M‐13 - MEZCLA IN SITU   </v>
          </cell>
          <cell r="H188" t="str">
            <v>Pavimentos con Asfalto y otros*</v>
          </cell>
          <cell r="I188">
            <v>210329.04493578858</v>
          </cell>
          <cell r="J188">
            <v>89355.29323185925</v>
          </cell>
          <cell r="K188">
            <v>1800.0514037729251</v>
          </cell>
          <cell r="L188">
            <v>10962.483333333334</v>
          </cell>
          <cell r="M188">
            <v>312446.87290475407</v>
          </cell>
          <cell r="N188">
            <v>406180.93477618031</v>
          </cell>
        </row>
        <row r="189">
          <cell r="C189" t="str">
            <v>452.1P</v>
          </cell>
          <cell r="D189" t="str">
            <v>m3</v>
          </cell>
          <cell r="E189" t="str">
            <v>C$33$</v>
          </cell>
          <cell r="F189" t="str">
            <v>='452.1P'!C$33$</v>
          </cell>
          <cell r="G189" t="str">
            <v xml:space="preserve">MEZCLA DISCONTINUA EN CALIENTE TIPO M‐13 - COMPRA DE MEZCLA </v>
          </cell>
          <cell r="I189">
            <v>41986.271275616047</v>
          </cell>
          <cell r="J189">
            <v>679034.26535952301</v>
          </cell>
          <cell r="K189">
            <v>1979.4113746384849</v>
          </cell>
          <cell r="L189">
            <v>9744.4296296296288</v>
          </cell>
          <cell r="M189">
            <v>732744.37763940706</v>
          </cell>
          <cell r="N189">
            <v>952567.69093122915</v>
          </cell>
        </row>
        <row r="190">
          <cell r="C190" t="str">
            <v>452.2</v>
          </cell>
          <cell r="D190" t="str">
            <v>m3</v>
          </cell>
          <cell r="E190" t="str">
            <v>C$33$</v>
          </cell>
          <cell r="F190" t="str">
            <v>='452.2'!C$33$</v>
          </cell>
          <cell r="G190" t="str">
            <v xml:space="preserve">MEZCLA DISCONTINUA EN CALIENTE TIPO M‐10 - MEZCLA IN SITU   </v>
          </cell>
          <cell r="H190" t="str">
            <v>Pavimentos con Asfalto y otros*</v>
          </cell>
          <cell r="I190">
            <v>210329.04493578858</v>
          </cell>
          <cell r="J190">
            <v>89355.29323185925</v>
          </cell>
          <cell r="K190">
            <v>1800.0514037729251</v>
          </cell>
          <cell r="L190">
            <v>10962.483333333334</v>
          </cell>
          <cell r="M190">
            <v>312446.87290475407</v>
          </cell>
          <cell r="N190">
            <v>406180.93477618031</v>
          </cell>
        </row>
        <row r="191">
          <cell r="C191" t="str">
            <v>452.2P</v>
          </cell>
          <cell r="D191" t="str">
            <v>m3</v>
          </cell>
          <cell r="E191" t="str">
            <v>C$33$</v>
          </cell>
          <cell r="F191" t="str">
            <v>='452.2P'!C$33$</v>
          </cell>
          <cell r="G191" t="str">
            <v xml:space="preserve">MEZCLA DISCONTINUA EN CALIENTE TIPO M‐10 - COMPRA DE MEZCLA  </v>
          </cell>
          <cell r="I191">
            <v>41986.271275616047</v>
          </cell>
          <cell r="J191">
            <v>455048.09921063954</v>
          </cell>
          <cell r="K191">
            <v>1979.4113746384849</v>
          </cell>
          <cell r="L191">
            <v>9744.4296296296288</v>
          </cell>
          <cell r="M191">
            <v>508758.21149052377</v>
          </cell>
          <cell r="N191">
            <v>661385.67493768095</v>
          </cell>
        </row>
        <row r="192">
          <cell r="C192" t="str">
            <v>452.3</v>
          </cell>
          <cell r="D192" t="str">
            <v>m3</v>
          </cell>
          <cell r="E192" t="str">
            <v>C$33$</v>
          </cell>
          <cell r="F192" t="str">
            <v>='452.3'!C$33$</v>
          </cell>
          <cell r="G192" t="str">
            <v xml:space="preserve">MEZCLA DISCONTINUA EN CALIENTE TIPO F‐13 - MEZCLA IN SITU   </v>
          </cell>
          <cell r="H192" t="str">
            <v>Pavimentos con Asfalto y otros*</v>
          </cell>
          <cell r="I192">
            <v>210329.04493578858</v>
          </cell>
          <cell r="J192">
            <v>89355.29323185925</v>
          </cell>
          <cell r="K192">
            <v>1800.0514037729251</v>
          </cell>
          <cell r="L192">
            <v>10962.483333333334</v>
          </cell>
          <cell r="M192">
            <v>312446.87290475407</v>
          </cell>
          <cell r="N192">
            <v>406180.93477618031</v>
          </cell>
        </row>
        <row r="193">
          <cell r="C193" t="str">
            <v>452.3P</v>
          </cell>
          <cell r="D193" t="str">
            <v>m3</v>
          </cell>
          <cell r="E193" t="str">
            <v>C$33$</v>
          </cell>
          <cell r="F193" t="str">
            <v>='452.3P'!C$33$</v>
          </cell>
          <cell r="G193" t="str">
            <v xml:space="preserve">MEZCLA DISCONTINUA EN CALIENTE TIPO F‐13 - COMPRA DE MEZCLA  </v>
          </cell>
          <cell r="I193">
            <v>41986.271275616047</v>
          </cell>
          <cell r="J193">
            <v>631673.7299063761</v>
          </cell>
          <cell r="K193">
            <v>1979.4113746384849</v>
          </cell>
          <cell r="L193">
            <v>9744.4296296296288</v>
          </cell>
          <cell r="M193">
            <v>685383.84218626015</v>
          </cell>
          <cell r="N193">
            <v>890998.99484213814</v>
          </cell>
        </row>
        <row r="194">
          <cell r="C194" t="str">
            <v>452.4</v>
          </cell>
          <cell r="D194" t="str">
            <v>m3</v>
          </cell>
          <cell r="E194" t="str">
            <v>C$33$</v>
          </cell>
          <cell r="F194" t="str">
            <v>='452.4'!C$33$</v>
          </cell>
          <cell r="G194" t="str">
            <v xml:space="preserve">MEZCLA DISCONTINUA EN CALIENTE TIPO F‐10 - MEZCLA IN SITU   </v>
          </cell>
          <cell r="H194" t="str">
            <v>Pavimentos con Asfalto y otros*</v>
          </cell>
          <cell r="I194">
            <v>210329.04493578858</v>
          </cell>
          <cell r="J194">
            <v>89355.29323185925</v>
          </cell>
          <cell r="K194">
            <v>1800.0514037729251</v>
          </cell>
          <cell r="L194">
            <v>10962.483333333334</v>
          </cell>
          <cell r="M194">
            <v>312446.87290475407</v>
          </cell>
          <cell r="N194">
            <v>406180.93477618031</v>
          </cell>
        </row>
        <row r="195">
          <cell r="C195" t="str">
            <v>452.4P</v>
          </cell>
          <cell r="D195" t="str">
            <v>m3</v>
          </cell>
          <cell r="E195" t="str">
            <v>C$33$</v>
          </cell>
          <cell r="F195" t="str">
            <v>='452.4P'!C$33$</v>
          </cell>
          <cell r="G195" t="str">
            <v xml:space="preserve">MEZCLA DISCONTINUA EN CALIENTE TIPO F‐10 - COMPRA DE MEZCLA </v>
          </cell>
          <cell r="I195">
            <v>41986.271275616047</v>
          </cell>
          <cell r="J195">
            <v>430752.0312002569</v>
          </cell>
          <cell r="K195">
            <v>1979.4113746384849</v>
          </cell>
          <cell r="L195">
            <v>9744.4296296296288</v>
          </cell>
          <cell r="M195">
            <v>484462.14348014107</v>
          </cell>
          <cell r="N195">
            <v>629800.78652418335</v>
          </cell>
        </row>
        <row r="196">
          <cell r="C196" t="str">
            <v>453.1</v>
          </cell>
          <cell r="D196" t="str">
            <v>m3</v>
          </cell>
          <cell r="E196" t="str">
            <v>C$33$</v>
          </cell>
          <cell r="F196" t="str">
            <v>='453.1'!C$33$</v>
          </cell>
          <cell r="G196" t="str">
            <v xml:space="preserve">MEZCLA DRENANTE - MEZCLA IN SITU    </v>
          </cell>
          <cell r="H196" t="str">
            <v>Pavimentos con Asfalto y otros*</v>
          </cell>
          <cell r="I196">
            <v>210633.06160245527</v>
          </cell>
          <cell r="J196">
            <v>89355.29323185925</v>
          </cell>
          <cell r="K196">
            <v>1800.0514037729251</v>
          </cell>
          <cell r="L196">
            <v>14002.649999999998</v>
          </cell>
          <cell r="M196">
            <v>315791.05623808748</v>
          </cell>
          <cell r="N196">
            <v>410528.37310951372</v>
          </cell>
        </row>
        <row r="197">
          <cell r="C197" t="str">
            <v>453.1P</v>
          </cell>
          <cell r="D197" t="str">
            <v>m3</v>
          </cell>
          <cell r="E197" t="str">
            <v>C$33$</v>
          </cell>
          <cell r="F197" t="str">
            <v>='453.1P'!C$33$</v>
          </cell>
          <cell r="G197" t="str">
            <v xml:space="preserve">MEZCLA DRENANTE - COMPRA DE MEZCLA </v>
          </cell>
          <cell r="I197">
            <v>41986.271275616047</v>
          </cell>
          <cell r="J197">
            <v>941536.11463037902</v>
          </cell>
          <cell r="K197">
            <v>1979.4113746384849</v>
          </cell>
          <cell r="L197">
            <v>9744.4296296296288</v>
          </cell>
          <cell r="M197">
            <v>995246.22691026307</v>
          </cell>
          <cell r="N197">
            <v>1293820.0949833421</v>
          </cell>
        </row>
        <row r="198">
          <cell r="C198" t="str">
            <v>460.1.1</v>
          </cell>
          <cell r="D198" t="str">
            <v>m2</v>
          </cell>
          <cell r="E198" t="str">
            <v>C$33$</v>
          </cell>
          <cell r="F198" t="str">
            <v>='460.1.1'!C$33$</v>
          </cell>
          <cell r="G198" t="str">
            <v>FRESADO DE PAVIMENTO ASFÁLTICO EN ESPESOR DE 10 cm</v>
          </cell>
          <cell r="I198">
            <v>5205.4283588000299</v>
          </cell>
          <cell r="J198">
            <v>0</v>
          </cell>
          <cell r="K198">
            <v>4431.0044811328744</v>
          </cell>
          <cell r="L198">
            <v>238.44444444444443</v>
          </cell>
          <cell r="M198">
            <v>9874.8772843773495</v>
          </cell>
          <cell r="N198">
            <v>12837.340469690555</v>
          </cell>
        </row>
        <row r="199">
          <cell r="C199" t="str">
            <v>460.1.2</v>
          </cell>
          <cell r="D199" t="str">
            <v>m2</v>
          </cell>
          <cell r="E199" t="str">
            <v>C$33$</v>
          </cell>
          <cell r="F199" t="str">
            <v>='460.1.2'!C$33$</v>
          </cell>
          <cell r="G199" t="str">
            <v>FRESADO DE PAVIMENTO ASFÁLTICO EN ESPESOR DE 5 cm</v>
          </cell>
          <cell r="I199">
            <v>2597.9452905111261</v>
          </cell>
          <cell r="J199">
            <v>0</v>
          </cell>
          <cell r="K199">
            <v>73.850074685547895</v>
          </cell>
          <cell r="L199">
            <v>119.22222222222221</v>
          </cell>
          <cell r="M199">
            <v>2791.0175874188963</v>
          </cell>
          <cell r="N199">
            <v>3628.3228636445651</v>
          </cell>
        </row>
        <row r="200">
          <cell r="C200" t="str">
            <v>461.1</v>
          </cell>
          <cell r="D200" t="str">
            <v>m3</v>
          </cell>
          <cell r="E200" t="str">
            <v>C$33$</v>
          </cell>
          <cell r="F200" t="str">
            <v>='461.1'!C$33$</v>
          </cell>
          <cell r="G200" t="str">
            <v>PAVIMENTO RECICLADO EN FRÍO EN EL LUGAR CON EMULSIÓN ASFÁLTICA</v>
          </cell>
          <cell r="I200">
            <v>64822.60912789643</v>
          </cell>
          <cell r="J200">
            <v>19383.312023813494</v>
          </cell>
          <cell r="K200">
            <v>366.43903576805985</v>
          </cell>
          <cell r="L200">
            <v>3825.0462962962965</v>
          </cell>
          <cell r="M200">
            <v>88397.406483774263</v>
          </cell>
          <cell r="N200">
            <v>114916.62842890654</v>
          </cell>
        </row>
        <row r="201">
          <cell r="C201" t="str">
            <v>461.2</v>
          </cell>
          <cell r="D201" t="str">
            <v>m3</v>
          </cell>
          <cell r="E201" t="str">
            <v>C$33$</v>
          </cell>
          <cell r="F201" t="str">
            <v>='461.2'!C$33$</v>
          </cell>
          <cell r="G201" t="str">
            <v>PAVIMENTO RECICLADO EN FRÍO EN EL LUGAR CON ASFALTO ESPUMADO</v>
          </cell>
          <cell r="I201">
            <v>97750.294941844651</v>
          </cell>
          <cell r="J201">
            <v>24005.491056746378</v>
          </cell>
          <cell r="K201">
            <v>366.43903576805985</v>
          </cell>
          <cell r="L201">
            <v>5737.5694444444443</v>
          </cell>
          <cell r="M201">
            <v>127859.79447880352</v>
          </cell>
          <cell r="N201">
            <v>166217.73282244458</v>
          </cell>
        </row>
        <row r="202">
          <cell r="C202" t="str">
            <v>462.1.1</v>
          </cell>
          <cell r="D202" t="str">
            <v>m3</v>
          </cell>
          <cell r="E202" t="str">
            <v>C$33$</v>
          </cell>
          <cell r="F202" t="str">
            <v>='462.1.1'!C$33$</v>
          </cell>
          <cell r="G202" t="str">
            <v>MEZCLA ASFÁLTICA RECICLADA EN CALIENTE DEL TIPO MDC-25</v>
          </cell>
          <cell r="I202">
            <v>64822.60912789643</v>
          </cell>
          <cell r="J202">
            <v>102257.82107838384</v>
          </cell>
          <cell r="K202">
            <v>242.27995225575054</v>
          </cell>
          <cell r="L202">
            <v>3825.0462962962965</v>
          </cell>
          <cell r="M202">
            <v>171147.7564548323</v>
          </cell>
          <cell r="N202">
            <v>222492.08339128198</v>
          </cell>
        </row>
        <row r="203">
          <cell r="C203" t="str">
            <v>462.1.2</v>
          </cell>
          <cell r="D203" t="str">
            <v>m3</v>
          </cell>
          <cell r="E203" t="str">
            <v>C$33$</v>
          </cell>
          <cell r="F203" t="str">
            <v>='462.1.2'!C$33$</v>
          </cell>
          <cell r="G203" t="str">
            <v>MEZCLA ASFÁLTICA RECICLADA EN CALIENTE DEL TIPO MDC-19</v>
          </cell>
          <cell r="I203">
            <v>64822.60912789643</v>
          </cell>
          <cell r="J203">
            <v>115244.02043075839</v>
          </cell>
          <cell r="K203">
            <v>242.27995225575054</v>
          </cell>
          <cell r="L203">
            <v>3825.0462962962965</v>
          </cell>
          <cell r="M203">
            <v>184133.95580720686</v>
          </cell>
          <cell r="N203">
            <v>239374.1425493689</v>
          </cell>
        </row>
        <row r="204">
          <cell r="C204" t="str">
            <v>462.2.1</v>
          </cell>
          <cell r="D204" t="str">
            <v>m3</v>
          </cell>
          <cell r="E204" t="str">
            <v>C$33$</v>
          </cell>
          <cell r="F204" t="str">
            <v>='462.2.1'!C$33$</v>
          </cell>
          <cell r="G204" t="str">
            <v>MEZCLA ASFÁLTICA RECICLADA EN CALIENTE DEL TIPO MDC-25  PARA BACHEO</v>
          </cell>
          <cell r="I204">
            <v>77787.130953475717</v>
          </cell>
          <cell r="J204">
            <v>102257.82107838384</v>
          </cell>
          <cell r="K204">
            <v>242.27995225575054</v>
          </cell>
          <cell r="L204">
            <v>4590.0555555555557</v>
          </cell>
          <cell r="M204">
            <v>184877.28753967086</v>
          </cell>
          <cell r="N204">
            <v>240340.47380157211</v>
          </cell>
        </row>
        <row r="205">
          <cell r="C205" t="str">
            <v>462.2.2</v>
          </cell>
          <cell r="D205" t="str">
            <v>m3</v>
          </cell>
          <cell r="E205" t="str">
            <v>C$33$</v>
          </cell>
          <cell r="F205" t="str">
            <v>='462.2.2'!C$33$</v>
          </cell>
          <cell r="G205" t="str">
            <v>MEZCLA ASFÁLTICA RECICLADA EN CALIENTE DEL TIPO MDC-19 PARA BACHEO</v>
          </cell>
          <cell r="I205">
            <v>77787.130953475717</v>
          </cell>
          <cell r="J205">
            <v>115244.02043075839</v>
          </cell>
          <cell r="K205">
            <v>242.27995225575054</v>
          </cell>
          <cell r="L205">
            <v>4590.0555555555557</v>
          </cell>
          <cell r="M205">
            <v>197863.48689204542</v>
          </cell>
          <cell r="N205">
            <v>257222.53295965906</v>
          </cell>
        </row>
        <row r="206">
          <cell r="C206" t="str">
            <v>464.1.1</v>
          </cell>
          <cell r="D206" t="str">
            <v>m2</v>
          </cell>
          <cell r="E206" t="str">
            <v>C$33$</v>
          </cell>
          <cell r="F206" t="str">
            <v>='464.1.1'!C$33$</v>
          </cell>
          <cell r="G206" t="str">
            <v>GEOTEXTIL PARA REPAVIMENTACIÓN - LIGANTE ASFÁLTICO CRR-1</v>
          </cell>
          <cell r="I206">
            <v>5.5080666666666662</v>
          </cell>
          <cell r="J206">
            <v>11310.484057578717</v>
          </cell>
          <cell r="K206">
            <v>0</v>
          </cell>
          <cell r="L206">
            <v>550.80666666666662</v>
          </cell>
          <cell r="M206">
            <v>11866.798790912051</v>
          </cell>
          <cell r="N206">
            <v>15426.838428185667</v>
          </cell>
        </row>
        <row r="207">
          <cell r="C207" t="str">
            <v>464.1.2</v>
          </cell>
          <cell r="D207" t="str">
            <v>m2</v>
          </cell>
          <cell r="E207" t="str">
            <v>C$33$</v>
          </cell>
          <cell r="F207" t="str">
            <v>='464.1.2'!C$33$</v>
          </cell>
          <cell r="G207" t="str">
            <v>GEOTEXTIL PARA REPAVIMENTACIÓN - LIGANTE ASFÁLTICO CRR-1m</v>
          </cell>
          <cell r="I207">
            <v>5.5080666666666662</v>
          </cell>
          <cell r="J207">
            <v>12462.587683041433</v>
          </cell>
          <cell r="K207">
            <v>0</v>
          </cell>
          <cell r="L207">
            <v>550.80666666666662</v>
          </cell>
          <cell r="M207">
            <v>13018.902416374767</v>
          </cell>
          <cell r="N207">
            <v>16924.573141287197</v>
          </cell>
        </row>
        <row r="208">
          <cell r="C208" t="str">
            <v>465.1</v>
          </cell>
          <cell r="D208" t="str">
            <v>m3</v>
          </cell>
          <cell r="E208" t="str">
            <v>C$33$</v>
          </cell>
          <cell r="F208" t="str">
            <v>='465.1'!C$33$</v>
          </cell>
          <cell r="G208" t="str">
            <v>EXCAVACIÓN PARA REPARACIÓN DE PAVIMENTO ASFÁLTICO EXISTENTE INCLUYENDO EL CORTE Y LA REMOCIÓN DE LAS CAPAS ASFÁLTICAS SUBYACENTES</v>
          </cell>
          <cell r="I208">
            <v>40741.354108987733</v>
          </cell>
          <cell r="J208">
            <v>10043.89996171392</v>
          </cell>
          <cell r="K208">
            <v>21302.906159292663</v>
          </cell>
          <cell r="L208">
            <v>5588.5416666666661</v>
          </cell>
          <cell r="M208">
            <v>77676.70189666099</v>
          </cell>
          <cell r="N208">
            <v>100979.71246565928</v>
          </cell>
        </row>
        <row r="209">
          <cell r="C209" t="str">
            <v>465.2</v>
          </cell>
          <cell r="D209" t="str">
            <v>m3</v>
          </cell>
          <cell r="E209" t="str">
            <v>C$33$</v>
          </cell>
          <cell r="F209" t="str">
            <v>='465.2'!C$33$</v>
          </cell>
          <cell r="G209" t="str">
            <v>EXCAVACIÓN PARA LA REPARACIÓN DE PAVIMENTO ASFÁLTICO EXISTENTE EXCLUYENDO EL CORTE Y LA REMOCIÓN DE LAS CAPAS ASFÁLTICAS Y DE LAS SUBYACENTES</v>
          </cell>
          <cell r="I209">
            <v>12001.577194365349</v>
          </cell>
          <cell r="J209">
            <v>0</v>
          </cell>
          <cell r="K209">
            <v>0</v>
          </cell>
          <cell r="L209">
            <v>5365</v>
          </cell>
          <cell r="M209">
            <v>17366.577194365349</v>
          </cell>
          <cell r="N209">
            <v>22576.550352674953</v>
          </cell>
        </row>
        <row r="210">
          <cell r="C210" t="str">
            <v>466.1</v>
          </cell>
          <cell r="D210" t="str">
            <v>m</v>
          </cell>
          <cell r="E210" t="str">
            <v>C$33$</v>
          </cell>
          <cell r="F210" t="str">
            <v>='466.1'!C$33$</v>
          </cell>
          <cell r="G210" t="str">
            <v>SELLO DE GRIETAS EN PAVIMENTO ASFÁLTICO SIN RUTEO</v>
          </cell>
          <cell r="I210">
            <v>3400.7898556929117</v>
          </cell>
          <cell r="J210">
            <v>9787.3535580726293</v>
          </cell>
          <cell r="K210">
            <v>0</v>
          </cell>
          <cell r="L210">
            <v>551.40277777777771</v>
          </cell>
          <cell r="M210">
            <v>13739.546191543319</v>
          </cell>
          <cell r="N210">
            <v>17861.410049006314</v>
          </cell>
        </row>
        <row r="211">
          <cell r="C211" t="str">
            <v>466.2</v>
          </cell>
          <cell r="D211" t="str">
            <v>m</v>
          </cell>
          <cell r="E211" t="str">
            <v>C$33$</v>
          </cell>
          <cell r="F211" t="str">
            <v>='466.2'!C$33$</v>
          </cell>
          <cell r="G211" t="str">
            <v>SELLO DE GRIETAS EN PAVIMENTO ASFÁLTICO CON RUTEO</v>
          </cell>
          <cell r="I211">
            <v>3501.0236776717479</v>
          </cell>
          <cell r="J211">
            <v>10245.07073837498</v>
          </cell>
          <cell r="K211">
            <v>270.00771056593879</v>
          </cell>
          <cell r="L211">
            <v>551.40277777777771</v>
          </cell>
          <cell r="M211">
            <v>14567.504904390444</v>
          </cell>
          <cell r="N211">
            <v>18937.756375707577</v>
          </cell>
        </row>
        <row r="212">
          <cell r="C212" t="str">
            <v>500.1.1</v>
          </cell>
          <cell r="D212" t="str">
            <v>m3</v>
          </cell>
          <cell r="E212" t="str">
            <v>C$33$</v>
          </cell>
          <cell r="F212" t="str">
            <v>='500.1.1'!C$33$</v>
          </cell>
          <cell r="G212" t="str">
            <v>PAVIMENTO DE CONCRETO HIDRÁULICO - NT3</v>
          </cell>
          <cell r="I212">
            <v>18975.656026775163</v>
          </cell>
          <cell r="J212">
            <v>729489.5234890522</v>
          </cell>
          <cell r="K212">
            <v>239904.65860618438</v>
          </cell>
          <cell r="L212">
            <v>15558.499999999998</v>
          </cell>
          <cell r="M212">
            <v>1003928.3381220117</v>
          </cell>
          <cell r="N212">
            <v>1305106.8395586153</v>
          </cell>
        </row>
        <row r="213">
          <cell r="C213" t="str">
            <v>500.1.2</v>
          </cell>
          <cell r="D213" t="str">
            <v>m3</v>
          </cell>
          <cell r="E213" t="str">
            <v>C$33$</v>
          </cell>
          <cell r="F213" t="str">
            <v>='500.1.2'!C$33$</v>
          </cell>
          <cell r="G213" t="str">
            <v>PAVIMENTO DE CONCRETO HIDRÁULICO - NT2</v>
          </cell>
          <cell r="I213">
            <v>18975.656026775163</v>
          </cell>
          <cell r="J213">
            <v>702948.70412452065</v>
          </cell>
          <cell r="K213">
            <v>1599.3643907078958</v>
          </cell>
          <cell r="L213">
            <v>15558.499999999998</v>
          </cell>
          <cell r="M213">
            <v>739082.22454200371</v>
          </cell>
          <cell r="N213">
            <v>960806.89190460485</v>
          </cell>
        </row>
        <row r="214">
          <cell r="C214" t="str">
            <v>500.2</v>
          </cell>
          <cell r="D214" t="str">
            <v>m3</v>
          </cell>
          <cell r="E214" t="str">
            <v>C$33$</v>
          </cell>
          <cell r="F214" t="str">
            <v>='500.2'!C$33$</v>
          </cell>
          <cell r="G214" t="str">
            <v>PAVIMENTO DE CONCRETO HIDRÁULICO DE FRAGUADO RÁPIDO (FAST TRACK)</v>
          </cell>
          <cell r="I214">
            <v>9199.7324507335725</v>
          </cell>
          <cell r="J214">
            <v>897494.08563530294</v>
          </cell>
          <cell r="K214">
            <v>1599.3643907078958</v>
          </cell>
          <cell r="L214">
            <v>7779.2499999999991</v>
          </cell>
          <cell r="M214">
            <v>916072.4324767444</v>
          </cell>
          <cell r="N214">
            <v>1190894.1622197677</v>
          </cell>
        </row>
        <row r="215">
          <cell r="C215" t="str">
            <v>501.1</v>
          </cell>
          <cell r="D215" t="str">
            <v>kg</v>
          </cell>
          <cell r="E215" t="str">
            <v>C$33$</v>
          </cell>
          <cell r="F215" t="str">
            <v>='501.1'!C$33$</v>
          </cell>
          <cell r="G215" t="str">
            <v>CEMENTO PORTLAND, NORMA ASTM C150, TIPO I</v>
          </cell>
          <cell r="I215">
            <v>0</v>
          </cell>
          <cell r="J215">
            <v>724.85483018002253</v>
          </cell>
          <cell r="K215">
            <v>0</v>
          </cell>
          <cell r="L215">
            <v>0</v>
          </cell>
          <cell r="M215">
            <v>724.85483018002253</v>
          </cell>
          <cell r="N215">
            <v>942.31127923402926</v>
          </cell>
        </row>
        <row r="216">
          <cell r="C216" t="str">
            <v>501.10</v>
          </cell>
          <cell r="D216" t="str">
            <v>kg</v>
          </cell>
          <cell r="E216" t="str">
            <v>C$33$</v>
          </cell>
          <cell r="F216" t="str">
            <v>='501.10'!C$33$</v>
          </cell>
          <cell r="G216" t="str">
            <v>CEMENTO HIDRÁULICO ADICIONADO, NORMA ASTM C595, TIPO IP</v>
          </cell>
          <cell r="I216">
            <v>0</v>
          </cell>
          <cell r="J216">
            <v>689.20623197444752</v>
          </cell>
          <cell r="K216">
            <v>0</v>
          </cell>
          <cell r="L216">
            <v>0</v>
          </cell>
          <cell r="M216">
            <v>689.20623197444752</v>
          </cell>
          <cell r="N216">
            <v>895.9681015667818</v>
          </cell>
        </row>
        <row r="217">
          <cell r="C217" t="str">
            <v>501.20.1</v>
          </cell>
          <cell r="D217" t="str">
            <v>kg</v>
          </cell>
          <cell r="E217" t="str">
            <v>C$33$</v>
          </cell>
          <cell r="F217" t="str">
            <v>='501.20.1'!C$33$</v>
          </cell>
          <cell r="G217" t="str">
            <v>CEMENTO HIDRÁULICO ESPECIFICADO POR DESEMPEÑO, NORMA ASTM C 1157 - NTC 121, TIPO UG</v>
          </cell>
          <cell r="I217">
            <v>0</v>
          </cell>
          <cell r="J217">
            <v>689.20623197444752</v>
          </cell>
          <cell r="K217">
            <v>0</v>
          </cell>
          <cell r="L217">
            <v>0</v>
          </cell>
          <cell r="M217">
            <v>689.20623197444752</v>
          </cell>
          <cell r="N217">
            <v>895.9681015667818</v>
          </cell>
        </row>
        <row r="218">
          <cell r="C218" t="str">
            <v>501.20.2</v>
          </cell>
          <cell r="D218" t="str">
            <v>kg</v>
          </cell>
          <cell r="E218" t="str">
            <v>C$33$</v>
          </cell>
          <cell r="F218" t="str">
            <v>='501.20.2'!C$33$</v>
          </cell>
          <cell r="G218" t="str">
            <v>CEMENTO HIDRÁULICO ESPECIFICADO POR DESEMPEÑO, NORMA ASTM C 1157 - NTC 121, TIPO  ART</v>
          </cell>
          <cell r="I218">
            <v>0</v>
          </cell>
          <cell r="J218">
            <v>804.58886149982516</v>
          </cell>
          <cell r="K218">
            <v>0</v>
          </cell>
          <cell r="L218">
            <v>0</v>
          </cell>
          <cell r="M218">
            <v>804.58886149982516</v>
          </cell>
          <cell r="N218">
            <v>1045.9655199497727</v>
          </cell>
        </row>
        <row r="219">
          <cell r="C219" t="str">
            <v>501.20.3</v>
          </cell>
          <cell r="D219" t="str">
            <v>kg</v>
          </cell>
          <cell r="E219" t="str">
            <v>C$33$</v>
          </cell>
          <cell r="F219" t="str">
            <v>='501.20.3'!C$33$</v>
          </cell>
          <cell r="G219" t="str">
            <v>CEMENTO HIDRÁULICO ESPECIFICADO POR DESEMPEÑO, NORMA ASTM C 1157 - NTC 121, TIPO  MRS</v>
          </cell>
          <cell r="I219">
            <v>0</v>
          </cell>
          <cell r="J219">
            <v>724.85483018002253</v>
          </cell>
          <cell r="K219">
            <v>0</v>
          </cell>
          <cell r="L219">
            <v>0</v>
          </cell>
          <cell r="M219">
            <v>724.85483018002253</v>
          </cell>
          <cell r="N219">
            <v>942.31127923402926</v>
          </cell>
        </row>
        <row r="220">
          <cell r="C220" t="str">
            <v>501.20.4</v>
          </cell>
          <cell r="D220" t="str">
            <v>kg</v>
          </cell>
          <cell r="E220" t="str">
            <v>C$33$</v>
          </cell>
          <cell r="F220" t="str">
            <v>='501.20.4'!C$33$</v>
          </cell>
          <cell r="G220" t="str">
            <v>CEMENTO HIDRÁULICO ESPECIFICADO POR DESEMPEÑO, NORMA ASTM C 1157 - NTC 121, TIPO ARS</v>
          </cell>
          <cell r="I220">
            <v>0</v>
          </cell>
          <cell r="J220">
            <v>724.85483018002253</v>
          </cell>
          <cell r="K220">
            <v>0</v>
          </cell>
          <cell r="L220">
            <v>0</v>
          </cell>
          <cell r="M220">
            <v>724.85483018002253</v>
          </cell>
          <cell r="N220">
            <v>942.31127923402926</v>
          </cell>
        </row>
        <row r="221">
          <cell r="C221" t="str">
            <v>505.1</v>
          </cell>
          <cell r="D221" t="str">
            <v>m3</v>
          </cell>
          <cell r="E221" t="str">
            <v>C$33$</v>
          </cell>
          <cell r="F221" t="str">
            <v>='505.1'!C$33$</v>
          </cell>
          <cell r="G221" t="str">
            <v xml:space="preserve">BASE DE CONCRETO HIDRAULICO </v>
          </cell>
          <cell r="I221">
            <v>3670.4225878992693</v>
          </cell>
          <cell r="J221">
            <v>639780.56176509813</v>
          </cell>
          <cell r="K221">
            <v>1599.3643907078958</v>
          </cell>
          <cell r="L221">
            <v>2891.1388888888887</v>
          </cell>
          <cell r="M221">
            <v>647941.48763259419</v>
          </cell>
          <cell r="N221">
            <v>842323.93392237241</v>
          </cell>
        </row>
        <row r="222">
          <cell r="C222" t="str">
            <v>510.1</v>
          </cell>
          <cell r="D222" t="str">
            <v>m2</v>
          </cell>
          <cell r="E222" t="str">
            <v>C$33$</v>
          </cell>
          <cell r="F222" t="str">
            <v>='510.1'!C$33$</v>
          </cell>
          <cell r="G222" t="str">
            <v>PAVIMENTO DE ADOQUINES DE CONCRETO</v>
          </cell>
          <cell r="I222">
            <v>2105.1377948210688</v>
          </cell>
          <cell r="J222">
            <v>81380.805047210015</v>
          </cell>
          <cell r="K222">
            <v>1337.1810428027445</v>
          </cell>
          <cell r="L222">
            <v>13877.466666666665</v>
          </cell>
          <cell r="M222">
            <v>98700.590551500485</v>
          </cell>
          <cell r="N222">
            <v>128310.76771695064</v>
          </cell>
        </row>
        <row r="223">
          <cell r="C223" t="str">
            <v>600.1.1</v>
          </cell>
          <cell r="D223" t="str">
            <v>m3</v>
          </cell>
          <cell r="E223" t="str">
            <v>C$33$</v>
          </cell>
          <cell r="F223" t="str">
            <v>='600.1.1'!C$33$</v>
          </cell>
          <cell r="G223" t="str">
            <v>EXCAVACIONES VARIAS SIN CLASIFICAR</v>
          </cell>
          <cell r="I223">
            <v>11328.463521824537</v>
          </cell>
          <cell r="J223">
            <v>10445.655960182477</v>
          </cell>
          <cell r="K223">
            <v>22155.022405664367</v>
          </cell>
          <cell r="L223">
            <v>1323.3666666666666</v>
          </cell>
          <cell r="M223">
            <v>45252.508554338056</v>
          </cell>
          <cell r="N223">
            <v>58828.261120639472</v>
          </cell>
        </row>
        <row r="224">
          <cell r="C224" t="str">
            <v>600.2.1</v>
          </cell>
          <cell r="D224" t="str">
            <v>m3</v>
          </cell>
          <cell r="E224" t="str">
            <v>C$33$</v>
          </cell>
          <cell r="F224" t="str">
            <v>='600.2.1'!C$33$</v>
          </cell>
          <cell r="G224" t="str">
            <v>EXCAVACIONES VARIAS EN ROCA EN SECO</v>
          </cell>
          <cell r="I224">
            <v>19655.542393413009</v>
          </cell>
          <cell r="J224">
            <v>26669.771478645274</v>
          </cell>
          <cell r="K224">
            <v>1590.6169932271853</v>
          </cell>
          <cell r="L224">
            <v>5096.75</v>
          </cell>
          <cell r="M224">
            <v>53012.680865285467</v>
          </cell>
          <cell r="N224">
            <v>68916.485124871106</v>
          </cell>
        </row>
        <row r="225">
          <cell r="C225" t="str">
            <v>600.2.2</v>
          </cell>
          <cell r="D225" t="str">
            <v>m3</v>
          </cell>
          <cell r="E225" t="str">
            <v>C$33$</v>
          </cell>
          <cell r="F225" t="str">
            <v>='600.2.2'!C$33$</v>
          </cell>
          <cell r="G225" t="str">
            <v>EXCAVACIONES VARIAS EN ROCA BAJO AGUA</v>
          </cell>
          <cell r="I225">
            <v>50961.040800604795</v>
          </cell>
          <cell r="J225">
            <v>26669.771478645274</v>
          </cell>
          <cell r="K225">
            <v>1590.6169932271853</v>
          </cell>
          <cell r="L225">
            <v>27540.333333333332</v>
          </cell>
          <cell r="M225">
            <v>106761.76260581058</v>
          </cell>
          <cell r="N225">
            <v>138790.29138755376</v>
          </cell>
        </row>
        <row r="226">
          <cell r="C226" t="str">
            <v>600.2.3</v>
          </cell>
          <cell r="D226" t="str">
            <v>m3</v>
          </cell>
          <cell r="E226" t="str">
            <v>C$33$</v>
          </cell>
          <cell r="F226" t="str">
            <v>='600.2.3'!C$33$</v>
          </cell>
          <cell r="G226" t="str">
            <v>EXCAVACIONES VARIAS EN MATERIAL COMUN EN SECO</v>
          </cell>
          <cell r="I226">
            <v>6524.624487859046</v>
          </cell>
          <cell r="J226">
            <v>10445.655960182477</v>
          </cell>
          <cell r="K226">
            <v>1477.0014937109579</v>
          </cell>
          <cell r="L226">
            <v>945.2619047619047</v>
          </cell>
          <cell r="M226">
            <v>19392.543846514385</v>
          </cell>
          <cell r="N226">
            <v>25210.3070004687</v>
          </cell>
        </row>
        <row r="227">
          <cell r="C227" t="str">
            <v>600.2.4</v>
          </cell>
          <cell r="D227" t="str">
            <v>m3</v>
          </cell>
          <cell r="E227" t="str">
            <v>C$33$</v>
          </cell>
          <cell r="F227" t="str">
            <v>='600.2.4'!C$33$</v>
          </cell>
          <cell r="G227" t="str">
            <v>EXCAVACIONES VARIAS EN MATERIAL COMÚN BAJO AGUA</v>
          </cell>
          <cell r="I227">
            <v>11236.583543205315</v>
          </cell>
          <cell r="J227">
            <v>10445.655960182477</v>
          </cell>
          <cell r="K227">
            <v>22155.022405664367</v>
          </cell>
          <cell r="L227">
            <v>1575.436507936508</v>
          </cell>
          <cell r="M227">
            <v>45412.698416988671</v>
          </cell>
          <cell r="N227">
            <v>59036.507942085271</v>
          </cell>
        </row>
        <row r="228">
          <cell r="C228" t="str">
            <v>610.1</v>
          </cell>
          <cell r="D228" t="str">
            <v>m3</v>
          </cell>
          <cell r="E228" t="str">
            <v>C$33$</v>
          </cell>
          <cell r="F228" t="str">
            <v>='610.1'!C$33$</v>
          </cell>
          <cell r="G228" t="str">
            <v>RELLENO PARA ESTRUCTURAS CON SUELO (analizado sin preparación de la superficie base del relleno)</v>
          </cell>
          <cell r="I228">
            <v>4038.5280786526591</v>
          </cell>
          <cell r="J228">
            <v>51288.769960494879</v>
          </cell>
          <cell r="K228">
            <v>50144.289105102922</v>
          </cell>
          <cell r="L228">
            <v>19416.190476190473</v>
          </cell>
          <cell r="M228">
            <v>124887.77762044093</v>
          </cell>
          <cell r="N228">
            <v>162354.11090657322</v>
          </cell>
        </row>
        <row r="229">
          <cell r="C229" t="str">
            <v>610.2</v>
          </cell>
          <cell r="D229" t="str">
            <v>m3</v>
          </cell>
          <cell r="E229" t="str">
            <v>C$33$</v>
          </cell>
          <cell r="F229" t="str">
            <v>='610.2'!C$33$</v>
          </cell>
          <cell r="G229" t="str">
            <v>RELLENO PARA ESTRUCTURAS CON RECEBO (analizado sin preparación de la superficie base del relleno)</v>
          </cell>
          <cell r="I229">
            <v>3503.8295527977643</v>
          </cell>
          <cell r="J229">
            <v>46497.788106854467</v>
          </cell>
          <cell r="K229">
            <v>1671.4763035034307</v>
          </cell>
          <cell r="L229">
            <v>10219.047619047618</v>
          </cell>
          <cell r="M229">
            <v>61892.14158220328</v>
          </cell>
          <cell r="N229">
            <v>80459.784056864271</v>
          </cell>
        </row>
        <row r="230">
          <cell r="C230" t="str">
            <v>610.3</v>
          </cell>
          <cell r="D230" t="str">
            <v>m3</v>
          </cell>
          <cell r="E230" t="str">
            <v>C$33$</v>
          </cell>
          <cell r="F230" t="str">
            <v>='610.3'!C$33$</v>
          </cell>
          <cell r="G230" t="str">
            <v>RELLENO PARA ESTRUCTURA CON MATERIAL GRANULAR TIPO SBG-50 (analizado sin preparación de la superficie base del relleno)</v>
          </cell>
          <cell r="I230">
            <v>3813.1019277363262</v>
          </cell>
          <cell r="J230">
            <v>83600.068012624484</v>
          </cell>
          <cell r="K230">
            <v>1671.4763035034307</v>
          </cell>
          <cell r="L230">
            <v>10730</v>
          </cell>
          <cell r="M230">
            <v>99814.646243864234</v>
          </cell>
          <cell r="N230">
            <v>129759.04011702351</v>
          </cell>
        </row>
        <row r="231">
          <cell r="C231" t="str">
            <v>610.4</v>
          </cell>
          <cell r="D231" t="str">
            <v>m3</v>
          </cell>
          <cell r="E231" t="str">
            <v>C$33$</v>
          </cell>
          <cell r="F231" t="str">
            <v>='610.4'!C$33$</v>
          </cell>
          <cell r="G231" t="str">
            <v>RELLENO PARA ESTRUCTURAS CON MATERIAL GRANULAR TIPO SBG-38 (analizado sin preparación de la superficie base del relleno)</v>
          </cell>
          <cell r="I231">
            <v>3813.1019277363262</v>
          </cell>
          <cell r="J231">
            <v>83600.068012624484</v>
          </cell>
          <cell r="K231">
            <v>1671.4763035034307</v>
          </cell>
          <cell r="L231">
            <v>10730</v>
          </cell>
          <cell r="M231">
            <v>99814.646243864234</v>
          </cell>
          <cell r="N231">
            <v>129759.04011702351</v>
          </cell>
        </row>
        <row r="232">
          <cell r="C232" t="str">
            <v>610.5</v>
          </cell>
          <cell r="D232" t="str">
            <v>m3</v>
          </cell>
          <cell r="E232" t="str">
            <v>C$33$</v>
          </cell>
          <cell r="F232" t="str">
            <v>='610.5'!C$33$</v>
          </cell>
          <cell r="G232" t="str">
            <v>RELLENO PARA ESTRUCTURAS CON MATERIAL GRANULAR TIPO SBG-20 (analizado sin preparación de la superficie base del relleno)</v>
          </cell>
          <cell r="I232">
            <v>3813.1019277363262</v>
          </cell>
          <cell r="J232">
            <v>83600.068012624484</v>
          </cell>
          <cell r="K232">
            <v>1671.4763035034307</v>
          </cell>
          <cell r="L232">
            <v>10730</v>
          </cell>
          <cell r="M232">
            <v>99814.646243864234</v>
          </cell>
          <cell r="N232">
            <v>129759.04011702351</v>
          </cell>
        </row>
        <row r="233">
          <cell r="C233" t="str">
            <v>610.6</v>
          </cell>
          <cell r="D233" t="str">
            <v>m3</v>
          </cell>
          <cell r="E233" t="str">
            <v>C$33$</v>
          </cell>
          <cell r="F233" t="str">
            <v>='610.6'!C$33$</v>
          </cell>
          <cell r="G233" t="str">
            <v>RELLENO PARA ESTRUCTURAS CON MATERIAL GRANULAR TIPO BG 38 (analizado sin preparación de la superficie base del relleno)</v>
          </cell>
          <cell r="I233">
            <v>3813.1019277363262</v>
          </cell>
          <cell r="J233">
            <v>98610.75212272795</v>
          </cell>
          <cell r="K233">
            <v>1671.4763035034307</v>
          </cell>
          <cell r="L233">
            <v>10730</v>
          </cell>
          <cell r="M233">
            <v>114825.3303539677</v>
          </cell>
          <cell r="N233">
            <v>149272.92946015802</v>
          </cell>
        </row>
        <row r="234">
          <cell r="C234" t="str">
            <v>610.7</v>
          </cell>
          <cell r="D234" t="str">
            <v>m3</v>
          </cell>
          <cell r="E234" t="str">
            <v>C$33$</v>
          </cell>
          <cell r="F234" t="str">
            <v>='610.7'!C$33$</v>
          </cell>
          <cell r="G234" t="str">
            <v>RELLENO PARA ESTRUCTURAS CON MATERIAL GRANULAR TIPO BG 25 (analizado sin preparación de la superficie base del relleno)</v>
          </cell>
          <cell r="I234">
            <v>3813.1019277363262</v>
          </cell>
          <cell r="J234">
            <v>98610.75212272795</v>
          </cell>
          <cell r="K234">
            <v>1671.4763035034307</v>
          </cell>
          <cell r="L234">
            <v>10730</v>
          </cell>
          <cell r="M234">
            <v>114825.3303539677</v>
          </cell>
          <cell r="N234">
            <v>149272.92946015802</v>
          </cell>
        </row>
        <row r="235">
          <cell r="C235" t="str">
            <v>610.8</v>
          </cell>
          <cell r="D235" t="str">
            <v>m3</v>
          </cell>
          <cell r="E235" t="str">
            <v>C$33$</v>
          </cell>
          <cell r="F235" t="str">
            <v>='610.8'!C$33$</v>
          </cell>
          <cell r="G235" t="str">
            <v>RELLENO CON MATERIL FILTRANTE (analizado sin preparación de la superficie base del relleno)</v>
          </cell>
          <cell r="I235">
            <v>2368.5464358552117</v>
          </cell>
          <cell r="J235">
            <v>90474.901253773991</v>
          </cell>
          <cell r="K235">
            <v>1671.4763035034307</v>
          </cell>
          <cell r="L235">
            <v>10730</v>
          </cell>
          <cell r="M235">
            <v>105244.92399313263</v>
          </cell>
          <cell r="N235">
            <v>136818.40119107242</v>
          </cell>
        </row>
        <row r="236">
          <cell r="C236" t="str">
            <v>610.9</v>
          </cell>
          <cell r="D236" t="str">
            <v>m3</v>
          </cell>
          <cell r="E236" t="str">
            <v>C$33$</v>
          </cell>
          <cell r="F236" t="str">
            <v>='610.9'!C$33$</v>
          </cell>
          <cell r="G236" t="str">
            <v>RELLENO CON GRAVILLA (analizado sin preparación de la superficie base del relleno)</v>
          </cell>
          <cell r="I236">
            <v>2368.5464358552117</v>
          </cell>
          <cell r="J236">
            <v>84336.060538872436</v>
          </cell>
          <cell r="K236">
            <v>1671.4763035034307</v>
          </cell>
          <cell r="L236">
            <v>10730</v>
          </cell>
          <cell r="M236">
            <v>99106.083278231075</v>
          </cell>
          <cell r="N236">
            <v>128837.9082617004</v>
          </cell>
        </row>
        <row r="237">
          <cell r="C237" t="str">
            <v>610.10</v>
          </cell>
          <cell r="D237" t="str">
            <v>m3</v>
          </cell>
          <cell r="E237" t="str">
            <v>C$33$</v>
          </cell>
          <cell r="F237" t="str">
            <v>='610.10'!C$33$</v>
          </cell>
          <cell r="G237" t="str">
            <v>RELLENO CON ARENA (analizado sin preparación de la superficie base del relleno)</v>
          </cell>
          <cell r="I237">
            <v>3634.2685944029927</v>
          </cell>
          <cell r="J237">
            <v>85004.619199007968</v>
          </cell>
          <cell r="K237">
            <v>1671.4763035034307</v>
          </cell>
          <cell r="L237">
            <v>7153.333333333333</v>
          </cell>
          <cell r="M237">
            <v>97463.697430247717</v>
          </cell>
          <cell r="N237">
            <v>126702.80665932203</v>
          </cell>
        </row>
        <row r="238">
          <cell r="C238" t="str">
            <v>620.1.1</v>
          </cell>
          <cell r="D238" t="str">
            <v>m</v>
          </cell>
          <cell r="E238" t="str">
            <v>C$33$</v>
          </cell>
          <cell r="F238" t="str">
            <v>='620.1.1'!C$33$</v>
          </cell>
          <cell r="G238" t="str">
            <v>PILOTES PREFABRICADOS DE CONCRETO (IN SITU), DE SECCIÓN 0,40 m</v>
          </cell>
          <cell r="I238">
            <v>179848.16267159284</v>
          </cell>
          <cell r="J238">
            <v>90707.60962678201</v>
          </cell>
          <cell r="K238">
            <v>208.8674882518529</v>
          </cell>
          <cell r="L238">
            <v>15785.846631205673</v>
          </cell>
          <cell r="M238">
            <v>286550.48641783238</v>
          </cell>
          <cell r="N238">
            <v>372515.63234318211</v>
          </cell>
        </row>
        <row r="239">
          <cell r="C239" t="str">
            <v>620.1.2</v>
          </cell>
          <cell r="D239" t="str">
            <v>m</v>
          </cell>
          <cell r="E239" t="str">
            <v>C$33$</v>
          </cell>
          <cell r="F239" t="str">
            <v>='620.1.2'!C$33$</v>
          </cell>
          <cell r="G239" t="str">
            <v>PILOTES PREFABRICADOS DE CONCRETO, DE SECCIÓN 0,40 m</v>
          </cell>
          <cell r="I239">
            <v>155258.11921470042</v>
          </cell>
          <cell r="J239">
            <v>216630.16240640709</v>
          </cell>
          <cell r="K239">
            <v>0</v>
          </cell>
          <cell r="L239">
            <v>8494.5833333333321</v>
          </cell>
          <cell r="M239">
            <v>380382.8649544408</v>
          </cell>
          <cell r="N239">
            <v>494497.72444077302</v>
          </cell>
        </row>
        <row r="240">
          <cell r="C240" t="str">
            <v>620.2</v>
          </cell>
          <cell r="D240" t="str">
            <v>m</v>
          </cell>
          <cell r="E240" t="str">
            <v>C$33$</v>
          </cell>
          <cell r="F240" t="str">
            <v>='620.2'!C$33$</v>
          </cell>
          <cell r="G240" t="str">
            <v>EXTENSIÓN DE PILOTES, DE SECCIÓN 0.40 m</v>
          </cell>
          <cell r="I240">
            <v>184084.24075157067</v>
          </cell>
          <cell r="J240">
            <v>141320.17917582151</v>
          </cell>
          <cell r="K240">
            <v>208.94174222867696</v>
          </cell>
          <cell r="L240">
            <v>15782.030266084417</v>
          </cell>
          <cell r="M240">
            <v>341395.39193570527</v>
          </cell>
          <cell r="N240">
            <v>443814.00951641682</v>
          </cell>
        </row>
        <row r="241">
          <cell r="C241" t="str">
            <v>620.3</v>
          </cell>
          <cell r="D241" t="str">
            <v>u</v>
          </cell>
          <cell r="E241" t="str">
            <v>C$33$</v>
          </cell>
          <cell r="F241" t="str">
            <v>='620.3'!C$33$</v>
          </cell>
          <cell r="G241" t="str">
            <v xml:space="preserve">PRUEBA DE CARGA TIPO ______ </v>
          </cell>
          <cell r="I241">
            <v>23622268.7980919</v>
          </cell>
          <cell r="J241">
            <v>53767351.766133755</v>
          </cell>
          <cell r="K241">
            <v>90002.570188646263</v>
          </cell>
          <cell r="L241">
            <v>493920.63492063491</v>
          </cell>
          <cell r="M241">
            <v>77973543.769334942</v>
          </cell>
          <cell r="N241">
            <v>101365606.90013543</v>
          </cell>
        </row>
        <row r="242">
          <cell r="C242" t="str">
            <v>621.1.1</v>
          </cell>
          <cell r="D242" t="str">
            <v>m</v>
          </cell>
          <cell r="E242" t="str">
            <v>C$33$</v>
          </cell>
          <cell r="F242" t="str">
            <v>='621.1.1'!C$33$</v>
          </cell>
          <cell r="G242" t="str">
            <v>PILOTE DE CONCRETO VACIADO IN SITU, DE DIÁMETRO 1 m</v>
          </cell>
          <cell r="I242">
            <v>986463.90371505462</v>
          </cell>
          <cell r="J242">
            <v>1079451.6573669061</v>
          </cell>
          <cell r="K242">
            <v>2718.6876057156906</v>
          </cell>
          <cell r="L242">
            <v>114751.38888888889</v>
          </cell>
          <cell r="M242">
            <v>2183385.6375765651</v>
          </cell>
          <cell r="N242">
            <v>2838401.3288495345</v>
          </cell>
        </row>
        <row r="243">
          <cell r="C243" t="str">
            <v>621.1.2</v>
          </cell>
          <cell r="D243" t="str">
            <v>m</v>
          </cell>
          <cell r="E243" t="str">
            <v>C$33$</v>
          </cell>
          <cell r="F243" t="str">
            <v>='621.1.2'!C$33$</v>
          </cell>
          <cell r="G243" t="str">
            <v>PILOTE DE CONCRETO VACIADO IN SITU, DE DIÁMETRO 1.2 m, INCLUYE EXCAVACIÓN EN ROCA, BAJO AGUA</v>
          </cell>
          <cell r="I243">
            <v>1049740.5307593925</v>
          </cell>
          <cell r="J243">
            <v>1468738.1854384227</v>
          </cell>
          <cell r="K243">
            <v>3357.4771737690508</v>
          </cell>
          <cell r="L243">
            <v>596707.22222222213</v>
          </cell>
          <cell r="M243">
            <v>3118543.4155938062</v>
          </cell>
          <cell r="N243">
            <v>4054106.4402719485</v>
          </cell>
        </row>
        <row r="244">
          <cell r="C244" t="str">
            <v>621.2</v>
          </cell>
          <cell r="D244" t="str">
            <v>m</v>
          </cell>
          <cell r="E244" t="str">
            <v>C$33$</v>
          </cell>
          <cell r="F244" t="str">
            <v>='621.2'!C$33$</v>
          </cell>
          <cell r="G244" t="str">
            <v>BASE ACAMPANADA</v>
          </cell>
          <cell r="I244">
            <v>404955.20538272103</v>
          </cell>
          <cell r="J244">
            <v>1227529.6103287051</v>
          </cell>
          <cell r="K244">
            <v>3060.5305934217458</v>
          </cell>
          <cell r="L244">
            <v>318546.875</v>
          </cell>
          <cell r="M244">
            <v>1954092.2213048479</v>
          </cell>
          <cell r="N244">
            <v>2540319.8876963025</v>
          </cell>
        </row>
        <row r="245">
          <cell r="C245" t="str">
            <v>621.3</v>
          </cell>
          <cell r="D245" t="str">
            <v>m</v>
          </cell>
          <cell r="E245" t="str">
            <v>C$33$</v>
          </cell>
          <cell r="F245" t="str">
            <v>='621.3'!C$33$</v>
          </cell>
          <cell r="G245" t="str">
            <v xml:space="preserve">PERFORACION DE PRUEBA PARA PILOTE, DE DIÁMETRO VARIABLE </v>
          </cell>
          <cell r="I245">
            <v>17493534.214010287</v>
          </cell>
          <cell r="J245">
            <v>48784773.553736873</v>
          </cell>
          <cell r="K245">
            <v>0</v>
          </cell>
          <cell r="L245">
            <v>224614.66666666669</v>
          </cell>
          <cell r="M245">
            <v>66502922.434413828</v>
          </cell>
          <cell r="N245">
            <v>86453799.16473797</v>
          </cell>
        </row>
        <row r="246">
          <cell r="C246" t="str">
            <v>621.4</v>
          </cell>
          <cell r="D246" t="str">
            <v>m3</v>
          </cell>
          <cell r="E246" t="str">
            <v>C$33$</v>
          </cell>
          <cell r="F246" t="str">
            <v>='621.4'!C$33$</v>
          </cell>
          <cell r="G246" t="str">
            <v>PERFORACION DE PRUEBA PARA BASE ACAMPANADA</v>
          </cell>
          <cell r="I246">
            <v>11439977.666905385</v>
          </cell>
          <cell r="J246">
            <v>48784773.553736873</v>
          </cell>
          <cell r="K246">
            <v>0</v>
          </cell>
          <cell r="L246">
            <v>224614.66666666669</v>
          </cell>
          <cell r="M246">
            <v>60449365.887308918</v>
          </cell>
          <cell r="N246">
            <v>78584175.6535016</v>
          </cell>
        </row>
        <row r="247">
          <cell r="C247" t="str">
            <v>621.5.1</v>
          </cell>
          <cell r="D247" t="str">
            <v>m</v>
          </cell>
          <cell r="E247" t="str">
            <v>C$33$</v>
          </cell>
          <cell r="F247" t="str">
            <v>='621.5.1'!C$33$</v>
          </cell>
          <cell r="G247" t="str">
            <v>CAMISA PERMANENTE DE DIÁMETRO EXTERIOR VARIABLE</v>
          </cell>
          <cell r="I247">
            <v>64931.017441111333</v>
          </cell>
          <cell r="J247">
            <v>4619714.1108644614</v>
          </cell>
          <cell r="K247">
            <v>0</v>
          </cell>
          <cell r="L247">
            <v>67956.666666666657</v>
          </cell>
          <cell r="M247">
            <v>4752601.79497224</v>
          </cell>
          <cell r="N247">
            <v>6178382.3334639128</v>
          </cell>
        </row>
        <row r="248">
          <cell r="C248" t="str">
            <v>621.5.2</v>
          </cell>
          <cell r="D248" t="str">
            <v>m</v>
          </cell>
          <cell r="E248" t="str">
            <v>C$33$</v>
          </cell>
          <cell r="F248" t="str">
            <v>='621.5.2'!C$33$</v>
          </cell>
          <cell r="G248" t="str">
            <v>CAMISA PERMANENTE DE DIÁMETRO EXTERIOR 1 m</v>
          </cell>
          <cell r="I248">
            <v>64931.017441111333</v>
          </cell>
          <cell r="J248">
            <v>4619714.1108644614</v>
          </cell>
          <cell r="K248">
            <v>0</v>
          </cell>
          <cell r="L248">
            <v>67956.666666666657</v>
          </cell>
          <cell r="M248">
            <v>4752601.79497224</v>
          </cell>
          <cell r="N248">
            <v>6178382.3334639128</v>
          </cell>
        </row>
        <row r="249">
          <cell r="C249" t="str">
            <v>621.5.3P</v>
          </cell>
          <cell r="D249" t="str">
            <v>m</v>
          </cell>
          <cell r="E249" t="str">
            <v>C$33$</v>
          </cell>
          <cell r="F249" t="str">
            <v>='621.5.3P'!C$33$</v>
          </cell>
          <cell r="G249" t="str">
            <v>CAMISA PERMANENTE DE DIÁMETRO EXTERIOR 1,50 m, EN CONCRETO</v>
          </cell>
          <cell r="I249">
            <v>34200.464762670585</v>
          </cell>
          <cell r="J249">
            <v>580579.25645160035</v>
          </cell>
          <cell r="K249">
            <v>74043.729902287392</v>
          </cell>
          <cell r="L249">
            <v>20387</v>
          </cell>
          <cell r="M249">
            <v>709210.45111655828</v>
          </cell>
          <cell r="N249">
            <v>921973.5864515258</v>
          </cell>
        </row>
        <row r="250">
          <cell r="C250" t="str">
            <v>621.6</v>
          </cell>
          <cell r="D250" t="str">
            <v>u</v>
          </cell>
          <cell r="E250" t="str">
            <v>C$33$</v>
          </cell>
          <cell r="F250" t="str">
            <v>='621.6'!C$33$</v>
          </cell>
          <cell r="G250" t="str">
            <v xml:space="preserve">PRUEBA DE CARGA TIPO ____ </v>
          </cell>
          <cell r="I250">
            <v>23621117.836747795</v>
          </cell>
          <cell r="J250">
            <v>48784773.553736873</v>
          </cell>
          <cell r="K250">
            <v>0</v>
          </cell>
          <cell r="L250">
            <v>224614.66666666669</v>
          </cell>
          <cell r="M250">
            <v>72630506.057151332</v>
          </cell>
          <cell r="N250">
            <v>94419657.874296725</v>
          </cell>
        </row>
        <row r="251">
          <cell r="C251" t="str">
            <v>621.7</v>
          </cell>
          <cell r="D251" t="str">
            <v>u</v>
          </cell>
          <cell r="E251" t="str">
            <v>C$33$</v>
          </cell>
          <cell r="F251" t="str">
            <v>='621.7'!C$33$</v>
          </cell>
          <cell r="G251" t="str">
            <v xml:space="preserve">PRUEBA DE INTEGRIDAD TIPO ____							</v>
          </cell>
          <cell r="I251">
            <v>180088.07317560827</v>
          </cell>
          <cell r="J251">
            <v>0</v>
          </cell>
          <cell r="K251">
            <v>0</v>
          </cell>
          <cell r="L251">
            <v>461715.15151515143</v>
          </cell>
          <cell r="M251">
            <v>641803.22469075967</v>
          </cell>
          <cell r="N251">
            <v>834344.19209798751</v>
          </cell>
        </row>
        <row r="252">
          <cell r="C252" t="str">
            <v>622.1</v>
          </cell>
          <cell r="D252" t="str">
            <v>m2</v>
          </cell>
          <cell r="E252" t="str">
            <v>C$33$</v>
          </cell>
          <cell r="F252" t="str">
            <v>='622.1'!C$33$</v>
          </cell>
          <cell r="G252" t="str">
            <v>TABLESTACADO DE MADERA</v>
          </cell>
          <cell r="I252">
            <v>16434.650255144632</v>
          </cell>
          <cell r="J252">
            <v>79176.465587877959</v>
          </cell>
          <cell r="K252">
            <v>0</v>
          </cell>
          <cell r="L252">
            <v>4202.583333333333</v>
          </cell>
          <cell r="M252">
            <v>99813.69917635592</v>
          </cell>
          <cell r="N252">
            <v>129757.8089292627</v>
          </cell>
        </row>
        <row r="253">
          <cell r="C253" t="str">
            <v>622.2</v>
          </cell>
          <cell r="D253" t="str">
            <v>m2</v>
          </cell>
          <cell r="E253" t="str">
            <v>C$33$</v>
          </cell>
          <cell r="F253" t="str">
            <v>='622.2'!C$33$</v>
          </cell>
          <cell r="G253" t="str">
            <v>TABLESTACADO METÁLICO</v>
          </cell>
          <cell r="I253">
            <v>26977.759783999172</v>
          </cell>
          <cell r="J253">
            <v>392633.86568413879</v>
          </cell>
          <cell r="K253">
            <v>0</v>
          </cell>
          <cell r="L253">
            <v>4828.5</v>
          </cell>
          <cell r="M253">
            <v>424440.12546813797</v>
          </cell>
          <cell r="N253">
            <v>551772.16310857935</v>
          </cell>
        </row>
        <row r="254">
          <cell r="C254" t="str">
            <v>622.3</v>
          </cell>
          <cell r="D254" t="str">
            <v>m2</v>
          </cell>
          <cell r="E254" t="str">
            <v>C$33$</v>
          </cell>
          <cell r="F254" t="str">
            <v>='622.3'!C$33$</v>
          </cell>
          <cell r="G254" t="str">
            <v>TABLESTACADO DE CONCRETO REFORZADO</v>
          </cell>
          <cell r="I254">
            <v>356598.59210465505</v>
          </cell>
          <cell r="J254">
            <v>372798.79377391917</v>
          </cell>
          <cell r="K254">
            <v>554.23518489877574</v>
          </cell>
          <cell r="L254">
            <v>59909.166666666657</v>
          </cell>
          <cell r="M254">
            <v>789860.78773013968</v>
          </cell>
          <cell r="N254">
            <v>1026819.0240491816</v>
          </cell>
        </row>
        <row r="255">
          <cell r="C255" t="str">
            <v>622.4</v>
          </cell>
          <cell r="D255" t="str">
            <v>m2</v>
          </cell>
          <cell r="E255" t="str">
            <v>C$33$</v>
          </cell>
          <cell r="F255" t="str">
            <v>='622.4'!C$33$</v>
          </cell>
          <cell r="G255" t="str">
            <v>TABLESTACADO DE CONCRETO PREESFORZADO</v>
          </cell>
          <cell r="I255">
            <v>356598.59210465505</v>
          </cell>
          <cell r="J255">
            <v>477150.55746794387</v>
          </cell>
          <cell r="K255">
            <v>554.23518489877574</v>
          </cell>
          <cell r="L255">
            <v>59909.166666666657</v>
          </cell>
          <cell r="M255">
            <v>894212.55142416444</v>
          </cell>
          <cell r="N255">
            <v>1162476.3168514138</v>
          </cell>
        </row>
        <row r="256">
          <cell r="C256" t="str">
            <v>622.5</v>
          </cell>
          <cell r="D256" t="str">
            <v>m</v>
          </cell>
          <cell r="E256" t="str">
            <v>C$33$</v>
          </cell>
          <cell r="F256" t="str">
            <v>='622.5'!C$33$</v>
          </cell>
          <cell r="G256" t="str">
            <v>CORTE DEL EXTREMO SUPERIOR DEL ELEMENTO</v>
          </cell>
          <cell r="I256">
            <v>21650.418709845646</v>
          </cell>
          <cell r="J256">
            <v>25199.532468687754</v>
          </cell>
          <cell r="K256">
            <v>0</v>
          </cell>
          <cell r="L256">
            <v>32190</v>
          </cell>
          <cell r="M256">
            <v>79039.951178533403</v>
          </cell>
          <cell r="N256">
            <v>102751.93653209342</v>
          </cell>
        </row>
        <row r="257">
          <cell r="C257" t="str">
            <v>623.1</v>
          </cell>
          <cell r="D257" t="str">
            <v>m</v>
          </cell>
          <cell r="E257" t="str">
            <v>C$33$</v>
          </cell>
          <cell r="F257" t="str">
            <v>='623.1'!C$33$</v>
          </cell>
          <cell r="G257" t="str">
            <v>ANCLAJE TIPO _____ (ROCA)</v>
          </cell>
          <cell r="I257">
            <v>236456.28113647239</v>
          </cell>
          <cell r="J257">
            <v>114401.50375373199</v>
          </cell>
          <cell r="K257">
            <v>0</v>
          </cell>
          <cell r="L257">
            <v>50898.717948717946</v>
          </cell>
          <cell r="M257">
            <v>401756.50283892232</v>
          </cell>
          <cell r="N257">
            <v>522283.45369059901</v>
          </cell>
        </row>
        <row r="258">
          <cell r="C258" t="str">
            <v>623.2</v>
          </cell>
          <cell r="D258" t="str">
            <v>u</v>
          </cell>
          <cell r="E258" t="str">
            <v>C$33$</v>
          </cell>
          <cell r="F258" t="str">
            <v>='623.2'!C$33$</v>
          </cell>
          <cell r="G258" t="str">
            <v xml:space="preserve">PRUEBA DE CARGA </v>
          </cell>
          <cell r="I258">
            <v>2569813.0192974736</v>
          </cell>
          <cell r="J258">
            <v>0</v>
          </cell>
          <cell r="K258">
            <v>0</v>
          </cell>
          <cell r="L258">
            <v>5364.3294588176468</v>
          </cell>
          <cell r="M258">
            <v>2575177.3487562914</v>
          </cell>
          <cell r="N258">
            <v>3347730.553383179</v>
          </cell>
        </row>
        <row r="259">
          <cell r="C259" t="str">
            <v>630.P</v>
          </cell>
          <cell r="D259" t="str">
            <v>m3</v>
          </cell>
          <cell r="G259" t="str">
            <v>BOLSACRETO CONCRETO 210 MPA</v>
          </cell>
          <cell r="H259">
            <v>0</v>
          </cell>
          <cell r="I259">
            <v>37458.879472281893</v>
          </cell>
          <cell r="J259">
            <v>580839.73255060648</v>
          </cell>
          <cell r="K259">
            <v>0</v>
          </cell>
          <cell r="L259">
            <v>42025.833333333328</v>
          </cell>
          <cell r="M259">
            <v>660324.44535622175</v>
          </cell>
          <cell r="N259">
            <v>858421.77896308829</v>
          </cell>
        </row>
        <row r="260">
          <cell r="C260" t="str">
            <v>630.1.1</v>
          </cell>
          <cell r="D260" t="str">
            <v>m3</v>
          </cell>
          <cell r="E260" t="str">
            <v>C$33$</v>
          </cell>
          <cell r="F260" t="str">
            <v>='630.1.1'!C$33$</v>
          </cell>
          <cell r="G260" t="str">
            <v xml:space="preserve">CONCRETO PRETENSADO / POSTENSADO RESISTENCIA 35MPa (A) - COMPRA DE MEZCLA </v>
          </cell>
          <cell r="I260">
            <v>293453.00123532605</v>
          </cell>
          <cell r="J260">
            <v>749715.74780825514</v>
          </cell>
          <cell r="K260">
            <v>1662.7055546963275</v>
          </cell>
          <cell r="L260">
            <v>42025.833333333328</v>
          </cell>
          <cell r="M260">
            <v>1086857.2879316108</v>
          </cell>
          <cell r="N260">
            <v>1412914.474311094</v>
          </cell>
        </row>
        <row r="261">
          <cell r="C261" t="str">
            <v>630.1.2</v>
          </cell>
          <cell r="D261" t="str">
            <v>m3</v>
          </cell>
          <cell r="E261" t="str">
            <v>C$33$</v>
          </cell>
          <cell r="F261" t="str">
            <v>='630.1.2'!C$33$</v>
          </cell>
          <cell r="G261" t="str">
            <v>CONCRETO PRETENSADO / POSTENSADO RESISTENCIA 32MPa (B) - COMPRA DE MEZCLA</v>
          </cell>
          <cell r="I261">
            <v>293072.98040199268</v>
          </cell>
          <cell r="J261">
            <v>706731.18683561834</v>
          </cell>
          <cell r="K261">
            <v>1662.7055546963275</v>
          </cell>
          <cell r="L261">
            <v>34425.416666666664</v>
          </cell>
          <cell r="M261">
            <v>1035892.289458974</v>
          </cell>
          <cell r="N261">
            <v>1346659.9762966663</v>
          </cell>
        </row>
        <row r="262">
          <cell r="C262" t="str">
            <v>630.1.3.1</v>
          </cell>
          <cell r="D262" t="str">
            <v>m3</v>
          </cell>
          <cell r="E262" t="str">
            <v>C$33$</v>
          </cell>
          <cell r="F262" t="str">
            <v>='630.1.3.1'!C$33$</v>
          </cell>
          <cell r="G262" t="str">
            <v>CONCRETO REFORZADO RESISTENCIA 28MPa (C) - MEZCLA IN SITU</v>
          </cell>
          <cell r="I262">
            <v>455696.28224707028</v>
          </cell>
          <cell r="J262">
            <v>471217.54627562262</v>
          </cell>
          <cell r="K262">
            <v>1722.9063436112287</v>
          </cell>
          <cell r="L262">
            <v>68850.833333333328</v>
          </cell>
          <cell r="M262">
            <v>997487.56819963746</v>
          </cell>
          <cell r="N262">
            <v>1296733.8386595286</v>
          </cell>
        </row>
        <row r="263">
          <cell r="C263" t="str">
            <v>630.1.3.2</v>
          </cell>
          <cell r="D263" t="str">
            <v>m3</v>
          </cell>
          <cell r="E263" t="str">
            <v>C$33$</v>
          </cell>
          <cell r="F263" t="str">
            <v>='630.1.3.2'!C$33$</v>
          </cell>
          <cell r="G263" t="str">
            <v>CONCRETO REFORZADO RESISTENCIA 28MPa (C) - COMPRA DE MEZCLA</v>
          </cell>
          <cell r="I263">
            <v>293072.98040199268</v>
          </cell>
          <cell r="J263">
            <v>594993.28948814981</v>
          </cell>
          <cell r="K263">
            <v>1662.7055546963275</v>
          </cell>
          <cell r="L263">
            <v>34425.416666666664</v>
          </cell>
          <cell r="M263">
            <v>924154.3921115055</v>
          </cell>
          <cell r="N263">
            <v>1201400.7097449573</v>
          </cell>
        </row>
        <row r="264">
          <cell r="C264" t="str">
            <v>630.1.4.1</v>
          </cell>
          <cell r="D264" t="str">
            <v>m3</v>
          </cell>
          <cell r="E264" t="str">
            <v>C$33$</v>
          </cell>
          <cell r="F264" t="str">
            <v>='630.1.4.1'!C$33$</v>
          </cell>
          <cell r="G264" t="str">
            <v>CONCRETO REFORZADO RESISTENCIA 21MPa (D) - MEZCLA IN SITU</v>
          </cell>
          <cell r="I264">
            <v>169532.41639196378</v>
          </cell>
          <cell r="J264">
            <v>437216.80601641641</v>
          </cell>
          <cell r="K264">
            <v>263064.6551513861</v>
          </cell>
          <cell r="L264">
            <v>86734.166666666657</v>
          </cell>
          <cell r="M264">
            <v>956548.0442264328</v>
          </cell>
          <cell r="N264">
            <v>1243512.4574943627</v>
          </cell>
        </row>
        <row r="265">
          <cell r="C265" t="str">
            <v>630.1.4.2</v>
          </cell>
          <cell r="D265" t="str">
            <v>m3</v>
          </cell>
          <cell r="E265" t="str">
            <v>C$33$</v>
          </cell>
          <cell r="F265" t="str">
            <v>='630.1.4.2'!C$33$</v>
          </cell>
          <cell r="G265" t="str">
            <v>CONCRETO REFORZADO RESISTENCIA 21MPa (D) - COMPRA DE MEZCLA</v>
          </cell>
          <cell r="I265">
            <v>6014.9478802195354</v>
          </cell>
          <cell r="J265">
            <v>614621.86988112272</v>
          </cell>
          <cell r="K265">
            <v>1662.7055546963275</v>
          </cell>
          <cell r="L265">
            <v>34425.416666666664</v>
          </cell>
          <cell r="M265">
            <v>656724.93998270528</v>
          </cell>
          <cell r="N265">
            <v>853742.42197751685</v>
          </cell>
        </row>
        <row r="266">
          <cell r="C266" t="str">
            <v>630.1.5</v>
          </cell>
          <cell r="D266" t="str">
            <v>m3</v>
          </cell>
          <cell r="E266" t="str">
            <v>C$33$</v>
          </cell>
          <cell r="F266" t="str">
            <v>='630.1.5'!C$33$</v>
          </cell>
          <cell r="G266" t="str">
            <v>CONCRETO SIMPLE RESISTENCIA 17 MPa - MEZCLA IN SITU</v>
          </cell>
          <cell r="I266">
            <v>15752.271702535989</v>
          </cell>
          <cell r="J266">
            <v>373434.45573493879</v>
          </cell>
          <cell r="K266">
            <v>289293.97560636303</v>
          </cell>
          <cell r="L266">
            <v>86734.166666666657</v>
          </cell>
          <cell r="M266">
            <v>765214.86971050443</v>
          </cell>
          <cell r="N266">
            <v>994779.33062365581</v>
          </cell>
        </row>
        <row r="267">
          <cell r="C267" t="str">
            <v>630.1.6</v>
          </cell>
          <cell r="D267" t="str">
            <v>m3</v>
          </cell>
          <cell r="E267" t="str">
            <v>C$33$</v>
          </cell>
          <cell r="F267" t="str">
            <v>='630.1.6'!C$33$</v>
          </cell>
          <cell r="G267" t="str">
            <v>CONCRETO LIVIANO RESISTENCIA 14MPa (F) - MEZCLA IN SITU</v>
          </cell>
          <cell r="I267">
            <v>15752.271702535989</v>
          </cell>
          <cell r="J267">
            <v>301948.66817214014</v>
          </cell>
          <cell r="K267">
            <v>283508.09609423572</v>
          </cell>
          <cell r="L267">
            <v>86734.166666666657</v>
          </cell>
          <cell r="M267">
            <v>687943.20263557846</v>
          </cell>
          <cell r="N267">
            <v>894326.16342625197</v>
          </cell>
        </row>
        <row r="268">
          <cell r="C268" t="str">
            <v>630.1.7</v>
          </cell>
          <cell r="D268" t="str">
            <v>m3</v>
          </cell>
          <cell r="E268" t="str">
            <v>C$33$</v>
          </cell>
          <cell r="F268" t="str">
            <v>='630.1.7'!C$33$</v>
          </cell>
          <cell r="G268" t="str">
            <v>CONCRETO CICLÓPEO RESISTENCIA 14MPa (G)</v>
          </cell>
          <cell r="I268">
            <v>9990.1833599598503</v>
          </cell>
          <cell r="J268">
            <v>201072.9804071754</v>
          </cell>
          <cell r="K268">
            <v>243006.93950934493</v>
          </cell>
          <cell r="L268">
            <v>69387.333333333328</v>
          </cell>
          <cell r="M268">
            <v>523457.43660981354</v>
          </cell>
          <cell r="N268">
            <v>680494.66759275761</v>
          </cell>
        </row>
        <row r="269">
          <cell r="C269" t="str">
            <v>632.1</v>
          </cell>
          <cell r="D269" t="str">
            <v>m</v>
          </cell>
          <cell r="E269" t="str">
            <v>C$33$</v>
          </cell>
          <cell r="F269" t="str">
            <v>='632.1'!C$33$</v>
          </cell>
          <cell r="G269" t="str">
            <v>BARANDA DE CONCRETO DE 21 MPA</v>
          </cell>
          <cell r="I269">
            <v>17736.70877081358</v>
          </cell>
          <cell r="J269">
            <v>77901.266569788786</v>
          </cell>
          <cell r="K269">
            <v>199.52466656355929</v>
          </cell>
          <cell r="L269">
            <v>98884.313725490196</v>
          </cell>
          <cell r="M269">
            <v>194721.81373265613</v>
          </cell>
          <cell r="N269">
            <v>253138.35785245296</v>
          </cell>
        </row>
        <row r="270">
          <cell r="C270" t="str">
            <v>632.2</v>
          </cell>
          <cell r="D270" t="str">
            <v>m</v>
          </cell>
          <cell r="E270" t="str">
            <v>C$33$</v>
          </cell>
          <cell r="F270" t="str">
            <v>='632.2'!C$33$</v>
          </cell>
          <cell r="G270" t="str">
            <v>BARANDA DE CONCRETO DE 28 MPA</v>
          </cell>
          <cell r="I270">
            <v>17736.70877081358</v>
          </cell>
          <cell r="J270">
            <v>83719.62395938531</v>
          </cell>
          <cell r="K270">
            <v>199.52466656355929</v>
          </cell>
          <cell r="L270">
            <v>98884.313725490196</v>
          </cell>
          <cell r="M270">
            <v>200540.17112225265</v>
          </cell>
          <cell r="N270">
            <v>260702.22245892845</v>
          </cell>
        </row>
        <row r="271">
          <cell r="C271" t="str">
            <v>640.1</v>
          </cell>
          <cell r="D271" t="str">
            <v>kg</v>
          </cell>
          <cell r="E271" t="str">
            <v>C$33$</v>
          </cell>
          <cell r="F271" t="str">
            <v>='640.1'!C$33$</v>
          </cell>
          <cell r="G271" t="str">
            <v>ACERO DE REFUERZO Fy 4200 MPa</v>
          </cell>
          <cell r="I271">
            <v>62.757792468999398</v>
          </cell>
          <cell r="J271">
            <v>4982.3796678419485</v>
          </cell>
          <cell r="K271">
            <v>127.56828552045019</v>
          </cell>
          <cell r="L271">
            <v>633.2459016393442</v>
          </cell>
          <cell r="M271">
            <v>5805.9516474707425</v>
          </cell>
          <cell r="N271">
            <v>7547.7371417119648</v>
          </cell>
        </row>
        <row r="272">
          <cell r="C272" t="str">
            <v>640.2</v>
          </cell>
          <cell r="D272" t="str">
            <v>kg</v>
          </cell>
          <cell r="E272" t="str">
            <v>C$33$</v>
          </cell>
          <cell r="F272" t="str">
            <v>='640.2'!C$33$</v>
          </cell>
          <cell r="G272" t="str">
            <v>MALLA DE REFUERZO Fy 4200 MPa</v>
          </cell>
          <cell r="I272">
            <v>70.241755676816055</v>
          </cell>
          <cell r="J272">
            <v>5680.1711226627922</v>
          </cell>
          <cell r="K272">
            <v>0.84964605008863126</v>
          </cell>
          <cell r="L272">
            <v>965.69999999999993</v>
          </cell>
          <cell r="M272">
            <v>6716.9625243896962</v>
          </cell>
          <cell r="N272">
            <v>8732.0512817066046</v>
          </cell>
        </row>
        <row r="273">
          <cell r="C273" t="str">
            <v>641.1</v>
          </cell>
          <cell r="D273" t="str">
            <v>tf-m</v>
          </cell>
          <cell r="E273" t="str">
            <v>C$33$</v>
          </cell>
          <cell r="F273" t="str">
            <v>='641.1'!C$33$</v>
          </cell>
          <cell r="G273" t="str">
            <v>ACERO DE PREESFUERZO</v>
          </cell>
          <cell r="I273">
            <v>415.43220915931676</v>
          </cell>
          <cell r="J273">
            <v>1178.0927995643201</v>
          </cell>
          <cell r="K273">
            <v>0</v>
          </cell>
          <cell r="L273">
            <v>49.379353233830841</v>
          </cell>
          <cell r="M273">
            <v>1642.9043619574677</v>
          </cell>
          <cell r="N273">
            <v>2135.7756705447082</v>
          </cell>
        </row>
        <row r="274">
          <cell r="C274" t="str">
            <v>642.1</v>
          </cell>
          <cell r="D274" t="str">
            <v>u</v>
          </cell>
          <cell r="E274" t="str">
            <v>C$33$</v>
          </cell>
          <cell r="F274" t="str">
            <v>='642.1'!C$33$</v>
          </cell>
          <cell r="G274" t="str">
            <v>APOYO ELASTOMÉRICO REFORZADO</v>
          </cell>
          <cell r="I274">
            <v>22.354166666666664</v>
          </cell>
          <cell r="J274">
            <v>952932.35485905083</v>
          </cell>
          <cell r="K274">
            <v>0</v>
          </cell>
          <cell r="L274">
            <v>2235.4166666666665</v>
          </cell>
          <cell r="M274">
            <v>955190.12569238408</v>
          </cell>
          <cell r="N274">
            <v>1241747.1634000994</v>
          </cell>
        </row>
        <row r="275">
          <cell r="C275" t="str">
            <v>642.2.1</v>
          </cell>
          <cell r="D275" t="str">
            <v>m</v>
          </cell>
          <cell r="E275" t="str">
            <v>C$33$</v>
          </cell>
          <cell r="F275" t="str">
            <v>='642.2.1'!C$33$</v>
          </cell>
          <cell r="G275" t="str">
            <v>SELLO PARA JUNTAS DE PUENTES - CINTA</v>
          </cell>
          <cell r="I275">
            <v>71.533333333333331</v>
          </cell>
          <cell r="J275">
            <v>61924.696065705255</v>
          </cell>
          <cell r="K275">
            <v>0</v>
          </cell>
          <cell r="L275">
            <v>1430.6666666666665</v>
          </cell>
          <cell r="M275">
            <v>63426.896065705252</v>
          </cell>
          <cell r="N275">
            <v>82454.964885416834</v>
          </cell>
        </row>
        <row r="276">
          <cell r="C276" t="str">
            <v>642.2.2</v>
          </cell>
          <cell r="D276" t="str">
            <v>m</v>
          </cell>
          <cell r="E276" t="str">
            <v>C$33$</v>
          </cell>
          <cell r="F276" t="str">
            <v>='642.2.2'!C$33$</v>
          </cell>
          <cell r="G276" t="str">
            <v>SELLO PARA JUNTAS DE PUENTES - SELLO DE COMPRESIÓN</v>
          </cell>
          <cell r="I276">
            <v>71.533333333333331</v>
          </cell>
          <cell r="J276">
            <v>1509566.9499984728</v>
          </cell>
          <cell r="K276">
            <v>0</v>
          </cell>
          <cell r="L276">
            <v>1430.6666666666665</v>
          </cell>
          <cell r="M276">
            <v>1511069.149998473</v>
          </cell>
          <cell r="N276">
            <v>1964389.8949980149</v>
          </cell>
        </row>
        <row r="277">
          <cell r="C277" t="str">
            <v>650.2</v>
          </cell>
          <cell r="D277" t="str">
            <v>kg</v>
          </cell>
          <cell r="E277" t="str">
            <v>C$33$</v>
          </cell>
          <cell r="F277" t="str">
            <v>='650.2'!C$33$</v>
          </cell>
          <cell r="G277" t="str">
            <v>FABRICACIÓN DE LA ESTRUCTURA METÁLICA</v>
          </cell>
          <cell r="I277">
            <v>1543.6391335833798</v>
          </cell>
          <cell r="J277">
            <v>7640.6831382853752</v>
          </cell>
          <cell r="K277">
            <v>0</v>
          </cell>
          <cell r="L277">
            <v>2257.7708333333335</v>
          </cell>
          <cell r="M277">
            <v>11442.09310520209</v>
          </cell>
          <cell r="N277">
            <v>14874.721036762718</v>
          </cell>
        </row>
        <row r="278">
          <cell r="C278" t="str">
            <v>650.3</v>
          </cell>
          <cell r="D278" t="str">
            <v>kg</v>
          </cell>
          <cell r="E278" t="str">
            <v>C$33$</v>
          </cell>
          <cell r="F278" t="str">
            <v>='650.3'!C$33$</v>
          </cell>
          <cell r="G278" t="str">
            <v>TRANSPORTE DE ESTRUCTURA METÁLICA</v>
          </cell>
          <cell r="I278">
            <v>0</v>
          </cell>
          <cell r="J278">
            <v>0</v>
          </cell>
          <cell r="K278">
            <v>1.1361549951622754</v>
          </cell>
          <cell r="L278">
            <v>0</v>
          </cell>
          <cell r="M278">
            <v>1.1361549951622754</v>
          </cell>
          <cell r="N278">
            <v>1.4770014937109579</v>
          </cell>
        </row>
        <row r="279">
          <cell r="C279" t="str">
            <v>650.4</v>
          </cell>
          <cell r="D279" t="str">
            <v>kg</v>
          </cell>
          <cell r="E279" t="str">
            <v>C$33$</v>
          </cell>
          <cell r="F279" t="str">
            <v>='650.4'!C$33$</v>
          </cell>
          <cell r="G279" t="str">
            <v>MONTAJE Y PINTURA DE ESTRUCTURA METÁLICA</v>
          </cell>
          <cell r="I279">
            <v>807.03354547989431</v>
          </cell>
          <cell r="J279">
            <v>1117.1052917346228</v>
          </cell>
          <cell r="K279">
            <v>0</v>
          </cell>
          <cell r="L279">
            <v>2376.2309101155251</v>
          </cell>
          <cell r="M279">
            <v>4300.3697473300417</v>
          </cell>
          <cell r="N279">
            <v>5590.4806715290542</v>
          </cell>
        </row>
        <row r="280">
          <cell r="C280" t="str">
            <v>660.1</v>
          </cell>
          <cell r="D280" t="str">
            <v>m</v>
          </cell>
          <cell r="E280" t="str">
            <v>C$33$</v>
          </cell>
          <cell r="F280" t="str">
            <v>='660.1'!C$33$</v>
          </cell>
          <cell r="G280" t="str">
            <v>TUBERÍA DE CONCRETO SIMPLE DE CLASE II DE 450mm DE DIAMETRO INTERIOR</v>
          </cell>
          <cell r="I280">
            <v>28418.875336201134</v>
          </cell>
          <cell r="J280">
            <v>152464.7309842351</v>
          </cell>
          <cell r="K280">
            <v>814.03539545515241</v>
          </cell>
          <cell r="L280">
            <v>12741.875</v>
          </cell>
          <cell r="M280">
            <v>194439.51671589137</v>
          </cell>
          <cell r="N280">
            <v>252771.37173065878</v>
          </cell>
        </row>
        <row r="281">
          <cell r="C281" t="str">
            <v>660.2</v>
          </cell>
          <cell r="D281" t="str">
            <v>m</v>
          </cell>
          <cell r="E281" t="str">
            <v>C$33$</v>
          </cell>
          <cell r="F281" t="str">
            <v>='660.2'!C$33$</v>
          </cell>
          <cell r="G281" t="str">
            <v>TUBERÍA DE CONCRETO SIMPLE DE CLASE II DE 500mm DE DIAMETRO INTERIOR</v>
          </cell>
          <cell r="I281">
            <v>28418.875336201134</v>
          </cell>
          <cell r="J281">
            <v>198678.51416725511</v>
          </cell>
          <cell r="K281">
            <v>939.27161014056048</v>
          </cell>
          <cell r="L281">
            <v>12741.875</v>
          </cell>
          <cell r="M281">
            <v>240778.53611359681</v>
          </cell>
          <cell r="N281">
            <v>313012.09694767586</v>
          </cell>
        </row>
        <row r="282">
          <cell r="C282" t="str">
            <v>660.3</v>
          </cell>
          <cell r="D282" t="str">
            <v>m</v>
          </cell>
          <cell r="E282" t="str">
            <v>C$33$</v>
          </cell>
          <cell r="F282" t="str">
            <v>='660.3'!C$33$</v>
          </cell>
          <cell r="G282" t="str">
            <v>TUBERÍA DE CONCRETO SIMPLE DE CLASE III DE 500mm DE DIAMETRO INTERIOR</v>
          </cell>
          <cell r="I282">
            <v>28418.875336201134</v>
          </cell>
          <cell r="J282">
            <v>198678.51416725511</v>
          </cell>
          <cell r="K282">
            <v>1001.8897174832646</v>
          </cell>
          <cell r="L282">
            <v>12741.875</v>
          </cell>
          <cell r="M282">
            <v>240841.1542209395</v>
          </cell>
          <cell r="N282">
            <v>313093.50048722135</v>
          </cell>
        </row>
        <row r="283">
          <cell r="C283" t="str">
            <v>660.4</v>
          </cell>
          <cell r="D283" t="str">
            <v>m</v>
          </cell>
          <cell r="E283" t="str">
            <v>C$33$</v>
          </cell>
          <cell r="F283" t="str">
            <v>='660.4'!C$33$</v>
          </cell>
          <cell r="G283" t="str">
            <v>TUBERÍA DE CONCRETO SIMPLE DE CLASE III DE 600mm DE DIAMETRO INTERIOR</v>
          </cell>
          <cell r="I283">
            <v>28418.875336201134</v>
          </cell>
          <cell r="J283">
            <v>213633.40628404811</v>
          </cell>
          <cell r="K283">
            <v>1408.9074152108408</v>
          </cell>
          <cell r="L283">
            <v>12741.875</v>
          </cell>
          <cell r="M283">
            <v>256203.06403546009</v>
          </cell>
          <cell r="N283">
            <v>333063.98324609816</v>
          </cell>
        </row>
        <row r="284">
          <cell r="C284" t="str">
            <v>661.1</v>
          </cell>
          <cell r="D284" t="str">
            <v>m</v>
          </cell>
          <cell r="E284" t="str">
            <v>C$33$</v>
          </cell>
          <cell r="F284" t="str">
            <v>='661.1'!C$33$</v>
          </cell>
          <cell r="G284" t="str">
            <v>TUBERIA DE CONCRETO REFORZADO, CLASE II DE 600mm DE DIAMETRO INTERIOR</v>
          </cell>
          <cell r="I284">
            <v>56837.750672402268</v>
          </cell>
          <cell r="J284">
            <v>456429.64048878197</v>
          </cell>
          <cell r="K284">
            <v>375708.64405622421</v>
          </cell>
          <cell r="L284">
            <v>25483.75</v>
          </cell>
          <cell r="M284">
            <v>914459.78521740844</v>
          </cell>
          <cell r="N284">
            <v>1188797.7207826311</v>
          </cell>
        </row>
        <row r="285">
          <cell r="C285" t="str">
            <v>661.2</v>
          </cell>
          <cell r="D285" t="str">
            <v>m</v>
          </cell>
          <cell r="E285" t="str">
            <v>C$33$</v>
          </cell>
          <cell r="F285" t="str">
            <v>='661.2'!C$33$</v>
          </cell>
          <cell r="G285" t="str">
            <v>TUBERIA DE CONCRETO REFORZADO, CLASE II DE 900mm DE DIAMETRO INTERIOR</v>
          </cell>
          <cell r="I285">
            <v>38741.29211493484</v>
          </cell>
          <cell r="J285">
            <v>692542.06804627937</v>
          </cell>
          <cell r="K285">
            <v>362089.20570918609</v>
          </cell>
          <cell r="L285">
            <v>25483.75</v>
          </cell>
          <cell r="M285">
            <v>1118856.3158704003</v>
          </cell>
          <cell r="N285">
            <v>1454513.2106315205</v>
          </cell>
        </row>
        <row r="286">
          <cell r="C286" t="str">
            <v>661.3</v>
          </cell>
          <cell r="D286" t="str">
            <v>m</v>
          </cell>
          <cell r="E286" t="str">
            <v>C$33$</v>
          </cell>
          <cell r="F286" t="str">
            <v>='661.3'!C$33$</v>
          </cell>
          <cell r="G286" t="str">
            <v>TUBERIA DE CONCRETO REFORZADO, CLASE III DE 900mm DE DIAMETRO INTERIOR</v>
          </cell>
          <cell r="I286">
            <v>36192.91711493484</v>
          </cell>
          <cell r="J286">
            <v>692542.06804627937</v>
          </cell>
          <cell r="K286">
            <v>362089.20570918609</v>
          </cell>
          <cell r="L286">
            <v>25483.75</v>
          </cell>
          <cell r="M286">
            <v>1116307.9408704003</v>
          </cell>
          <cell r="N286">
            <v>1451200.3231315203</v>
          </cell>
        </row>
        <row r="287">
          <cell r="C287" t="str">
            <v>662.1</v>
          </cell>
          <cell r="D287" t="str">
            <v>m</v>
          </cell>
          <cell r="E287" t="str">
            <v>C$33$</v>
          </cell>
          <cell r="F287" t="str">
            <v>='662.1'!C$33$</v>
          </cell>
          <cell r="G287" t="str">
            <v>TUBERÍA CORRUGADA DE ACERO GALVANIZADO, DE LÁMINA CALIBRE 12  Y DIAMETRO 600mm</v>
          </cell>
          <cell r="I287">
            <v>75783.667563203009</v>
          </cell>
          <cell r="J287">
            <v>404496.94943910965</v>
          </cell>
          <cell r="K287">
            <v>84.4612327468855</v>
          </cell>
          <cell r="L287">
            <v>33978.333333333328</v>
          </cell>
          <cell r="M287">
            <v>514343.41156839288</v>
          </cell>
          <cell r="N287">
            <v>668646.43503891071</v>
          </cell>
        </row>
        <row r="288">
          <cell r="C288" t="str">
            <v>662.2</v>
          </cell>
          <cell r="D288" t="str">
            <v>m</v>
          </cell>
          <cell r="E288" t="str">
            <v>C$33$</v>
          </cell>
          <cell r="F288" t="str">
            <v>='662.2'!C$33$</v>
          </cell>
          <cell r="G288" t="str">
            <v>TUBERÍA CORRUGADA DE ACERO CON RECUBRIMIENTO BITUMINOSO, DE LÁMINA CALIBRE 12  Y DIAMETRO 600mm</v>
          </cell>
          <cell r="I288">
            <v>75783.667563203009</v>
          </cell>
          <cell r="J288">
            <v>337761.14758740738</v>
          </cell>
          <cell r="K288">
            <v>89.242057241992214</v>
          </cell>
          <cell r="L288">
            <v>33978.333333333328</v>
          </cell>
          <cell r="M288">
            <v>447612.39054118568</v>
          </cell>
          <cell r="N288">
            <v>581896.10770354141</v>
          </cell>
        </row>
        <row r="289">
          <cell r="C289" t="str">
            <v>663.1</v>
          </cell>
          <cell r="D289" t="str">
            <v>m</v>
          </cell>
          <cell r="E289" t="str">
            <v>C$33$</v>
          </cell>
          <cell r="F289" t="str">
            <v>='663.1'!C$33$</v>
          </cell>
          <cell r="G289" t="str">
            <v>TUBERÍA DE PERFORADA TIPO PVC NORMA NTC-5055 DE DIAMETRO 2 PULG</v>
          </cell>
          <cell r="I289">
            <v>168.10333333333335</v>
          </cell>
          <cell r="J289">
            <v>21808.34809528567</v>
          </cell>
          <cell r="K289">
            <v>0</v>
          </cell>
          <cell r="L289">
            <v>3362.0666666666666</v>
          </cell>
          <cell r="M289">
            <v>25338.518095285668</v>
          </cell>
          <cell r="N289">
            <v>32940.073523871368</v>
          </cell>
        </row>
        <row r="290">
          <cell r="C290" t="str">
            <v>670.1</v>
          </cell>
          <cell r="D290" t="str">
            <v>m3</v>
          </cell>
          <cell r="E290" t="str">
            <v>C$33$</v>
          </cell>
          <cell r="F290" t="str">
            <v>='670.1'!C$33$</v>
          </cell>
          <cell r="G290" t="str">
            <v>DISIPADORES DE ENERGÍA Y SEDIMENTADORES EN GAVIONES DE ALAMBRE DE ACERO ENTRELAZADO CLASE 1: RECUBRIMIENTO DE ZINC (GALVANIZADO)</v>
          </cell>
          <cell r="I290">
            <v>2548.375</v>
          </cell>
          <cell r="J290">
            <v>248748.1520044044</v>
          </cell>
          <cell r="K290">
            <v>1249.7704946785029</v>
          </cell>
          <cell r="L290">
            <v>50967.5</v>
          </cell>
          <cell r="M290">
            <v>303513.79749908287</v>
          </cell>
          <cell r="N290">
            <v>394567.93674880773</v>
          </cell>
        </row>
        <row r="291">
          <cell r="C291" t="str">
            <v>670.2</v>
          </cell>
          <cell r="D291" t="str">
            <v>m3</v>
          </cell>
          <cell r="E291" t="str">
            <v>C$33$</v>
          </cell>
          <cell r="F291" t="str">
            <v>='670.2'!C$33$</v>
          </cell>
          <cell r="G291" t="str">
            <v>DISIPADORES DE ENERGÍA Y SEDIMENTADORES EN GAVIONES DE ALAMBRE DE ACERO ENTRELAZADO CLASE 2: RECUBRIMIENTO DE ALEACION ZN-5A1-MM</v>
          </cell>
          <cell r="I291">
            <v>2548.375</v>
          </cell>
          <cell r="J291">
            <v>281672.20010673464</v>
          </cell>
          <cell r="K291">
            <v>1249.7704946785029</v>
          </cell>
          <cell r="L291">
            <v>50967.5</v>
          </cell>
          <cell r="M291">
            <v>336437.84560141317</v>
          </cell>
          <cell r="N291">
            <v>437369.19928183715</v>
          </cell>
        </row>
        <row r="292">
          <cell r="C292" t="str">
            <v>670.3</v>
          </cell>
          <cell r="D292" t="str">
            <v>m3</v>
          </cell>
          <cell r="E292" t="str">
            <v>C$33$</v>
          </cell>
          <cell r="F292" t="str">
            <v>='670.3'!C$33$</v>
          </cell>
          <cell r="G292" t="str">
            <v>DISIPADORES DE ENERGÍA Y SEDIMENTADORES EN GAVIONES DE ALAMBRE DE ACERO ENTRELAZADO CLASE 3: RECUBRIMIENTO DE ZINC (GALVANIZADO) Y PVC</v>
          </cell>
          <cell r="I292">
            <v>2548.375</v>
          </cell>
          <cell r="J292">
            <v>281672.20010673464</v>
          </cell>
          <cell r="K292">
            <v>1249.7704946785029</v>
          </cell>
          <cell r="L292">
            <v>50967.5</v>
          </cell>
          <cell r="M292">
            <v>336437.84560141317</v>
          </cell>
          <cell r="N292">
            <v>437369.19928183715</v>
          </cell>
        </row>
        <row r="293">
          <cell r="C293" t="str">
            <v>670.4</v>
          </cell>
          <cell r="D293" t="str">
            <v>m3</v>
          </cell>
          <cell r="E293" t="str">
            <v>C$33$</v>
          </cell>
          <cell r="F293" t="str">
            <v>='670.4'!C$33$</v>
          </cell>
          <cell r="G293" t="str">
            <v>DISIPADORES DE ENERGÍA Y SEDIMENTADORES EN GAVIONES DE ALAMBRE DE ACERO ENTRELAZADO CLASE 4: RECUBRIMIENTO DE ALEACION ZN-5A1-MM Y PVC</v>
          </cell>
          <cell r="I293">
            <v>2548.375</v>
          </cell>
          <cell r="J293">
            <v>267285.04956697836</v>
          </cell>
          <cell r="K293">
            <v>1249.7704946785029</v>
          </cell>
          <cell r="L293">
            <v>50967.5</v>
          </cell>
          <cell r="M293">
            <v>322050.69506165688</v>
          </cell>
          <cell r="N293">
            <v>418665.90358015394</v>
          </cell>
        </row>
        <row r="294">
          <cell r="C294" t="str">
            <v>670.5</v>
          </cell>
          <cell r="D294" t="str">
            <v>m3</v>
          </cell>
          <cell r="E294" t="str">
            <v>C$33$</v>
          </cell>
          <cell r="F294" t="str">
            <v>='670.5'!C$33$</v>
          </cell>
          <cell r="G294" t="str">
            <v>DISIPADORES DE ENERGIA Y SEDIMENTADORES DE CONCRETO CICLOPEO</v>
          </cell>
          <cell r="I294">
            <v>10857.525026626516</v>
          </cell>
          <cell r="J294">
            <v>229996.50141479494</v>
          </cell>
          <cell r="K294">
            <v>1648.3327854549216</v>
          </cell>
          <cell r="L294">
            <v>86734.166666666657</v>
          </cell>
          <cell r="M294">
            <v>329236.52589354303</v>
          </cell>
          <cell r="N294">
            <v>428007.48366160598</v>
          </cell>
        </row>
        <row r="295">
          <cell r="C295" t="str">
            <v>671.1</v>
          </cell>
          <cell r="D295" t="str">
            <v>m3</v>
          </cell>
          <cell r="E295" t="str">
            <v>C$33$</v>
          </cell>
          <cell r="F295" t="str">
            <v>='671.1'!C$33$</v>
          </cell>
          <cell r="G295" t="str">
            <v>CUNETA DE CONCRETO VACIADA IN SITU; NO INCLUYE LA CONFORMACION DE LA SUPERFICIE DE APOYO</v>
          </cell>
          <cell r="I295">
            <v>6575.780009242806</v>
          </cell>
          <cell r="J295">
            <v>521742.38515511615</v>
          </cell>
          <cell r="K295">
            <v>1599.3643907078958</v>
          </cell>
          <cell r="L295">
            <v>33620.666666666664</v>
          </cell>
          <cell r="M295">
            <v>563538.19622173347</v>
          </cell>
          <cell r="N295">
            <v>732599.65508825355</v>
          </cell>
        </row>
        <row r="296">
          <cell r="C296" t="str">
            <v>671.2</v>
          </cell>
          <cell r="D296" t="str">
            <v>m</v>
          </cell>
          <cell r="E296" t="str">
            <v>C$33$</v>
          </cell>
          <cell r="F296" t="str">
            <v>='671.2'!C$33$</v>
          </cell>
          <cell r="G296" t="str">
            <v>CUNETA DE PIEZAS PREFABRICADAS DE CONCRETO; NO INCLUYE LA CONFORMACIÓN DE LA SUPERFICIE DE APOYO</v>
          </cell>
          <cell r="I296">
            <v>88.22444444444443</v>
          </cell>
          <cell r="J296">
            <v>80778.448692302758</v>
          </cell>
          <cell r="K296">
            <v>0</v>
          </cell>
          <cell r="L296">
            <v>1764.4888888888886</v>
          </cell>
          <cell r="M296">
            <v>82631.162025636091</v>
          </cell>
          <cell r="N296">
            <v>107420.51063332692</v>
          </cell>
        </row>
        <row r="297">
          <cell r="C297" t="str">
            <v>671.3</v>
          </cell>
          <cell r="D297" t="str">
            <v>m3</v>
          </cell>
          <cell r="E297" t="str">
            <v>C$33$</v>
          </cell>
          <cell r="F297" t="str">
            <v>='671.3'!C$33$</v>
          </cell>
          <cell r="G297" t="str">
            <v>CUNETA DE CONCRETO VACIADA IN SITU; INCLUYE LA CONFORMACIÓN DE LA SUPERFICIE DE APOYO</v>
          </cell>
          <cell r="I297">
            <v>10597.539547619897</v>
          </cell>
          <cell r="J297">
            <v>540402.17844001425</v>
          </cell>
          <cell r="K297">
            <v>259190.9236466086</v>
          </cell>
          <cell r="L297">
            <v>40774</v>
          </cell>
          <cell r="M297">
            <v>850964.64163424273</v>
          </cell>
          <cell r="N297">
            <v>1106254.0341245155</v>
          </cell>
        </row>
        <row r="298">
          <cell r="C298" t="str">
            <v>671.4</v>
          </cell>
          <cell r="D298" t="str">
            <v>m</v>
          </cell>
          <cell r="E298" t="str">
            <v>C$33$</v>
          </cell>
          <cell r="F298" t="str">
            <v>='671.4'!C$33$</v>
          </cell>
          <cell r="G298" t="str">
            <v>CUNETA DE PIEZAS PREFABRICADAS DE CONCRETO; INCLUYE LA CONFORMACIÓN DE LA SUPERFICIE DE APOYO</v>
          </cell>
          <cell r="I298">
            <v>380.18619144736158</v>
          </cell>
          <cell r="J298">
            <v>82644.428020792577</v>
          </cell>
          <cell r="K298">
            <v>64.287550134747335</v>
          </cell>
          <cell r="L298">
            <v>2718.2666666666664</v>
          </cell>
          <cell r="M298">
            <v>85807.16842904134</v>
          </cell>
          <cell r="N298">
            <v>111549.31895775374</v>
          </cell>
        </row>
        <row r="299">
          <cell r="C299" t="str">
            <v>672.1</v>
          </cell>
          <cell r="D299" t="str">
            <v>m</v>
          </cell>
          <cell r="E299" t="str">
            <v>C$33$</v>
          </cell>
          <cell r="F299" t="str">
            <v>='672.1'!C$33$</v>
          </cell>
          <cell r="G299" t="str">
            <v>BORDILLO DE CONCRETO VACIADO IN SITU; NO INCLUYE LA PREPARACION DE LA SUPERFICIE DE APOYO</v>
          </cell>
          <cell r="I299">
            <v>217.05080009242809</v>
          </cell>
          <cell r="J299">
            <v>40126.157745521276</v>
          </cell>
          <cell r="K299">
            <v>114.01409517917672</v>
          </cell>
          <cell r="L299">
            <v>3362.0666666666666</v>
          </cell>
          <cell r="M299">
            <v>43819.289307459549</v>
          </cell>
          <cell r="N299">
            <v>56965.076099697413</v>
          </cell>
        </row>
        <row r="300">
          <cell r="C300" t="str">
            <v>672.2</v>
          </cell>
          <cell r="D300" t="str">
            <v>m</v>
          </cell>
          <cell r="E300" t="str">
            <v>C$33$</v>
          </cell>
          <cell r="F300" t="str">
            <v>='672.2'!C$33$</v>
          </cell>
          <cell r="G300" t="str">
            <v xml:space="preserve"> BORDILLO DE PIEZA PREFABRICADA DE CONCRETO; NO INCLUYE LA PREPARACION DE LA SUPERFICIE DE APOYO </v>
          </cell>
          <cell r="I300">
            <v>88.22444444444443</v>
          </cell>
          <cell r="J300">
            <v>55261.092588279469</v>
          </cell>
          <cell r="K300">
            <v>0</v>
          </cell>
          <cell r="L300">
            <v>1764.4888888888886</v>
          </cell>
          <cell r="M300">
            <v>57113.805921612802</v>
          </cell>
          <cell r="N300">
            <v>74247.947698096643</v>
          </cell>
        </row>
        <row r="301">
          <cell r="C301" t="str">
            <v>672.3</v>
          </cell>
          <cell r="D301" t="str">
            <v>m</v>
          </cell>
          <cell r="E301" t="str">
            <v>C$33$</v>
          </cell>
          <cell r="F301" t="str">
            <v>='672.3'!C$33$</v>
          </cell>
          <cell r="G301" t="str">
            <v xml:space="preserve"> BORDILLO EN CONCRETO VACIADO IN SITU; INCLUYE LA PREPARACION DE LA SUPERFICIE DE APOYO</v>
          </cell>
          <cell r="I301">
            <v>252.81746675909474</v>
          </cell>
          <cell r="J301">
            <v>40126.157745521276</v>
          </cell>
          <cell r="K301">
            <v>114.01409517917672</v>
          </cell>
          <cell r="L301">
            <v>4077.3999999999996</v>
          </cell>
          <cell r="M301">
            <v>44570.389307459547</v>
          </cell>
          <cell r="N301">
            <v>57941.506099697413</v>
          </cell>
        </row>
        <row r="302">
          <cell r="C302" t="str">
            <v>672.4</v>
          </cell>
          <cell r="D302" t="str">
            <v>m</v>
          </cell>
          <cell r="E302" t="str">
            <v>C$33$</v>
          </cell>
          <cell r="F302" t="str">
            <v>='672.4'!C$33$</v>
          </cell>
          <cell r="G302" t="str">
            <v>BORDILLO DE PIEZAS PREFABRICADAS DE CONCRETO; INCLUYE LA PREPARACION DE LA SUPERFICIE DE APOYO</v>
          </cell>
          <cell r="I302">
            <v>112.06888888888889</v>
          </cell>
          <cell r="J302">
            <v>55261.092588279469</v>
          </cell>
          <cell r="K302">
            <v>0</v>
          </cell>
          <cell r="L302">
            <v>2241.3777777777777</v>
          </cell>
          <cell r="M302">
            <v>57614.539254946139</v>
          </cell>
          <cell r="N302">
            <v>74898.901031429981</v>
          </cell>
        </row>
        <row r="303">
          <cell r="C303" t="str">
            <v>673.1.1</v>
          </cell>
          <cell r="D303" t="str">
            <v>m2</v>
          </cell>
          <cell r="E303" t="str">
            <v>C$33$</v>
          </cell>
          <cell r="F303" t="str">
            <v>='673.1.1'!C$33$</v>
          </cell>
          <cell r="G303" t="str">
            <v>GEOTEXTIL TIPO NO TEJIDO CON RESISTENCIA A LA TENSIÓN GRAB MÍNIMA DE 700 N APROXIMADAMENTE</v>
          </cell>
          <cell r="I303">
            <v>29.805555555555557</v>
          </cell>
          <cell r="J303">
            <v>8908.6505718263288</v>
          </cell>
          <cell r="K303">
            <v>0</v>
          </cell>
          <cell r="L303">
            <v>596.11111111111109</v>
          </cell>
          <cell r="M303">
            <v>9534.5672384929949</v>
          </cell>
          <cell r="N303">
            <v>12394.937410040893</v>
          </cell>
        </row>
        <row r="304">
          <cell r="C304" t="str">
            <v>673.1.2</v>
          </cell>
          <cell r="D304" t="str">
            <v>m2</v>
          </cell>
          <cell r="E304" t="str">
            <v>C$33$</v>
          </cell>
          <cell r="F304" t="str">
            <v>='673.1.2'!C$33$</v>
          </cell>
          <cell r="G304" t="str">
            <v xml:space="preserve">GEOTEXTIL TIPO TEJIDO CON RESISTENCIA A LA TENSIÓN GRAB MÍNIMA DE 1400 N </v>
          </cell>
          <cell r="I304">
            <v>29.805555555555557</v>
          </cell>
          <cell r="J304">
            <v>9267.3497445699195</v>
          </cell>
          <cell r="K304">
            <v>0</v>
          </cell>
          <cell r="L304">
            <v>596.11111111111109</v>
          </cell>
          <cell r="M304">
            <v>9893.2664112365856</v>
          </cell>
          <cell r="N304">
            <v>12861.24633460756</v>
          </cell>
        </row>
        <row r="305">
          <cell r="C305" t="str">
            <v>673.2</v>
          </cell>
          <cell r="D305" t="str">
            <v>m3</v>
          </cell>
          <cell r="E305" t="str">
            <v>C$33$</v>
          </cell>
          <cell r="F305" t="str">
            <v>='673.2'!C$33$</v>
          </cell>
          <cell r="G305" t="str">
            <v>MATERIAL GRANULAR DRENANTE</v>
          </cell>
          <cell r="I305">
            <v>536.5</v>
          </cell>
          <cell r="J305">
            <v>70612.389748711517</v>
          </cell>
          <cell r="K305">
            <v>204434.40942849652</v>
          </cell>
          <cell r="L305">
            <v>10730</v>
          </cell>
          <cell r="M305">
            <v>286313.29917720804</v>
          </cell>
          <cell r="N305">
            <v>372207.28893037047</v>
          </cell>
        </row>
        <row r="306">
          <cell r="C306" t="str">
            <v>673.3.1</v>
          </cell>
          <cell r="D306" t="str">
            <v>m3</v>
          </cell>
          <cell r="E306" t="str">
            <v>C$33$</v>
          </cell>
          <cell r="F306" t="str">
            <v>='673.3.1'!C$33$</v>
          </cell>
          <cell r="G306" t="str">
            <v>MATERIAL DE COBERTURA TIPO SUB- BASE CLASE C SBG-50</v>
          </cell>
          <cell r="I306">
            <v>2122.8164743237876</v>
          </cell>
          <cell r="J306">
            <v>77718.039031600725</v>
          </cell>
          <cell r="K306">
            <v>1607.1887533686834</v>
          </cell>
          <cell r="L306">
            <v>5961.1111111111104</v>
          </cell>
          <cell r="M306">
            <v>87409.155370404304</v>
          </cell>
          <cell r="N306">
            <v>113631.9019815256</v>
          </cell>
        </row>
        <row r="307">
          <cell r="C307" t="str">
            <v>673.3.2</v>
          </cell>
          <cell r="D307" t="str">
            <v>m3</v>
          </cell>
          <cell r="E307" t="str">
            <v>C$33$</v>
          </cell>
          <cell r="F307" t="str">
            <v>='673.3.2'!C$33$</v>
          </cell>
          <cell r="G307" t="str">
            <v>MATERIAL DE COBERTURA TIPO SUB- BASE CLASE C SBG-38</v>
          </cell>
          <cell r="I307">
            <v>2122.8164743237876</v>
          </cell>
          <cell r="J307">
            <v>77718.039031600725</v>
          </cell>
          <cell r="K307">
            <v>1607.1887533686834</v>
          </cell>
          <cell r="L307">
            <v>5961.1111111111104</v>
          </cell>
          <cell r="M307">
            <v>87409.155370404304</v>
          </cell>
          <cell r="N307">
            <v>113631.9019815256</v>
          </cell>
        </row>
        <row r="308">
          <cell r="C308" t="str">
            <v>673.3.3</v>
          </cell>
          <cell r="D308" t="str">
            <v>m3</v>
          </cell>
          <cell r="E308" t="str">
            <v>C$33$</v>
          </cell>
          <cell r="F308" t="str">
            <v>='673.3.3'!C$33$</v>
          </cell>
          <cell r="G308" t="str">
            <v>MATERIAL DE COBERTURA TIPO SUB- BASE CLASE C SBG-20</v>
          </cell>
          <cell r="I308">
            <v>2122.8164743237876</v>
          </cell>
          <cell r="J308">
            <v>77718.039031600725</v>
          </cell>
          <cell r="K308">
            <v>1607.1887533686834</v>
          </cell>
          <cell r="L308">
            <v>5961.1111111111104</v>
          </cell>
          <cell r="M308">
            <v>87409.155370404304</v>
          </cell>
          <cell r="N308">
            <v>113631.9019815256</v>
          </cell>
        </row>
        <row r="309">
          <cell r="C309" t="str">
            <v>674.1</v>
          </cell>
          <cell r="D309" t="str">
            <v>m</v>
          </cell>
          <cell r="E309" t="str">
            <v>C$33$</v>
          </cell>
          <cell r="F309" t="str">
            <v>='674.1'!C$33$</v>
          </cell>
          <cell r="G309" t="str">
            <v>DREN HORIZONTAL DE LONGITUD MENOR O IGUAL A DIEZ (10) METROS</v>
          </cell>
          <cell r="I309">
            <v>83844.1575182917</v>
          </cell>
          <cell r="J309">
            <v>22026.431576238527</v>
          </cell>
          <cell r="K309">
            <v>0</v>
          </cell>
          <cell r="L309">
            <v>9657</v>
          </cell>
          <cell r="M309">
            <v>115527.58909453022</v>
          </cell>
          <cell r="N309">
            <v>150185.86582288929</v>
          </cell>
        </row>
        <row r="310">
          <cell r="C310" t="str">
            <v>674.2</v>
          </cell>
          <cell r="D310" t="str">
            <v>m</v>
          </cell>
          <cell r="E310" t="str">
            <v>C$33$</v>
          </cell>
          <cell r="F310" t="str">
            <v>='674.2'!C$33$</v>
          </cell>
          <cell r="G310" t="str">
            <v>DREN HORIZONTAL DE LONGITUD MAYOR A DIEZ (10) METROS</v>
          </cell>
          <cell r="I310">
            <v>168045.98170325006</v>
          </cell>
          <cell r="J310">
            <v>22026.431576238527</v>
          </cell>
          <cell r="K310">
            <v>0</v>
          </cell>
          <cell r="L310">
            <v>26467.333333333332</v>
          </cell>
          <cell r="M310">
            <v>216539.74661282194</v>
          </cell>
          <cell r="N310">
            <v>281501.6705966685</v>
          </cell>
        </row>
        <row r="311">
          <cell r="C311" t="str">
            <v>680.1</v>
          </cell>
          <cell r="D311" t="str">
            <v>m2</v>
          </cell>
          <cell r="E311" t="str">
            <v>C$33$</v>
          </cell>
          <cell r="F311" t="str">
            <v>='680.1'!C$33$</v>
          </cell>
          <cell r="G311" t="str">
            <v>PANELES DE CONCRETO</v>
          </cell>
          <cell r="I311">
            <v>11643.367393919578</v>
          </cell>
          <cell r="J311">
            <v>248427.81042963709</v>
          </cell>
          <cell r="K311">
            <v>285.03523794794182</v>
          </cell>
          <cell r="L311">
            <v>26467.333333333332</v>
          </cell>
          <cell r="M311">
            <v>286823.54639483796</v>
          </cell>
          <cell r="N311">
            <v>372870.61031328933</v>
          </cell>
        </row>
        <row r="312">
          <cell r="C312" t="str">
            <v>680.2</v>
          </cell>
          <cell r="D312" t="str">
            <v>m</v>
          </cell>
          <cell r="E312" t="str">
            <v>C$33$</v>
          </cell>
          <cell r="F312" t="str">
            <v>='680.2'!C$33$</v>
          </cell>
          <cell r="G312" t="str">
            <v>ARMADURA GALVANIZADA</v>
          </cell>
          <cell r="I312">
            <v>66.168333333333337</v>
          </cell>
          <cell r="J312">
            <v>12430.166200538519</v>
          </cell>
          <cell r="K312">
            <v>0</v>
          </cell>
          <cell r="L312">
            <v>661.68333333333328</v>
          </cell>
          <cell r="M312">
            <v>13158.017867205184</v>
          </cell>
          <cell r="N312">
            <v>17105.42322736674</v>
          </cell>
        </row>
        <row r="313">
          <cell r="C313" t="str">
            <v>680.3</v>
          </cell>
          <cell r="D313" t="str">
            <v>m3</v>
          </cell>
          <cell r="E313" t="str">
            <v>C$33$</v>
          </cell>
          <cell r="F313" t="str">
            <v>='680.3'!C$33$</v>
          </cell>
          <cell r="G313" t="str">
            <v xml:space="preserve">RELLENO GRANULAR PARA TIERRA MECANICAMENTE ESTABILIZADA CON PÁNELES DE CONCRETO </v>
          </cell>
          <cell r="I313">
            <v>29053.16680149614</v>
          </cell>
          <cell r="J313">
            <v>41958.873318045808</v>
          </cell>
          <cell r="K313">
            <v>1350.038552829694</v>
          </cell>
          <cell r="L313">
            <v>2801.7222222222222</v>
          </cell>
          <cell r="M313">
            <v>75163.800894593864</v>
          </cell>
          <cell r="N313">
            <v>97712.941162972027</v>
          </cell>
        </row>
        <row r="314">
          <cell r="C314" t="str">
            <v>681.1</v>
          </cell>
          <cell r="D314" t="str">
            <v>m3</v>
          </cell>
          <cell r="E314" t="str">
            <v>C$33$</v>
          </cell>
          <cell r="F314" t="str">
            <v>='681.1'!C$33$</v>
          </cell>
          <cell r="G314" t="str">
            <v>GAVIONES DE MALLA DE ALAMBRE DE ACERO ENTRELAZADO CLASE 1; RECUBRIMIENTO DE ZINC (GALVANIZADO)</v>
          </cell>
          <cell r="I314">
            <v>1681.0333333333333</v>
          </cell>
          <cell r="J314">
            <v>188925.90123534543</v>
          </cell>
          <cell r="K314">
            <v>238592.54898407782</v>
          </cell>
          <cell r="L314">
            <v>33620.666666666664</v>
          </cell>
          <cell r="M314">
            <v>462820.15021942329</v>
          </cell>
          <cell r="N314">
            <v>601666.19528525032</v>
          </cell>
        </row>
        <row r="315">
          <cell r="C315" t="str">
            <v>681.2</v>
          </cell>
          <cell r="D315" t="str">
            <v>m3</v>
          </cell>
          <cell r="E315" t="str">
            <v>C$33$</v>
          </cell>
          <cell r="F315" t="str">
            <v>='681.2'!C$33$</v>
          </cell>
          <cell r="G315" t="str">
            <v>GAVIONES DE MALLA DE ALAMBRE DE ACERO ENTRELAZADO  CLASE 2; RECUBRIMIENTO DE ALEACIÓN Zn-5A1-MM</v>
          </cell>
          <cell r="I315">
            <v>1681.0333333333333</v>
          </cell>
          <cell r="J315">
            <v>220211.37864337378</v>
          </cell>
          <cell r="K315">
            <v>1249.7704946785029</v>
          </cell>
          <cell r="L315">
            <v>33620.666666666664</v>
          </cell>
          <cell r="M315">
            <v>256762.84913805226</v>
          </cell>
          <cell r="N315">
            <v>333791.70387946791</v>
          </cell>
        </row>
        <row r="316">
          <cell r="C316" t="str">
            <v>681.3</v>
          </cell>
          <cell r="D316" t="str">
            <v>m3</v>
          </cell>
          <cell r="E316" t="str">
            <v>C$33$</v>
          </cell>
          <cell r="F316" t="str">
            <v>='681.3'!C$33$</v>
          </cell>
          <cell r="G316" t="str">
            <v>GAVIONES DE MALLA DE ALAMBRE DE ACERO ENTRELAZADO  CLASE 3; RECUBRIMIENTO DE ZINC (GALVANIZADO) Y PVC</v>
          </cell>
          <cell r="I316">
            <v>1681.0333333333333</v>
          </cell>
          <cell r="J316">
            <v>220211.37864337378</v>
          </cell>
          <cell r="K316">
            <v>187465.57420177542</v>
          </cell>
          <cell r="L316">
            <v>33620.666666666664</v>
          </cell>
          <cell r="M316">
            <v>442978.65284514922</v>
          </cell>
          <cell r="N316">
            <v>575872.24869869393</v>
          </cell>
        </row>
        <row r="317">
          <cell r="C317" t="str">
            <v>681.4</v>
          </cell>
          <cell r="D317" t="str">
            <v>m3</v>
          </cell>
          <cell r="E317" t="str">
            <v>C$33$</v>
          </cell>
          <cell r="F317" t="str">
            <v>='681.4'!C$33$</v>
          </cell>
          <cell r="G317" t="str">
            <v>GAVIÓN DE MALLA DE ALAMBRE DE ACERO ENTRELAZADO  CLASE 4; RECUBRIMIENTO DE ALEACIÓN Zn-5A1-MM Y PVC</v>
          </cell>
          <cell r="I317">
            <v>1681.0333333333333</v>
          </cell>
          <cell r="J317">
            <v>205824.2281036175</v>
          </cell>
          <cell r="K317">
            <v>1249.7704946785029</v>
          </cell>
          <cell r="L317">
            <v>33620.666666666664</v>
          </cell>
          <cell r="M317">
            <v>242375.69859829597</v>
          </cell>
          <cell r="N317">
            <v>315088.40817778476</v>
          </cell>
        </row>
        <row r="318">
          <cell r="C318" t="str">
            <v>682.1</v>
          </cell>
          <cell r="D318" t="str">
            <v>m3</v>
          </cell>
          <cell r="E318" t="str">
            <v>C$33$</v>
          </cell>
          <cell r="F318" t="str">
            <v>='682.1'!C$33$</v>
          </cell>
          <cell r="G318" t="str">
            <v xml:space="preserve">COLCHOGAVIÓN DE MALLA DE ALAMBRE DE ACERO ENTRELAZADO CLASE 1; RECUBRIMIENTO DE ZINC (GALVANIZADO) </v>
          </cell>
          <cell r="I318">
            <v>1019.35</v>
          </cell>
          <cell r="J318">
            <v>183797.26719038398</v>
          </cell>
          <cell r="K318">
            <v>1249.7704946785029</v>
          </cell>
          <cell r="L318">
            <v>20387</v>
          </cell>
          <cell r="M318">
            <v>206453.38768506248</v>
          </cell>
          <cell r="N318">
            <v>268389.40399058122</v>
          </cell>
        </row>
        <row r="319">
          <cell r="C319" t="str">
            <v>683.1</v>
          </cell>
          <cell r="D319" t="str">
            <v>m2</v>
          </cell>
          <cell r="E319" t="str">
            <v>C$33$</v>
          </cell>
          <cell r="F319" t="str">
            <v>='683.1'!C$33$</v>
          </cell>
          <cell r="G319" t="str">
            <v>GEOTEXTIL DE REFUERZO TIPO___PARA MUROS DE TIERRA ESTABILIZADA MECANICAMENTE CON GEOSINTETICOS</v>
          </cell>
          <cell r="I319">
            <v>0</v>
          </cell>
          <cell r="J319">
            <v>10797.891049142421</v>
          </cell>
          <cell r="K319">
            <v>0</v>
          </cell>
          <cell r="L319">
            <v>2038.6999999999998</v>
          </cell>
          <cell r="M319">
            <v>12836.591049142422</v>
          </cell>
          <cell r="N319">
            <v>16687.568363885148</v>
          </cell>
        </row>
        <row r="320">
          <cell r="C320" t="str">
            <v>683.2</v>
          </cell>
          <cell r="D320" t="str">
            <v>m2</v>
          </cell>
          <cell r="E320" t="str">
            <v>C$33$</v>
          </cell>
          <cell r="F320" t="str">
            <v>='683.2'!C$33$</v>
          </cell>
          <cell r="G320" t="str">
            <v>GEOMALLA DE REFUERZO TIPO______ PARA MUROS DE TIERRA ESTABILIZADA MECANICAMENTE CON GEOSINTETICOS</v>
          </cell>
          <cell r="I320">
            <v>0</v>
          </cell>
          <cell r="J320">
            <v>23155.477472049864</v>
          </cell>
          <cell r="K320">
            <v>0</v>
          </cell>
          <cell r="L320">
            <v>2038.6999999999998</v>
          </cell>
          <cell r="M320">
            <v>25194.177472049865</v>
          </cell>
          <cell r="N320">
            <v>32752.430713664828</v>
          </cell>
        </row>
        <row r="321">
          <cell r="C321" t="str">
            <v>683.3</v>
          </cell>
          <cell r="D321" t="str">
            <v>m2</v>
          </cell>
          <cell r="E321" t="str">
            <v>C$33$</v>
          </cell>
          <cell r="F321" t="str">
            <v>='683.3'!C$33$</v>
          </cell>
          <cell r="G321" t="str">
            <v>GEOTEXTIL DE FACHADA TIPO_____ PARA MUROS DE TIERRA ESTABILIZADA MECANICAMENTE CON GEOSINTETICOS</v>
          </cell>
          <cell r="I321">
            <v>0</v>
          </cell>
          <cell r="J321">
            <v>10797.891049142421</v>
          </cell>
          <cell r="K321">
            <v>0</v>
          </cell>
          <cell r="L321">
            <v>2038.6999999999998</v>
          </cell>
          <cell r="M321">
            <v>12836.591049142422</v>
          </cell>
          <cell r="N321">
            <v>16687.568363885148</v>
          </cell>
        </row>
        <row r="322">
          <cell r="C322" t="str">
            <v>683.4</v>
          </cell>
          <cell r="D322" t="str">
            <v>m2</v>
          </cell>
          <cell r="E322" t="str">
            <v>C$33$</v>
          </cell>
          <cell r="F322" t="str">
            <v>='683.4'!C$33$</v>
          </cell>
          <cell r="G322" t="str">
            <v>GEOMALLA DE FACHADA TIPO_____ PARA MUROS DE TIERRA ESTABILIZADA MECANICAMENTE CON GEOSINTETICOS</v>
          </cell>
          <cell r="I322">
            <v>0</v>
          </cell>
          <cell r="J322">
            <v>23155.477472049864</v>
          </cell>
          <cell r="K322">
            <v>0</v>
          </cell>
          <cell r="L322">
            <v>2038.6999999999998</v>
          </cell>
          <cell r="M322">
            <v>25194.177472049865</v>
          </cell>
          <cell r="N322">
            <v>32752.430713664828</v>
          </cell>
        </row>
        <row r="323">
          <cell r="C323" t="str">
            <v>683.5</v>
          </cell>
          <cell r="D323" t="str">
            <v>m3</v>
          </cell>
          <cell r="E323" t="str">
            <v>C$33$</v>
          </cell>
          <cell r="F323" t="str">
            <v>='683.5'!C$33$</v>
          </cell>
          <cell r="G323" t="str">
            <v>RELLENO TIPO_____ PARA MUROS DE TIERRA ESTABILIZADA MECANICAMENTE CON GEOSINTETICOS</v>
          </cell>
          <cell r="I323">
            <v>30716.916870816804</v>
          </cell>
          <cell r="J323">
            <v>51288.769960494879</v>
          </cell>
          <cell r="K323">
            <v>1671.4763035034307</v>
          </cell>
          <cell r="L323">
            <v>2801.7222222222222</v>
          </cell>
          <cell r="M323">
            <v>86478.885357037332</v>
          </cell>
          <cell r="N323">
            <v>112422.55096414854</v>
          </cell>
        </row>
        <row r="324">
          <cell r="C324" t="str">
            <v>690.1.1</v>
          </cell>
          <cell r="D324" t="str">
            <v>m2</v>
          </cell>
          <cell r="E324" t="str">
            <v>C$33$</v>
          </cell>
          <cell r="F324" t="str">
            <v>='690.1.1'!C$33$</v>
          </cell>
          <cell r="G324" t="str">
            <v>IMPERMEABILIZACIÓN DE ESTRUCTURAS DE CONCRETO - LÍQUIDO</v>
          </cell>
          <cell r="I324">
            <v>193.14</v>
          </cell>
          <cell r="J324">
            <v>1956.8571410787185</v>
          </cell>
          <cell r="K324">
            <v>0</v>
          </cell>
          <cell r="L324">
            <v>3862.7999999999997</v>
          </cell>
          <cell r="M324">
            <v>6012.7971410787177</v>
          </cell>
          <cell r="N324">
            <v>7816.636283402333</v>
          </cell>
        </row>
        <row r="325">
          <cell r="C325" t="str">
            <v>690.1.2</v>
          </cell>
          <cell r="D325" t="str">
            <v>m2</v>
          </cell>
          <cell r="E325" t="str">
            <v>C$33$</v>
          </cell>
          <cell r="F325" t="str">
            <v>='690.1.2'!C$33$</v>
          </cell>
          <cell r="G325" t="str">
            <v>IMPERMEABILIZACIÓN DE ESTRUCTURAS - LÁMINAS</v>
          </cell>
          <cell r="I325">
            <v>661.68333333333339</v>
          </cell>
          <cell r="J325">
            <v>35029.850617849079</v>
          </cell>
          <cell r="K325">
            <v>0</v>
          </cell>
          <cell r="L325">
            <v>13233.666666666666</v>
          </cell>
          <cell r="M325">
            <v>48925.200617849077</v>
          </cell>
          <cell r="N325">
            <v>63602.760803203797</v>
          </cell>
        </row>
        <row r="326">
          <cell r="C326" t="str">
            <v>690.1.3</v>
          </cell>
          <cell r="D326" t="str">
            <v>m2</v>
          </cell>
          <cell r="E326" t="str">
            <v>C$33$</v>
          </cell>
          <cell r="F326" t="str">
            <v>='690.1.3'!C$33$</v>
          </cell>
          <cell r="G326" t="str">
            <v>IMPERMEABILIZACIÓN DE ESTRUCTURAS DE CONCRETO - MEMBRANA</v>
          </cell>
          <cell r="I326">
            <v>482.85</v>
          </cell>
          <cell r="J326">
            <v>101810.60869261256</v>
          </cell>
          <cell r="K326">
            <v>0</v>
          </cell>
          <cell r="L326">
            <v>9657</v>
          </cell>
          <cell r="M326">
            <v>111950.45869261256</v>
          </cell>
          <cell r="N326">
            <v>145535.59630039634</v>
          </cell>
        </row>
        <row r="327">
          <cell r="C327" t="str">
            <v>700.1</v>
          </cell>
          <cell r="D327" t="str">
            <v>m</v>
          </cell>
          <cell r="E327" t="str">
            <v>C$33$</v>
          </cell>
          <cell r="F327" t="str">
            <v>='700.1'!C$33$</v>
          </cell>
          <cell r="G327" t="str">
            <v>LÍNEA DE DEMARCACIÓN CON PINTURA EN FRÍO</v>
          </cell>
          <cell r="I327">
            <v>137.77932754510692</v>
          </cell>
          <cell r="J327">
            <v>2357.1390141878796</v>
          </cell>
          <cell r="K327">
            <v>0</v>
          </cell>
          <cell r="L327">
            <v>24.834293593342196</v>
          </cell>
          <cell r="M327">
            <v>2519.7526353263288</v>
          </cell>
          <cell r="N327">
            <v>3275.6784259242277</v>
          </cell>
        </row>
        <row r="328">
          <cell r="C328" t="str">
            <v>700.1P</v>
          </cell>
          <cell r="D328" t="str">
            <v>m</v>
          </cell>
          <cell r="G328" t="str">
            <v>SUMINISTRO Y APLICACIÓN DE IMPRIMANTE PARA PAVIMENTO RIGIDO, PREVIO A LA DEMARCACIÓN.</v>
          </cell>
          <cell r="I328">
            <v>145.91078222626047</v>
          </cell>
          <cell r="J328">
            <v>1653.8269135140458</v>
          </cell>
          <cell r="K328">
            <v>0</v>
          </cell>
          <cell r="L328">
            <v>30.018452380952379</v>
          </cell>
          <cell r="M328">
            <v>1829.7561481212585</v>
          </cell>
          <cell r="N328">
            <v>2378.6829925576362</v>
          </cell>
        </row>
        <row r="329">
          <cell r="C329" t="str">
            <v>700.2</v>
          </cell>
          <cell r="D329" t="str">
            <v>m</v>
          </cell>
          <cell r="E329" t="str">
            <v>C$33$</v>
          </cell>
          <cell r="F329" t="str">
            <v>='700.2'!C$33$</v>
          </cell>
          <cell r="G329" t="str">
            <v>LÍNEA DE DEMARCACIÓN CON RESINA TERMOPLÁSTICA</v>
          </cell>
          <cell r="I329">
            <v>144.28777946016925</v>
          </cell>
          <cell r="J329">
            <v>1380.799414096713</v>
          </cell>
          <cell r="K329">
            <v>0</v>
          </cell>
          <cell r="L329">
            <v>49.924305555555549</v>
          </cell>
          <cell r="M329">
            <v>1575.0114991124378</v>
          </cell>
          <cell r="N329">
            <v>2047.5149488461693</v>
          </cell>
        </row>
        <row r="330">
          <cell r="C330" t="str">
            <v>700.3</v>
          </cell>
          <cell r="D330" t="str">
            <v>m2</v>
          </cell>
          <cell r="E330" t="str">
            <v>C$33$</v>
          </cell>
          <cell r="F330" t="str">
            <v>='700.3'!C$33$</v>
          </cell>
          <cell r="G330" t="str">
            <v>MARCA VIAL CON PINTURA EN FRÍO</v>
          </cell>
          <cell r="I330">
            <v>6333.6318636736933</v>
          </cell>
          <cell r="J330">
            <v>25784.06791581471</v>
          </cell>
          <cell r="K330">
            <v>0</v>
          </cell>
          <cell r="L330">
            <v>4202.583333333333</v>
          </cell>
          <cell r="M330">
            <v>36320.283112821737</v>
          </cell>
          <cell r="N330">
            <v>47216.368046668256</v>
          </cell>
        </row>
        <row r="331">
          <cell r="C331" t="str">
            <v>700.3P</v>
          </cell>
          <cell r="D331" t="str">
            <v>m2</v>
          </cell>
          <cell r="G331" t="str">
            <v>SUMINISTRO Y APLICACIÓN DE MARCA IMPRIMANTE PARA PAVIMENTO RIGIDO</v>
          </cell>
          <cell r="I331">
            <v>4222.4212424491288</v>
          </cell>
          <cell r="J331">
            <v>17821.410705970324</v>
          </cell>
          <cell r="K331">
            <v>0</v>
          </cell>
          <cell r="L331">
            <v>2801.7222222222222</v>
          </cell>
          <cell r="M331">
            <v>24845.554170641673</v>
          </cell>
          <cell r="N331">
            <v>32299.220421834176</v>
          </cell>
        </row>
        <row r="332">
          <cell r="C332" t="str">
            <v>700.4</v>
          </cell>
          <cell r="D332" t="str">
            <v>m2</v>
          </cell>
          <cell r="E332" t="str">
            <v>C$33$</v>
          </cell>
          <cell r="F332" t="str">
            <v>='700.4'!C$33$</v>
          </cell>
          <cell r="G332" t="str">
            <v>MARCA VIAL CON RESINA TERMOPLÁSTICA</v>
          </cell>
          <cell r="I332">
            <v>22007.261404349239</v>
          </cell>
          <cell r="J332">
            <v>11506.661784139276</v>
          </cell>
          <cell r="K332">
            <v>0</v>
          </cell>
          <cell r="L332">
            <v>11475.138888888889</v>
          </cell>
          <cell r="M332">
            <v>44989.062077377406</v>
          </cell>
          <cell r="N332">
            <v>58485.780700590629</v>
          </cell>
        </row>
        <row r="333">
          <cell r="C333" t="str">
            <v>701.1.1</v>
          </cell>
          <cell r="D333" t="str">
            <v>u</v>
          </cell>
          <cell r="E333" t="str">
            <v>C$33$</v>
          </cell>
          <cell r="F333" t="str">
            <v>='701.1.1'!C$33$</v>
          </cell>
          <cell r="G333" t="str">
            <v>TACHA RETRORREFLECTIVA - ADHESIVO BITUMINOSO Y/O TERMOPLÁSTICO</v>
          </cell>
          <cell r="I333">
            <v>324.65928745046875</v>
          </cell>
          <cell r="J333">
            <v>7315.7117343881064</v>
          </cell>
          <cell r="K333">
            <v>0</v>
          </cell>
          <cell r="L333">
            <v>132.33666666666664</v>
          </cell>
          <cell r="M333">
            <v>7772.707688505242</v>
          </cell>
          <cell r="N333">
            <v>10104.519995056815</v>
          </cell>
        </row>
        <row r="334">
          <cell r="C334" t="str">
            <v>701.1.2</v>
          </cell>
          <cell r="D334" t="str">
            <v>u</v>
          </cell>
          <cell r="E334" t="str">
            <v>C$33$</v>
          </cell>
          <cell r="F334" t="str">
            <v>='701.1.2'!C$33$</v>
          </cell>
          <cell r="G334" t="str">
            <v>TACHA REFLECTIVA - ADHESIVO EPÓXICO</v>
          </cell>
          <cell r="I334">
            <v>188.55776253731386</v>
          </cell>
          <cell r="J334">
            <v>8365.1535849999837</v>
          </cell>
          <cell r="K334">
            <v>0</v>
          </cell>
          <cell r="L334">
            <v>132.33666666666664</v>
          </cell>
          <cell r="M334">
            <v>8686.0480142039632</v>
          </cell>
          <cell r="N334">
            <v>11291.862418465153</v>
          </cell>
        </row>
        <row r="335">
          <cell r="C335" t="str">
            <v>710.1.2</v>
          </cell>
          <cell r="D335" t="str">
            <v>u</v>
          </cell>
          <cell r="E335" t="str">
            <v>C$33$</v>
          </cell>
          <cell r="F335" t="str">
            <v>='710.1.2'!C$33$</v>
          </cell>
          <cell r="G335" t="str">
            <v xml:space="preserve">SEÑAL VERTICAL DE TRANSITO TIPO SR, SP Y/O SI, CON LÁMINA RETRORREFLECTIVA TIPO IX (90X90 cm) </v>
          </cell>
          <cell r="I335">
            <v>12227.472658582115</v>
          </cell>
          <cell r="J335">
            <v>669386.25102475449</v>
          </cell>
          <cell r="K335">
            <v>1586.6961579102094</v>
          </cell>
          <cell r="L335">
            <v>10506.458333333332</v>
          </cell>
          <cell r="M335">
            <v>693706.87817458017</v>
          </cell>
          <cell r="N335">
            <v>901818.94162695424</v>
          </cell>
        </row>
        <row r="336">
          <cell r="C336" t="str">
            <v>710.1.1</v>
          </cell>
          <cell r="D336" t="str">
            <v>u</v>
          </cell>
          <cell r="E336" t="str">
            <v>C$33$</v>
          </cell>
          <cell r="F336" t="str">
            <v>='710.1.1'!C$33$</v>
          </cell>
          <cell r="G336" t="str">
            <v xml:space="preserve">SEÑAL VERTICAL DE TRANSITO TIPO SR, SP Y/O SI, TABLERO EN LÁMINA CON LAMINA RETRORREFLECTIVA TIPO IX (75X75 cm) </v>
          </cell>
          <cell r="I336">
            <v>12227.472658582115</v>
          </cell>
          <cell r="J336">
            <v>590276.15452229627</v>
          </cell>
          <cell r="K336">
            <v>1586.6961579102094</v>
          </cell>
          <cell r="L336">
            <v>10506.458333333332</v>
          </cell>
          <cell r="M336">
            <v>614596.78167212196</v>
          </cell>
          <cell r="N336">
            <v>798975.81617375859</v>
          </cell>
        </row>
        <row r="337">
          <cell r="C337" t="str">
            <v>710.1.3</v>
          </cell>
          <cell r="D337" t="str">
            <v>u</v>
          </cell>
          <cell r="E337" t="str">
            <v>C$33$</v>
          </cell>
          <cell r="F337" t="str">
            <v>='710.1.3'!C$33$</v>
          </cell>
          <cell r="G337" t="str">
            <v>SEÑAL VERTICAL DE TRANSITO TIPO SI-04 (POSTES DE REFERENCIA), REFLECTIVO TIPO IX (1,25m X 0,45m)</v>
          </cell>
          <cell r="I337">
            <v>12594.361946932035</v>
          </cell>
          <cell r="J337">
            <v>559849.19432904315</v>
          </cell>
          <cell r="K337">
            <v>1586.6961579102094</v>
          </cell>
          <cell r="L337">
            <v>11206.888888888889</v>
          </cell>
          <cell r="M337">
            <v>585237.14132277423</v>
          </cell>
          <cell r="N337">
            <v>760808.28371960646</v>
          </cell>
        </row>
        <row r="338">
          <cell r="C338" t="str">
            <v>710.1.4</v>
          </cell>
          <cell r="D338" t="str">
            <v>u</v>
          </cell>
          <cell r="E338" t="str">
            <v>C$33$</v>
          </cell>
          <cell r="F338" t="str">
            <v>='710.1.4'!C$33$</v>
          </cell>
          <cell r="G338" t="str">
            <v>SEÑAL VERTICAL DE TRANSITO TIPO SP-54  RETRORREFLECTIVA TIPO IX (1,70m X 0,25m).</v>
          </cell>
          <cell r="I338">
            <v>12594.361946932035</v>
          </cell>
          <cell r="J338">
            <v>895762.83486255771</v>
          </cell>
          <cell r="K338">
            <v>1586.6961579102094</v>
          </cell>
          <cell r="L338">
            <v>11206.888888888889</v>
          </cell>
          <cell r="M338">
            <v>921150.78185628878</v>
          </cell>
          <cell r="N338">
            <v>1197496.0164131755</v>
          </cell>
        </row>
        <row r="339">
          <cell r="C339" t="str">
            <v>710.1.5</v>
          </cell>
          <cell r="D339" t="str">
            <v>u</v>
          </cell>
          <cell r="E339" t="str">
            <v>C$33$</v>
          </cell>
          <cell r="F339" t="str">
            <v>='710.1.5'!C$33$</v>
          </cell>
          <cell r="G339" t="str">
            <v xml:space="preserve">SEÑAL VERTICAL DE TRANSITO TIPO PREVENTIVA DELINEADOR DE CURVA HORIZONTAL SP-75. REFLECTIVO TIPO IX (75X60cm).  </v>
          </cell>
          <cell r="I339">
            <v>12594.361946932035</v>
          </cell>
          <cell r="J339">
            <v>520902.68528167898</v>
          </cell>
          <cell r="K339">
            <v>1586.6961579102094</v>
          </cell>
          <cell r="L339">
            <v>11206.888888888889</v>
          </cell>
          <cell r="M339">
            <v>546290.63227541</v>
          </cell>
          <cell r="N339">
            <v>710177.82195803302</v>
          </cell>
        </row>
        <row r="340">
          <cell r="C340" t="str">
            <v>710.2.1</v>
          </cell>
          <cell r="D340" t="str">
            <v>m2</v>
          </cell>
          <cell r="E340" t="str">
            <v>C$33$</v>
          </cell>
          <cell r="F340" t="str">
            <v>='710.2.1'!C$33$</v>
          </cell>
          <cell r="G340" t="str">
            <v xml:space="preserve">SEÑAL VERTICAL DE TRANSITO TIPO INFORMATIVA ELEVADA (SI-05 Y/O SI-06)  CON LAMINA RETRORREFLECTIVA TIPO IX. </v>
          </cell>
          <cell r="I340">
            <v>12227.472658582115</v>
          </cell>
          <cell r="J340">
            <v>516124.41563575348</v>
          </cell>
          <cell r="K340">
            <v>1586.6961579102094</v>
          </cell>
          <cell r="L340">
            <v>10506.458333333332</v>
          </cell>
          <cell r="M340">
            <v>540445.04278557911</v>
          </cell>
          <cell r="N340">
            <v>702578.55562125286</v>
          </cell>
        </row>
        <row r="341">
          <cell r="C341" t="str">
            <v>710.2.2</v>
          </cell>
          <cell r="D341" t="str">
            <v>m2</v>
          </cell>
          <cell r="E341" t="str">
            <v>C$33$</v>
          </cell>
          <cell r="F341" t="str">
            <v>='710.2.2'!C$33$</v>
          </cell>
          <cell r="G341" t="str">
            <v xml:space="preserve">SEÑAL VERTICAL DE TRANSITO TIPO INFORMATIVA  (SI-05 Y/O SI-06)  CON LAMINA RETRORREFLECTIVA TIPO IX. </v>
          </cell>
          <cell r="I341">
            <v>12227.472658582115</v>
          </cell>
          <cell r="J341">
            <v>865245.83068430959</v>
          </cell>
          <cell r="K341">
            <v>1586.6961579102094</v>
          </cell>
          <cell r="L341">
            <v>10506.458333333332</v>
          </cell>
          <cell r="M341">
            <v>889566.45783413528</v>
          </cell>
          <cell r="N341">
            <v>1156436.3951843758</v>
          </cell>
        </row>
        <row r="342">
          <cell r="C342" t="str">
            <v>710.2.3</v>
          </cell>
          <cell r="D342" t="str">
            <v>m2</v>
          </cell>
          <cell r="E342" t="str">
            <v>C$33$</v>
          </cell>
          <cell r="F342" t="str">
            <v>='710.2.3'!C$33$</v>
          </cell>
          <cell r="G342" t="str">
            <v>SEÑAL VERTICAL DE TRANSITO TIPO SI-04 (POSTES DE REFERENCIA), CON LAMINA RETRORREFLECTIVA TIPO IX. (1,25m X 0,45m)</v>
          </cell>
          <cell r="I342">
            <v>11807.214325248782</v>
          </cell>
          <cell r="J342">
            <v>559849.19432904315</v>
          </cell>
          <cell r="K342">
            <v>1586.6961579102094</v>
          </cell>
          <cell r="L342">
            <v>10506.458333333332</v>
          </cell>
          <cell r="M342">
            <v>583749.56314553542</v>
          </cell>
          <cell r="N342">
            <v>758874.43208919605</v>
          </cell>
        </row>
        <row r="343">
          <cell r="C343" t="str">
            <v>710.2.4</v>
          </cell>
          <cell r="D343" t="str">
            <v>m2</v>
          </cell>
          <cell r="E343" t="str">
            <v>C$33$</v>
          </cell>
          <cell r="F343" t="str">
            <v>='710.2.4'!C$33$</v>
          </cell>
          <cell r="G343" t="str">
            <v>SEÑAL VERTICAL DE TRANSITO TIPO INFORMATIVA TURÍSTICA ST (RECTANGULAR O EN FORMA DE FLECHA). CON LAMINA RETRORREFLECTIVA TIPO IX.</v>
          </cell>
          <cell r="I343">
            <v>11807.214325248782</v>
          </cell>
          <cell r="J343">
            <v>669386.25102475449</v>
          </cell>
          <cell r="K343">
            <v>1586.6961579102094</v>
          </cell>
          <cell r="L343">
            <v>10506.458333333332</v>
          </cell>
          <cell r="M343">
            <v>693286.61984124675</v>
          </cell>
          <cell r="N343">
            <v>901272.60579362081</v>
          </cell>
        </row>
        <row r="344">
          <cell r="C344" t="str">
            <v>730.1.1</v>
          </cell>
          <cell r="D344" t="str">
            <v>m</v>
          </cell>
          <cell r="E344" t="str">
            <v>C$33$</v>
          </cell>
          <cell r="F344" t="str">
            <v>='730.1.1'!C$33$</v>
          </cell>
          <cell r="G344" t="str">
            <v>DEFENSA METÁLICA</v>
          </cell>
          <cell r="I344">
            <v>9262.3633527075908</v>
          </cell>
          <cell r="J344">
            <v>239527.55235928996</v>
          </cell>
          <cell r="K344">
            <v>0</v>
          </cell>
          <cell r="L344">
            <v>8154.7999999999993</v>
          </cell>
          <cell r="M344">
            <v>256944.71571199753</v>
          </cell>
          <cell r="N344">
            <v>334028.13042559678</v>
          </cell>
        </row>
        <row r="345">
          <cell r="C345" t="str">
            <v>730.1.2</v>
          </cell>
          <cell r="D345" t="str">
            <v>m</v>
          </cell>
          <cell r="E345" t="str">
            <v>C$33$</v>
          </cell>
          <cell r="F345" t="str">
            <v>='730.1.2'!C$33$</v>
          </cell>
          <cell r="G345" t="str">
            <v>DEFENSA METÁLICA</v>
          </cell>
          <cell r="I345">
            <v>9262.3633527075908</v>
          </cell>
          <cell r="J345">
            <v>227470.65360729562</v>
          </cell>
          <cell r="K345">
            <v>0</v>
          </cell>
          <cell r="L345">
            <v>8154.7999999999993</v>
          </cell>
          <cell r="M345">
            <v>244887.8169600032</v>
          </cell>
          <cell r="N345">
            <v>318354.16204800416</v>
          </cell>
        </row>
        <row r="346">
          <cell r="C346" t="str">
            <v>730.2</v>
          </cell>
          <cell r="D346" t="str">
            <v>u</v>
          </cell>
          <cell r="E346" t="str">
            <v>C$33$</v>
          </cell>
          <cell r="F346" t="str">
            <v>='730.2'!C$33$</v>
          </cell>
          <cell r="G346" t="str">
            <v>SECCIÓN FINAL</v>
          </cell>
          <cell r="I346">
            <v>301.78125</v>
          </cell>
          <cell r="J346">
            <v>61015.286059048478</v>
          </cell>
          <cell r="K346">
            <v>0</v>
          </cell>
          <cell r="L346">
            <v>6035.625</v>
          </cell>
          <cell r="M346">
            <v>67352.692309048478</v>
          </cell>
          <cell r="N346">
            <v>87558.500001763023</v>
          </cell>
        </row>
        <row r="347">
          <cell r="C347" t="str">
            <v>730.3</v>
          </cell>
          <cell r="D347" t="str">
            <v>u</v>
          </cell>
          <cell r="E347" t="str">
            <v>C$33$</v>
          </cell>
          <cell r="F347" t="str">
            <v>='730.3'!C$33$</v>
          </cell>
          <cell r="G347" t="str">
            <v>SECCIÓN DE TOPE</v>
          </cell>
          <cell r="I347">
            <v>49.333333333333329</v>
          </cell>
          <cell r="J347">
            <v>61015.286059048478</v>
          </cell>
          <cell r="K347">
            <v>0</v>
          </cell>
          <cell r="L347">
            <v>4933.333333333333</v>
          </cell>
          <cell r="M347">
            <v>65997.952725715149</v>
          </cell>
          <cell r="N347">
            <v>85797.338543429694</v>
          </cell>
        </row>
        <row r="348">
          <cell r="C348" t="str">
            <v>730.4</v>
          </cell>
          <cell r="D348" t="str">
            <v>u</v>
          </cell>
          <cell r="E348" t="str">
            <v>C$33$</v>
          </cell>
          <cell r="F348" t="str">
            <v>='730.4'!C$33$</v>
          </cell>
          <cell r="G348" t="str">
            <v>ELEMENTO ESPECIAL TIPO AMORTIGUADORES</v>
          </cell>
          <cell r="I348">
            <v>49.333333333333329</v>
          </cell>
          <cell r="J348">
            <v>54874.89851035492</v>
          </cell>
          <cell r="K348">
            <v>0</v>
          </cell>
          <cell r="L348">
            <v>4933.333333333333</v>
          </cell>
          <cell r="M348">
            <v>59857.565177021592</v>
          </cell>
          <cell r="N348">
            <v>77814.834730128074</v>
          </cell>
        </row>
        <row r="349">
          <cell r="C349" t="str">
            <v>731.1</v>
          </cell>
          <cell r="D349" t="str">
            <v>m</v>
          </cell>
          <cell r="E349" t="str">
            <v>C$33$</v>
          </cell>
          <cell r="F349" t="str">
            <v>='731.1'!C$33$</v>
          </cell>
          <cell r="G349" t="str">
            <v>DEFENSA DE CONCRETO</v>
          </cell>
          <cell r="I349">
            <v>44006.196874678331</v>
          </cell>
          <cell r="J349">
            <v>109618.64768729737</v>
          </cell>
          <cell r="K349">
            <v>190.02349196529454</v>
          </cell>
          <cell r="L349">
            <v>33620.666666666664</v>
          </cell>
          <cell r="M349">
            <v>187435.53472060765</v>
          </cell>
          <cell r="N349">
            <v>243666.19513678996</v>
          </cell>
        </row>
        <row r="350">
          <cell r="C350" t="str">
            <v>731.2</v>
          </cell>
          <cell r="D350" t="str">
            <v>m</v>
          </cell>
          <cell r="E350" t="str">
            <v>C$33$</v>
          </cell>
          <cell r="F350" t="str">
            <v>='731.2'!C$33$</v>
          </cell>
          <cell r="G350" t="str">
            <v xml:space="preserve">DEFENSA DE CONCRETO PREFABRICADA </v>
          </cell>
          <cell r="I350">
            <v>7444.210742930677</v>
          </cell>
          <cell r="J350">
            <v>697017.96544448182</v>
          </cell>
          <cell r="K350">
            <v>0</v>
          </cell>
          <cell r="L350">
            <v>22413.777777777777</v>
          </cell>
          <cell r="M350">
            <v>726875.95396519022</v>
          </cell>
          <cell r="N350">
            <v>944938.74015474739</v>
          </cell>
        </row>
        <row r="351">
          <cell r="C351" t="str">
            <v>740.1</v>
          </cell>
          <cell r="D351" t="str">
            <v>u</v>
          </cell>
          <cell r="E351" t="str">
            <v>C$33$</v>
          </cell>
          <cell r="F351" t="str">
            <v>='740.1'!C$33$</v>
          </cell>
          <cell r="G351" t="str">
            <v>CAPTAFARO</v>
          </cell>
          <cell r="I351">
            <v>10.219047619047618</v>
          </cell>
          <cell r="J351">
            <v>10740.344152877045</v>
          </cell>
          <cell r="K351">
            <v>0</v>
          </cell>
          <cell r="L351">
            <v>1021.9047619047618</v>
          </cell>
          <cell r="M351">
            <v>11772.467962400855</v>
          </cell>
          <cell r="N351">
            <v>15304.208351121113</v>
          </cell>
        </row>
        <row r="352">
          <cell r="C352" t="str">
            <v>741.1.1</v>
          </cell>
          <cell r="D352" t="str">
            <v>u</v>
          </cell>
          <cell r="E352" t="str">
            <v>C$33$</v>
          </cell>
          <cell r="F352" t="str">
            <v>='741.1.1'!C$33$</v>
          </cell>
          <cell r="G352" t="str">
            <v xml:space="preserve">DELINEADOR DE CORONA TIPO A  </v>
          </cell>
          <cell r="I352">
            <v>316.69624354788624</v>
          </cell>
          <cell r="J352">
            <v>64463.084214358503</v>
          </cell>
          <cell r="K352">
            <v>0</v>
          </cell>
          <cell r="L352">
            <v>2414.25</v>
          </cell>
          <cell r="M352">
            <v>67194.030457906396</v>
          </cell>
          <cell r="N352">
            <v>87352.239595278312</v>
          </cell>
        </row>
        <row r="353">
          <cell r="C353" t="str">
            <v>741.1.2</v>
          </cell>
          <cell r="D353" t="str">
            <v>u</v>
          </cell>
          <cell r="E353" t="str">
            <v>C$33$</v>
          </cell>
          <cell r="F353" t="str">
            <v>='741.1.2'!C$33$</v>
          </cell>
          <cell r="G353" t="str">
            <v xml:space="preserve">DELINEADOR DE CORONA TIPO CIRCULAR </v>
          </cell>
          <cell r="I353">
            <v>316.69624354788624</v>
          </cell>
          <cell r="J353">
            <v>64463.084214358503</v>
          </cell>
          <cell r="K353">
            <v>0</v>
          </cell>
          <cell r="L353">
            <v>2414.25</v>
          </cell>
          <cell r="M353">
            <v>67194.030457906396</v>
          </cell>
          <cell r="N353">
            <v>87352.239595278312</v>
          </cell>
        </row>
        <row r="354">
          <cell r="C354" t="str">
            <v>800.1</v>
          </cell>
          <cell r="D354" t="str">
            <v>m</v>
          </cell>
          <cell r="E354" t="str">
            <v>C$33$</v>
          </cell>
          <cell r="F354" t="str">
            <v>='800.1'!C$33$</v>
          </cell>
          <cell r="G354" t="str">
            <v>CERCA DE ALAMBRE DE PÚAS CON POSTES DE MADERA</v>
          </cell>
          <cell r="I354">
            <v>584.26758921780106</v>
          </cell>
          <cell r="J354">
            <v>9481.4165665177406</v>
          </cell>
          <cell r="K354">
            <v>0</v>
          </cell>
          <cell r="L354">
            <v>953.77777777777771</v>
          </cell>
          <cell r="M354">
            <v>11019.461933513319</v>
          </cell>
          <cell r="N354">
            <v>14325.300513567316</v>
          </cell>
        </row>
        <row r="355">
          <cell r="C355" t="str">
            <v>800.2</v>
          </cell>
          <cell r="D355" t="str">
            <v>m</v>
          </cell>
          <cell r="E355" t="str">
            <v>C$33$</v>
          </cell>
          <cell r="F355" t="str">
            <v>='800.2'!C$33$</v>
          </cell>
          <cell r="G355" t="str">
            <v>CERCA DE ALAMBRE DE PÚAS CON POSTES DE CONCRETO</v>
          </cell>
          <cell r="I355">
            <v>584.26758921780106</v>
          </cell>
          <cell r="J355">
            <v>28546.507575713727</v>
          </cell>
          <cell r="K355">
            <v>0</v>
          </cell>
          <cell r="L355">
            <v>953.77777777777771</v>
          </cell>
          <cell r="M355">
            <v>30084.552942709306</v>
          </cell>
          <cell r="N355">
            <v>39109.918825522094</v>
          </cell>
        </row>
        <row r="356">
          <cell r="C356" t="str">
            <v>800.3</v>
          </cell>
          <cell r="D356" t="str">
            <v>m</v>
          </cell>
          <cell r="E356" t="str">
            <v>C$33$</v>
          </cell>
          <cell r="F356" t="str">
            <v>='800.3'!C$33$</v>
          </cell>
          <cell r="G356" t="str">
            <v xml:space="preserve">CERCA DE MALLA CON POSTES DE MADERA </v>
          </cell>
          <cell r="I356">
            <v>1278.6678462493112</v>
          </cell>
          <cell r="J356">
            <v>36554.22349168986</v>
          </cell>
          <cell r="K356">
            <v>0</v>
          </cell>
          <cell r="L356">
            <v>3528.9777777777772</v>
          </cell>
          <cell r="M356">
            <v>41361.869115716952</v>
          </cell>
          <cell r="N356">
            <v>53770.42985043204</v>
          </cell>
        </row>
        <row r="357">
          <cell r="C357" t="str">
            <v>800.4</v>
          </cell>
          <cell r="D357" t="str">
            <v>m</v>
          </cell>
          <cell r="E357" t="str">
            <v>C$33$</v>
          </cell>
          <cell r="F357" t="str">
            <v>='800.4'!C$33$</v>
          </cell>
          <cell r="G357" t="str">
            <v xml:space="preserve">CERCA DE MALLA CON POSTES DE CONCRETO	</v>
          </cell>
          <cell r="I357">
            <v>1278.6678462493112</v>
          </cell>
          <cell r="J357">
            <v>55214.986538601224</v>
          </cell>
          <cell r="K357">
            <v>0</v>
          </cell>
          <cell r="L357">
            <v>3528.9777777777772</v>
          </cell>
          <cell r="M357">
            <v>60022.632162628317</v>
          </cell>
          <cell r="N357">
            <v>78029.421811416818</v>
          </cell>
        </row>
        <row r="358">
          <cell r="C358" t="str">
            <v>802.1</v>
          </cell>
          <cell r="D358" t="str">
            <v>u</v>
          </cell>
          <cell r="E358" t="str">
            <v>C$33$</v>
          </cell>
          <cell r="F358" t="str">
            <v>='802.1'!C$33$</v>
          </cell>
          <cell r="G358" t="str">
            <v>PODA DE LA PARTE AEREA DE ARBOLES TIPO I</v>
          </cell>
          <cell r="I358">
            <v>246081.43848785842</v>
          </cell>
          <cell r="J358">
            <v>41618.833592398529</v>
          </cell>
          <cell r="K358">
            <v>1078.6696376627729</v>
          </cell>
          <cell r="L358">
            <v>56034.444444444438</v>
          </cell>
          <cell r="M358">
            <v>344813.38616236416</v>
          </cell>
          <cell r="N358">
            <v>448257.40201107343</v>
          </cell>
        </row>
        <row r="359">
          <cell r="C359" t="str">
            <v>802.2</v>
          </cell>
          <cell r="D359" t="str">
            <v>u</v>
          </cell>
          <cell r="E359" t="str">
            <v>C$33$</v>
          </cell>
          <cell r="F359" t="str">
            <v>='802.2'!C$33$</v>
          </cell>
          <cell r="G359" t="str">
            <v>PODA DE LA PARTE AÉREA DE ARBOLES TIPO II</v>
          </cell>
          <cell r="I359">
            <v>8405.1666666666661</v>
          </cell>
          <cell r="J359">
            <v>41618.833592398529</v>
          </cell>
          <cell r="K359">
            <v>1078.6696376627729</v>
          </cell>
          <cell r="L359">
            <v>42025.833333333328</v>
          </cell>
          <cell r="M359">
            <v>93128.503230061295</v>
          </cell>
          <cell r="N359">
            <v>121067.05419907969</v>
          </cell>
        </row>
        <row r="360">
          <cell r="C360" t="str">
            <v>802.3</v>
          </cell>
          <cell r="D360" t="str">
            <v>u</v>
          </cell>
          <cell r="E360" t="str">
            <v>C$33$</v>
          </cell>
          <cell r="F360" t="str">
            <v>='802.3'!C$33$</v>
          </cell>
          <cell r="G360" t="str">
            <v>PODA DE LA PARTE AÉREA DE ARBOLES TIPO III</v>
          </cell>
          <cell r="I360">
            <v>3308.4166666666665</v>
          </cell>
          <cell r="J360">
            <v>41618.833592398529</v>
          </cell>
          <cell r="K360">
            <v>1078.6696376627729</v>
          </cell>
          <cell r="L360">
            <v>22056.111111111109</v>
          </cell>
          <cell r="M360">
            <v>68062.031007839076</v>
          </cell>
          <cell r="N360">
            <v>88480.640310190793</v>
          </cell>
        </row>
        <row r="361">
          <cell r="C361" t="str">
            <v>802.4</v>
          </cell>
          <cell r="D361" t="str">
            <v>u</v>
          </cell>
          <cell r="E361" t="str">
            <v>C$33$</v>
          </cell>
          <cell r="F361" t="str">
            <v>='802.4'!C$33$</v>
          </cell>
          <cell r="G361" t="str">
            <v>PODA DE LA PARTE AEREA DE ARBOLES TIPO IV</v>
          </cell>
          <cell r="I361">
            <v>2481.3124999999995</v>
          </cell>
          <cell r="J361">
            <v>41618.833592398529</v>
          </cell>
          <cell r="K361">
            <v>1078.6696376627729</v>
          </cell>
          <cell r="L361">
            <v>16542.083333333332</v>
          </cell>
          <cell r="M361">
            <v>61720.899063394638</v>
          </cell>
          <cell r="N361">
            <v>80237.168782413035</v>
          </cell>
        </row>
        <row r="362">
          <cell r="C362" t="str">
            <v>802.5</v>
          </cell>
          <cell r="D362" t="str">
            <v>u</v>
          </cell>
          <cell r="E362" t="str">
            <v>C$33$</v>
          </cell>
          <cell r="F362" t="str">
            <v>='802.5'!C$33$</v>
          </cell>
          <cell r="G362" t="str">
            <v>PODA DE LA PARTE RADICULAR DE ARBOLES TIPO I</v>
          </cell>
          <cell r="I362">
            <v>14126.330532212887</v>
          </cell>
          <cell r="J362">
            <v>178920.70815674041</v>
          </cell>
          <cell r="K362">
            <v>0</v>
          </cell>
          <cell r="L362">
            <v>94175.536881419248</v>
          </cell>
          <cell r="M362">
            <v>287222.57557037252</v>
          </cell>
          <cell r="N362">
            <v>373389.34824148426</v>
          </cell>
        </row>
        <row r="363">
          <cell r="C363" t="str">
            <v>802.6</v>
          </cell>
          <cell r="D363" t="str">
            <v>u</v>
          </cell>
          <cell r="E363" t="str">
            <v>C$33$</v>
          </cell>
          <cell r="F363" t="str">
            <v>='802.6'!C$33$</v>
          </cell>
          <cell r="G363" t="str">
            <v>PODA DE LA PARTE RADICULAR DE ARBOLES TIPO II</v>
          </cell>
          <cell r="I363">
            <v>14126.330532212887</v>
          </cell>
          <cell r="J363">
            <v>172382.5236536765</v>
          </cell>
          <cell r="K363">
            <v>0</v>
          </cell>
          <cell r="L363">
            <v>94175.536881419248</v>
          </cell>
          <cell r="M363">
            <v>280684.39106730861</v>
          </cell>
          <cell r="N363">
            <v>364889.70838750119</v>
          </cell>
        </row>
        <row r="364">
          <cell r="C364" t="str">
            <v>802.7</v>
          </cell>
          <cell r="D364" t="str">
            <v>u</v>
          </cell>
          <cell r="E364" t="str">
            <v>C$33$</v>
          </cell>
          <cell r="F364" t="str">
            <v>='802.7'!C$33$</v>
          </cell>
          <cell r="G364" t="str">
            <v>PODA DE LA PARTE RADICULAR DE ARBOLES TIPO III</v>
          </cell>
          <cell r="I364">
            <v>5898.3625730994145</v>
          </cell>
          <cell r="J364">
            <v>127269.05058253561</v>
          </cell>
          <cell r="K364">
            <v>0</v>
          </cell>
          <cell r="L364">
            <v>58983.625730994143</v>
          </cell>
          <cell r="M364">
            <v>192151.03888662916</v>
          </cell>
          <cell r="N364">
            <v>249796.35055261792</v>
          </cell>
        </row>
        <row r="365">
          <cell r="C365" t="str">
            <v>802.8</v>
          </cell>
          <cell r="D365" t="str">
            <v>u</v>
          </cell>
          <cell r="E365" t="str">
            <v>C$33$</v>
          </cell>
          <cell r="F365" t="str">
            <v>='802.8'!C$33$</v>
          </cell>
          <cell r="G365" t="str">
            <v>PODA DE LA PARTE RADICULAR DE ARBOLES TIPO  IV</v>
          </cell>
          <cell r="I365">
            <v>4944.2156862745105</v>
          </cell>
          <cell r="J365">
            <v>113538.86312610142</v>
          </cell>
          <cell r="K365">
            <v>0</v>
          </cell>
          <cell r="L365">
            <v>49442.156862745098</v>
          </cell>
          <cell r="M365">
            <v>167925.23567512102</v>
          </cell>
          <cell r="N365">
            <v>218302.80637765734</v>
          </cell>
        </row>
        <row r="366">
          <cell r="C366" t="str">
            <v>810.1</v>
          </cell>
          <cell r="D366" t="str">
            <v>m2</v>
          </cell>
          <cell r="E366" t="str">
            <v>C$33$</v>
          </cell>
          <cell r="F366" t="str">
            <v>='810.1'!C$33$</v>
          </cell>
          <cell r="G366" t="str">
            <v>PROTECCIÓN DE TALUDES CON BLOQUES DE CÉSPED</v>
          </cell>
          <cell r="I366">
            <v>336.20666666666671</v>
          </cell>
          <cell r="J366">
            <v>22526.912422360056</v>
          </cell>
          <cell r="K366">
            <v>0</v>
          </cell>
          <cell r="L366">
            <v>3362.0666666666666</v>
          </cell>
          <cell r="M366">
            <v>26225.185755693386</v>
          </cell>
          <cell r="N366">
            <v>34092.741482401405</v>
          </cell>
        </row>
        <row r="367">
          <cell r="C367" t="str">
            <v>810.2</v>
          </cell>
          <cell r="D367" t="str">
            <v>m2</v>
          </cell>
          <cell r="E367" t="str">
            <v>C$33$</v>
          </cell>
          <cell r="F367" t="str">
            <v>='810.2'!C$33$</v>
          </cell>
          <cell r="G367" t="str">
            <v>PROTECCIÓN DE TALUDES CON TIERRA ORGÁNICA</v>
          </cell>
          <cell r="I367">
            <v>143.06666666666666</v>
          </cell>
          <cell r="J367">
            <v>17134.12108379358</v>
          </cell>
          <cell r="K367">
            <v>0</v>
          </cell>
          <cell r="L367">
            <v>1430.6666666666665</v>
          </cell>
          <cell r="M367">
            <v>18707.854417126913</v>
          </cell>
          <cell r="N367">
            <v>24320.210742264986</v>
          </cell>
        </row>
        <row r="368">
          <cell r="C368" t="str">
            <v>810.3</v>
          </cell>
          <cell r="D368" t="str">
            <v>m2</v>
          </cell>
          <cell r="E368" t="str">
            <v>C$33$</v>
          </cell>
          <cell r="F368" t="str">
            <v>='810.3'!C$33$</v>
          </cell>
          <cell r="G368" t="str">
            <v>PROTECCIÓN DE TALUDES CON HIDROSIEMBRA CONTROLADA</v>
          </cell>
          <cell r="I368">
            <v>223.10640544299241</v>
          </cell>
          <cell r="J368">
            <v>13787.832608662829</v>
          </cell>
          <cell r="K368">
            <v>0</v>
          </cell>
          <cell r="L368">
            <v>120.07380952380952</v>
          </cell>
          <cell r="M368">
            <v>14131.012823629631</v>
          </cell>
          <cell r="N368">
            <v>18370.316670718523</v>
          </cell>
        </row>
        <row r="369">
          <cell r="C369" t="str">
            <v>811.1</v>
          </cell>
          <cell r="D369" t="str">
            <v>m2</v>
          </cell>
          <cell r="E369" t="str">
            <v>C$33$</v>
          </cell>
          <cell r="F369" t="str">
            <v>='811.1'!C$33$</v>
          </cell>
          <cell r="G369" t="str">
            <v xml:space="preserve">PROTECCIÓN DE TALUDES CON PRODUCTO ENROLLADO PARA CONTROL DE EROSIÓN DE TIPO MANTO PERMANENTE  </v>
          </cell>
          <cell r="I369">
            <v>39.471741537624389</v>
          </cell>
          <cell r="J369">
            <v>41463.487665055705</v>
          </cell>
          <cell r="K369">
            <v>0</v>
          </cell>
          <cell r="L369">
            <v>3362.0666666666666</v>
          </cell>
          <cell r="M369">
            <v>44865.026073259993</v>
          </cell>
          <cell r="N369">
            <v>58324.533895237997</v>
          </cell>
        </row>
        <row r="370">
          <cell r="C370" t="str">
            <v>811.2</v>
          </cell>
          <cell r="D370" t="str">
            <v>m2</v>
          </cell>
          <cell r="E370" t="str">
            <v>C$33$</v>
          </cell>
          <cell r="F370" t="str">
            <v>='811.2'!C$33$</v>
          </cell>
          <cell r="G370" t="str">
            <v>PROTECCION DE TALUDES CON PRODUCTO ENROLLADO PARA CONTROL DE EROSION DE TIPO MANTO TEMPORAL</v>
          </cell>
          <cell r="I370">
            <v>39.471741537624389</v>
          </cell>
          <cell r="J370">
            <v>34307.488863257182</v>
          </cell>
          <cell r="K370">
            <v>0</v>
          </cell>
          <cell r="L370">
            <v>3362.0666666666666</v>
          </cell>
          <cell r="M370">
            <v>37709.027271461469</v>
          </cell>
          <cell r="N370">
            <v>49021.735452899913</v>
          </cell>
        </row>
        <row r="371">
          <cell r="C371" t="str">
            <v>812.1</v>
          </cell>
          <cell r="D371" t="str">
            <v>m2</v>
          </cell>
          <cell r="E371" t="str">
            <v>C$33$</v>
          </cell>
          <cell r="F371" t="str">
            <v>='812.1'!C$33$</v>
          </cell>
          <cell r="G371" t="str">
            <v>RECUBRIMIENTO DE TALUDES CON MALLA Y MORTERO 1:4 de e= 10 cm</v>
          </cell>
          <cell r="I371">
            <v>461.89028219716704</v>
          </cell>
          <cell r="J371">
            <v>67117.323189343981</v>
          </cell>
          <cell r="K371">
            <v>0</v>
          </cell>
          <cell r="L371">
            <v>509.67499999999995</v>
          </cell>
          <cell r="M371">
            <v>68088.888471541155</v>
          </cell>
          <cell r="N371">
            <v>88515.555013003497</v>
          </cell>
        </row>
        <row r="372">
          <cell r="C372" t="str">
            <v>812.2</v>
          </cell>
          <cell r="D372" t="str">
            <v>m2</v>
          </cell>
          <cell r="E372" t="str">
            <v>C$33$</v>
          </cell>
          <cell r="F372" t="str">
            <v>='812.2'!C$33$</v>
          </cell>
          <cell r="G372" t="str">
            <v>RECUBRIMIENTO DE TALUDES CON MALLA Y MORTERO 1:4 de e= 15cm</v>
          </cell>
          <cell r="I372">
            <v>1325.678910853818</v>
          </cell>
          <cell r="J372">
            <v>95749.04624313525</v>
          </cell>
          <cell r="K372">
            <v>0</v>
          </cell>
          <cell r="L372">
            <v>764.9906191369605</v>
          </cell>
          <cell r="M372">
            <v>97839.715773126038</v>
          </cell>
          <cell r="N372">
            <v>127191.63050506386</v>
          </cell>
        </row>
        <row r="373">
          <cell r="C373" t="str">
            <v>820.1.1</v>
          </cell>
          <cell r="D373" t="str">
            <v>u</v>
          </cell>
          <cell r="E373" t="str">
            <v>C$33$</v>
          </cell>
          <cell r="F373" t="str">
            <v>='820.1.1'!C$33$</v>
          </cell>
          <cell r="G373" t="str">
            <v>PLANTACIÓN DE ÁRBOLES TIPO PAISAJÍSTICO</v>
          </cell>
          <cell r="I373">
            <v>357.66666666666669</v>
          </cell>
          <cell r="J373">
            <v>81486.531718590864</v>
          </cell>
          <cell r="K373">
            <v>0</v>
          </cell>
          <cell r="L373">
            <v>7153.333333333333</v>
          </cell>
          <cell r="M373">
            <v>88997.531718590864</v>
          </cell>
          <cell r="N373">
            <v>115696.79123416814</v>
          </cell>
        </row>
        <row r="374">
          <cell r="C374" t="str">
            <v>820.1.2</v>
          </cell>
          <cell r="D374" t="str">
            <v>ha</v>
          </cell>
          <cell r="E374" t="str">
            <v>C$33$</v>
          </cell>
          <cell r="F374" t="str">
            <v>='820.1.2'!C$33$</v>
          </cell>
          <cell r="G374" t="str">
            <v>PLANTACIÓN DE ÁRBOLES (REFORESTACIÓN PROTECTORA DENSIDAD 1100)</v>
          </cell>
          <cell r="I374">
            <v>357666.66666666669</v>
          </cell>
          <cell r="J374">
            <v>22151959.815308899</v>
          </cell>
          <cell r="K374">
            <v>0</v>
          </cell>
          <cell r="L374">
            <v>2384444.4444444445</v>
          </cell>
          <cell r="M374">
            <v>24894070.926420011</v>
          </cell>
          <cell r="N374">
            <v>32362292.204346016</v>
          </cell>
        </row>
        <row r="375">
          <cell r="C375" t="str">
            <v>900.1</v>
          </cell>
          <cell r="D375" t="str">
            <v>m3/E</v>
          </cell>
          <cell r="E375" t="str">
            <v>C$33$</v>
          </cell>
          <cell r="F375" t="str">
            <v>='900.1'!C$33$</v>
          </cell>
          <cell r="G375" t="str">
            <v>TRANSPORTE DE MATERIALES PROVENIENTES DE LA EXCAVACION DE LA EXPLANACION, CANALES Y PRESTAMOS, ENTRE CIEN METROS (100 m) Y MIL METROS (1000 m) DE DISTANCIA</v>
          </cell>
          <cell r="I375">
            <v>1329.1330571064464</v>
          </cell>
          <cell r="J375">
            <v>0</v>
          </cell>
          <cell r="K375">
            <v>0</v>
          </cell>
          <cell r="L375">
            <v>0</v>
          </cell>
          <cell r="M375">
            <v>1329.1330571064464</v>
          </cell>
          <cell r="N375">
            <v>1727.8729742383803</v>
          </cell>
        </row>
        <row r="376">
          <cell r="C376" t="str">
            <v>900.2.1</v>
          </cell>
          <cell r="D376" t="str">
            <v>m3/km</v>
          </cell>
          <cell r="E376" t="str">
            <v>C$33$</v>
          </cell>
          <cell r="F376" t="str">
            <v>='900.2.1'!C$33$</v>
          </cell>
          <cell r="G376" t="str">
            <v>TRANSPORTE DE MATERIALES PROVENIENTES DE LA EXCAVACIÓN DE LA EXPLANACIÓN, CANALES Y PRÉSTAMOS PARA DISTANCIAS MAYORES DE MIL METROS (1.000 m) MEDIDOS A PARTIR DE CIEN METROS (100 m)</v>
          </cell>
          <cell r="I376">
            <v>1895.5632309798473</v>
          </cell>
          <cell r="J376">
            <v>0</v>
          </cell>
          <cell r="K376">
            <v>0</v>
          </cell>
          <cell r="L376">
            <v>0</v>
          </cell>
          <cell r="M376">
            <v>1895.5632309798473</v>
          </cell>
          <cell r="N376">
            <v>2464.2322002738015</v>
          </cell>
        </row>
        <row r="377">
          <cell r="C377" t="str">
            <v>900.2.2</v>
          </cell>
          <cell r="D377" t="str">
            <v>m3/km</v>
          </cell>
          <cell r="E377" t="str">
            <v>C$33$</v>
          </cell>
          <cell r="F377" t="str">
            <v>='900.2.2'!C$33$</v>
          </cell>
          <cell r="G377" t="str">
            <v>TRANSPORTE DE MATERIALES PROVENIENTES DE LA EXCAVACIÓN DE LA EXPLANACIÓN, CANALES Y PRÉSTAMOS PARA DISTANCIAS MAYORES DE MIL METROS (1.000 m) MEDIDOS A PARTIR DE CIEN METROS (100 m)</v>
          </cell>
          <cell r="I377">
            <v>0</v>
          </cell>
          <cell r="J377">
            <v>0</v>
          </cell>
          <cell r="K377">
            <v>1136.1549951622753</v>
          </cell>
          <cell r="L377">
            <v>0</v>
          </cell>
          <cell r="M377">
            <v>1136.1549951622753</v>
          </cell>
          <cell r="N377">
            <v>1477.0014937109581</v>
          </cell>
        </row>
        <row r="378">
          <cell r="C378" t="str">
            <v>900.3.1</v>
          </cell>
          <cell r="D378" t="str">
            <v>m3/km</v>
          </cell>
          <cell r="E378" t="str">
            <v>C$33$</v>
          </cell>
          <cell r="F378" t="str">
            <v>='900.3.1'!C$33$</v>
          </cell>
          <cell r="G378" t="str">
            <v>TRANSPORTE DE MATERIALES PROVENIENTES DE DERRUMBES, MEDIDO A PARTIR DE CIEN METROS (100 m)-TRANSPORTE CON VOLQUETA DE 6m3</v>
          </cell>
          <cell r="I378">
            <v>2909.7237196114102</v>
          </cell>
          <cell r="J378">
            <v>0</v>
          </cell>
          <cell r="K378">
            <v>0</v>
          </cell>
          <cell r="L378">
            <v>0</v>
          </cell>
          <cell r="M378">
            <v>2909.7237196114102</v>
          </cell>
          <cell r="N378">
            <v>3782.6408354948335</v>
          </cell>
        </row>
        <row r="379">
          <cell r="C379" t="str">
            <v>900.3.2</v>
          </cell>
          <cell r="D379" t="str">
            <v>m3/km</v>
          </cell>
          <cell r="E379" t="str">
            <v>C$33$</v>
          </cell>
          <cell r="F379" t="str">
            <v>='900.3.2'!C$33$</v>
          </cell>
          <cell r="G379" t="str">
            <v>TRANSPORTE DE MATERIALES PROVENIENTES DE DERRUMBES, MEDIDO A PARTIR DE CIEN METROS (100 m) - TRANSPORTE CON VOLQUETA DE 15m3</v>
          </cell>
          <cell r="I379">
            <v>1895.5632309798473</v>
          </cell>
          <cell r="J379">
            <v>0</v>
          </cell>
          <cell r="K379">
            <v>0</v>
          </cell>
          <cell r="L379">
            <v>0</v>
          </cell>
          <cell r="M379">
            <v>1895.5632309798473</v>
          </cell>
          <cell r="N379">
            <v>2464.2322002738015</v>
          </cell>
        </row>
        <row r="380">
          <cell r="C380" t="str">
            <v>900.3.3</v>
          </cell>
          <cell r="D380" t="str">
            <v>m3/km</v>
          </cell>
          <cell r="E380" t="str">
            <v>C$33$</v>
          </cell>
          <cell r="F380" t="str">
            <v>='900.3.3'!C$33$</v>
          </cell>
          <cell r="G380" t="str">
            <v xml:space="preserve">TRANSPORTE DE MATERIALES PROVENIENTES DE DERRUMBES, MEDIDO A PARTIR DE CIEN METROS (100 m) </v>
          </cell>
          <cell r="I380">
            <v>0</v>
          </cell>
          <cell r="J380">
            <v>0</v>
          </cell>
          <cell r="K380">
            <v>1136.1549951622753</v>
          </cell>
          <cell r="L380">
            <v>0</v>
          </cell>
          <cell r="M380">
            <v>1136.1549951622753</v>
          </cell>
          <cell r="N380">
            <v>1477.0014937109581</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FF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FF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oleObject" Target="../embeddings/oleObject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image" Target="../media/image2.emf"/><Relationship Id="rId4" Type="http://schemas.openxmlformats.org/officeDocument/2006/relationships/oleObject" Target="../embeddings/oleObject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mailto:amvantioquia02@gmail.com" TargetMode="Externa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printerSettings" Target="../printerSettings/printerSettings28.bin"/><Relationship Id="rId1" Type="http://schemas.openxmlformats.org/officeDocument/2006/relationships/hyperlink" Target="mailto:amvantioquia02@gmail.com" TargetMode="External"/></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0.xml"/><Relationship Id="rId1" Type="http://schemas.openxmlformats.org/officeDocument/2006/relationships/printerSettings" Target="../printerSettings/printerSettings34.bin"/><Relationship Id="rId6" Type="http://schemas.openxmlformats.org/officeDocument/2006/relationships/oleObject" Target="../embeddings/oleObject4.bin"/><Relationship Id="rId5" Type="http://schemas.openxmlformats.org/officeDocument/2006/relationships/image" Target="../media/image119.emf"/><Relationship Id="rId4" Type="http://schemas.openxmlformats.org/officeDocument/2006/relationships/oleObject" Target="../embeddings/oleObject3.bin"/></Relationships>
</file>

<file path=xl/worksheets/_rels/sheet3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21.xml"/><Relationship Id="rId1" Type="http://schemas.openxmlformats.org/officeDocument/2006/relationships/printerSettings" Target="../printerSettings/printerSettings35.bin"/><Relationship Id="rId5" Type="http://schemas.openxmlformats.org/officeDocument/2006/relationships/image" Target="../media/image119.emf"/><Relationship Id="rId4" Type="http://schemas.openxmlformats.org/officeDocument/2006/relationships/oleObject" Target="../embeddings/oleObject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42"/>
  <sheetViews>
    <sheetView tabSelected="1" topLeftCell="A22" workbookViewId="0">
      <selection activeCell="A36" sqref="A36"/>
    </sheetView>
  </sheetViews>
  <sheetFormatPr defaultColWidth="11.42578125" defaultRowHeight="12.75"/>
  <sheetData>
    <row r="1" spans="1:7" ht="21" customHeight="1">
      <c r="C1" s="1222" t="s">
        <v>0</v>
      </c>
      <c r="D1" s="1222"/>
      <c r="E1" s="1222"/>
    </row>
    <row r="2" spans="1:7" ht="23.25">
      <c r="A2" s="191"/>
      <c r="B2" s="191"/>
      <c r="C2" s="191"/>
      <c r="D2" s="191"/>
      <c r="E2" s="191"/>
      <c r="F2" s="191"/>
      <c r="G2" s="191"/>
    </row>
    <row r="3" spans="1:7" ht="23.25">
      <c r="A3" s="1230" t="s">
        <v>1</v>
      </c>
      <c r="B3" s="1230"/>
      <c r="C3" s="1230"/>
      <c r="D3" s="1230"/>
      <c r="E3" s="1230"/>
      <c r="F3" s="1230"/>
      <c r="G3" s="1230"/>
    </row>
    <row r="4" spans="1:7" ht="22.9" customHeight="1">
      <c r="A4" s="1224" t="s">
        <v>2</v>
      </c>
      <c r="B4" s="1224"/>
      <c r="C4" s="1224"/>
      <c r="D4" s="1224"/>
      <c r="E4" s="1224"/>
      <c r="F4" s="1224"/>
      <c r="G4" s="1224"/>
    </row>
    <row r="6" spans="1:7">
      <c r="A6" s="92"/>
      <c r="B6" s="92"/>
      <c r="C6" s="92"/>
      <c r="D6" s="92"/>
      <c r="E6" s="92"/>
      <c r="F6" s="92"/>
      <c r="G6" s="92"/>
    </row>
    <row r="14" spans="1:7" ht="20.25">
      <c r="A14" s="1221" t="s">
        <v>3</v>
      </c>
      <c r="B14" s="1221"/>
      <c r="C14" s="1221"/>
      <c r="D14" s="1221"/>
      <c r="E14" s="1221"/>
      <c r="F14" s="1221"/>
      <c r="G14" s="1221"/>
    </row>
    <row r="15" spans="1:7" ht="20.25">
      <c r="A15" s="1221" t="s">
        <v>4</v>
      </c>
      <c r="B15" s="1221"/>
      <c r="C15" s="1221"/>
      <c r="D15" s="1221"/>
      <c r="E15" s="1221"/>
      <c r="F15" s="1221"/>
      <c r="G15" s="1221"/>
    </row>
    <row r="16" spans="1:7" ht="15.75">
      <c r="A16" s="1222" t="s">
        <v>5</v>
      </c>
      <c r="B16" s="1222"/>
      <c r="C16" s="1222"/>
      <c r="D16" s="1222"/>
      <c r="E16" s="1222"/>
      <c r="F16" s="1222"/>
      <c r="G16" s="1222"/>
    </row>
    <row r="17" spans="1:10" ht="20.25">
      <c r="A17" s="1221" t="s">
        <v>6</v>
      </c>
      <c r="B17" s="1221"/>
      <c r="C17" s="1221"/>
      <c r="D17" s="1221"/>
      <c r="E17" s="1221"/>
      <c r="F17" s="1221"/>
      <c r="G17" s="1221"/>
      <c r="J17" s="93"/>
    </row>
    <row r="18" spans="1:10" ht="20.25">
      <c r="A18" s="1221" t="s">
        <v>7</v>
      </c>
      <c r="B18" s="1221"/>
      <c r="C18" s="1221"/>
      <c r="D18" s="1221"/>
      <c r="E18" s="1221"/>
      <c r="F18" s="1221"/>
      <c r="G18" s="1221"/>
    </row>
    <row r="21" spans="1:10" ht="15.75">
      <c r="A21" s="1222"/>
      <c r="B21" s="1222"/>
      <c r="C21" s="1222"/>
      <c r="D21" s="1222"/>
      <c r="E21" s="1222"/>
      <c r="F21" s="1222"/>
      <c r="G21" s="1222"/>
    </row>
    <row r="22" spans="1:10" ht="18">
      <c r="A22" s="1225" t="s">
        <v>8</v>
      </c>
      <c r="B22" s="1225"/>
      <c r="C22" s="1225"/>
      <c r="D22" s="1225"/>
      <c r="E22" s="1225"/>
      <c r="F22" s="1225"/>
      <c r="G22" s="1225"/>
      <c r="H22" s="409"/>
    </row>
    <row r="23" spans="1:10" ht="20.25">
      <c r="A23" s="1221" t="s">
        <v>9</v>
      </c>
      <c r="B23" s="1221"/>
      <c r="C23" s="1221"/>
      <c r="D23" s="1221"/>
      <c r="E23" s="1221"/>
      <c r="F23" s="1221"/>
      <c r="G23" s="1221"/>
      <c r="H23" s="1"/>
    </row>
    <row r="24" spans="1:10" ht="20.25">
      <c r="A24" s="1221" t="s">
        <v>10</v>
      </c>
      <c r="B24" s="1221"/>
      <c r="C24" s="1221"/>
      <c r="D24" s="1221"/>
      <c r="E24" s="1221"/>
      <c r="F24" s="1221"/>
      <c r="G24" s="1221"/>
      <c r="H24" s="1"/>
    </row>
    <row r="25" spans="1:10" ht="20.25">
      <c r="A25" s="1221"/>
      <c r="B25" s="1221"/>
      <c r="C25" s="1221"/>
      <c r="D25" s="1221"/>
      <c r="E25" s="1221"/>
      <c r="F25" s="1221"/>
      <c r="G25" s="1221"/>
      <c r="H25" s="1"/>
    </row>
    <row r="26" spans="1:10" ht="20.25">
      <c r="A26" s="1221"/>
      <c r="B26" s="1221"/>
      <c r="C26" s="1221"/>
      <c r="D26" s="1221"/>
      <c r="E26" s="1221"/>
      <c r="F26" s="1221"/>
      <c r="G26" s="1221"/>
      <c r="H26" s="1"/>
    </row>
    <row r="33" spans="1:8" ht="15.75">
      <c r="A33" s="1222" t="s">
        <v>11</v>
      </c>
      <c r="B33" s="1222"/>
      <c r="C33" s="1222"/>
      <c r="D33" s="1222"/>
      <c r="E33" s="1222"/>
      <c r="F33" s="1222"/>
      <c r="G33" s="1222"/>
    </row>
    <row r="35" spans="1:8" ht="20.25">
      <c r="A35" s="1224" t="s">
        <v>12</v>
      </c>
      <c r="B35" s="1224"/>
      <c r="C35" s="1224"/>
      <c r="D35" s="1224"/>
      <c r="E35" s="1224"/>
      <c r="F35" s="1224"/>
      <c r="G35" s="1224"/>
      <c r="H35" s="410"/>
    </row>
    <row r="42" spans="1:8" ht="33.75">
      <c r="A42" s="1223" t="s">
        <v>13</v>
      </c>
      <c r="B42" s="1223"/>
      <c r="C42" s="1223"/>
      <c r="D42" s="1223"/>
      <c r="E42" s="1223"/>
      <c r="F42" s="1223"/>
      <c r="G42" s="1223"/>
    </row>
  </sheetData>
  <mergeCells count="17">
    <mergeCell ref="A23:G23"/>
    <mergeCell ref="A24:G24"/>
    <mergeCell ref="A25:G25"/>
    <mergeCell ref="C1:E1"/>
    <mergeCell ref="A42:G42"/>
    <mergeCell ref="A3:G3"/>
    <mergeCell ref="A14:G14"/>
    <mergeCell ref="A15:G15"/>
    <mergeCell ref="A18:G18"/>
    <mergeCell ref="A4:G4"/>
    <mergeCell ref="A21:G21"/>
    <mergeCell ref="A33:G33"/>
    <mergeCell ref="A17:G17"/>
    <mergeCell ref="A16:G16"/>
    <mergeCell ref="A26:G26"/>
    <mergeCell ref="A35:G35"/>
    <mergeCell ref="A22:G22"/>
  </mergeCells>
  <phoneticPr fontId="5" type="noConversion"/>
  <printOptions horizontalCentered="1"/>
  <pageMargins left="1.05" right="0.75" top="0.62992125984251968" bottom="1" header="0.25" footer="0"/>
  <pageSetup orientation="portrait" horizontalDpi="300" verticalDpi="300" r:id="rId1"/>
  <headerFooter alignWithMargins="0"/>
  <drawing r:id="rId2"/>
  <legacyDrawing r:id="rId3"/>
  <oleObjects>
    <mc:AlternateContent xmlns:mc="http://schemas.openxmlformats.org/markup-compatibility/2006">
      <mc:Choice Requires="x14">
        <oleObject progId="Word.Document.6" shapeId="25601" r:id="rId4">
          <objectPr defaultSize="0" autoLine="0" r:id="rId5">
            <anchor moveWithCells="1">
              <from>
                <xdr:col>0</xdr:col>
                <xdr:colOff>0</xdr:colOff>
                <xdr:row>0</xdr:row>
                <xdr:rowOff>0</xdr:rowOff>
              </from>
              <to>
                <xdr:col>1</xdr:col>
                <xdr:colOff>123825</xdr:colOff>
                <xdr:row>2</xdr:row>
                <xdr:rowOff>180975</xdr:rowOff>
              </to>
            </anchor>
          </objectPr>
        </oleObject>
      </mc:Choice>
      <mc:Fallback>
        <oleObject progId="Word.Document.6" shapeId="25601" r:id="rId4"/>
      </mc:Fallback>
    </mc:AlternateContent>
  </oleObjec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O41"/>
  <sheetViews>
    <sheetView workbookViewId="0">
      <selection activeCell="B33" sqref="B33"/>
    </sheetView>
  </sheetViews>
  <sheetFormatPr defaultColWidth="11.42578125" defaultRowHeight="12.75"/>
  <cols>
    <col min="1" max="1" width="25.28515625" bestFit="1" customWidth="1"/>
    <col min="2" max="2" width="73" customWidth="1"/>
    <col min="4" max="4" width="6" customWidth="1"/>
  </cols>
  <sheetData>
    <row r="1" spans="1:3" ht="15">
      <c r="A1" s="1226" t="s">
        <v>1</v>
      </c>
      <c r="B1" s="1226"/>
    </row>
    <row r="2" spans="1:3" ht="15">
      <c r="A2" s="1226" t="s">
        <v>14</v>
      </c>
      <c r="B2" s="1226"/>
    </row>
    <row r="3" spans="1:3" ht="15">
      <c r="A3" s="1227" t="s">
        <v>15</v>
      </c>
      <c r="B3" s="1227"/>
    </row>
    <row r="4" spans="1:3" ht="12" customHeight="1">
      <c r="A4" s="384"/>
      <c r="B4" s="384"/>
    </row>
    <row r="5" spans="1:3" ht="23.25">
      <c r="A5" s="1230" t="s">
        <v>16</v>
      </c>
      <c r="B5" s="1230"/>
      <c r="C5" s="58"/>
    </row>
    <row r="7" spans="1:3">
      <c r="A7" s="290" t="s">
        <v>17</v>
      </c>
      <c r="B7" s="290" t="s">
        <v>18</v>
      </c>
    </row>
    <row r="8" spans="1:3">
      <c r="A8" s="290"/>
      <c r="B8" s="290"/>
    </row>
    <row r="9" spans="1:3">
      <c r="A9" s="363" t="s">
        <v>19</v>
      </c>
      <c r="B9" t="s">
        <v>20</v>
      </c>
    </row>
    <row r="10" spans="1:3">
      <c r="A10" s="363" t="s">
        <v>21</v>
      </c>
      <c r="B10" t="s">
        <v>22</v>
      </c>
    </row>
    <row r="11" spans="1:3">
      <c r="A11" s="363" t="s">
        <v>23</v>
      </c>
      <c r="B11" s="60" t="s">
        <v>24</v>
      </c>
    </row>
    <row r="12" spans="1:3">
      <c r="A12" s="363" t="s">
        <v>25</v>
      </c>
      <c r="B12" s="60" t="s">
        <v>26</v>
      </c>
    </row>
    <row r="13" spans="1:3">
      <c r="A13" s="385" t="s">
        <v>27</v>
      </c>
      <c r="B13" s="60" t="s">
        <v>28</v>
      </c>
    </row>
    <row r="14" spans="1:3">
      <c r="A14" s="363" t="s">
        <v>29</v>
      </c>
      <c r="B14" s="60" t="s">
        <v>30</v>
      </c>
    </row>
    <row r="15" spans="1:3">
      <c r="A15" s="385" t="s">
        <v>31</v>
      </c>
      <c r="B15" s="60" t="s">
        <v>32</v>
      </c>
    </row>
    <row r="16" spans="1:3">
      <c r="A16" s="363" t="s">
        <v>33</v>
      </c>
      <c r="B16" s="60" t="s">
        <v>34</v>
      </c>
    </row>
    <row r="17" spans="1:15">
      <c r="A17" s="363" t="s">
        <v>35</v>
      </c>
      <c r="B17" t="s">
        <v>36</v>
      </c>
    </row>
    <row r="18" spans="1:15">
      <c r="A18" s="363" t="s">
        <v>37</v>
      </c>
      <c r="B18" t="s">
        <v>38</v>
      </c>
    </row>
    <row r="19" spans="1:15">
      <c r="A19" s="363" t="s">
        <v>39</v>
      </c>
      <c r="B19" t="s">
        <v>40</v>
      </c>
    </row>
    <row r="20" spans="1:15">
      <c r="A20" s="363" t="s">
        <v>41</v>
      </c>
      <c r="B20" t="s">
        <v>42</v>
      </c>
    </row>
    <row r="21" spans="1:15">
      <c r="A21" s="363" t="s">
        <v>43</v>
      </c>
      <c r="B21" t="s">
        <v>44</v>
      </c>
    </row>
    <row r="22" spans="1:15">
      <c r="A22" s="363" t="s">
        <v>45</v>
      </c>
      <c r="B22" t="s">
        <v>46</v>
      </c>
    </row>
    <row r="23" spans="1:15" ht="18">
      <c r="A23" s="363" t="s">
        <v>47</v>
      </c>
      <c r="B23" s="334" t="s">
        <v>48</v>
      </c>
      <c r="C23" s="172"/>
      <c r="D23" s="277"/>
      <c r="E23" s="277"/>
      <c r="F23" s="277"/>
      <c r="G23" s="277"/>
      <c r="H23" s="277"/>
      <c r="I23" s="277"/>
      <c r="J23" s="277"/>
      <c r="K23" s="277"/>
      <c r="L23" s="277"/>
      <c r="M23" s="277"/>
      <c r="N23" s="277"/>
      <c r="O23" s="277"/>
    </row>
    <row r="24" spans="1:15">
      <c r="A24" s="363" t="s">
        <v>49</v>
      </c>
      <c r="B24" t="s">
        <v>50</v>
      </c>
    </row>
    <row r="25" spans="1:15">
      <c r="A25" s="363" t="s">
        <v>51</v>
      </c>
      <c r="B25" t="s">
        <v>52</v>
      </c>
    </row>
    <row r="26" spans="1:15">
      <c r="A26" s="363" t="s">
        <v>53</v>
      </c>
      <c r="B26" s="60" t="s">
        <v>54</v>
      </c>
    </row>
    <row r="27" spans="1:15">
      <c r="A27" s="363" t="s">
        <v>55</v>
      </c>
      <c r="B27" s="60" t="s">
        <v>56</v>
      </c>
    </row>
    <row r="28" spans="1:15">
      <c r="A28" s="363" t="s">
        <v>57</v>
      </c>
      <c r="B28" t="s">
        <v>58</v>
      </c>
    </row>
    <row r="29" spans="1:15">
      <c r="A29" s="363" t="s">
        <v>59</v>
      </c>
      <c r="B29" t="s">
        <v>60</v>
      </c>
    </row>
    <row r="30" spans="1:15">
      <c r="A30" s="363" t="s">
        <v>61</v>
      </c>
      <c r="B30" t="s">
        <v>62</v>
      </c>
    </row>
    <row r="31" spans="1:15">
      <c r="A31" s="363" t="s">
        <v>63</v>
      </c>
      <c r="B31" t="s">
        <v>64</v>
      </c>
    </row>
    <row r="32" spans="1:15">
      <c r="A32" s="363" t="s">
        <v>65</v>
      </c>
      <c r="B32" s="60" t="s">
        <v>66</v>
      </c>
    </row>
    <row r="33" spans="1:2">
      <c r="A33" s="363" t="s">
        <v>67</v>
      </c>
      <c r="B33" t="s">
        <v>68</v>
      </c>
    </row>
    <row r="34" spans="1:2">
      <c r="A34" s="363" t="s">
        <v>69</v>
      </c>
      <c r="B34" t="s">
        <v>70</v>
      </c>
    </row>
    <row r="35" spans="1:2">
      <c r="A35" s="363" t="s">
        <v>71</v>
      </c>
      <c r="B35" s="60" t="s">
        <v>72</v>
      </c>
    </row>
    <row r="36" spans="1:2">
      <c r="A36" s="363" t="s">
        <v>73</v>
      </c>
      <c r="B36" s="60" t="s">
        <v>74</v>
      </c>
    </row>
    <row r="37" spans="1:2">
      <c r="A37" s="363" t="s">
        <v>75</v>
      </c>
      <c r="B37" s="60" t="s">
        <v>76</v>
      </c>
    </row>
    <row r="38" spans="1:2">
      <c r="A38" s="363" t="s">
        <v>77</v>
      </c>
      <c r="B38" t="s">
        <v>78</v>
      </c>
    </row>
    <row r="39" spans="1:2">
      <c r="A39" s="363" t="s">
        <v>79</v>
      </c>
      <c r="B39" s="172" t="s">
        <v>80</v>
      </c>
    </row>
    <row r="40" spans="1:2">
      <c r="A40" s="363" t="s">
        <v>81</v>
      </c>
      <c r="B40" t="s">
        <v>82</v>
      </c>
    </row>
    <row r="41" spans="1:2">
      <c r="A41" s="363" t="s">
        <v>83</v>
      </c>
      <c r="B41" s="60" t="s">
        <v>83</v>
      </c>
    </row>
  </sheetData>
  <mergeCells count="4">
    <mergeCell ref="A5:B5"/>
    <mergeCell ref="A1:B1"/>
    <mergeCell ref="A2:B2"/>
    <mergeCell ref="A3:B3"/>
  </mergeCells>
  <phoneticPr fontId="5" type="noConversion"/>
  <hyperlinks>
    <hyperlink ref="A9" location="'GENERALIDADES '!A1" display="Cuadro No. 1" xr:uid="{00000000-0004-0000-0100-000000000000}"/>
    <hyperlink ref="A10" location="'CUMPLIMIENTO % '!A1" display="Cuadro No. 2" xr:uid="{00000000-0004-0000-0100-000001000000}"/>
    <hyperlink ref="A11" location="'ESTADO RED VIS'!A1" display="Cuadro No. 3" xr:uid="{00000000-0004-0000-0100-000002000000}"/>
    <hyperlink ref="A12" location="'SEMAFORO VIS'!A1" display="Gráfico No. 1" xr:uid="{00000000-0004-0000-0100-000003000000}"/>
    <hyperlink ref="A13" location="'TORTA EST. VIAS VIS'!A1" display="Gráfico No. 2" xr:uid="{00000000-0004-0000-0100-000004000000}"/>
    <hyperlink ref="A14" location="'ESTADO RED TEC'!A1" display="Cuadro No. 4" xr:uid="{00000000-0004-0000-0100-000005000000}"/>
    <hyperlink ref="A15" location="'SEMAFORO TEC'!A1" display="Gráfico No. 3" xr:uid="{00000000-0004-0000-0100-000006000000}"/>
    <hyperlink ref="A16" location="'TORTA EST. VIAS TEC'!A1" display="Grafico No. 4" xr:uid="{00000000-0004-0000-0100-000007000000}"/>
    <hyperlink ref="A17" location="'MAPA EST RED'!A1" display="Mapa  No.  1" xr:uid="{00000000-0004-0000-0100-000008000000}"/>
    <hyperlink ref="A18" location="'NECESIDAD VIA'!A1" display="Cuadro No. 5" xr:uid="{00000000-0004-0000-0100-000009000000}"/>
    <hyperlink ref="A20" location="'CANT OBRA'!A1" display="Cuadro No. 7" xr:uid="{00000000-0004-0000-0100-00000A000000}"/>
    <hyperlink ref="A21" location="'INF. EMERGENCIAS'!A1" display="Cuadro No. 8" xr:uid="{00000000-0004-0000-0100-00000B000000}"/>
    <hyperlink ref="A22" location="PUENTES!A1" display="Cuadro No. 9" xr:uid="{00000000-0004-0000-0100-00000C000000}"/>
    <hyperlink ref="A23" location="'NEC PTES'!A1" display="Cuadro No. 10" xr:uid="{00000000-0004-0000-0100-00000D000000}"/>
    <hyperlink ref="A24" location="PONTONES!A1" display="Cuadro No. 11" xr:uid="{00000000-0004-0000-0100-00000E000000}"/>
    <hyperlink ref="A25" location="'NEC. PONTONES'!A1" display="Cuadro No. 12" xr:uid="{00000000-0004-0000-0100-00000F000000}"/>
    <hyperlink ref="A26" location="TUNELES!A1" display="Cuadro No. 13" xr:uid="{00000000-0004-0000-0100-000010000000}"/>
    <hyperlink ref="A27" location="'NECESIDADES EN TÚNELES'!A1" display="Cuadro No. 14" xr:uid="{00000000-0004-0000-0100-000011000000}"/>
    <hyperlink ref="A29" location="'Señalización Horizontal'!A1" display="Cuadro No. 16" xr:uid="{00000000-0004-0000-0100-000012000000}"/>
    <hyperlink ref="A30" location="ACCIDENTALIDAD!A1" display="Cuadro No. 17" xr:uid="{00000000-0004-0000-0100-000013000000}"/>
    <hyperlink ref="A31" location="'DEFENSA VIAS'!A1" display="Cuadro No. 18" xr:uid="{00000000-0004-0000-0100-000014000000}"/>
    <hyperlink ref="A32" location="SEGUIMIENTO!A1" display="Cuadro No. 19" xr:uid="{00000000-0004-0000-0100-000015000000}"/>
    <hyperlink ref="A33" location="'CUANTI AMV'!A1" display="Cuadro No. 20" xr:uid="{00000000-0004-0000-0100-000016000000}"/>
    <hyperlink ref="A34" location="'CUALI AMV'!A1" display="Cuadro No. 21" xr:uid="{00000000-0004-0000-0100-000017000000}"/>
    <hyperlink ref="A35" location="'CUANTI MR'!A1" display="Cuadro No. 22" xr:uid="{00000000-0004-0000-0100-000018000000}"/>
    <hyperlink ref="A36" location="'CUALI MR'!A1" display="Cuadro No. 23" xr:uid="{00000000-0004-0000-0100-000019000000}"/>
    <hyperlink ref="A38" location="FOTOG!A1" display="Reseña 1" xr:uid="{00000000-0004-0000-0100-00001A000000}"/>
    <hyperlink ref="A39" location="prensa!A1" display="Reseña 2" xr:uid="{00000000-0004-0000-0100-00001B000000}"/>
    <hyperlink ref="A40" location="COMENTARIOS!A1" display="Comentarios" xr:uid="{00000000-0004-0000-0100-00001C000000}"/>
    <hyperlink ref="A19" location="'NECESIDADES CRITICAS'!A1" display="Cuadro No. 6" xr:uid="{00000000-0004-0000-0100-00001D000000}"/>
    <hyperlink ref="A28" location="'Señalización Vertical'!A1" display="Cuadro No. 15" xr:uid="{00000000-0004-0000-0100-00001E000000}"/>
    <hyperlink ref="A37" location="'INTERVENTORIA DE CONTRATOS'!A1" display="Cuadro No. 24" xr:uid="{00000000-0004-0000-0100-00001F000000}"/>
    <hyperlink ref="A41" location="'CAPACITACION T.M. RUTINARIO'!A1" display="Capacitación Microempresas" xr:uid="{00000000-0004-0000-0100-000020000000}"/>
  </hyperlinks>
  <printOptions horizontalCentered="1"/>
  <pageMargins left="1.2204724409448819" right="0.59055118110236227" top="0.78740157480314965" bottom="0.98425196850393704" header="0.51181102362204722" footer="0.51181102362204722"/>
  <pageSetup scale="88" orientation="portrait" horizontalDpi="300" verticalDpi="300" r:id="rId1"/>
  <headerFooter alignWithMargins="0"/>
  <drawing r:id="rId2"/>
  <legacyDrawing r:id="rId3"/>
  <oleObjects>
    <mc:AlternateContent xmlns:mc="http://schemas.openxmlformats.org/markup-compatibility/2006">
      <mc:Choice Requires="x14">
        <oleObject progId="Word.Document.6" shapeId="2050" r:id="rId4">
          <objectPr defaultSize="0" autoLine="0" autoPict="0" r:id="rId5">
            <anchor moveWithCells="1">
              <from>
                <xdr:col>0</xdr:col>
                <xdr:colOff>0</xdr:colOff>
                <xdr:row>0</xdr:row>
                <xdr:rowOff>0</xdr:rowOff>
              </from>
              <to>
                <xdr:col>0</xdr:col>
                <xdr:colOff>552450</xdr:colOff>
                <xdr:row>4</xdr:row>
                <xdr:rowOff>200025</xdr:rowOff>
              </to>
            </anchor>
          </objectPr>
        </oleObject>
      </mc:Choice>
      <mc:Fallback>
        <oleObject progId="Word.Document.6" shapeId="2050" r:id="rId4"/>
      </mc:Fallback>
    </mc:AlternateContent>
  </oleObjec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K32"/>
  <sheetViews>
    <sheetView topLeftCell="B10" workbookViewId="0">
      <selection activeCell="J33" sqref="J33"/>
    </sheetView>
  </sheetViews>
  <sheetFormatPr defaultColWidth="11.42578125" defaultRowHeight="12.75"/>
  <cols>
    <col min="1" max="1" width="4.28515625" hidden="1" customWidth="1"/>
    <col min="2" max="2" width="27" customWidth="1"/>
    <col min="3" max="3" width="9.42578125" customWidth="1"/>
    <col min="4" max="4" width="5.5703125" customWidth="1"/>
    <col min="5" max="5" width="4.85546875" customWidth="1"/>
    <col min="6" max="6" width="6.28515625" customWidth="1"/>
    <col min="7" max="7" width="8.42578125" customWidth="1"/>
    <col min="8" max="8" width="8.5703125" customWidth="1"/>
    <col min="9" max="9" width="10.85546875" customWidth="1"/>
    <col min="10" max="10" width="22.42578125" customWidth="1"/>
    <col min="11" max="11" width="30.85546875" customWidth="1"/>
  </cols>
  <sheetData>
    <row r="1" spans="2:11" s="33" customFormat="1" ht="23.25">
      <c r="B1" s="1228" t="s">
        <v>1</v>
      </c>
      <c r="C1" s="1228"/>
      <c r="D1" s="1228"/>
      <c r="E1" s="1228"/>
      <c r="F1" s="1228"/>
      <c r="G1" s="1228"/>
      <c r="H1" s="1228"/>
      <c r="I1" s="1228"/>
      <c r="J1" s="1228"/>
      <c r="K1" s="1228"/>
    </row>
    <row r="2" spans="2:11" s="33" customFormat="1" ht="18">
      <c r="B2" s="1229" t="s">
        <v>84</v>
      </c>
      <c r="C2" s="1229"/>
      <c r="D2" s="1229"/>
      <c r="E2" s="1229"/>
      <c r="F2" s="1229"/>
      <c r="G2" s="1229"/>
      <c r="H2" s="1229"/>
      <c r="I2" s="1229"/>
      <c r="J2" s="1229"/>
      <c r="K2" s="1229"/>
    </row>
    <row r="3" spans="2:11" s="33" customFormat="1">
      <c r="B3" s="44"/>
      <c r="C3" s="32"/>
      <c r="D3" s="32"/>
      <c r="E3" s="32"/>
      <c r="F3" s="32"/>
      <c r="G3" s="32"/>
      <c r="H3" s="32"/>
      <c r="I3" s="32"/>
      <c r="J3" s="32"/>
      <c r="K3" s="32"/>
    </row>
    <row r="4" spans="2:11" s="162" customFormat="1" ht="18">
      <c r="B4" s="43" t="s">
        <v>85</v>
      </c>
      <c r="C4" s="161"/>
      <c r="D4" s="161"/>
      <c r="E4" s="161"/>
      <c r="F4" s="161"/>
      <c r="G4" s="161"/>
      <c r="H4" s="161"/>
      <c r="I4" s="161"/>
      <c r="J4" s="161"/>
      <c r="K4" s="161"/>
    </row>
    <row r="5" spans="2:11" s="33" customFormat="1">
      <c r="B5"/>
      <c r="C5"/>
      <c r="D5"/>
      <c r="E5"/>
      <c r="F5"/>
      <c r="G5"/>
      <c r="H5"/>
      <c r="I5"/>
      <c r="J5"/>
      <c r="K5" s="32"/>
    </row>
    <row r="6" spans="2:11" ht="18">
      <c r="B6" s="59" t="s">
        <v>86</v>
      </c>
      <c r="C6" s="1"/>
      <c r="D6" s="1"/>
      <c r="E6" s="1"/>
      <c r="F6" s="1"/>
      <c r="G6" s="1"/>
      <c r="H6" s="1"/>
      <c r="I6" s="1"/>
      <c r="J6" s="1"/>
      <c r="K6" s="1"/>
    </row>
    <row r="7" spans="2:11" ht="10.5" customHeight="1" thickBot="1">
      <c r="B7" s="2"/>
      <c r="C7" s="1"/>
      <c r="D7" s="1"/>
      <c r="E7" s="1"/>
      <c r="F7" s="1"/>
      <c r="G7" s="1"/>
      <c r="H7" s="1"/>
      <c r="I7" s="1"/>
      <c r="J7" s="1"/>
      <c r="K7" s="1"/>
    </row>
    <row r="8" spans="2:11" ht="15.75" customHeight="1">
      <c r="B8" s="16" t="s">
        <v>87</v>
      </c>
      <c r="C8" s="17"/>
      <c r="D8" s="422" t="s">
        <v>88</v>
      </c>
      <c r="E8" s="422"/>
      <c r="F8" s="422"/>
      <c r="G8" s="422"/>
      <c r="H8" s="91"/>
      <c r="I8" s="91"/>
      <c r="J8" s="91"/>
      <c r="K8" s="18"/>
    </row>
    <row r="9" spans="2:11" ht="13.5" customHeight="1">
      <c r="B9" s="9" t="s">
        <v>89</v>
      </c>
      <c r="D9" s="179" t="s">
        <v>90</v>
      </c>
      <c r="E9" s="179"/>
      <c r="F9" s="179"/>
      <c r="G9" s="179"/>
      <c r="H9" s="92"/>
      <c r="I9" s="92"/>
      <c r="J9" s="92"/>
      <c r="K9" s="19"/>
    </row>
    <row r="10" spans="2:11" ht="13.5" customHeight="1">
      <c r="B10" s="9" t="s">
        <v>91</v>
      </c>
      <c r="D10" s="179" t="s">
        <v>92</v>
      </c>
      <c r="E10" s="179"/>
      <c r="F10" s="179"/>
      <c r="G10" s="179"/>
      <c r="H10" s="92"/>
      <c r="I10" s="92"/>
      <c r="J10" s="92"/>
      <c r="K10" s="19"/>
    </row>
    <row r="11" spans="2:11" ht="15" customHeight="1">
      <c r="B11" s="9" t="s">
        <v>93</v>
      </c>
      <c r="D11" s="93" t="s">
        <v>94</v>
      </c>
      <c r="E11" s="93"/>
      <c r="F11" s="93"/>
      <c r="G11" s="93"/>
      <c r="K11" s="19"/>
    </row>
    <row r="12" spans="2:11" ht="15.75" customHeight="1">
      <c r="B12" s="9" t="s">
        <v>95</v>
      </c>
      <c r="D12" t="s">
        <v>96</v>
      </c>
      <c r="F12" s="60" t="s">
        <v>97</v>
      </c>
      <c r="J12" t="s">
        <v>98</v>
      </c>
      <c r="K12" s="19"/>
    </row>
    <row r="13" spans="2:11" ht="14.25" customHeight="1">
      <c r="B13" s="9"/>
      <c r="D13" t="s">
        <v>99</v>
      </c>
      <c r="G13" s="60" t="s">
        <v>100</v>
      </c>
      <c r="J13" t="s">
        <v>101</v>
      </c>
      <c r="K13" s="424" t="s">
        <v>102</v>
      </c>
    </row>
    <row r="14" spans="2:11" ht="14.25" customHeight="1">
      <c r="B14" s="9"/>
      <c r="G14" s="60" t="s">
        <v>103</v>
      </c>
      <c r="K14" s="424"/>
    </row>
    <row r="15" spans="2:11" ht="13.5" thickBot="1">
      <c r="B15" s="11"/>
      <c r="C15" s="20"/>
      <c r="D15" s="20"/>
      <c r="E15" s="20"/>
      <c r="F15" s="20"/>
      <c r="G15" s="20"/>
      <c r="H15" s="20"/>
      <c r="I15" s="20"/>
      <c r="J15" s="20"/>
      <c r="K15" s="21"/>
    </row>
    <row r="16" spans="2:11" ht="13.5" thickBot="1"/>
    <row r="17" spans="1:11" s="33" customFormat="1" ht="23.25" customHeight="1">
      <c r="A17" s="1085" t="s">
        <v>104</v>
      </c>
      <c r="B17" s="101" t="s">
        <v>105</v>
      </c>
      <c r="C17" s="102"/>
      <c r="D17" s="103"/>
      <c r="E17" s="103"/>
      <c r="F17" s="103"/>
      <c r="G17" s="103"/>
      <c r="H17" s="103"/>
      <c r="I17" s="103"/>
      <c r="J17" s="103"/>
      <c r="K17" s="102"/>
    </row>
    <row r="18" spans="1:11" s="34" customFormat="1" ht="33.75" customHeight="1">
      <c r="B18" s="45" t="s">
        <v>106</v>
      </c>
      <c r="C18" s="47" t="s">
        <v>107</v>
      </c>
      <c r="D18" s="145" t="s">
        <v>108</v>
      </c>
      <c r="E18" s="145"/>
      <c r="F18" s="145"/>
      <c r="G18" s="106" t="s">
        <v>109</v>
      </c>
      <c r="H18" s="47" t="s">
        <v>110</v>
      </c>
      <c r="I18" s="46" t="s">
        <v>111</v>
      </c>
      <c r="J18" s="47" t="s">
        <v>112</v>
      </c>
      <c r="K18" s="112" t="s">
        <v>113</v>
      </c>
    </row>
    <row r="19" spans="1:11" s="34" customFormat="1" ht="18" customHeight="1">
      <c r="B19" s="105"/>
      <c r="C19" s="111"/>
      <c r="D19" s="107" t="s">
        <v>114</v>
      </c>
      <c r="E19" s="107" t="s">
        <v>115</v>
      </c>
      <c r="F19" s="107" t="s">
        <v>116</v>
      </c>
      <c r="G19" s="107"/>
      <c r="H19" s="108"/>
      <c r="I19" s="109"/>
      <c r="J19" s="15"/>
      <c r="K19" s="23"/>
    </row>
    <row r="20" spans="1:11" s="34" customFormat="1" ht="18" customHeight="1">
      <c r="B20" s="425" t="s">
        <v>117</v>
      </c>
      <c r="C20" s="426">
        <v>5601</v>
      </c>
      <c r="D20" s="959">
        <v>53.74</v>
      </c>
      <c r="E20" s="427"/>
      <c r="F20" s="959">
        <f>+D20+E20</f>
        <v>53.74</v>
      </c>
      <c r="G20" s="427" t="s">
        <v>118</v>
      </c>
      <c r="H20" s="428" t="s">
        <v>119</v>
      </c>
      <c r="I20" s="429" t="s">
        <v>120</v>
      </c>
      <c r="J20" s="423" t="s">
        <v>121</v>
      </c>
      <c r="K20" s="23"/>
    </row>
    <row r="21" spans="1:11" s="34" customFormat="1" ht="18" customHeight="1">
      <c r="B21" s="105"/>
      <c r="C21" s="111"/>
      <c r="D21" s="107"/>
      <c r="E21" s="107"/>
      <c r="F21" s="107"/>
      <c r="G21" s="107"/>
      <c r="H21" s="108"/>
      <c r="I21" s="109"/>
      <c r="J21" s="15"/>
      <c r="K21" s="23"/>
    </row>
    <row r="22" spans="1:11" s="34" customFormat="1" ht="18" customHeight="1">
      <c r="B22" s="105"/>
      <c r="C22" s="111"/>
      <c r="D22" s="107"/>
      <c r="E22" s="107"/>
      <c r="F22" s="107"/>
      <c r="G22" s="107"/>
      <c r="H22" s="108"/>
      <c r="I22" s="109"/>
      <c r="J22" s="15"/>
      <c r="K22" s="23"/>
    </row>
    <row r="23" spans="1:11" ht="18" customHeight="1">
      <c r="B23" s="105"/>
      <c r="C23" s="111"/>
      <c r="D23" s="107"/>
      <c r="E23" s="107"/>
      <c r="F23" s="107"/>
      <c r="G23" s="107"/>
      <c r="H23" s="108"/>
      <c r="I23" s="109"/>
      <c r="J23" s="15"/>
      <c r="K23" s="23"/>
    </row>
    <row r="24" spans="1:11" ht="18" customHeight="1">
      <c r="B24" s="105"/>
      <c r="C24" s="111"/>
      <c r="D24" s="107"/>
      <c r="E24" s="107"/>
      <c r="F24" s="107"/>
      <c r="G24" s="107"/>
      <c r="H24" s="108"/>
      <c r="I24" s="109"/>
      <c r="J24" s="15"/>
      <c r="K24" s="23"/>
    </row>
    <row r="25" spans="1:11" ht="18" customHeight="1">
      <c r="B25" s="48" t="s">
        <v>122</v>
      </c>
      <c r="C25" s="6"/>
      <c r="D25" s="1086">
        <f>SUM(D20:D24)</f>
        <v>53.74</v>
      </c>
      <c r="E25" s="110"/>
      <c r="F25" s="1086">
        <f>SUM(F20:F24)</f>
        <v>53.74</v>
      </c>
      <c r="G25" s="110"/>
      <c r="H25" s="22"/>
      <c r="I25" s="1465" t="s">
        <v>120</v>
      </c>
      <c r="J25" s="15"/>
      <c r="K25" s="23"/>
    </row>
    <row r="26" spans="1:11" ht="21" customHeight="1" thickBot="1">
      <c r="B26" s="11"/>
      <c r="C26" s="280" t="s">
        <v>123</v>
      </c>
      <c r="D26" s="20"/>
      <c r="E26" s="20"/>
      <c r="F26" s="280" t="s">
        <v>124</v>
      </c>
      <c r="G26" s="20"/>
      <c r="H26" s="20"/>
      <c r="I26" s="20" t="s">
        <v>125</v>
      </c>
      <c r="J26" s="20"/>
      <c r="K26" s="21"/>
    </row>
    <row r="28" spans="1:11">
      <c r="K28" s="362" t="s">
        <v>126</v>
      </c>
    </row>
    <row r="29" spans="1:11">
      <c r="B29" s="1"/>
      <c r="C29" s="1"/>
      <c r="D29" s="1"/>
      <c r="E29" s="1"/>
      <c r="F29" s="1"/>
      <c r="G29" s="1"/>
      <c r="H29" s="1"/>
      <c r="I29" s="1"/>
      <c r="J29" s="1"/>
      <c r="K29" s="1"/>
    </row>
    <row r="30" spans="1:11">
      <c r="B30" s="355" t="s">
        <v>127</v>
      </c>
    </row>
    <row r="32" spans="1:11" ht="18.75" customHeight="1">
      <c r="B32" s="1"/>
      <c r="C32" s="1"/>
      <c r="D32" s="1"/>
      <c r="E32" s="1"/>
      <c r="F32" s="1"/>
      <c r="G32" s="1"/>
      <c r="H32" s="1"/>
      <c r="I32" s="1"/>
      <c r="J32" s="1"/>
      <c r="K32" s="1"/>
    </row>
  </sheetData>
  <mergeCells count="2">
    <mergeCell ref="B1:K1"/>
    <mergeCell ref="B2:K2"/>
  </mergeCells>
  <phoneticPr fontId="5" type="noConversion"/>
  <hyperlinks>
    <hyperlink ref="K28" location="'TABLA DE CONTENIDO'!A1" display="VOLVER A TABLA DE CONTENIDO" xr:uid="{00000000-0004-0000-0200-000000000000}"/>
    <hyperlink ref="K13" r:id="rId1" xr:uid="{00000000-0004-0000-0200-000001000000}"/>
  </hyperlinks>
  <printOptions horizontalCentered="1"/>
  <pageMargins left="0.70866141732283472" right="0.59055118110236227" top="0.78740157480314965" bottom="0.98425196850393704" header="0.51181102362204722" footer="0.51181102362204722"/>
  <pageSetup orientation="landscape" horizontalDpi="120" verticalDpi="144" r:id="rId2"/>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K36"/>
  <sheetViews>
    <sheetView topLeftCell="A13" zoomScaleNormal="100" workbookViewId="0">
      <selection activeCell="E31" sqref="E31"/>
    </sheetView>
  </sheetViews>
  <sheetFormatPr defaultColWidth="11.42578125" defaultRowHeight="12.75"/>
  <cols>
    <col min="1" max="1" width="30" customWidth="1"/>
    <col min="2" max="2" width="0.85546875" customWidth="1"/>
    <col min="3" max="3" width="21.7109375" customWidth="1"/>
    <col min="4" max="4" width="0.85546875" customWidth="1"/>
    <col min="5" max="5" width="18.7109375" customWidth="1"/>
    <col min="6" max="6" width="0.85546875" customWidth="1"/>
    <col min="7" max="7" width="18.7109375" customWidth="1"/>
    <col min="8" max="8" width="0.85546875" customWidth="1"/>
    <col min="9" max="9" width="21.140625" customWidth="1"/>
    <col min="10" max="10" width="0.85546875" customWidth="1"/>
  </cols>
  <sheetData>
    <row r="1" spans="1:11" ht="23.25">
      <c r="A1" s="1230" t="s">
        <v>1</v>
      </c>
      <c r="B1" s="1230"/>
      <c r="C1" s="1230"/>
      <c r="D1" s="1230"/>
      <c r="E1" s="1230"/>
      <c r="F1" s="1230"/>
      <c r="G1" s="1230"/>
      <c r="H1" s="1230"/>
      <c r="I1" s="1230"/>
      <c r="J1" s="1"/>
    </row>
    <row r="2" spans="1:11" ht="18">
      <c r="A2" s="1225" t="s">
        <v>84</v>
      </c>
      <c r="B2" s="1225"/>
      <c r="C2" s="1225"/>
      <c r="D2" s="1225"/>
      <c r="E2" s="1225"/>
      <c r="F2" s="1225"/>
      <c r="G2" s="1225"/>
      <c r="H2" s="1225"/>
      <c r="I2" s="1225"/>
      <c r="J2" s="1"/>
    </row>
    <row r="3" spans="1:11" s="33" customFormat="1" ht="18">
      <c r="A3" s="1229" t="s">
        <v>128</v>
      </c>
      <c r="B3" s="1229"/>
      <c r="C3" s="1229"/>
      <c r="D3" s="1229"/>
      <c r="E3" s="1229"/>
      <c r="F3" s="1229"/>
      <c r="G3" s="1229"/>
      <c r="H3" s="1229"/>
      <c r="I3" s="1229"/>
    </row>
    <row r="5" spans="1:11" ht="18">
      <c r="A5" s="1225" t="s">
        <v>129</v>
      </c>
      <c r="B5" s="1225"/>
      <c r="C5" s="1225"/>
      <c r="D5" s="1225"/>
      <c r="E5" s="1225"/>
      <c r="F5" s="1225"/>
      <c r="G5" s="1225"/>
      <c r="H5" s="1225"/>
      <c r="I5" s="1225"/>
    </row>
    <row r="7" spans="1:11">
      <c r="A7" s="173" t="s">
        <v>130</v>
      </c>
      <c r="B7" s="296"/>
      <c r="C7" s="430" t="s">
        <v>88</v>
      </c>
      <c r="D7" s="3"/>
      <c r="E7" s="3"/>
      <c r="F7" s="3"/>
      <c r="I7" s="60" t="s">
        <v>131</v>
      </c>
    </row>
    <row r="8" spans="1:11" ht="13.5" thickBot="1">
      <c r="B8" s="125"/>
      <c r="D8" s="125"/>
      <c r="F8" s="125"/>
      <c r="H8" s="20"/>
    </row>
    <row r="9" spans="1:11">
      <c r="A9" s="295" t="s">
        <v>132</v>
      </c>
      <c r="B9" s="292"/>
      <c r="C9" s="286" t="s">
        <v>112</v>
      </c>
      <c r="D9" s="2"/>
      <c r="E9" s="286" t="s">
        <v>112</v>
      </c>
      <c r="F9" s="2"/>
      <c r="G9" s="286" t="s">
        <v>112</v>
      </c>
      <c r="H9" s="2"/>
      <c r="I9" s="286" t="s">
        <v>112</v>
      </c>
      <c r="J9" s="2"/>
    </row>
    <row r="10" spans="1:11">
      <c r="A10" s="97"/>
      <c r="B10" s="92"/>
      <c r="C10" s="287" t="s">
        <v>133</v>
      </c>
      <c r="D10" s="290"/>
      <c r="E10" s="287"/>
      <c r="F10" s="290"/>
      <c r="G10" s="287"/>
      <c r="H10" s="290"/>
      <c r="I10" s="287"/>
      <c r="J10" s="2"/>
    </row>
    <row r="11" spans="1:11" ht="13.5" thickBot="1">
      <c r="A11" s="98" t="s">
        <v>134</v>
      </c>
      <c r="B11" s="92"/>
      <c r="C11" s="291" t="s">
        <v>135</v>
      </c>
      <c r="D11" s="290"/>
      <c r="E11" s="291" t="s">
        <v>135</v>
      </c>
      <c r="F11" s="290"/>
      <c r="G11" s="291" t="s">
        <v>135</v>
      </c>
      <c r="H11" s="290"/>
      <c r="I11" s="291" t="s">
        <v>135</v>
      </c>
      <c r="J11" s="2"/>
    </row>
    <row r="12" spans="1:11" ht="21.95" customHeight="1">
      <c r="A12" s="282" t="s">
        <v>136</v>
      </c>
      <c r="B12" s="293"/>
      <c r="C12" s="297"/>
      <c r="D12" s="148"/>
      <c r="E12" s="297"/>
      <c r="F12" s="148"/>
      <c r="G12" s="297"/>
      <c r="H12" s="148"/>
      <c r="I12" s="297"/>
      <c r="J12" s="148"/>
      <c r="K12">
        <v>100</v>
      </c>
    </row>
    <row r="13" spans="1:11" ht="21.95" customHeight="1">
      <c r="A13" s="283" t="s">
        <v>137</v>
      </c>
      <c r="B13" s="293"/>
      <c r="C13" s="298"/>
      <c r="D13" s="148"/>
      <c r="E13" s="298"/>
      <c r="F13" s="148"/>
      <c r="G13" s="298"/>
      <c r="H13" s="148"/>
      <c r="I13" s="298"/>
      <c r="J13" s="148"/>
      <c r="K13">
        <v>100</v>
      </c>
    </row>
    <row r="14" spans="1:11" ht="21.95" customHeight="1">
      <c r="A14" s="283" t="s">
        <v>138</v>
      </c>
      <c r="B14" s="293"/>
      <c r="C14" s="176"/>
      <c r="D14" s="148"/>
      <c r="E14" s="176"/>
      <c r="F14" s="148"/>
      <c r="G14" s="176"/>
      <c r="H14" s="148"/>
      <c r="I14" s="176"/>
      <c r="J14" s="148"/>
      <c r="K14">
        <v>100</v>
      </c>
    </row>
    <row r="15" spans="1:11" ht="21.95" customHeight="1">
      <c r="A15" s="283" t="s">
        <v>139</v>
      </c>
      <c r="B15" s="293"/>
      <c r="C15" s="298"/>
      <c r="D15" s="148"/>
      <c r="E15" s="298"/>
      <c r="F15" s="148"/>
      <c r="G15" s="298"/>
      <c r="H15" s="148"/>
      <c r="I15" s="298"/>
      <c r="J15" s="148"/>
      <c r="K15">
        <v>100</v>
      </c>
    </row>
    <row r="16" spans="1:11" ht="21.95" customHeight="1">
      <c r="A16" s="283" t="s">
        <v>140</v>
      </c>
      <c r="B16" s="293"/>
      <c r="C16" s="176"/>
      <c r="D16" s="148"/>
      <c r="E16" s="176"/>
      <c r="F16" s="148"/>
      <c r="G16" s="176"/>
      <c r="H16" s="148"/>
      <c r="I16" s="176"/>
      <c r="J16" s="148"/>
      <c r="K16">
        <v>100</v>
      </c>
    </row>
    <row r="17" spans="1:11" ht="21.95" customHeight="1">
      <c r="A17" s="283" t="s">
        <v>141</v>
      </c>
      <c r="B17" s="293"/>
      <c r="C17" s="298"/>
      <c r="D17" s="148"/>
      <c r="E17" s="298"/>
      <c r="F17" s="281"/>
      <c r="G17" s="298"/>
      <c r="H17" s="148"/>
      <c r="I17" s="298"/>
      <c r="J17" s="148"/>
      <c r="K17">
        <v>60</v>
      </c>
    </row>
    <row r="18" spans="1:11" ht="21.95" customHeight="1">
      <c r="A18" s="283" t="s">
        <v>142</v>
      </c>
      <c r="B18" s="293"/>
      <c r="C18" s="176"/>
      <c r="D18" s="148"/>
      <c r="E18" s="176"/>
      <c r="F18" s="281"/>
      <c r="G18" s="176"/>
      <c r="H18" s="148"/>
      <c r="I18" s="176"/>
      <c r="J18" s="148"/>
      <c r="K18">
        <v>100</v>
      </c>
    </row>
    <row r="19" spans="1:11" ht="21.95" customHeight="1">
      <c r="A19" s="284" t="s">
        <v>143</v>
      </c>
      <c r="B19" s="294"/>
      <c r="C19" s="298"/>
      <c r="D19" s="148"/>
      <c r="E19" s="298"/>
      <c r="F19" s="281"/>
      <c r="G19" s="298"/>
      <c r="H19" s="148"/>
      <c r="I19" s="298"/>
      <c r="J19" s="148"/>
    </row>
    <row r="20" spans="1:11" ht="21.95" customHeight="1">
      <c r="A20" s="283" t="s">
        <v>144</v>
      </c>
      <c r="B20" s="293"/>
      <c r="C20" s="176"/>
      <c r="D20" s="148"/>
      <c r="E20" s="176"/>
      <c r="F20" s="281"/>
      <c r="G20" s="176"/>
      <c r="H20" s="148"/>
      <c r="I20" s="176"/>
      <c r="J20" s="148"/>
      <c r="K20">
        <v>100</v>
      </c>
    </row>
    <row r="21" spans="1:11" ht="21.95" customHeight="1">
      <c r="A21" s="283" t="s">
        <v>145</v>
      </c>
      <c r="B21" s="293"/>
      <c r="C21" s="298"/>
      <c r="D21" s="148"/>
      <c r="E21" s="298"/>
      <c r="F21" s="281"/>
      <c r="G21" s="298"/>
      <c r="H21" s="148"/>
      <c r="I21" s="298"/>
      <c r="J21" s="148"/>
      <c r="K21">
        <v>100</v>
      </c>
    </row>
    <row r="22" spans="1:11" ht="21.95" customHeight="1">
      <c r="A22" s="283" t="s">
        <v>146</v>
      </c>
      <c r="B22" s="293"/>
      <c r="C22" s="176"/>
      <c r="D22" s="148"/>
      <c r="E22" s="176"/>
      <c r="F22" s="281"/>
      <c r="G22" s="176"/>
      <c r="H22" s="148"/>
      <c r="I22" s="176"/>
      <c r="J22" s="148"/>
      <c r="K22">
        <v>100</v>
      </c>
    </row>
    <row r="23" spans="1:11" ht="21.95" customHeight="1">
      <c r="A23" s="283" t="s">
        <v>147</v>
      </c>
      <c r="B23" s="293"/>
      <c r="C23" s="298"/>
      <c r="D23" s="148"/>
      <c r="E23" s="298"/>
      <c r="F23" s="281"/>
      <c r="G23" s="298"/>
      <c r="H23" s="148"/>
      <c r="I23" s="298"/>
      <c r="J23" s="148"/>
    </row>
    <row r="24" spans="1:11" ht="21.95" customHeight="1">
      <c r="A24" s="283" t="s">
        <v>148</v>
      </c>
      <c r="B24" s="293"/>
      <c r="C24" s="343"/>
      <c r="D24" s="333"/>
      <c r="E24" s="343"/>
      <c r="F24" s="344"/>
      <c r="G24" s="343"/>
      <c r="H24" s="333"/>
      <c r="I24" s="343"/>
      <c r="J24" s="148"/>
      <c r="K24">
        <v>100</v>
      </c>
    </row>
    <row r="25" spans="1:11" ht="21.95" customHeight="1" thickBot="1">
      <c r="A25" s="285" t="s">
        <v>149</v>
      </c>
      <c r="B25" s="285"/>
      <c r="C25" s="289"/>
      <c r="D25" s="289"/>
      <c r="E25" s="289"/>
      <c r="F25" s="288"/>
      <c r="G25" s="289"/>
      <c r="H25" s="276"/>
      <c r="I25" s="289"/>
      <c r="J25" s="148"/>
      <c r="K25">
        <v>100</v>
      </c>
    </row>
    <row r="26" spans="1:11">
      <c r="C26" s="64"/>
      <c r="D26" s="64"/>
      <c r="E26" s="64"/>
      <c r="F26" s="64"/>
      <c r="G26" s="64"/>
      <c r="H26" s="64"/>
    </row>
    <row r="27" spans="1:11">
      <c r="C27" s="64"/>
      <c r="D27" s="64"/>
      <c r="E27" s="64"/>
      <c r="F27" s="64"/>
      <c r="G27" s="64"/>
      <c r="H27" s="64"/>
    </row>
    <row r="28" spans="1:11">
      <c r="B28" s="61"/>
      <c r="C28" s="64" t="s">
        <v>150</v>
      </c>
      <c r="D28" s="64"/>
      <c r="E28" s="978" t="s">
        <v>151</v>
      </c>
      <c r="F28" s="978"/>
      <c r="G28" s="64" t="s">
        <v>152</v>
      </c>
      <c r="H28" s="64"/>
      <c r="I28" s="64" t="s">
        <v>153</v>
      </c>
    </row>
    <row r="29" spans="1:11" ht="50.25" customHeight="1">
      <c r="A29" s="1232" t="s">
        <v>154</v>
      </c>
      <c r="B29" s="1232"/>
      <c r="C29" s="1232"/>
      <c r="D29" s="1232"/>
      <c r="E29" s="1232"/>
      <c r="F29" s="1232"/>
      <c r="G29" s="1232"/>
      <c r="H29" s="1232"/>
      <c r="I29" s="1232"/>
    </row>
    <row r="30" spans="1:11">
      <c r="A30" s="61"/>
      <c r="B30" s="978"/>
      <c r="C30" s="64"/>
      <c r="D30" s="64"/>
      <c r="E30" s="64"/>
      <c r="F30" s="64"/>
      <c r="G30" s="64"/>
      <c r="H30" s="64"/>
    </row>
    <row r="31" spans="1:11" ht="18">
      <c r="A31" s="299" t="s">
        <v>155</v>
      </c>
      <c r="B31" s="978"/>
      <c r="C31" s="64"/>
      <c r="D31" s="64"/>
      <c r="E31" s="64"/>
      <c r="F31" s="64"/>
      <c r="G31" s="64"/>
      <c r="H31" s="64"/>
    </row>
    <row r="32" spans="1:11">
      <c r="A32" s="978" t="s">
        <v>156</v>
      </c>
      <c r="B32" s="978"/>
      <c r="C32" s="64"/>
      <c r="D32" s="64"/>
      <c r="E32" s="64"/>
      <c r="F32" s="64"/>
      <c r="G32" s="1231" t="s">
        <v>126</v>
      </c>
      <c r="H32" s="1231"/>
      <c r="I32" s="1231"/>
    </row>
    <row r="33" spans="1:10">
      <c r="A33" s="411" t="s">
        <v>157</v>
      </c>
      <c r="B33" s="978"/>
      <c r="C33" s="64"/>
      <c r="D33" s="64"/>
      <c r="E33" s="64"/>
      <c r="F33" s="64"/>
      <c r="G33" s="64"/>
      <c r="H33" s="64"/>
    </row>
    <row r="34" spans="1:10">
      <c r="A34" s="978"/>
      <c r="B34" s="978"/>
      <c r="C34" s="64"/>
      <c r="D34" s="64"/>
      <c r="E34" s="64"/>
      <c r="F34" s="64"/>
      <c r="G34" s="64"/>
      <c r="H34" s="64"/>
    </row>
    <row r="35" spans="1:10">
      <c r="A35" s="978"/>
      <c r="B35" s="978"/>
      <c r="C35" s="62"/>
      <c r="D35" s="62"/>
      <c r="E35" s="62"/>
      <c r="F35" s="62"/>
      <c r="G35" s="62"/>
      <c r="H35" s="62"/>
      <c r="I35" s="1"/>
      <c r="J35" s="1"/>
    </row>
    <row r="36" spans="1:10">
      <c r="A36" s="978"/>
    </row>
  </sheetData>
  <mergeCells count="6">
    <mergeCell ref="A3:I3"/>
    <mergeCell ref="A1:I1"/>
    <mergeCell ref="A2:I2"/>
    <mergeCell ref="A5:I5"/>
    <mergeCell ref="G32:I32"/>
    <mergeCell ref="A29:I29"/>
  </mergeCells>
  <phoneticPr fontId="5" type="noConversion"/>
  <hyperlinks>
    <hyperlink ref="G32" location="'TABLA DE CONTENIDO'!A1" display="VOLVER A TABLA DE CONTENIDO" xr:uid="{00000000-0004-0000-0300-000000000000}"/>
  </hyperlinks>
  <printOptions horizontalCentered="1" verticalCentered="1"/>
  <pageMargins left="1.2598425196850394" right="0.78740157480314965" top="0.51181102362204722" bottom="0.51181102362204722" header="0.51181102362204722" footer="0.51181102362204722"/>
  <pageSetup scale="89" orientation="landscape" horizontalDpi="300" verticalDpi="300"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K52"/>
  <sheetViews>
    <sheetView zoomScaleNormal="100" workbookViewId="0">
      <selection activeCell="H21" sqref="H21"/>
    </sheetView>
  </sheetViews>
  <sheetFormatPr defaultColWidth="11.42578125" defaultRowHeight="12.75"/>
  <cols>
    <col min="1" max="1" width="12.42578125" customWidth="1"/>
    <col min="2" max="2" width="13.5703125" customWidth="1"/>
    <col min="3" max="3" width="13.42578125" customWidth="1"/>
    <col min="4" max="4" width="26.140625" customWidth="1"/>
    <col min="5" max="6" width="12.140625" customWidth="1"/>
    <col min="7" max="7" width="14.42578125" customWidth="1"/>
  </cols>
  <sheetData>
    <row r="1" spans="1:11" ht="23.25">
      <c r="A1" s="1235" t="s">
        <v>1</v>
      </c>
      <c r="B1" s="1235"/>
      <c r="C1" s="1235"/>
      <c r="D1" s="1235"/>
      <c r="E1" s="1235"/>
      <c r="F1" s="1235"/>
      <c r="G1" s="1235"/>
      <c r="H1" s="32"/>
      <c r="I1" s="32"/>
      <c r="J1" s="32"/>
    </row>
    <row r="2" spans="1:11" ht="18">
      <c r="A2" s="1236" t="s">
        <v>84</v>
      </c>
      <c r="B2" s="1236"/>
      <c r="C2" s="1236"/>
      <c r="D2" s="1236"/>
      <c r="E2" s="1236"/>
      <c r="F2" s="1236"/>
      <c r="G2" s="1236"/>
      <c r="H2" s="32"/>
      <c r="I2" s="32"/>
      <c r="J2" s="32"/>
    </row>
    <row r="3" spans="1:11">
      <c r="A3" s="167"/>
      <c r="B3" s="76"/>
      <c r="C3" s="76"/>
      <c r="D3" s="76"/>
      <c r="E3" s="76"/>
      <c r="F3" s="76"/>
      <c r="G3" s="76"/>
      <c r="H3" s="32"/>
      <c r="I3" s="32"/>
      <c r="J3" s="32"/>
    </row>
    <row r="4" spans="1:11" ht="18">
      <c r="A4" s="1236" t="s">
        <v>158</v>
      </c>
      <c r="B4" s="1236"/>
      <c r="C4" s="1236"/>
      <c r="D4" s="1236"/>
      <c r="E4" s="1236"/>
      <c r="F4" s="1236"/>
      <c r="G4" s="1236"/>
      <c r="H4" s="161"/>
      <c r="I4" s="161"/>
      <c r="J4" s="161"/>
    </row>
    <row r="5" spans="1:11">
      <c r="A5" s="168"/>
      <c r="B5" s="168"/>
      <c r="C5" s="168"/>
      <c r="D5" s="168"/>
      <c r="E5" s="168"/>
      <c r="F5" s="168"/>
      <c r="G5" s="168"/>
      <c r="J5" s="32"/>
    </row>
    <row r="6" spans="1:11" ht="18">
      <c r="A6" s="1237" t="s">
        <v>159</v>
      </c>
      <c r="B6" s="1237"/>
      <c r="C6" s="1237"/>
      <c r="D6" s="1237"/>
      <c r="E6" s="1237"/>
      <c r="F6" s="1237"/>
      <c r="G6" s="1237"/>
      <c r="H6" s="1"/>
      <c r="I6" s="1"/>
      <c r="J6" s="1"/>
    </row>
    <row r="7" spans="1:11" ht="18">
      <c r="A7" s="164"/>
      <c r="B7" s="164"/>
      <c r="C7" s="164"/>
      <c r="D7" s="164"/>
      <c r="E7" s="164"/>
      <c r="F7" s="164"/>
      <c r="G7" s="164"/>
      <c r="H7" s="1"/>
      <c r="I7" s="1"/>
      <c r="J7" s="1"/>
    </row>
    <row r="8" spans="1:11">
      <c r="A8" s="173" t="s">
        <v>130</v>
      </c>
      <c r="C8" s="430" t="s">
        <v>88</v>
      </c>
      <c r="D8" s="3"/>
      <c r="E8" s="92" t="s">
        <v>160</v>
      </c>
      <c r="G8" s="430" t="s">
        <v>161</v>
      </c>
      <c r="K8" s="96"/>
    </row>
    <row r="9" spans="1:11">
      <c r="A9" s="169"/>
      <c r="B9" s="168"/>
      <c r="C9" s="168"/>
      <c r="D9" s="168"/>
      <c r="E9" s="168"/>
      <c r="F9" s="168"/>
      <c r="G9" s="168"/>
      <c r="H9" s="1"/>
      <c r="I9" s="1"/>
      <c r="J9" s="1"/>
    </row>
    <row r="10" spans="1:11" s="166" customFormat="1">
      <c r="A10" s="1466" t="s">
        <v>162</v>
      </c>
      <c r="B10" s="1466" t="s">
        <v>163</v>
      </c>
      <c r="C10" s="1466" t="s">
        <v>164</v>
      </c>
      <c r="D10" s="1466" t="s">
        <v>106</v>
      </c>
      <c r="E10" s="1466" t="s">
        <v>165</v>
      </c>
      <c r="F10" s="1466" t="s">
        <v>166</v>
      </c>
      <c r="G10" s="1467" t="s">
        <v>167</v>
      </c>
      <c r="H10" s="290"/>
      <c r="I10" s="290"/>
      <c r="J10" s="290"/>
      <c r="K10" s="290"/>
    </row>
    <row r="11" spans="1:11" s="166" customFormat="1">
      <c r="A11" s="1468"/>
      <c r="B11" s="1468"/>
      <c r="C11" s="1468"/>
      <c r="D11" s="1468"/>
      <c r="E11" s="1468"/>
      <c r="F11" s="1468" t="s">
        <v>168</v>
      </c>
      <c r="G11" s="1469"/>
      <c r="H11" s="290"/>
      <c r="I11" s="290"/>
      <c r="J11" s="290"/>
      <c r="K11" s="290"/>
    </row>
    <row r="12" spans="1:11">
      <c r="A12" s="170"/>
      <c r="B12" s="171"/>
      <c r="C12" s="171"/>
      <c r="D12" s="171"/>
      <c r="E12" s="171"/>
      <c r="F12" s="171"/>
      <c r="G12" s="171"/>
    </row>
    <row r="13" spans="1:11" ht="12.95" customHeight="1">
      <c r="A13" s="431">
        <v>5601</v>
      </c>
      <c r="B13" s="432">
        <v>49000</v>
      </c>
      <c r="C13" s="432">
        <v>50000</v>
      </c>
      <c r="D13" s="431" t="s">
        <v>169</v>
      </c>
      <c r="E13" s="433">
        <f>905/1000</f>
        <v>0.90500000000000003</v>
      </c>
      <c r="F13" s="431" t="s">
        <v>114</v>
      </c>
      <c r="G13" s="434" t="s">
        <v>170</v>
      </c>
      <c r="H13" s="435" t="e">
        <f>+#REF!</f>
        <v>#REF!</v>
      </c>
      <c r="I13" s="60">
        <v>5601</v>
      </c>
    </row>
    <row r="14" spans="1:11" ht="12.95" customHeight="1">
      <c r="A14" s="431"/>
      <c r="B14" s="432"/>
      <c r="C14" s="432"/>
      <c r="D14" s="431"/>
      <c r="E14" s="433"/>
      <c r="F14" s="431"/>
      <c r="G14" s="434"/>
      <c r="H14" s="435"/>
      <c r="I14" s="436" t="s">
        <v>171</v>
      </c>
      <c r="J14" s="437">
        <f>+SUMIF(G$13,"B",E$13)+SUMIF(G$15,"B",E$15)+SUMIF(G$17,"B",E$17)+SUMIF($G$19,"B",$E$19)+SUMIF($G$21,"B",$E$21)+SUMIF($G$23,"B",$E$23)+SUMIF($G$25,"B",$E$25)+SUMIF($G$27,"B",$E$27)+SUMIF($G$29,"B",$E$29)+SUMIF($G$31,"B",$E$31)+SUMIF($G$33,"B",$E$33)+SUMIF($G$35,"B",$E$35)+SUMIF($G$37,"B",$E$37)</f>
        <v>33.597000000000001</v>
      </c>
    </row>
    <row r="15" spans="1:11" ht="12.95" customHeight="1">
      <c r="A15" s="431">
        <v>5601</v>
      </c>
      <c r="B15" s="432">
        <f>C13</f>
        <v>50000</v>
      </c>
      <c r="C15" s="432">
        <v>68613</v>
      </c>
      <c r="D15" s="431" t="s">
        <v>169</v>
      </c>
      <c r="E15" s="433">
        <f>(18863-211)/1000</f>
        <v>18.652000000000001</v>
      </c>
      <c r="F15" s="431" t="s">
        <v>114</v>
      </c>
      <c r="G15" s="1149" t="s">
        <v>172</v>
      </c>
      <c r="H15" s="435">
        <f>+SUM(C39:C51)+0.5</f>
        <v>0.5</v>
      </c>
      <c r="I15" s="438" t="s">
        <v>173</v>
      </c>
      <c r="J15" s="437">
        <f>+SUMIF(G$13,"R",E$13)+SUMIF(G$15,"R",E$15)+SUMIF(G$17,"R",E$17)+SUMIF(G$19,"R",E$19)+SUMIF(G$21,"R",E$21)+SUMIF(G$23,"R",E$23)+SUMIF(G$25,"R",E$25)+SUMIF(G$27,"R",E$27)+SUMIF(G$29,"R",E$29)+SUMIF(G$31,"R",E$31)+SUMIF(G$33,"R",E$33)+SUMIF(G$35,"R",E$35)+SUMIF(G$37,"R",E$37)</f>
        <v>11.764000000000001</v>
      </c>
    </row>
    <row r="16" spans="1:11" ht="12.95" customHeight="1">
      <c r="A16" s="1084"/>
      <c r="B16" s="432"/>
      <c r="C16" s="432"/>
      <c r="D16" s="431"/>
      <c r="E16" s="433"/>
      <c r="F16" s="431"/>
      <c r="G16" s="434"/>
      <c r="H16" s="439"/>
      <c r="I16" s="440" t="s">
        <v>174</v>
      </c>
      <c r="J16" s="437">
        <f>+SUMIF(G$13,"M",E$13)+SUMIF(G$15,"M",E$15)+SUMIF(G$17,"M",E$17)+SUMIF(G$19,"M",E$19)+SUMIF(G$21,"M",E$21)+SUMIF(G$23,"M",E$23)+SUMIF(G$25,"M",E$25)+SUMIF(G$27,"M",E$27)+SUMIF(G$29,"M",E$29)+SUMIF(G$31,"M",E$31)+SUMIF(G$33,"M",E$33)+SUMIF(G$35,"M",E$35)+SUMIF(G$37,"M",E$37)</f>
        <v>8.3819999999999997</v>
      </c>
    </row>
    <row r="17" spans="1:11" ht="12.95" customHeight="1">
      <c r="A17" s="431">
        <v>5601</v>
      </c>
      <c r="B17" s="432">
        <f>C15</f>
        <v>68613</v>
      </c>
      <c r="C17" s="432">
        <v>71323</v>
      </c>
      <c r="D17" s="431" t="s">
        <v>169</v>
      </c>
      <c r="E17" s="433">
        <f>(2698)/1000</f>
        <v>2.698</v>
      </c>
      <c r="F17" s="431" t="s">
        <v>114</v>
      </c>
      <c r="G17" s="434" t="s">
        <v>170</v>
      </c>
      <c r="H17" s="435">
        <f>+SUM(C51:C52)-0.5+0.323</f>
        <v>-0.17699999999999999</v>
      </c>
      <c r="I17" s="426" t="s">
        <v>175</v>
      </c>
      <c r="J17" s="437">
        <f>SUM(J14:J16)</f>
        <v>53.743000000000002</v>
      </c>
    </row>
    <row r="18" spans="1:11" ht="12.95" customHeight="1">
      <c r="A18" s="431"/>
      <c r="B18" s="432"/>
      <c r="C18" s="432"/>
      <c r="D18" s="431"/>
      <c r="E18" s="433"/>
      <c r="F18" s="431"/>
      <c r="G18" s="434"/>
      <c r="H18" s="439"/>
      <c r="I18" s="441"/>
      <c r="J18" s="442"/>
    </row>
    <row r="19" spans="1:11" ht="12.95" customHeight="1">
      <c r="A19" s="431">
        <v>5601</v>
      </c>
      <c r="B19" s="432">
        <f>C17</f>
        <v>71323</v>
      </c>
      <c r="C19" s="432">
        <v>85160</v>
      </c>
      <c r="D19" s="431" t="s">
        <v>169</v>
      </c>
      <c r="E19" s="443">
        <f>+(13545+160)/1000</f>
        <v>13.705</v>
      </c>
      <c r="F19" s="431" t="s">
        <v>114</v>
      </c>
      <c r="G19" s="1149" t="s">
        <v>172</v>
      </c>
      <c r="H19" s="435">
        <f>+SUM(C53:C66)-0.323+0.13</f>
        <v>-0.193</v>
      </c>
      <c r="I19" s="441"/>
      <c r="J19" s="442"/>
      <c r="K19" s="441"/>
    </row>
    <row r="20" spans="1:11" ht="12.95" customHeight="1">
      <c r="A20" s="431"/>
      <c r="B20" s="432"/>
      <c r="C20" s="432"/>
      <c r="D20" s="431"/>
      <c r="E20" s="433"/>
      <c r="F20" s="431"/>
      <c r="G20" s="434"/>
      <c r="H20" s="439"/>
      <c r="I20" s="441"/>
      <c r="J20" s="442"/>
      <c r="K20" s="441"/>
    </row>
    <row r="21" spans="1:11" ht="12.95" customHeight="1">
      <c r="A21" s="431">
        <v>5601</v>
      </c>
      <c r="B21" s="432">
        <f>C19</f>
        <v>85160</v>
      </c>
      <c r="C21" s="432">
        <v>87000</v>
      </c>
      <c r="D21" s="431" t="s">
        <v>169</v>
      </c>
      <c r="E21" s="433">
        <f>+(1977-160)/1000</f>
        <v>1.8169999999999999</v>
      </c>
      <c r="F21" s="431" t="s">
        <v>114</v>
      </c>
      <c r="G21" s="434" t="s">
        <v>170</v>
      </c>
      <c r="H21" s="435">
        <f>+SUM(C67)-0.13+0.22</f>
        <v>0.09</v>
      </c>
      <c r="J21" s="144"/>
      <c r="K21" s="441"/>
    </row>
    <row r="22" spans="1:11" ht="12.95" customHeight="1">
      <c r="A22" s="431"/>
      <c r="B22" s="432"/>
      <c r="C22" s="432"/>
      <c r="D22" s="431"/>
      <c r="E22" s="433"/>
      <c r="F22" s="431"/>
      <c r="G22" s="434"/>
      <c r="H22" s="439"/>
      <c r="J22" s="144"/>
    </row>
    <row r="23" spans="1:11" ht="12.95" customHeight="1">
      <c r="A23" s="431">
        <v>5601</v>
      </c>
      <c r="B23" s="432">
        <f>C21</f>
        <v>87000</v>
      </c>
      <c r="C23" s="432">
        <v>88000</v>
      </c>
      <c r="D23" s="431" t="s">
        <v>169</v>
      </c>
      <c r="E23" s="433">
        <f>+(980)/1000</f>
        <v>0.98</v>
      </c>
      <c r="F23" s="431" t="s">
        <v>114</v>
      </c>
      <c r="G23" s="434" t="s">
        <v>170</v>
      </c>
      <c r="H23" s="435">
        <f>+SUM(C68)-0.22+0.16</f>
        <v>-0.06</v>
      </c>
      <c r="J23" s="144"/>
    </row>
    <row r="24" spans="1:11" ht="12.95" customHeight="1">
      <c r="A24" s="431"/>
      <c r="B24" s="432"/>
      <c r="C24" s="432"/>
      <c r="D24" s="431"/>
      <c r="E24" s="433"/>
      <c r="F24" s="431"/>
      <c r="G24" s="434"/>
      <c r="H24" s="435"/>
      <c r="J24" s="144"/>
    </row>
    <row r="25" spans="1:11" ht="12.95" customHeight="1">
      <c r="A25" s="431">
        <v>5601</v>
      </c>
      <c r="B25" s="432">
        <v>88000</v>
      </c>
      <c r="C25" s="432">
        <v>90000</v>
      </c>
      <c r="D25" s="431" t="s">
        <v>169</v>
      </c>
      <c r="E25" s="433">
        <f>+(1982)/1000</f>
        <v>1.982</v>
      </c>
      <c r="F25" s="431" t="s">
        <v>114</v>
      </c>
      <c r="G25" s="434" t="s">
        <v>170</v>
      </c>
      <c r="H25" s="435"/>
      <c r="J25" s="144"/>
    </row>
    <row r="26" spans="1:11" ht="12.95" customHeight="1">
      <c r="A26" s="431"/>
      <c r="B26" s="432"/>
      <c r="C26" s="432"/>
      <c r="D26" s="431"/>
      <c r="E26" s="433"/>
      <c r="F26" s="431"/>
      <c r="G26" s="434"/>
      <c r="H26" s="435"/>
      <c r="J26" s="144"/>
    </row>
    <row r="27" spans="1:11" ht="12.95" customHeight="1">
      <c r="A27" s="431">
        <v>5601</v>
      </c>
      <c r="B27" s="432">
        <f>+C25</f>
        <v>90000</v>
      </c>
      <c r="C27" s="432">
        <v>91000</v>
      </c>
      <c r="D27" s="431" t="s">
        <v>169</v>
      </c>
      <c r="E27" s="433">
        <f>+(994)/1000</f>
        <v>0.99399999999999999</v>
      </c>
      <c r="F27" s="431" t="s">
        <v>114</v>
      </c>
      <c r="G27" s="434" t="s">
        <v>176</v>
      </c>
      <c r="H27" s="435"/>
      <c r="J27" s="144"/>
    </row>
    <row r="28" spans="1:11" ht="12.95" customHeight="1">
      <c r="A28" s="431"/>
      <c r="B28" s="432"/>
      <c r="C28" s="432"/>
      <c r="D28" s="431"/>
      <c r="E28" s="433"/>
      <c r="F28" s="431"/>
      <c r="G28" s="434"/>
      <c r="J28" s="144"/>
    </row>
    <row r="29" spans="1:11" ht="12.95" customHeight="1">
      <c r="A29" s="431">
        <v>5601</v>
      </c>
      <c r="B29" s="432">
        <f>+C27</f>
        <v>91000</v>
      </c>
      <c r="C29" s="432">
        <v>95000</v>
      </c>
      <c r="D29" s="431" t="s">
        <v>169</v>
      </c>
      <c r="E29" s="433">
        <f>(3974)/1000</f>
        <v>3.9740000000000002</v>
      </c>
      <c r="F29" s="431" t="s">
        <v>114</v>
      </c>
      <c r="G29" s="434" t="s">
        <v>176</v>
      </c>
      <c r="J29" s="144"/>
    </row>
    <row r="30" spans="1:11" ht="12.95" customHeight="1">
      <c r="A30" s="431"/>
      <c r="B30" s="432"/>
      <c r="C30" s="444"/>
      <c r="D30" s="431"/>
      <c r="E30" s="433"/>
      <c r="F30" s="431"/>
      <c r="G30" s="434"/>
      <c r="J30" s="144"/>
    </row>
    <row r="31" spans="1:11" ht="12.95" customHeight="1">
      <c r="A31" s="431">
        <v>5601</v>
      </c>
      <c r="B31" s="432">
        <f>+C29</f>
        <v>95000</v>
      </c>
      <c r="C31" s="444">
        <v>97900</v>
      </c>
      <c r="D31" s="431" t="s">
        <v>169</v>
      </c>
      <c r="E31" s="433">
        <f>(958+969+900)/1000</f>
        <v>2.827</v>
      </c>
      <c r="F31" s="431" t="s">
        <v>114</v>
      </c>
      <c r="G31" s="434" t="s">
        <v>176</v>
      </c>
      <c r="J31" s="144"/>
    </row>
    <row r="32" spans="1:11" ht="12.95" customHeight="1">
      <c r="A32" s="431"/>
      <c r="B32" s="432"/>
      <c r="C32" s="444"/>
      <c r="D32" s="431"/>
      <c r="E32" s="433"/>
      <c r="F32" s="431"/>
      <c r="G32" s="434"/>
      <c r="J32" s="144"/>
    </row>
    <row r="33" spans="1:10" ht="12.95" customHeight="1">
      <c r="A33" s="431">
        <v>5601</v>
      </c>
      <c r="B33" s="432">
        <v>97900</v>
      </c>
      <c r="C33" s="444">
        <v>100900</v>
      </c>
      <c r="D33" s="431" t="str">
        <f>+D31</f>
        <v>LA UNIÓN  -  SONSÓN</v>
      </c>
      <c r="E33" s="433">
        <f>(100+990+989+900)/1000</f>
        <v>2.9790000000000001</v>
      </c>
      <c r="F33" s="431" t="s">
        <v>114</v>
      </c>
      <c r="G33" s="434" t="s">
        <v>176</v>
      </c>
      <c r="J33" s="144"/>
    </row>
    <row r="34" spans="1:10" ht="12.95" customHeight="1">
      <c r="A34" s="431"/>
      <c r="B34" s="432"/>
      <c r="C34" s="444"/>
      <c r="D34" s="431"/>
      <c r="E34" s="433"/>
      <c r="F34" s="431"/>
      <c r="G34" s="434"/>
      <c r="J34" s="144"/>
    </row>
    <row r="35" spans="1:10" ht="12.95" customHeight="1">
      <c r="A35" s="431">
        <v>5601</v>
      </c>
      <c r="B35" s="432">
        <v>100900</v>
      </c>
      <c r="C35" s="444" t="s">
        <v>177</v>
      </c>
      <c r="D35" s="431" t="s">
        <v>169</v>
      </c>
      <c r="E35" s="433">
        <f>(90+900)/1000</f>
        <v>0.99</v>
      </c>
      <c r="F35" s="431" t="s">
        <v>114</v>
      </c>
      <c r="G35" s="434" t="s">
        <v>176</v>
      </c>
      <c r="J35" s="144"/>
    </row>
    <row r="36" spans="1:10" ht="12.95" customHeight="1">
      <c r="A36" s="431"/>
      <c r="B36" s="432"/>
      <c r="C36" s="444"/>
      <c r="D36" s="431"/>
      <c r="E36" s="433"/>
      <c r="F36" s="431"/>
      <c r="G36" s="434"/>
      <c r="J36" s="144"/>
    </row>
    <row r="37" spans="1:10" ht="12.95" customHeight="1">
      <c r="A37" s="445">
        <v>5601</v>
      </c>
      <c r="B37" s="446" t="str">
        <f>C35</f>
        <v>101+0900</v>
      </c>
      <c r="C37" s="446">
        <v>103000</v>
      </c>
      <c r="D37" s="445" t="s">
        <v>169</v>
      </c>
      <c r="E37" s="447">
        <f>(11+84+950+195)/1000</f>
        <v>1.24</v>
      </c>
      <c r="F37" s="445" t="s">
        <v>114</v>
      </c>
      <c r="G37" s="1149" t="s">
        <v>172</v>
      </c>
      <c r="J37" s="144"/>
    </row>
    <row r="38" spans="1:10" ht="14.1" customHeight="1">
      <c r="A38" s="60"/>
      <c r="B38" s="60"/>
      <c r="C38" s="60"/>
      <c r="D38" s="60"/>
      <c r="E38" s="448">
        <f>SUM(E13:E37)</f>
        <v>53.742999999999995</v>
      </c>
      <c r="F38" s="60"/>
      <c r="G38" s="60"/>
      <c r="J38" s="144"/>
    </row>
    <row r="39" spans="1:10">
      <c r="E39" s="144"/>
    </row>
    <row r="40" spans="1:10">
      <c r="A40" s="64" t="s">
        <v>178</v>
      </c>
      <c r="E40" s="144"/>
    </row>
    <row r="41" spans="1:10">
      <c r="E41" s="144"/>
    </row>
    <row r="42" spans="1:10">
      <c r="E42" s="144"/>
    </row>
    <row r="43" spans="1:10" ht="9.9499999999999993" customHeight="1">
      <c r="E43" s="1233" t="s">
        <v>179</v>
      </c>
      <c r="F43" s="1234"/>
    </row>
    <row r="44" spans="1:10" ht="9.9499999999999993" customHeight="1">
      <c r="E44" s="303" t="s">
        <v>172</v>
      </c>
      <c r="F44" s="300" t="s">
        <v>171</v>
      </c>
    </row>
    <row r="45" spans="1:10" ht="9.9499999999999993" customHeight="1">
      <c r="E45" s="302" t="s">
        <v>176</v>
      </c>
      <c r="F45" s="300" t="s">
        <v>173</v>
      </c>
    </row>
    <row r="46" spans="1:10" ht="9.9499999999999993" customHeight="1">
      <c r="E46" s="301" t="s">
        <v>170</v>
      </c>
      <c r="F46" s="300" t="s">
        <v>174</v>
      </c>
    </row>
    <row r="47" spans="1:10">
      <c r="E47" s="144"/>
    </row>
    <row r="48" spans="1:10">
      <c r="E48" s="1231" t="s">
        <v>126</v>
      </c>
      <c r="F48" s="1231"/>
      <c r="G48" s="1231"/>
    </row>
    <row r="49" spans="5:5">
      <c r="E49" s="144"/>
    </row>
    <row r="50" spans="5:5">
      <c r="E50" s="144"/>
    </row>
    <row r="51" spans="5:5">
      <c r="E51" s="144"/>
    </row>
    <row r="52" spans="5:5">
      <c r="E52" s="144"/>
    </row>
  </sheetData>
  <mergeCells count="6">
    <mergeCell ref="E48:G48"/>
    <mergeCell ref="E43:F43"/>
    <mergeCell ref="A1:G1"/>
    <mergeCell ref="A2:G2"/>
    <mergeCell ref="A4:G4"/>
    <mergeCell ref="A6:G6"/>
  </mergeCells>
  <phoneticPr fontId="5" type="noConversion"/>
  <conditionalFormatting sqref="G13 G16:G17 G20:G36">
    <cfRule type="cellIs" dxfId="201" priority="4" stopIfTrue="1" operator="equal">
      <formula>"R"</formula>
    </cfRule>
  </conditionalFormatting>
  <conditionalFormatting sqref="G13 G16:G18 G20:G36">
    <cfRule type="cellIs" dxfId="200" priority="3" stopIfTrue="1" operator="equal">
      <formula>"M"</formula>
    </cfRule>
  </conditionalFormatting>
  <conditionalFormatting sqref="G16">
    <cfRule type="cellIs" dxfId="199" priority="2" stopIfTrue="1" operator="equal">
      <formula>"B"</formula>
    </cfRule>
  </conditionalFormatting>
  <hyperlinks>
    <hyperlink ref="E48" location="'TABLA DE CONTENIDO'!A1" display="VOLVER A TABLA DE CONTENIDO" xr:uid="{00000000-0004-0000-0400-000000000000}"/>
  </hyperlinks>
  <printOptions horizontalCentered="1" verticalCentered="1"/>
  <pageMargins left="0.74803149606299213" right="0.39370078740157483" top="0.59055118110236227" bottom="0.98425196850393704" header="0.19685039370078741" footer="0"/>
  <pageSetup orientation="landscape" horizontalDpi="300" verticalDpi="3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O64"/>
  <sheetViews>
    <sheetView zoomScale="80" zoomScaleNormal="80" zoomScaleSheetLayoutView="100" zoomScalePageLayoutView="125" workbookViewId="0">
      <selection activeCell="R60" sqref="R60"/>
    </sheetView>
  </sheetViews>
  <sheetFormatPr defaultColWidth="11.42578125" defaultRowHeight="12.75"/>
  <cols>
    <col min="1" max="1" width="22" style="467" customWidth="1"/>
    <col min="2" max="55" width="0.85546875" style="467" customWidth="1"/>
    <col min="56" max="56" width="3" style="467" hidden="1" customWidth="1"/>
    <col min="57" max="57" width="6.140625" style="467" customWidth="1"/>
    <col min="58" max="58" width="6.7109375" style="467" customWidth="1"/>
    <col min="59" max="59" width="6.140625" style="467" customWidth="1"/>
    <col min="60" max="60" width="6.7109375" style="467" customWidth="1"/>
    <col min="61" max="61" width="6.140625" style="467" customWidth="1"/>
    <col min="62" max="62" width="6.7109375" style="467" customWidth="1"/>
    <col min="63" max="64" width="0" style="467" hidden="1" customWidth="1"/>
    <col min="65" max="65" width="7.7109375" style="467" customWidth="1"/>
    <col min="66" max="66" width="9.28515625" style="467" bestFit="1" customWidth="1"/>
    <col min="67" max="16384" width="11.42578125" style="467"/>
  </cols>
  <sheetData>
    <row r="1" spans="1:65" ht="23.25">
      <c r="A1" s="1241" t="s">
        <v>180</v>
      </c>
      <c r="B1" s="1241"/>
      <c r="C1" s="1241"/>
      <c r="D1" s="1241"/>
      <c r="E1" s="1241"/>
      <c r="F1" s="1241"/>
      <c r="G1" s="1241"/>
      <c r="H1" s="1241"/>
      <c r="I1" s="1241"/>
      <c r="J1" s="1241"/>
      <c r="K1" s="1241"/>
      <c r="L1" s="1241"/>
      <c r="M1" s="1241"/>
      <c r="N1" s="1241"/>
      <c r="O1" s="1241"/>
      <c r="P1" s="1241"/>
      <c r="Q1" s="1241"/>
      <c r="R1" s="1241"/>
      <c r="S1" s="1241"/>
      <c r="T1" s="1241"/>
      <c r="U1" s="1241"/>
      <c r="V1" s="1241"/>
      <c r="W1" s="1241"/>
      <c r="X1" s="1241"/>
      <c r="Y1" s="1241"/>
      <c r="Z1" s="1241"/>
      <c r="AA1" s="1241"/>
      <c r="AB1" s="1241"/>
      <c r="AC1" s="1241"/>
      <c r="AD1" s="1241"/>
      <c r="AE1" s="1241"/>
      <c r="AF1" s="1241"/>
      <c r="AG1" s="1241"/>
      <c r="AH1" s="1241"/>
      <c r="AI1" s="1241"/>
      <c r="AJ1" s="1241"/>
      <c r="AK1" s="1241"/>
      <c r="AL1" s="1241"/>
      <c r="AM1" s="1241"/>
      <c r="AN1" s="1241"/>
      <c r="AO1" s="1241"/>
      <c r="AP1" s="1241"/>
      <c r="AQ1" s="1241"/>
      <c r="AR1" s="1241"/>
      <c r="AS1" s="1241"/>
      <c r="AT1" s="1241"/>
      <c r="AU1" s="1241"/>
      <c r="AV1" s="1241"/>
      <c r="AW1" s="1241"/>
      <c r="AX1" s="1241"/>
      <c r="AY1" s="1241"/>
      <c r="AZ1" s="1241"/>
      <c r="BA1" s="1241"/>
      <c r="BB1" s="1241"/>
      <c r="BC1" s="1241"/>
      <c r="BD1" s="1241"/>
      <c r="BE1" s="1241"/>
      <c r="BF1" s="1241"/>
      <c r="BG1" s="1241"/>
      <c r="BH1" s="1241"/>
      <c r="BI1" s="1241"/>
      <c r="BJ1" s="1241"/>
    </row>
    <row r="2" spans="1:65" ht="18">
      <c r="A2" s="1242" t="s">
        <v>181</v>
      </c>
      <c r="B2" s="1242"/>
      <c r="C2" s="1242"/>
      <c r="D2" s="1242"/>
      <c r="E2" s="1242"/>
      <c r="F2" s="1242"/>
      <c r="G2" s="1242"/>
      <c r="H2" s="1242"/>
      <c r="I2" s="1242"/>
      <c r="J2" s="1242"/>
      <c r="K2" s="1242"/>
      <c r="L2" s="1242"/>
      <c r="M2" s="1242"/>
      <c r="N2" s="1242"/>
      <c r="O2" s="1242"/>
      <c r="P2" s="1242"/>
      <c r="Q2" s="1242"/>
      <c r="R2" s="1242"/>
      <c r="S2" s="1242"/>
      <c r="T2" s="1242"/>
      <c r="U2" s="1242"/>
      <c r="V2" s="1242"/>
      <c r="W2" s="1242"/>
      <c r="X2" s="1242"/>
      <c r="Y2" s="1242"/>
      <c r="Z2" s="1242"/>
      <c r="AA2" s="1242"/>
      <c r="AB2" s="1242"/>
      <c r="AC2" s="1242"/>
      <c r="AD2" s="1242"/>
      <c r="AE2" s="1242"/>
      <c r="AF2" s="1242"/>
      <c r="AG2" s="1242"/>
      <c r="AH2" s="1242"/>
      <c r="AI2" s="1242"/>
      <c r="AJ2" s="1242"/>
      <c r="AK2" s="1242"/>
      <c r="AL2" s="1242"/>
      <c r="AM2" s="1242"/>
      <c r="AN2" s="1242"/>
      <c r="AO2" s="1242"/>
      <c r="AP2" s="1242"/>
      <c r="AQ2" s="1242"/>
      <c r="AR2" s="1242"/>
      <c r="AS2" s="1242"/>
      <c r="AT2" s="1242"/>
      <c r="AU2" s="1242"/>
      <c r="AV2" s="1242"/>
      <c r="AW2" s="1242"/>
      <c r="AX2" s="1242"/>
      <c r="AY2" s="1242"/>
      <c r="AZ2" s="1242"/>
      <c r="BA2" s="1242"/>
      <c r="BB2" s="1242"/>
      <c r="BC2" s="1242"/>
      <c r="BD2" s="1242"/>
      <c r="BE2" s="1242"/>
      <c r="BF2" s="1242"/>
      <c r="BG2" s="1242"/>
      <c r="BH2" s="1242"/>
      <c r="BI2" s="1242"/>
      <c r="BJ2" s="1242"/>
    </row>
    <row r="3" spans="1:65" ht="15.75" customHeight="1">
      <c r="A3" s="1242" t="s">
        <v>182</v>
      </c>
      <c r="B3" s="1242"/>
      <c r="C3" s="1242"/>
      <c r="D3" s="1242"/>
      <c r="E3" s="1242"/>
      <c r="F3" s="1242"/>
      <c r="G3" s="1242"/>
      <c r="H3" s="1242"/>
      <c r="I3" s="1242"/>
      <c r="J3" s="1242"/>
      <c r="K3" s="1242"/>
      <c r="L3" s="1242"/>
      <c r="M3" s="1242"/>
      <c r="N3" s="1242"/>
      <c r="O3" s="1242"/>
      <c r="P3" s="1242"/>
      <c r="Q3" s="1242"/>
      <c r="R3" s="1242"/>
      <c r="S3" s="1242"/>
      <c r="T3" s="1242"/>
      <c r="U3" s="1242"/>
      <c r="V3" s="1242"/>
      <c r="W3" s="1242"/>
      <c r="X3" s="1242"/>
      <c r="Y3" s="1242"/>
      <c r="Z3" s="1242"/>
      <c r="AA3" s="1242"/>
      <c r="AB3" s="1242"/>
      <c r="AC3" s="1242"/>
      <c r="AD3" s="1242"/>
      <c r="AE3" s="1242"/>
      <c r="AF3" s="1242"/>
      <c r="AG3" s="1242"/>
      <c r="AH3" s="1242"/>
      <c r="AI3" s="1242"/>
      <c r="AJ3" s="1242"/>
      <c r="AK3" s="1242"/>
      <c r="AL3" s="1242"/>
      <c r="AM3" s="1242"/>
      <c r="AN3" s="1242"/>
      <c r="AO3" s="1242"/>
      <c r="AP3" s="1242"/>
      <c r="AQ3" s="1242"/>
      <c r="AR3" s="1242"/>
      <c r="AS3" s="1242"/>
      <c r="AT3" s="1242"/>
      <c r="AU3" s="1242"/>
      <c r="AV3" s="1242"/>
      <c r="AW3" s="1242"/>
      <c r="AX3" s="1242"/>
      <c r="AY3" s="1242"/>
      <c r="AZ3" s="1242"/>
      <c r="BA3" s="1242"/>
      <c r="BB3" s="1242"/>
      <c r="BC3" s="1242"/>
      <c r="BD3" s="1242"/>
      <c r="BE3" s="1242"/>
      <c r="BF3" s="1242"/>
      <c r="BG3" s="1242"/>
      <c r="BH3" s="1242"/>
      <c r="BI3" s="1242"/>
      <c r="BJ3" s="1242"/>
    </row>
    <row r="4" spans="1:65" ht="18">
      <c r="A4" s="1242" t="s">
        <v>183</v>
      </c>
      <c r="B4" s="1242"/>
      <c r="C4" s="1242"/>
      <c r="D4" s="1242"/>
      <c r="E4" s="1242"/>
      <c r="F4" s="1242"/>
      <c r="G4" s="1242"/>
      <c r="H4" s="1242"/>
      <c r="I4" s="1242"/>
      <c r="J4" s="1242"/>
      <c r="K4" s="1242"/>
      <c r="L4" s="1242"/>
      <c r="M4" s="1242"/>
      <c r="N4" s="1242"/>
      <c r="O4" s="1242"/>
      <c r="P4" s="1242"/>
      <c r="Q4" s="1242"/>
      <c r="R4" s="1242"/>
      <c r="S4" s="1242"/>
      <c r="T4" s="1242"/>
      <c r="U4" s="1242"/>
      <c r="V4" s="1242"/>
      <c r="W4" s="1242"/>
      <c r="X4" s="1242"/>
      <c r="Y4" s="1242"/>
      <c r="Z4" s="1242"/>
      <c r="AA4" s="1242"/>
      <c r="AB4" s="1242"/>
      <c r="AC4" s="1242"/>
      <c r="AD4" s="1242"/>
      <c r="AE4" s="1242"/>
      <c r="AF4" s="1242"/>
      <c r="AG4" s="1242"/>
      <c r="AH4" s="1242"/>
      <c r="AI4" s="1242"/>
      <c r="AJ4" s="1242"/>
      <c r="AK4" s="1242"/>
      <c r="AL4" s="1242"/>
      <c r="AM4" s="1242"/>
      <c r="AN4" s="1242"/>
      <c r="AO4" s="1242"/>
      <c r="AP4" s="1242"/>
      <c r="AQ4" s="1242"/>
      <c r="AR4" s="1242"/>
      <c r="AS4" s="1242"/>
      <c r="AT4" s="1242"/>
      <c r="AU4" s="1242"/>
      <c r="AV4" s="1242"/>
      <c r="AW4" s="1242"/>
      <c r="AX4" s="1242"/>
      <c r="AY4" s="1242"/>
      <c r="AZ4" s="1242"/>
      <c r="BA4" s="1242"/>
      <c r="BB4" s="1242"/>
      <c r="BC4" s="1242"/>
      <c r="BD4" s="1242"/>
      <c r="BE4" s="1242"/>
      <c r="BF4" s="1242"/>
      <c r="BG4" s="1242"/>
      <c r="BH4" s="1242"/>
      <c r="BI4" s="1242"/>
      <c r="BJ4" s="1242"/>
    </row>
    <row r="5" spans="1:65" ht="9.9499999999999993" customHeight="1">
      <c r="A5" s="468"/>
      <c r="B5" s="468"/>
      <c r="C5" s="468"/>
      <c r="D5" s="468"/>
      <c r="E5" s="468"/>
      <c r="F5" s="468"/>
      <c r="G5" s="468"/>
      <c r="H5" s="468"/>
      <c r="I5" s="468"/>
      <c r="J5" s="468"/>
      <c r="K5" s="468"/>
      <c r="L5" s="468"/>
      <c r="M5" s="468"/>
      <c r="N5" s="468"/>
      <c r="O5" s="468"/>
      <c r="P5" s="468"/>
      <c r="Q5" s="468"/>
      <c r="R5" s="468"/>
      <c r="S5" s="468"/>
      <c r="T5" s="468"/>
      <c r="U5" s="468"/>
      <c r="V5" s="468"/>
      <c r="W5" s="468"/>
      <c r="X5" s="468"/>
      <c r="Y5" s="468"/>
      <c r="Z5" s="468"/>
      <c r="AA5" s="468"/>
      <c r="AB5" s="468"/>
      <c r="AC5" s="468"/>
      <c r="AD5" s="468"/>
      <c r="AE5" s="468"/>
      <c r="AF5" s="468"/>
      <c r="AG5" s="468"/>
      <c r="AH5" s="468"/>
      <c r="AI5" s="468"/>
      <c r="AJ5" s="468"/>
      <c r="AK5" s="468"/>
      <c r="AL5" s="468"/>
      <c r="AM5" s="468"/>
      <c r="AN5" s="468"/>
      <c r="AO5" s="468"/>
      <c r="AP5" s="468"/>
      <c r="AQ5" s="468"/>
      <c r="AR5" s="468"/>
      <c r="AS5" s="468"/>
      <c r="AT5" s="468"/>
      <c r="AU5" s="468"/>
      <c r="AV5" s="468"/>
      <c r="AW5" s="468"/>
      <c r="AX5" s="468"/>
      <c r="AY5" s="468"/>
      <c r="AZ5" s="468"/>
      <c r="BA5" s="468"/>
      <c r="BB5" s="468"/>
      <c r="BC5" s="468"/>
      <c r="BD5" s="468"/>
      <c r="BE5" s="468"/>
      <c r="BF5" s="468"/>
      <c r="BG5" s="468"/>
      <c r="BH5" s="468"/>
      <c r="BI5" s="468"/>
      <c r="BJ5" s="468"/>
    </row>
    <row r="6" spans="1:65" ht="12" customHeight="1">
      <c r="A6" s="1470"/>
      <c r="B6" s="1470"/>
      <c r="C6" s="1470"/>
      <c r="D6" s="1470"/>
      <c r="E6" s="1470"/>
      <c r="F6" s="469"/>
      <c r="G6" s="469"/>
      <c r="H6" s="469"/>
      <c r="I6" s="469"/>
      <c r="J6" s="469"/>
      <c r="K6" s="469"/>
      <c r="L6" s="469"/>
      <c r="M6" s="469"/>
      <c r="N6" s="469"/>
      <c r="O6" s="469"/>
      <c r="P6" s="469"/>
      <c r="Q6" s="469"/>
      <c r="R6" s="469"/>
      <c r="S6" s="469"/>
      <c r="T6" s="469"/>
      <c r="U6" s="469"/>
      <c r="V6" s="469"/>
      <c r="W6" s="469"/>
      <c r="X6" s="469"/>
      <c r="Y6" s="469"/>
      <c r="Z6" s="469"/>
      <c r="AA6" s="469"/>
      <c r="AB6" s="469"/>
      <c r="AC6" s="469"/>
      <c r="AD6" s="469"/>
      <c r="AE6" s="469"/>
      <c r="AF6" s="469"/>
      <c r="AG6" s="469"/>
      <c r="AH6" s="469"/>
      <c r="AI6" s="469"/>
      <c r="AJ6" s="469"/>
      <c r="AK6" s="469"/>
      <c r="AL6" s="469"/>
      <c r="AM6" s="469"/>
      <c r="AN6" s="469"/>
      <c r="AO6" s="469"/>
      <c r="AP6" s="469"/>
      <c r="AQ6" s="469"/>
      <c r="AR6" s="469"/>
      <c r="AS6" s="469"/>
      <c r="AT6" s="469"/>
      <c r="AU6" s="469"/>
      <c r="AV6" s="469"/>
      <c r="AW6" s="469"/>
      <c r="AX6" s="469"/>
      <c r="AY6" s="469"/>
      <c r="AZ6" s="469"/>
      <c r="BA6" s="469"/>
      <c r="BB6" s="469"/>
      <c r="BC6" s="469"/>
      <c r="BD6" s="469"/>
      <c r="BE6" s="469"/>
      <c r="BF6" s="469"/>
      <c r="BG6" s="469"/>
      <c r="BH6" s="469"/>
      <c r="BI6" s="469"/>
      <c r="BJ6" s="469"/>
    </row>
    <row r="7" spans="1:65" customFormat="1">
      <c r="A7" s="61" t="s">
        <v>184</v>
      </c>
      <c r="B7" s="449" t="s">
        <v>185</v>
      </c>
      <c r="C7" s="304"/>
      <c r="D7" s="304"/>
      <c r="E7" s="304"/>
      <c r="F7" s="304"/>
      <c r="G7" s="304"/>
      <c r="H7" s="304"/>
      <c r="I7" s="3"/>
      <c r="J7" s="338"/>
      <c r="K7" s="338"/>
      <c r="L7" s="304"/>
      <c r="M7" s="3"/>
      <c r="N7" s="304"/>
      <c r="O7" s="304"/>
      <c r="P7" s="304"/>
      <c r="Q7" s="977"/>
      <c r="R7" s="977"/>
      <c r="S7" s="3"/>
      <c r="T7" s="3"/>
      <c r="U7" s="3"/>
      <c r="V7" s="3"/>
      <c r="W7" s="3"/>
      <c r="X7" s="3"/>
      <c r="Y7" s="3"/>
      <c r="Z7" s="3"/>
      <c r="AA7" s="3"/>
      <c r="AB7" s="3"/>
      <c r="AC7" s="3"/>
      <c r="AD7" s="3"/>
      <c r="AE7" s="3"/>
      <c r="AF7" s="3"/>
      <c r="AG7" s="3"/>
      <c r="AH7" s="3"/>
      <c r="AI7" s="3"/>
      <c r="AJ7" s="3"/>
      <c r="BB7" s="63" t="s">
        <v>186</v>
      </c>
      <c r="BG7" s="1261">
        <v>5601</v>
      </c>
      <c r="BH7" s="1261"/>
      <c r="BI7" s="1261"/>
      <c r="BJ7" s="1261"/>
    </row>
    <row r="8" spans="1:65" customFormat="1" ht="9.75" customHeight="1">
      <c r="A8" s="61"/>
      <c r="B8" s="61"/>
      <c r="C8" s="62"/>
      <c r="D8" s="62"/>
      <c r="E8" s="62"/>
      <c r="F8" s="62"/>
      <c r="G8" s="62"/>
      <c r="H8" s="62"/>
      <c r="I8" s="63"/>
      <c r="J8" s="64"/>
      <c r="K8" s="64"/>
      <c r="L8" s="62"/>
      <c r="M8" s="62"/>
      <c r="N8" s="62"/>
      <c r="O8" s="62"/>
      <c r="P8" s="62"/>
      <c r="Q8" s="967"/>
      <c r="R8" s="967"/>
    </row>
    <row r="9" spans="1:65" customFormat="1" ht="18" customHeight="1">
      <c r="A9" s="63" t="s">
        <v>187</v>
      </c>
      <c r="B9" s="1262" t="s">
        <v>188</v>
      </c>
      <c r="C9" s="1263"/>
      <c r="D9" s="1263"/>
      <c r="E9" s="450"/>
      <c r="F9" s="450"/>
      <c r="G9" s="14"/>
      <c r="H9" s="450"/>
      <c r="I9" s="450" t="s">
        <v>189</v>
      </c>
      <c r="J9" s="450"/>
      <c r="K9" s="450"/>
      <c r="L9" s="450"/>
      <c r="M9" s="450"/>
      <c r="N9" s="450"/>
      <c r="O9" s="450"/>
      <c r="P9" s="450"/>
      <c r="Q9" s="1179"/>
      <c r="R9" s="1179"/>
      <c r="S9" s="14"/>
      <c r="T9" s="14"/>
      <c r="U9" s="14"/>
      <c r="V9" s="14"/>
      <c r="W9" s="14"/>
      <c r="X9" s="14"/>
      <c r="Y9" s="14"/>
      <c r="Z9" s="14"/>
      <c r="AA9" s="14"/>
      <c r="AB9" s="14"/>
      <c r="AC9" s="14"/>
      <c r="AD9" s="14"/>
      <c r="AE9" s="14"/>
      <c r="AF9" s="14"/>
      <c r="AG9" s="14"/>
      <c r="AH9" s="5"/>
      <c r="BF9" s="64" t="s">
        <v>190</v>
      </c>
    </row>
    <row r="10" spans="1:65" customFormat="1" ht="18" customHeight="1">
      <c r="A10" s="88"/>
      <c r="B10" s="1262" t="s">
        <v>191</v>
      </c>
      <c r="C10" s="1263"/>
      <c r="D10" s="1263"/>
      <c r="E10" s="450"/>
      <c r="F10" s="450"/>
      <c r="G10" s="450"/>
      <c r="H10" s="450"/>
      <c r="I10" s="450" t="s">
        <v>192</v>
      </c>
      <c r="J10" s="450"/>
      <c r="K10" s="450"/>
      <c r="L10" s="450"/>
      <c r="M10" s="450"/>
      <c r="N10" s="450"/>
      <c r="O10" s="450"/>
      <c r="P10" s="450"/>
      <c r="Q10" s="1179"/>
      <c r="R10" s="1179"/>
      <c r="S10" s="14"/>
      <c r="T10" s="14"/>
      <c r="U10" s="14"/>
      <c r="V10" s="14"/>
      <c r="W10" s="14"/>
      <c r="X10" s="14"/>
      <c r="Y10" s="14"/>
      <c r="Z10" s="14"/>
      <c r="AA10" s="14"/>
      <c r="AB10" s="14"/>
      <c r="AC10" s="14"/>
      <c r="AD10" s="14"/>
      <c r="AE10" s="14"/>
      <c r="AF10" s="14"/>
      <c r="AG10" s="14"/>
      <c r="AH10" s="5"/>
      <c r="BF10" s="64" t="s">
        <v>193</v>
      </c>
    </row>
    <row r="11" spans="1:65" s="472" customFormat="1">
      <c r="A11" s="470"/>
      <c r="B11" s="470"/>
      <c r="C11" s="470"/>
      <c r="D11" s="470"/>
      <c r="E11" s="470"/>
      <c r="F11" s="471"/>
      <c r="G11" s="471"/>
      <c r="H11" s="471"/>
      <c r="I11" s="471"/>
      <c r="J11" s="471"/>
      <c r="K11" s="471"/>
      <c r="L11" s="471"/>
      <c r="M11" s="471"/>
      <c r="N11" s="471"/>
      <c r="O11" s="471"/>
      <c r="P11" s="471"/>
      <c r="Q11" s="471"/>
      <c r="R11" s="471"/>
      <c r="S11" s="471"/>
      <c r="T11" s="471"/>
      <c r="U11" s="471"/>
      <c r="V11" s="471"/>
      <c r="W11" s="471"/>
      <c r="X11" s="471"/>
      <c r="Y11" s="471"/>
      <c r="Z11" s="471"/>
      <c r="AA11" s="471"/>
      <c r="AB11" s="471"/>
      <c r="AC11" s="471"/>
      <c r="AD11" s="471"/>
      <c r="AE11" s="471"/>
      <c r="AF11" s="471"/>
      <c r="AG11" s="471"/>
      <c r="AH11" s="471"/>
      <c r="AI11" s="471"/>
      <c r="AJ11" s="471"/>
      <c r="AK11" s="471"/>
      <c r="AL11" s="471"/>
      <c r="AM11" s="471"/>
      <c r="AN11" s="471"/>
      <c r="AO11" s="471"/>
      <c r="AP11" s="471"/>
      <c r="AQ11" s="471"/>
      <c r="AR11" s="471"/>
      <c r="AS11" s="471"/>
      <c r="AT11" s="471"/>
      <c r="AU11" s="471"/>
      <c r="AV11" s="471"/>
      <c r="AW11" s="471"/>
      <c r="AX11" s="471"/>
      <c r="AY11" s="471"/>
      <c r="AZ11" s="471"/>
      <c r="BA11" s="471"/>
      <c r="BB11" s="471"/>
      <c r="BC11" s="471"/>
      <c r="BD11" s="473"/>
      <c r="BE11" s="474"/>
      <c r="BF11" s="475"/>
      <c r="BG11" s="475"/>
      <c r="BH11" s="475"/>
      <c r="BI11" s="475"/>
      <c r="BJ11" s="473"/>
      <c r="BK11" s="473"/>
    </row>
    <row r="12" spans="1:65" ht="18" customHeight="1">
      <c r="A12" s="1471" t="s">
        <v>130</v>
      </c>
      <c r="B12" s="476" t="s">
        <v>194</v>
      </c>
      <c r="C12" s="477"/>
      <c r="D12" s="477"/>
      <c r="E12" s="477"/>
      <c r="F12" s="477"/>
      <c r="G12" s="477"/>
      <c r="H12" s="477"/>
      <c r="I12" s="477"/>
      <c r="J12" s="477"/>
      <c r="K12" s="477"/>
      <c r="L12" s="477"/>
      <c r="M12" s="477"/>
      <c r="N12" s="477"/>
      <c r="O12" s="477"/>
      <c r="P12" s="477"/>
      <c r="Q12" s="477"/>
      <c r="R12" s="477"/>
      <c r="S12" s="477"/>
      <c r="T12" s="477"/>
      <c r="U12" s="477"/>
      <c r="V12" s="477"/>
      <c r="W12" s="477"/>
      <c r="X12" s="477"/>
      <c r="Y12" s="477"/>
      <c r="Z12" s="478"/>
      <c r="AA12" s="478"/>
      <c r="AB12" s="478"/>
      <c r="AC12" s="478"/>
      <c r="AD12" s="478"/>
      <c r="AE12" s="478"/>
      <c r="AF12" s="478"/>
      <c r="AG12" s="478"/>
      <c r="AV12" s="479" t="s">
        <v>195</v>
      </c>
      <c r="BD12" s="479"/>
      <c r="BE12" s="479"/>
      <c r="BF12" s="479"/>
      <c r="BG12" s="1243" t="str">
        <f>+'ESTADO RED VIS'!G8</f>
        <v>ENE - MAR / 2023</v>
      </c>
      <c r="BH12" s="1243"/>
      <c r="BI12" s="1243"/>
      <c r="BJ12" s="1243"/>
    </row>
    <row r="13" spans="1:65" ht="13.5" thickBot="1">
      <c r="A13" s="480"/>
      <c r="B13" s="480"/>
      <c r="C13" s="480"/>
      <c r="D13" s="480"/>
      <c r="E13" s="480"/>
      <c r="F13" s="481"/>
      <c r="G13" s="481"/>
      <c r="H13" s="481"/>
      <c r="I13" s="481"/>
      <c r="J13" s="481"/>
      <c r="K13" s="481"/>
      <c r="L13" s="481"/>
      <c r="M13" s="481"/>
      <c r="N13" s="481"/>
      <c r="O13" s="481"/>
      <c r="P13" s="481"/>
      <c r="Q13" s="481"/>
      <c r="R13" s="481"/>
      <c r="S13" s="481"/>
      <c r="T13" s="481"/>
      <c r="U13" s="481"/>
      <c r="V13" s="481"/>
      <c r="W13" s="481"/>
      <c r="X13" s="481"/>
      <c r="Y13" s="481"/>
      <c r="Z13" s="481"/>
      <c r="AA13" s="481"/>
      <c r="AB13" s="481"/>
      <c r="AC13" s="481"/>
      <c r="AD13" s="481"/>
      <c r="AE13" s="481"/>
      <c r="AF13" s="481"/>
      <c r="AG13" s="481"/>
      <c r="AH13" s="482"/>
      <c r="AI13" s="482"/>
      <c r="AJ13" s="482"/>
      <c r="AK13" s="482"/>
      <c r="AL13" s="482"/>
      <c r="AM13" s="482"/>
      <c r="AN13" s="482"/>
      <c r="AO13" s="482"/>
      <c r="AP13" s="482"/>
      <c r="AQ13" s="482"/>
      <c r="AR13" s="482"/>
      <c r="AS13" s="482"/>
      <c r="AT13" s="482"/>
      <c r="AU13" s="482"/>
      <c r="AV13" s="482"/>
      <c r="AW13" s="482"/>
      <c r="AX13" s="482"/>
      <c r="AY13" s="482"/>
      <c r="AZ13" s="482"/>
      <c r="BA13" s="482"/>
      <c r="BB13" s="482"/>
      <c r="BC13" s="482"/>
      <c r="BD13" s="482"/>
      <c r="BE13" s="482"/>
      <c r="BF13" s="482"/>
      <c r="BG13" s="482"/>
      <c r="BH13" s="482"/>
      <c r="BI13" s="482"/>
      <c r="BJ13" s="482"/>
      <c r="BK13" s="483"/>
      <c r="BL13" s="483"/>
      <c r="BM13" s="483"/>
    </row>
    <row r="14" spans="1:65" ht="17.100000000000001" customHeight="1">
      <c r="A14" s="484"/>
      <c r="B14" s="485"/>
      <c r="C14" s="485"/>
      <c r="D14" s="485"/>
      <c r="E14" s="485"/>
      <c r="F14" s="486"/>
      <c r="G14" s="486"/>
      <c r="H14" s="486"/>
      <c r="I14" s="486"/>
      <c r="J14" s="486"/>
      <c r="K14" s="486"/>
      <c r="L14" s="486"/>
      <c r="M14" s="486"/>
      <c r="N14" s="486"/>
      <c r="O14" s="486"/>
      <c r="P14" s="486"/>
      <c r="Q14" s="486"/>
      <c r="R14" s="486"/>
      <c r="S14" s="486"/>
      <c r="T14" s="486"/>
      <c r="U14" s="486"/>
      <c r="V14" s="486"/>
      <c r="W14" s="486"/>
      <c r="X14" s="486"/>
      <c r="Y14" s="486"/>
      <c r="Z14" s="486"/>
      <c r="AA14" s="486"/>
      <c r="AB14" s="486"/>
      <c r="AC14" s="486"/>
      <c r="AD14" s="486"/>
      <c r="AE14" s="486"/>
      <c r="AF14" s="486"/>
      <c r="AG14" s="486"/>
      <c r="AH14" s="485"/>
      <c r="AI14" s="485"/>
      <c r="AJ14" s="485"/>
      <c r="AK14" s="485"/>
      <c r="AL14" s="485"/>
      <c r="AM14" s="485"/>
      <c r="AN14" s="485"/>
      <c r="AO14" s="485"/>
      <c r="AP14" s="485"/>
      <c r="AQ14" s="485"/>
      <c r="AR14" s="485"/>
      <c r="AS14" s="485"/>
      <c r="AT14" s="485"/>
      <c r="AU14" s="485"/>
      <c r="AV14" s="485"/>
      <c r="AW14" s="485"/>
      <c r="AX14" s="485"/>
      <c r="AY14" s="485"/>
      <c r="AZ14" s="485"/>
      <c r="BA14" s="485"/>
      <c r="BB14" s="485"/>
      <c r="BC14" s="485"/>
      <c r="BD14" s="485"/>
      <c r="BE14" s="485"/>
      <c r="BF14" s="485"/>
      <c r="BG14" s="485"/>
      <c r="BH14" s="485"/>
      <c r="BI14" s="487"/>
      <c r="BJ14" s="488"/>
    </row>
    <row r="15" spans="1:65" ht="17.100000000000001" customHeight="1">
      <c r="A15" s="489"/>
      <c r="F15" s="490"/>
      <c r="G15" s="490"/>
      <c r="H15" s="490"/>
      <c r="I15" s="490"/>
      <c r="J15" s="490"/>
      <c r="K15" s="490"/>
      <c r="L15" s="490"/>
      <c r="M15" s="490"/>
      <c r="N15" s="490"/>
      <c r="O15" s="490"/>
      <c r="P15" s="490"/>
      <c r="Q15" s="490"/>
      <c r="R15" s="490"/>
      <c r="S15" s="490"/>
      <c r="T15" s="490"/>
      <c r="U15" s="490"/>
      <c r="V15" s="490"/>
      <c r="W15" s="490"/>
      <c r="X15" s="490"/>
      <c r="Y15" s="490"/>
      <c r="Z15" s="490"/>
      <c r="AA15" s="490"/>
      <c r="AB15" s="490"/>
      <c r="AC15" s="490"/>
      <c r="AD15" s="490"/>
      <c r="AE15" s="490"/>
      <c r="AF15" s="490"/>
      <c r="AG15" s="490"/>
      <c r="AH15" s="491"/>
      <c r="AI15" s="491"/>
      <c r="AJ15" s="491"/>
      <c r="AK15" s="491"/>
      <c r="AL15" s="491"/>
      <c r="AM15" s="491"/>
      <c r="AN15" s="491"/>
      <c r="AO15" s="491"/>
      <c r="AP15" s="491"/>
      <c r="AQ15" s="491"/>
      <c r="AR15" s="491"/>
      <c r="AS15" s="491"/>
      <c r="AT15" s="491"/>
      <c r="AU15" s="491"/>
      <c r="AV15" s="491"/>
      <c r="AW15" s="491"/>
      <c r="AX15" s="491"/>
      <c r="AY15" s="491"/>
      <c r="AZ15" s="491"/>
      <c r="BA15" s="491"/>
      <c r="BB15" s="491"/>
      <c r="BC15" s="491"/>
      <c r="BD15" s="491"/>
      <c r="BE15" s="491"/>
      <c r="BF15" s="491"/>
      <c r="BG15" s="491"/>
      <c r="BH15" s="491"/>
      <c r="BI15" s="469"/>
      <c r="BJ15" s="492"/>
    </row>
    <row r="16" spans="1:65" ht="17.100000000000001" customHeight="1">
      <c r="A16" s="493"/>
      <c r="B16" s="491"/>
      <c r="C16" s="491"/>
      <c r="D16" s="491"/>
      <c r="E16" s="491"/>
      <c r="F16" s="490"/>
      <c r="G16" s="490"/>
      <c r="H16" s="490"/>
      <c r="I16" s="490"/>
      <c r="J16" s="490"/>
      <c r="K16" s="490"/>
      <c r="L16" s="490"/>
      <c r="M16" s="490"/>
      <c r="N16" s="490"/>
      <c r="O16" s="490"/>
      <c r="P16" s="490"/>
      <c r="Q16" s="490"/>
      <c r="R16" s="490"/>
      <c r="S16" s="490"/>
      <c r="T16" s="490"/>
      <c r="U16" s="490"/>
      <c r="V16" s="490"/>
      <c r="W16" s="490"/>
      <c r="X16" s="490"/>
      <c r="Y16" s="490"/>
      <c r="Z16" s="490"/>
      <c r="AA16" s="490"/>
      <c r="AB16" s="490"/>
      <c r="AC16" s="490"/>
      <c r="AD16" s="490"/>
      <c r="AE16" s="490"/>
      <c r="AF16" s="490"/>
      <c r="AG16" s="490"/>
      <c r="AH16" s="491"/>
      <c r="AI16" s="491"/>
      <c r="AJ16" s="491"/>
      <c r="AK16" s="491"/>
      <c r="AL16" s="491"/>
      <c r="AM16" s="491"/>
      <c r="AN16" s="491"/>
      <c r="AO16" s="491"/>
      <c r="AP16" s="491"/>
      <c r="AQ16" s="491"/>
      <c r="AR16" s="491"/>
      <c r="AS16" s="491"/>
      <c r="AT16" s="491"/>
      <c r="AU16" s="491"/>
      <c r="AV16" s="491"/>
      <c r="AW16" s="491"/>
      <c r="AX16" s="491"/>
      <c r="AY16" s="491"/>
      <c r="AZ16" s="491"/>
      <c r="BA16" s="491"/>
      <c r="BB16" s="491"/>
      <c r="BC16" s="491"/>
      <c r="BD16" s="491"/>
      <c r="BE16" s="491"/>
      <c r="BF16" s="491"/>
      <c r="BG16" s="491"/>
      <c r="BH16" s="491"/>
      <c r="BI16" s="469"/>
      <c r="BJ16" s="492"/>
    </row>
    <row r="17" spans="1:62" ht="17.100000000000001" customHeight="1">
      <c r="A17" s="493"/>
      <c r="B17" s="491"/>
      <c r="C17" s="491"/>
      <c r="D17" s="491"/>
      <c r="E17" s="491"/>
      <c r="F17" s="490"/>
      <c r="G17" s="490"/>
      <c r="H17" s="490"/>
      <c r="I17" s="490"/>
      <c r="J17" s="490"/>
      <c r="K17" s="490"/>
      <c r="L17" s="490"/>
      <c r="M17" s="490"/>
      <c r="N17" s="490"/>
      <c r="O17" s="490"/>
      <c r="P17" s="490"/>
      <c r="Q17" s="490"/>
      <c r="R17" s="490"/>
      <c r="S17" s="490"/>
      <c r="T17" s="490"/>
      <c r="U17" s="490"/>
      <c r="V17" s="490"/>
      <c r="W17" s="490"/>
      <c r="X17" s="490"/>
      <c r="Y17" s="490"/>
      <c r="Z17" s="490"/>
      <c r="AA17" s="490"/>
      <c r="AB17" s="490"/>
      <c r="AC17" s="490"/>
      <c r="AD17" s="490"/>
      <c r="AE17" s="490"/>
      <c r="AF17" s="490"/>
      <c r="AG17" s="490"/>
      <c r="AH17" s="491"/>
      <c r="AI17" s="491"/>
      <c r="AJ17" s="491"/>
      <c r="AK17" s="491"/>
      <c r="AL17" s="491"/>
      <c r="AM17" s="491"/>
      <c r="AN17" s="491"/>
      <c r="AO17" s="491"/>
      <c r="AP17" s="491"/>
      <c r="AQ17" s="491"/>
      <c r="AR17" s="491"/>
      <c r="AS17" s="491"/>
      <c r="AT17" s="491"/>
      <c r="AU17" s="491"/>
      <c r="AV17" s="491"/>
      <c r="AW17" s="491"/>
      <c r="AX17" s="491"/>
      <c r="AY17" s="491"/>
      <c r="AZ17" s="491"/>
      <c r="BA17" s="491"/>
      <c r="BB17" s="491"/>
      <c r="BC17" s="491"/>
      <c r="BD17" s="491"/>
      <c r="BE17" s="491"/>
      <c r="BF17" s="491"/>
      <c r="BG17" s="491"/>
      <c r="BH17" s="491"/>
      <c r="BI17" s="469"/>
      <c r="BJ17" s="492"/>
    </row>
    <row r="18" spans="1:62" ht="17.100000000000001" customHeight="1">
      <c r="A18" s="493"/>
      <c r="B18" s="491"/>
      <c r="C18" s="491"/>
      <c r="D18" s="491"/>
      <c r="E18" s="491"/>
      <c r="F18" s="490"/>
      <c r="G18" s="490"/>
      <c r="H18" s="490"/>
      <c r="I18" s="490"/>
      <c r="J18" s="490"/>
      <c r="K18" s="490"/>
      <c r="L18" s="490"/>
      <c r="M18" s="490"/>
      <c r="N18" s="490"/>
      <c r="O18" s="490"/>
      <c r="P18" s="490"/>
      <c r="Q18" s="490"/>
      <c r="R18" s="490"/>
      <c r="S18" s="490"/>
      <c r="T18" s="490"/>
      <c r="U18" s="490"/>
      <c r="V18" s="490"/>
      <c r="W18" s="490"/>
      <c r="X18" s="490"/>
      <c r="Y18" s="490"/>
      <c r="Z18" s="490"/>
      <c r="AA18" s="490"/>
      <c r="AB18" s="490"/>
      <c r="AC18" s="490"/>
      <c r="AD18" s="490"/>
      <c r="AE18" s="490"/>
      <c r="AF18" s="490"/>
      <c r="AG18" s="490"/>
      <c r="AH18" s="491"/>
      <c r="AI18" s="491"/>
      <c r="AJ18" s="491"/>
      <c r="AK18" s="491"/>
      <c r="AL18" s="491"/>
      <c r="AM18" s="491"/>
      <c r="AN18" s="491"/>
      <c r="AO18" s="491"/>
      <c r="AP18" s="491"/>
      <c r="AQ18" s="491"/>
      <c r="AR18" s="491"/>
      <c r="AS18" s="491"/>
      <c r="AT18" s="491"/>
      <c r="AU18" s="491"/>
      <c r="AV18" s="491"/>
      <c r="AW18" s="491"/>
      <c r="AX18" s="491"/>
      <c r="AY18" s="491"/>
      <c r="AZ18" s="491"/>
      <c r="BA18" s="491"/>
      <c r="BB18" s="491"/>
      <c r="BC18" s="491"/>
      <c r="BD18" s="491"/>
      <c r="BE18" s="491"/>
      <c r="BF18" s="491"/>
      <c r="BG18" s="491"/>
      <c r="BH18" s="491"/>
      <c r="BI18" s="469"/>
      <c r="BJ18" s="492"/>
    </row>
    <row r="19" spans="1:62" ht="17.100000000000001" customHeight="1">
      <c r="A19" s="493"/>
      <c r="B19" s="491"/>
      <c r="C19" s="491"/>
      <c r="D19" s="491"/>
      <c r="E19" s="491"/>
      <c r="F19" s="490"/>
      <c r="G19" s="490"/>
      <c r="H19" s="490"/>
      <c r="I19" s="490"/>
      <c r="J19" s="490"/>
      <c r="K19" s="490"/>
      <c r="L19" s="490"/>
      <c r="M19" s="490"/>
      <c r="N19" s="490"/>
      <c r="O19" s="490"/>
      <c r="P19" s="490"/>
      <c r="Q19" s="490"/>
      <c r="R19" s="490"/>
      <c r="S19" s="490"/>
      <c r="T19" s="490"/>
      <c r="U19" s="490"/>
      <c r="V19" s="490"/>
      <c r="W19" s="490"/>
      <c r="X19" s="490"/>
      <c r="Y19" s="490"/>
      <c r="Z19" s="490"/>
      <c r="AA19" s="490"/>
      <c r="AB19" s="490"/>
      <c r="AC19" s="490"/>
      <c r="AD19" s="490"/>
      <c r="AE19" s="490"/>
      <c r="AF19" s="490"/>
      <c r="AG19" s="490"/>
      <c r="AH19" s="491"/>
      <c r="AI19" s="491"/>
      <c r="AJ19" s="491"/>
      <c r="AK19" s="491"/>
      <c r="AL19" s="491"/>
      <c r="AM19" s="491"/>
      <c r="AN19" s="491"/>
      <c r="AO19" s="491"/>
      <c r="AP19" s="491"/>
      <c r="AQ19" s="491"/>
      <c r="AR19" s="491"/>
      <c r="AS19" s="491"/>
      <c r="AT19" s="491"/>
      <c r="AU19" s="491"/>
      <c r="AV19" s="491"/>
      <c r="AW19" s="491"/>
      <c r="AX19" s="491"/>
      <c r="AY19" s="491"/>
      <c r="AZ19" s="491"/>
      <c r="BA19" s="491"/>
      <c r="BB19" s="491"/>
      <c r="BC19" s="491"/>
      <c r="BD19" s="491"/>
      <c r="BE19" s="491"/>
      <c r="BF19" s="491"/>
      <c r="BG19" s="491"/>
      <c r="BH19" s="491"/>
      <c r="BI19" s="469"/>
      <c r="BJ19" s="492"/>
    </row>
    <row r="20" spans="1:62" ht="17.100000000000001" customHeight="1">
      <c r="A20" s="493"/>
      <c r="B20" s="491"/>
      <c r="C20" s="491"/>
      <c r="D20" s="491"/>
      <c r="E20" s="491"/>
      <c r="F20" s="490"/>
      <c r="G20" s="490"/>
      <c r="H20" s="490"/>
      <c r="I20" s="490"/>
      <c r="J20" s="490"/>
      <c r="K20" s="490"/>
      <c r="L20" s="490"/>
      <c r="M20" s="490"/>
      <c r="N20" s="490"/>
      <c r="O20" s="490"/>
      <c r="P20" s="490"/>
      <c r="Q20" s="490"/>
      <c r="R20" s="490"/>
      <c r="S20" s="490"/>
      <c r="T20" s="490"/>
      <c r="U20" s="490"/>
      <c r="V20" s="490"/>
      <c r="W20" s="490"/>
      <c r="X20" s="490"/>
      <c r="Y20" s="490"/>
      <c r="Z20" s="490"/>
      <c r="AA20" s="490"/>
      <c r="AB20" s="490"/>
      <c r="AC20" s="490"/>
      <c r="AD20" s="490"/>
      <c r="AE20" s="490"/>
      <c r="AF20" s="490"/>
      <c r="AG20" s="490"/>
      <c r="AH20" s="491"/>
      <c r="AI20" s="491"/>
      <c r="AJ20" s="491"/>
      <c r="AK20" s="491"/>
      <c r="AL20" s="491"/>
      <c r="AM20" s="491"/>
      <c r="AN20" s="491"/>
      <c r="AO20" s="491"/>
      <c r="AP20" s="491"/>
      <c r="AQ20" s="491"/>
      <c r="AR20" s="491"/>
      <c r="AS20" s="491"/>
      <c r="AT20" s="491"/>
      <c r="AU20" s="491"/>
      <c r="AV20" s="491"/>
      <c r="AW20" s="491"/>
      <c r="AX20" s="491"/>
      <c r="AY20" s="491"/>
      <c r="AZ20" s="491"/>
      <c r="BA20" s="491"/>
      <c r="BB20" s="491"/>
      <c r="BC20" s="491"/>
      <c r="BD20" s="491"/>
      <c r="BE20" s="491"/>
      <c r="BF20" s="491"/>
      <c r="BG20" s="491"/>
      <c r="BH20" s="491"/>
      <c r="BI20" s="469"/>
      <c r="BJ20" s="492"/>
    </row>
    <row r="21" spans="1:62" ht="17.100000000000001" customHeight="1">
      <c r="A21" s="493"/>
      <c r="B21" s="491"/>
      <c r="C21" s="491"/>
      <c r="D21" s="491"/>
      <c r="E21" s="491"/>
      <c r="F21" s="490"/>
      <c r="G21" s="490"/>
      <c r="H21" s="490"/>
      <c r="I21" s="490"/>
      <c r="J21" s="490"/>
      <c r="K21" s="490"/>
      <c r="L21" s="490"/>
      <c r="M21" s="490"/>
      <c r="N21" s="490"/>
      <c r="O21" s="490"/>
      <c r="P21" s="490"/>
      <c r="Q21" s="490"/>
      <c r="R21" s="490"/>
      <c r="S21" s="490"/>
      <c r="T21" s="490"/>
      <c r="U21" s="490"/>
      <c r="V21" s="490"/>
      <c r="W21" s="490"/>
      <c r="X21" s="490"/>
      <c r="Y21" s="490"/>
      <c r="Z21" s="490"/>
      <c r="AA21" s="490"/>
      <c r="AB21" s="490"/>
      <c r="AC21" s="490"/>
      <c r="AD21" s="490"/>
      <c r="AE21" s="490"/>
      <c r="AF21" s="490"/>
      <c r="AG21" s="490"/>
      <c r="AH21" s="491"/>
      <c r="AI21" s="491"/>
      <c r="AJ21" s="491"/>
      <c r="AK21" s="491"/>
      <c r="AL21" s="491"/>
      <c r="AM21" s="491"/>
      <c r="AN21" s="491"/>
      <c r="AO21" s="491"/>
      <c r="AP21" s="491"/>
      <c r="AQ21" s="491"/>
      <c r="AR21" s="491"/>
      <c r="AS21" s="491"/>
      <c r="AT21" s="491"/>
      <c r="AU21" s="491"/>
      <c r="AV21" s="491"/>
      <c r="AW21" s="491"/>
      <c r="AX21" s="491"/>
      <c r="AY21" s="491"/>
      <c r="AZ21" s="491"/>
      <c r="BA21" s="491"/>
      <c r="BB21" s="491"/>
      <c r="BC21" s="491"/>
      <c r="BD21" s="491"/>
      <c r="BE21" s="491"/>
      <c r="BF21" s="491"/>
      <c r="BG21" s="491"/>
      <c r="BH21" s="491"/>
      <c r="BI21" s="469"/>
      <c r="BJ21" s="492"/>
    </row>
    <row r="22" spans="1:62" ht="17.100000000000001" customHeight="1">
      <c r="A22" s="493"/>
      <c r="B22" s="491"/>
      <c r="C22" s="491"/>
      <c r="D22" s="491"/>
      <c r="E22" s="491"/>
      <c r="F22" s="490"/>
      <c r="G22" s="490"/>
      <c r="H22" s="490"/>
      <c r="I22" s="490"/>
      <c r="J22" s="490"/>
      <c r="K22" s="490"/>
      <c r="L22" s="490"/>
      <c r="M22" s="490"/>
      <c r="N22" s="490"/>
      <c r="O22" s="490"/>
      <c r="P22" s="490"/>
      <c r="Q22" s="490"/>
      <c r="R22" s="490"/>
      <c r="S22" s="490"/>
      <c r="T22" s="490"/>
      <c r="U22" s="490"/>
      <c r="V22" s="490"/>
      <c r="W22" s="490"/>
      <c r="X22" s="490"/>
      <c r="Y22" s="490"/>
      <c r="Z22" s="490"/>
      <c r="AA22" s="490"/>
      <c r="AB22" s="490"/>
      <c r="AC22" s="490"/>
      <c r="AD22" s="490"/>
      <c r="AE22" s="490"/>
      <c r="AF22" s="490"/>
      <c r="AG22" s="490"/>
      <c r="AH22" s="491"/>
      <c r="AI22" s="491"/>
      <c r="AJ22" s="491"/>
      <c r="AK22" s="491"/>
      <c r="AL22" s="491"/>
      <c r="AM22" s="491"/>
      <c r="AN22" s="491"/>
      <c r="AO22" s="491"/>
      <c r="AP22" s="491"/>
      <c r="AQ22" s="491"/>
      <c r="AR22" s="491"/>
      <c r="AS22" s="491"/>
      <c r="AT22" s="491"/>
      <c r="AU22" s="491"/>
      <c r="AV22" s="491"/>
      <c r="AW22" s="491"/>
      <c r="AX22" s="491"/>
      <c r="AY22" s="491"/>
      <c r="AZ22" s="491"/>
      <c r="BA22" s="491"/>
      <c r="BB22" s="491"/>
      <c r="BC22" s="491"/>
      <c r="BD22" s="491"/>
      <c r="BE22" s="491"/>
      <c r="BF22" s="491"/>
      <c r="BG22" s="491"/>
      <c r="BH22" s="491"/>
      <c r="BI22" s="469"/>
      <c r="BJ22" s="492"/>
    </row>
    <row r="23" spans="1:62" ht="17.100000000000001" customHeight="1">
      <c r="A23" s="493"/>
      <c r="B23" s="491"/>
      <c r="C23" s="491"/>
      <c r="D23" s="491"/>
      <c r="E23" s="491"/>
      <c r="F23" s="490"/>
      <c r="G23" s="490"/>
      <c r="H23" s="490"/>
      <c r="I23" s="490"/>
      <c r="J23" s="490"/>
      <c r="K23" s="490"/>
      <c r="L23" s="490"/>
      <c r="M23" s="490"/>
      <c r="N23" s="490"/>
      <c r="O23" s="490"/>
      <c r="P23" s="490"/>
      <c r="Q23" s="490"/>
      <c r="R23" s="490"/>
      <c r="S23" s="490"/>
      <c r="T23" s="490"/>
      <c r="U23" s="490"/>
      <c r="V23" s="490"/>
      <c r="W23" s="490"/>
      <c r="X23" s="490"/>
      <c r="Y23" s="490"/>
      <c r="Z23" s="490"/>
      <c r="AA23" s="490"/>
      <c r="AB23" s="490"/>
      <c r="AC23" s="490"/>
      <c r="AD23" s="490"/>
      <c r="AE23" s="490"/>
      <c r="AF23" s="490"/>
      <c r="AG23" s="490"/>
      <c r="AH23" s="491"/>
      <c r="AI23" s="491"/>
      <c r="AJ23" s="491"/>
      <c r="AK23" s="491"/>
      <c r="AL23" s="491"/>
      <c r="AM23" s="491"/>
      <c r="AN23" s="491"/>
      <c r="AO23" s="491"/>
      <c r="AP23" s="491"/>
      <c r="AQ23" s="491"/>
      <c r="AR23" s="491"/>
      <c r="AS23" s="491"/>
      <c r="AT23" s="491"/>
      <c r="AU23" s="491"/>
      <c r="AV23" s="491"/>
      <c r="AW23" s="491"/>
      <c r="AX23" s="491"/>
      <c r="AY23" s="491"/>
      <c r="AZ23" s="491"/>
      <c r="BA23" s="491"/>
      <c r="BB23" s="491"/>
      <c r="BC23" s="491"/>
      <c r="BD23" s="491"/>
      <c r="BE23" s="491"/>
      <c r="BF23" s="491"/>
      <c r="BG23" s="491"/>
      <c r="BH23" s="491"/>
      <c r="BI23" s="469"/>
      <c r="BJ23" s="492"/>
    </row>
    <row r="24" spans="1:62" ht="17.100000000000001" customHeight="1">
      <c r="A24" s="493"/>
      <c r="B24" s="491"/>
      <c r="C24" s="491"/>
      <c r="D24" s="491"/>
      <c r="E24" s="491"/>
      <c r="F24" s="490"/>
      <c r="G24" s="490"/>
      <c r="H24" s="490"/>
      <c r="I24" s="490"/>
      <c r="J24" s="490"/>
      <c r="K24" s="490"/>
      <c r="L24" s="490"/>
      <c r="M24" s="490"/>
      <c r="N24" s="490"/>
      <c r="O24" s="490"/>
      <c r="P24" s="490"/>
      <c r="Q24" s="490"/>
      <c r="R24" s="490"/>
      <c r="S24" s="490"/>
      <c r="T24" s="490"/>
      <c r="U24" s="490"/>
      <c r="V24" s="490"/>
      <c r="W24" s="490"/>
      <c r="X24" s="490"/>
      <c r="Y24" s="490"/>
      <c r="Z24" s="490"/>
      <c r="AA24" s="490"/>
      <c r="AB24" s="490"/>
      <c r="AC24" s="490"/>
      <c r="AD24" s="490"/>
      <c r="AE24" s="490"/>
      <c r="AF24" s="490"/>
      <c r="AG24" s="490"/>
      <c r="AH24" s="491"/>
      <c r="AI24" s="491"/>
      <c r="AJ24" s="491"/>
      <c r="AK24" s="491"/>
      <c r="AL24" s="491"/>
      <c r="AM24" s="491"/>
      <c r="AN24" s="491"/>
      <c r="AO24" s="491"/>
      <c r="AP24" s="491"/>
      <c r="AQ24" s="491"/>
      <c r="AR24" s="491"/>
      <c r="AS24" s="491"/>
      <c r="AT24" s="491"/>
      <c r="AU24" s="491"/>
      <c r="AV24" s="491"/>
      <c r="AW24" s="491"/>
      <c r="AX24" s="491"/>
      <c r="AY24" s="491"/>
      <c r="AZ24" s="491"/>
      <c r="BA24" s="491"/>
      <c r="BB24" s="491"/>
      <c r="BC24" s="491"/>
      <c r="BD24" s="491"/>
      <c r="BE24" s="491"/>
      <c r="BF24" s="491"/>
      <c r="BG24" s="491"/>
      <c r="BH24" s="491"/>
      <c r="BI24" s="469"/>
      <c r="BJ24" s="492"/>
    </row>
    <row r="25" spans="1:62" ht="17.100000000000001" customHeight="1">
      <c r="A25" s="493"/>
      <c r="B25" s="491"/>
      <c r="C25" s="491"/>
      <c r="D25" s="491"/>
      <c r="E25" s="491"/>
      <c r="F25" s="490"/>
      <c r="G25" s="490"/>
      <c r="H25" s="490"/>
      <c r="I25" s="490"/>
      <c r="J25" s="490"/>
      <c r="K25" s="490"/>
      <c r="L25" s="490"/>
      <c r="M25" s="490"/>
      <c r="N25" s="490"/>
      <c r="O25" s="490"/>
      <c r="P25" s="490"/>
      <c r="Q25" s="490"/>
      <c r="R25" s="490"/>
      <c r="S25" s="490"/>
      <c r="T25" s="490"/>
      <c r="U25" s="490"/>
      <c r="V25" s="490"/>
      <c r="W25" s="490"/>
      <c r="X25" s="490"/>
      <c r="Y25" s="490"/>
      <c r="Z25" s="490"/>
      <c r="AA25" s="490"/>
      <c r="AB25" s="490"/>
      <c r="AC25" s="490"/>
      <c r="AD25" s="490"/>
      <c r="AE25" s="490"/>
      <c r="AF25" s="490"/>
      <c r="AG25" s="490"/>
      <c r="AH25" s="491"/>
      <c r="AI25" s="491"/>
      <c r="AJ25" s="491"/>
      <c r="AK25" s="491"/>
      <c r="AL25" s="491"/>
      <c r="AM25" s="491"/>
      <c r="AN25" s="491"/>
      <c r="AO25" s="491"/>
      <c r="AP25" s="491"/>
      <c r="AQ25" s="491"/>
      <c r="AR25" s="491"/>
      <c r="AS25" s="491"/>
      <c r="AT25" s="491"/>
      <c r="AU25" s="491"/>
      <c r="AV25" s="491"/>
      <c r="AW25" s="491"/>
      <c r="AX25" s="491"/>
      <c r="AY25" s="491"/>
      <c r="AZ25" s="491"/>
      <c r="BA25" s="491"/>
      <c r="BB25" s="491"/>
      <c r="BC25" s="491"/>
      <c r="BD25" s="491"/>
      <c r="BE25" s="491"/>
      <c r="BF25" s="491"/>
      <c r="BG25" s="491"/>
      <c r="BH25" s="491"/>
      <c r="BI25" s="469"/>
      <c r="BJ25" s="492"/>
    </row>
    <row r="26" spans="1:62" ht="17.100000000000001" customHeight="1">
      <c r="A26" s="493"/>
      <c r="B26" s="491"/>
      <c r="C26" s="491"/>
      <c r="D26" s="491"/>
      <c r="E26" s="491"/>
      <c r="F26" s="490"/>
      <c r="G26" s="490"/>
      <c r="H26" s="490"/>
      <c r="I26" s="490"/>
      <c r="J26" s="490"/>
      <c r="K26" s="490"/>
      <c r="L26" s="490"/>
      <c r="M26" s="490"/>
      <c r="N26" s="490"/>
      <c r="O26" s="490"/>
      <c r="P26" s="490"/>
      <c r="Q26" s="490"/>
      <c r="R26" s="490"/>
      <c r="S26" s="490"/>
      <c r="T26" s="490"/>
      <c r="U26" s="490"/>
      <c r="V26" s="490"/>
      <c r="W26" s="490"/>
      <c r="X26" s="490"/>
      <c r="Y26" s="490"/>
      <c r="Z26" s="490"/>
      <c r="AA26" s="490"/>
      <c r="AB26" s="490"/>
      <c r="AC26" s="490"/>
      <c r="AD26" s="490"/>
      <c r="AE26" s="490"/>
      <c r="AF26" s="490"/>
      <c r="AG26" s="490"/>
      <c r="AH26" s="491"/>
      <c r="AI26" s="491"/>
      <c r="AJ26" s="491"/>
      <c r="AK26" s="491"/>
      <c r="AL26" s="491"/>
      <c r="AM26" s="491"/>
      <c r="AN26" s="491"/>
      <c r="AO26" s="491"/>
      <c r="AP26" s="491"/>
      <c r="AQ26" s="491"/>
      <c r="AR26" s="491"/>
      <c r="AS26" s="491"/>
      <c r="AT26" s="491"/>
      <c r="AU26" s="491"/>
      <c r="AV26" s="491"/>
      <c r="AW26" s="491"/>
      <c r="AX26" s="491"/>
      <c r="AY26" s="491"/>
      <c r="AZ26" s="491"/>
      <c r="BA26" s="491"/>
      <c r="BB26" s="491"/>
      <c r="BC26" s="491"/>
      <c r="BD26" s="491"/>
      <c r="BE26" s="491"/>
      <c r="BF26" s="491"/>
      <c r="BG26" s="491"/>
      <c r="BH26" s="491"/>
      <c r="BI26" s="469"/>
      <c r="BJ26" s="492"/>
    </row>
    <row r="27" spans="1:62" ht="17.100000000000001" customHeight="1">
      <c r="A27" s="493"/>
      <c r="B27" s="491"/>
      <c r="C27" s="491"/>
      <c r="D27" s="491"/>
      <c r="E27" s="491"/>
      <c r="F27" s="490"/>
      <c r="G27" s="490"/>
      <c r="H27" s="490"/>
      <c r="I27" s="490"/>
      <c r="J27" s="490"/>
      <c r="K27" s="490"/>
      <c r="L27" s="490"/>
      <c r="M27" s="490"/>
      <c r="N27" s="490"/>
      <c r="O27" s="490"/>
      <c r="P27" s="490"/>
      <c r="Q27" s="490"/>
      <c r="R27" s="490"/>
      <c r="S27" s="490"/>
      <c r="T27" s="490"/>
      <c r="U27" s="490"/>
      <c r="V27" s="490"/>
      <c r="W27" s="490"/>
      <c r="X27" s="490"/>
      <c r="Y27" s="490"/>
      <c r="Z27" s="490"/>
      <c r="AA27" s="490"/>
      <c r="AB27" s="490"/>
      <c r="AC27" s="490"/>
      <c r="AD27" s="490"/>
      <c r="AE27" s="490"/>
      <c r="AF27" s="490"/>
      <c r="AG27" s="490"/>
      <c r="AH27" s="491"/>
      <c r="AI27" s="491"/>
      <c r="AJ27" s="491"/>
      <c r="AK27" s="491"/>
      <c r="AL27" s="491"/>
      <c r="AM27" s="491"/>
      <c r="AN27" s="491"/>
      <c r="AO27" s="491"/>
      <c r="AP27" s="491"/>
      <c r="AQ27" s="491"/>
      <c r="AR27" s="491"/>
      <c r="AS27" s="491"/>
      <c r="AT27" s="491"/>
      <c r="AU27" s="491"/>
      <c r="AV27" s="491"/>
      <c r="AW27" s="491"/>
      <c r="AX27" s="491"/>
      <c r="AY27" s="491"/>
      <c r="AZ27" s="491"/>
      <c r="BA27" s="491"/>
      <c r="BB27" s="491"/>
      <c r="BC27" s="491"/>
      <c r="BD27" s="491"/>
      <c r="BE27" s="491"/>
      <c r="BF27" s="491"/>
      <c r="BG27" s="491"/>
      <c r="BH27" s="491"/>
      <c r="BI27" s="469"/>
      <c r="BJ27" s="492"/>
    </row>
    <row r="28" spans="1:62" ht="17.100000000000001" customHeight="1">
      <c r="A28" s="493"/>
      <c r="B28" s="491"/>
      <c r="C28" s="491"/>
      <c r="D28" s="491"/>
      <c r="E28" s="491"/>
      <c r="F28" s="490"/>
      <c r="G28" s="490"/>
      <c r="H28" s="490"/>
      <c r="I28" s="490"/>
      <c r="J28" s="490"/>
      <c r="K28" s="490"/>
      <c r="L28" s="490"/>
      <c r="M28" s="490"/>
      <c r="N28" s="490"/>
      <c r="O28" s="490"/>
      <c r="P28" s="490"/>
      <c r="Q28" s="490"/>
      <c r="R28" s="490"/>
      <c r="S28" s="490"/>
      <c r="T28" s="490"/>
      <c r="U28" s="490"/>
      <c r="V28" s="490"/>
      <c r="W28" s="490"/>
      <c r="X28" s="490"/>
      <c r="Y28" s="490"/>
      <c r="Z28" s="490"/>
      <c r="AA28" s="490"/>
      <c r="AB28" s="490"/>
      <c r="AC28" s="490"/>
      <c r="AD28" s="490"/>
      <c r="AE28" s="490"/>
      <c r="AF28" s="490"/>
      <c r="AG28" s="490"/>
      <c r="AH28" s="491"/>
      <c r="AI28" s="491"/>
      <c r="AJ28" s="491"/>
      <c r="AK28" s="491"/>
      <c r="AL28" s="491"/>
      <c r="AM28" s="491"/>
      <c r="AN28" s="491"/>
      <c r="AO28" s="491"/>
      <c r="AP28" s="491"/>
      <c r="AQ28" s="491"/>
      <c r="AR28" s="491"/>
      <c r="AS28" s="491"/>
      <c r="AT28" s="491"/>
      <c r="AU28" s="491"/>
      <c r="AV28" s="491"/>
      <c r="AW28" s="491"/>
      <c r="AX28" s="491"/>
      <c r="AY28" s="491"/>
      <c r="AZ28" s="491"/>
      <c r="BA28" s="491"/>
      <c r="BB28" s="491"/>
      <c r="BC28" s="491"/>
      <c r="BD28" s="491"/>
      <c r="BE28" s="491"/>
      <c r="BF28" s="491"/>
      <c r="BG28" s="491"/>
      <c r="BH28" s="491"/>
      <c r="BI28" s="469"/>
      <c r="BJ28" s="492"/>
    </row>
    <row r="29" spans="1:62" ht="17.100000000000001" customHeight="1">
      <c r="A29" s="493"/>
      <c r="B29" s="491"/>
      <c r="C29" s="491"/>
      <c r="D29" s="491"/>
      <c r="E29" s="491"/>
      <c r="F29" s="490"/>
      <c r="G29" s="490"/>
      <c r="H29" s="490"/>
      <c r="I29" s="490"/>
      <c r="J29" s="490"/>
      <c r="K29" s="490"/>
      <c r="L29" s="490"/>
      <c r="M29" s="490"/>
      <c r="N29" s="490"/>
      <c r="O29" s="490"/>
      <c r="P29" s="490"/>
      <c r="Q29" s="490"/>
      <c r="R29" s="490"/>
      <c r="S29" s="490"/>
      <c r="T29" s="490"/>
      <c r="U29" s="490"/>
      <c r="V29" s="490"/>
      <c r="W29" s="490"/>
      <c r="X29" s="490"/>
      <c r="Y29" s="490"/>
      <c r="Z29" s="490"/>
      <c r="AA29" s="490"/>
      <c r="AB29" s="490"/>
      <c r="AC29" s="490"/>
      <c r="AD29" s="490"/>
      <c r="AE29" s="490"/>
      <c r="AF29" s="490"/>
      <c r="AG29" s="490"/>
      <c r="AH29" s="491"/>
      <c r="AI29" s="491"/>
      <c r="AJ29" s="491"/>
      <c r="AK29" s="491"/>
      <c r="AL29" s="491"/>
      <c r="AM29" s="491"/>
      <c r="AN29" s="491"/>
      <c r="AO29" s="491"/>
      <c r="AP29" s="491"/>
      <c r="AQ29" s="491"/>
      <c r="AR29" s="491"/>
      <c r="AS29" s="491"/>
      <c r="AT29" s="491"/>
      <c r="AU29" s="491"/>
      <c r="AV29" s="491"/>
      <c r="AW29" s="491"/>
      <c r="AX29" s="491"/>
      <c r="AY29" s="491"/>
      <c r="AZ29" s="491"/>
      <c r="BA29" s="491"/>
      <c r="BB29" s="491"/>
      <c r="BC29" s="491"/>
      <c r="BD29" s="491"/>
      <c r="BE29" s="491"/>
      <c r="BF29" s="491"/>
      <c r="BG29" s="491"/>
      <c r="BH29" s="491"/>
      <c r="BI29" s="469"/>
      <c r="BJ29" s="492"/>
    </row>
    <row r="30" spans="1:62" ht="17.100000000000001" customHeight="1">
      <c r="A30" s="493"/>
      <c r="B30" s="491"/>
      <c r="C30" s="491"/>
      <c r="D30" s="491"/>
      <c r="E30" s="491"/>
      <c r="F30" s="490"/>
      <c r="G30" s="490"/>
      <c r="H30" s="490"/>
      <c r="I30" s="490"/>
      <c r="J30" s="490"/>
      <c r="K30" s="490"/>
      <c r="L30" s="490"/>
      <c r="M30" s="490"/>
      <c r="N30" s="490"/>
      <c r="O30" s="490"/>
      <c r="P30" s="490"/>
      <c r="Q30" s="490"/>
      <c r="R30" s="490"/>
      <c r="S30" s="490"/>
      <c r="T30" s="490"/>
      <c r="U30" s="490"/>
      <c r="V30" s="490"/>
      <c r="W30" s="490"/>
      <c r="X30" s="490"/>
      <c r="Y30" s="490"/>
      <c r="Z30" s="490"/>
      <c r="AA30" s="490"/>
      <c r="AB30" s="490"/>
      <c r="AC30" s="490"/>
      <c r="AD30" s="490"/>
      <c r="AE30" s="490"/>
      <c r="AF30" s="490"/>
      <c r="AG30" s="490"/>
      <c r="AH30" s="491"/>
      <c r="AI30" s="491"/>
      <c r="AJ30" s="491"/>
      <c r="AK30" s="491"/>
      <c r="AL30" s="491"/>
      <c r="AM30" s="491"/>
      <c r="AN30" s="491"/>
      <c r="AO30" s="491"/>
      <c r="AP30" s="491"/>
      <c r="AQ30" s="491"/>
      <c r="AR30" s="491"/>
      <c r="AS30" s="491"/>
      <c r="AT30" s="491"/>
      <c r="AU30" s="491"/>
      <c r="AV30" s="491"/>
      <c r="AW30" s="491"/>
      <c r="AX30" s="491"/>
      <c r="AY30" s="491"/>
      <c r="AZ30" s="491"/>
      <c r="BA30" s="491"/>
      <c r="BB30" s="491"/>
      <c r="BC30" s="491"/>
      <c r="BD30" s="491"/>
      <c r="BE30" s="491"/>
      <c r="BF30" s="491"/>
      <c r="BG30" s="491"/>
      <c r="BH30" s="491"/>
      <c r="BI30" s="469"/>
      <c r="BJ30" s="492"/>
    </row>
    <row r="31" spans="1:62" ht="17.100000000000001" customHeight="1">
      <c r="A31" s="493"/>
      <c r="B31" s="491"/>
      <c r="C31" s="491"/>
      <c r="D31" s="491"/>
      <c r="E31" s="491"/>
      <c r="F31" s="490"/>
      <c r="G31" s="490"/>
      <c r="H31" s="490"/>
      <c r="I31" s="490"/>
      <c r="J31" s="490"/>
      <c r="K31" s="490"/>
      <c r="L31" s="490"/>
      <c r="M31" s="490"/>
      <c r="N31" s="490"/>
      <c r="O31" s="490"/>
      <c r="P31" s="490"/>
      <c r="Q31" s="490"/>
      <c r="R31" s="490"/>
      <c r="S31" s="490"/>
      <c r="T31" s="490"/>
      <c r="U31" s="490"/>
      <c r="V31" s="490"/>
      <c r="W31" s="490"/>
      <c r="X31" s="490"/>
      <c r="Y31" s="490"/>
      <c r="Z31" s="490"/>
      <c r="AA31" s="490"/>
      <c r="AB31" s="490"/>
      <c r="AC31" s="490"/>
      <c r="AD31" s="490"/>
      <c r="AE31" s="490"/>
      <c r="AF31" s="490"/>
      <c r="AG31" s="490"/>
      <c r="AH31" s="491"/>
      <c r="AI31" s="491"/>
      <c r="AJ31" s="491"/>
      <c r="AK31" s="491"/>
      <c r="AL31" s="491"/>
      <c r="AM31" s="491"/>
      <c r="AN31" s="491"/>
      <c r="AO31" s="491"/>
      <c r="AP31" s="491"/>
      <c r="AQ31" s="491"/>
      <c r="AR31" s="491"/>
      <c r="AS31" s="491"/>
      <c r="AT31" s="491"/>
      <c r="AU31" s="491"/>
      <c r="AV31" s="491"/>
      <c r="AW31" s="491"/>
      <c r="AX31" s="491"/>
      <c r="AY31" s="491"/>
      <c r="AZ31" s="491"/>
      <c r="BA31" s="491"/>
      <c r="BB31" s="491"/>
      <c r="BC31" s="491"/>
      <c r="BD31" s="491"/>
      <c r="BE31" s="491"/>
      <c r="BF31" s="491"/>
      <c r="BG31" s="491"/>
      <c r="BH31" s="491"/>
      <c r="BI31" s="469"/>
      <c r="BJ31" s="492"/>
    </row>
    <row r="32" spans="1:62" ht="17.100000000000001" customHeight="1">
      <c r="A32" s="493"/>
      <c r="B32" s="491"/>
      <c r="C32" s="491"/>
      <c r="D32" s="491"/>
      <c r="E32" s="491"/>
      <c r="F32" s="490"/>
      <c r="G32" s="490"/>
      <c r="H32" s="490"/>
      <c r="I32" s="490"/>
      <c r="J32" s="490"/>
      <c r="K32" s="490"/>
      <c r="L32" s="490"/>
      <c r="M32" s="490"/>
      <c r="N32" s="490"/>
      <c r="O32" s="490"/>
      <c r="P32" s="490"/>
      <c r="Q32" s="490"/>
      <c r="R32" s="490"/>
      <c r="S32" s="490"/>
      <c r="T32" s="490"/>
      <c r="U32" s="490"/>
      <c r="V32" s="490"/>
      <c r="W32" s="490"/>
      <c r="X32" s="490"/>
      <c r="Y32" s="490"/>
      <c r="Z32" s="490"/>
      <c r="AA32" s="490"/>
      <c r="AB32" s="490"/>
      <c r="AC32" s="490"/>
      <c r="AD32" s="490"/>
      <c r="AE32" s="490"/>
      <c r="AF32" s="490"/>
      <c r="AG32" s="490"/>
      <c r="AH32" s="491"/>
      <c r="AI32" s="491"/>
      <c r="AJ32" s="491"/>
      <c r="AK32" s="491"/>
      <c r="AL32" s="491"/>
      <c r="AM32" s="491"/>
      <c r="AN32" s="491"/>
      <c r="AO32" s="491"/>
      <c r="AP32" s="491"/>
      <c r="AQ32" s="491"/>
      <c r="AR32" s="491"/>
      <c r="AS32" s="491"/>
      <c r="AT32" s="491"/>
      <c r="AU32" s="491"/>
      <c r="AV32" s="491"/>
      <c r="AW32" s="491"/>
      <c r="AX32" s="491"/>
      <c r="AY32" s="491"/>
      <c r="AZ32" s="491"/>
      <c r="BA32" s="491"/>
      <c r="BB32" s="491"/>
      <c r="BC32" s="491"/>
      <c r="BD32" s="491"/>
      <c r="BE32" s="491"/>
      <c r="BF32" s="491"/>
      <c r="BG32" s="491"/>
      <c r="BH32" s="491"/>
      <c r="BI32" s="469"/>
      <c r="BJ32" s="492"/>
    </row>
    <row r="33" spans="1:67" ht="17.100000000000001" customHeight="1">
      <c r="A33" s="493"/>
      <c r="B33" s="491"/>
      <c r="C33" s="491"/>
      <c r="D33" s="491"/>
      <c r="E33" s="491"/>
      <c r="F33" s="490"/>
      <c r="G33" s="490"/>
      <c r="H33" s="490"/>
      <c r="I33" s="490"/>
      <c r="J33" s="490"/>
      <c r="K33" s="490"/>
      <c r="L33" s="490"/>
      <c r="M33" s="490"/>
      <c r="N33" s="490"/>
      <c r="O33" s="490"/>
      <c r="P33" s="490"/>
      <c r="Q33" s="490"/>
      <c r="R33" s="490"/>
      <c r="S33" s="490"/>
      <c r="T33" s="490"/>
      <c r="U33" s="490"/>
      <c r="V33" s="490"/>
      <c r="W33" s="490"/>
      <c r="X33" s="490"/>
      <c r="Y33" s="490"/>
      <c r="Z33" s="490"/>
      <c r="AA33" s="490"/>
      <c r="AB33" s="490"/>
      <c r="AC33" s="490"/>
      <c r="AD33" s="490"/>
      <c r="AE33" s="490"/>
      <c r="AF33" s="490"/>
      <c r="AG33" s="490"/>
      <c r="AH33" s="491"/>
      <c r="AI33" s="491"/>
      <c r="AJ33" s="491"/>
      <c r="AK33" s="491"/>
      <c r="AL33" s="491"/>
      <c r="AM33" s="491"/>
      <c r="AN33" s="491"/>
      <c r="AO33" s="491"/>
      <c r="AP33" s="491"/>
      <c r="AQ33" s="491"/>
      <c r="AR33" s="491"/>
      <c r="AS33" s="491"/>
      <c r="AT33" s="491"/>
      <c r="AU33" s="491"/>
      <c r="AV33" s="491"/>
      <c r="AW33" s="491"/>
      <c r="AX33" s="491"/>
      <c r="AY33" s="491"/>
      <c r="AZ33" s="491"/>
      <c r="BA33" s="491"/>
      <c r="BB33" s="491"/>
      <c r="BC33" s="491"/>
      <c r="BD33" s="491"/>
      <c r="BE33" s="491"/>
      <c r="BF33" s="491"/>
      <c r="BG33" s="491"/>
      <c r="BH33" s="491"/>
      <c r="BI33" s="469"/>
      <c r="BJ33" s="492"/>
    </row>
    <row r="34" spans="1:67" ht="17.100000000000001" customHeight="1">
      <c r="A34" s="493"/>
      <c r="B34" s="491"/>
      <c r="C34" s="491"/>
      <c r="D34" s="491"/>
      <c r="E34" s="491"/>
      <c r="F34" s="490"/>
      <c r="G34" s="490"/>
      <c r="H34" s="490"/>
      <c r="I34" s="490"/>
      <c r="J34" s="490"/>
      <c r="K34" s="490"/>
      <c r="L34" s="490"/>
      <c r="M34" s="490"/>
      <c r="N34" s="490"/>
      <c r="O34" s="490"/>
      <c r="P34" s="490"/>
      <c r="Q34" s="490"/>
      <c r="R34" s="490"/>
      <c r="S34" s="490"/>
      <c r="T34" s="490"/>
      <c r="U34" s="490"/>
      <c r="V34" s="490"/>
      <c r="W34" s="490"/>
      <c r="X34" s="490"/>
      <c r="Y34" s="490"/>
      <c r="Z34" s="490"/>
      <c r="AA34" s="490"/>
      <c r="AB34" s="490"/>
      <c r="AC34" s="490"/>
      <c r="AD34" s="490"/>
      <c r="AE34" s="490"/>
      <c r="AF34" s="490"/>
      <c r="AG34" s="490"/>
      <c r="AH34" s="491"/>
      <c r="AI34" s="491"/>
      <c r="AJ34" s="491"/>
      <c r="AK34" s="491"/>
      <c r="AL34" s="491"/>
      <c r="AM34" s="491"/>
      <c r="AN34" s="491"/>
      <c r="AO34" s="491"/>
      <c r="AP34" s="491"/>
      <c r="AQ34" s="491"/>
      <c r="AR34" s="491"/>
      <c r="AS34" s="491"/>
      <c r="AT34" s="491"/>
      <c r="AU34" s="491"/>
      <c r="AV34" s="491"/>
      <c r="AW34" s="491"/>
      <c r="AX34" s="491"/>
      <c r="AY34" s="491"/>
      <c r="AZ34" s="491"/>
      <c r="BA34" s="491"/>
      <c r="BB34" s="491"/>
      <c r="BC34" s="491"/>
      <c r="BD34" s="491"/>
      <c r="BE34" s="491"/>
      <c r="BF34" s="491"/>
      <c r="BG34" s="491"/>
      <c r="BH34" s="491"/>
      <c r="BI34" s="469"/>
      <c r="BJ34" s="492"/>
    </row>
    <row r="35" spans="1:67" ht="17.100000000000001" customHeight="1">
      <c r="A35" s="493"/>
      <c r="B35" s="491"/>
      <c r="C35" s="491"/>
      <c r="D35" s="491"/>
      <c r="E35" s="491"/>
      <c r="F35" s="490"/>
      <c r="G35" s="490"/>
      <c r="H35" s="490"/>
      <c r="I35" s="490"/>
      <c r="J35" s="490"/>
      <c r="K35" s="490"/>
      <c r="L35" s="490"/>
      <c r="M35" s="490"/>
      <c r="N35" s="490"/>
      <c r="O35" s="490"/>
      <c r="P35" s="490"/>
      <c r="Q35" s="490"/>
      <c r="R35" s="490"/>
      <c r="S35" s="490"/>
      <c r="T35" s="490"/>
      <c r="U35" s="490"/>
      <c r="V35" s="490"/>
      <c r="W35" s="490"/>
      <c r="X35" s="490"/>
      <c r="Y35" s="490"/>
      <c r="Z35" s="490"/>
      <c r="AA35" s="490"/>
      <c r="AB35" s="490"/>
      <c r="AC35" s="490"/>
      <c r="AD35" s="490"/>
      <c r="AE35" s="490"/>
      <c r="AF35" s="490"/>
      <c r="AG35" s="490"/>
      <c r="AH35" s="491"/>
      <c r="AI35" s="491"/>
      <c r="AJ35" s="491"/>
      <c r="AK35" s="491"/>
      <c r="AL35" s="491"/>
      <c r="AM35" s="491"/>
      <c r="AN35" s="491"/>
      <c r="AO35" s="491"/>
      <c r="AP35" s="491"/>
      <c r="AQ35" s="491"/>
      <c r="AR35" s="491"/>
      <c r="AS35" s="491"/>
      <c r="AT35" s="491"/>
      <c r="AU35" s="491"/>
      <c r="AV35" s="491"/>
      <c r="AW35" s="491"/>
      <c r="AX35" s="491"/>
      <c r="AY35" s="491"/>
      <c r="AZ35" s="491"/>
      <c r="BA35" s="491"/>
      <c r="BB35" s="491"/>
      <c r="BC35" s="491"/>
      <c r="BD35" s="491"/>
      <c r="BE35" s="491"/>
      <c r="BF35" s="491"/>
      <c r="BG35" s="491"/>
      <c r="BH35" s="491"/>
      <c r="BI35" s="469"/>
      <c r="BJ35" s="492"/>
    </row>
    <row r="36" spans="1:67" ht="17.100000000000001" customHeight="1">
      <c r="A36" s="493"/>
      <c r="B36" s="491"/>
      <c r="C36" s="491"/>
      <c r="D36" s="491"/>
      <c r="E36" s="491"/>
      <c r="F36" s="490"/>
      <c r="G36" s="490"/>
      <c r="H36" s="490"/>
      <c r="I36" s="490"/>
      <c r="J36" s="490"/>
      <c r="K36" s="490"/>
      <c r="L36" s="490"/>
      <c r="M36" s="490"/>
      <c r="N36" s="490"/>
      <c r="O36" s="490"/>
      <c r="P36" s="490"/>
      <c r="Q36" s="490"/>
      <c r="R36" s="490"/>
      <c r="S36" s="490"/>
      <c r="T36" s="490"/>
      <c r="U36" s="490"/>
      <c r="V36" s="490"/>
      <c r="W36" s="490"/>
      <c r="X36" s="490"/>
      <c r="Y36" s="490"/>
      <c r="Z36" s="490"/>
      <c r="AA36" s="490"/>
      <c r="AB36" s="490"/>
      <c r="AC36" s="490"/>
      <c r="AD36" s="490"/>
      <c r="AE36" s="490"/>
      <c r="AF36" s="490"/>
      <c r="AG36" s="490"/>
      <c r="AH36" s="491"/>
      <c r="AI36" s="491"/>
      <c r="AJ36" s="491"/>
      <c r="AK36" s="491"/>
      <c r="AL36" s="491"/>
      <c r="AM36" s="491"/>
      <c r="AN36" s="491"/>
      <c r="AO36" s="491"/>
      <c r="AP36" s="491"/>
      <c r="AQ36" s="491"/>
      <c r="AR36" s="491"/>
      <c r="AS36" s="491"/>
      <c r="AT36" s="491"/>
      <c r="AU36" s="491"/>
      <c r="AV36" s="491"/>
      <c r="AW36" s="491"/>
      <c r="AX36" s="491"/>
      <c r="AY36" s="491"/>
      <c r="AZ36" s="491"/>
      <c r="BA36" s="491"/>
      <c r="BB36" s="491"/>
      <c r="BC36" s="491"/>
      <c r="BD36" s="491"/>
      <c r="BE36" s="491"/>
      <c r="BF36" s="491"/>
      <c r="BG36" s="491"/>
      <c r="BH36" s="491"/>
      <c r="BI36" s="469"/>
      <c r="BJ36" s="492"/>
    </row>
    <row r="37" spans="1:67" ht="17.100000000000001" customHeight="1" thickBot="1">
      <c r="A37" s="494"/>
      <c r="B37" s="495"/>
      <c r="C37" s="495"/>
      <c r="D37" s="495"/>
      <c r="E37" s="495"/>
      <c r="F37" s="496"/>
      <c r="G37" s="496"/>
      <c r="H37" s="496"/>
      <c r="I37" s="496"/>
      <c r="J37" s="496"/>
      <c r="K37" s="496"/>
      <c r="L37" s="496"/>
      <c r="M37" s="496"/>
      <c r="N37" s="496"/>
      <c r="O37" s="496"/>
      <c r="P37" s="496"/>
      <c r="Q37" s="496"/>
      <c r="R37" s="496"/>
      <c r="S37" s="496"/>
      <c r="T37" s="496"/>
      <c r="U37" s="496"/>
      <c r="V37" s="496"/>
      <c r="W37" s="496"/>
      <c r="X37" s="496"/>
      <c r="Y37" s="496"/>
      <c r="Z37" s="496"/>
      <c r="AA37" s="496"/>
      <c r="AB37" s="496"/>
      <c r="AC37" s="496"/>
      <c r="AD37" s="496"/>
      <c r="AE37" s="496"/>
      <c r="AF37" s="496"/>
      <c r="AG37" s="496"/>
      <c r="AH37" s="495"/>
      <c r="AI37" s="495"/>
      <c r="AJ37" s="495"/>
      <c r="AK37" s="495"/>
      <c r="AL37" s="495"/>
      <c r="AM37" s="495"/>
      <c r="AN37" s="495"/>
      <c r="AO37" s="495"/>
      <c r="AP37" s="495"/>
      <c r="AQ37" s="495"/>
      <c r="AR37" s="495"/>
      <c r="AS37" s="495"/>
      <c r="AT37" s="495"/>
      <c r="AU37" s="495"/>
      <c r="AV37" s="495"/>
      <c r="AW37" s="495"/>
      <c r="AX37" s="495"/>
      <c r="AY37" s="495"/>
      <c r="AZ37" s="495"/>
      <c r="BA37" s="495"/>
      <c r="BB37" s="495"/>
      <c r="BC37" s="495"/>
      <c r="BD37" s="495"/>
      <c r="BE37" s="495"/>
      <c r="BF37" s="495"/>
      <c r="BG37" s="495"/>
      <c r="BH37" s="495"/>
      <c r="BI37" s="497"/>
      <c r="BJ37" s="498"/>
    </row>
    <row r="38" spans="1:67" ht="8.25" hidden="1" customHeight="1" thickBot="1">
      <c r="A38" s="494"/>
      <c r="B38" s="495"/>
      <c r="C38" s="495"/>
      <c r="D38" s="495"/>
      <c r="E38" s="495"/>
      <c r="F38" s="496"/>
      <c r="G38" s="496"/>
      <c r="H38" s="496"/>
      <c r="I38" s="496"/>
      <c r="J38" s="496"/>
      <c r="K38" s="496"/>
      <c r="L38" s="496"/>
      <c r="M38" s="496"/>
      <c r="N38" s="496"/>
      <c r="O38" s="496"/>
      <c r="P38" s="496"/>
      <c r="Q38" s="496"/>
      <c r="R38" s="496"/>
      <c r="S38" s="496"/>
      <c r="T38" s="496"/>
      <c r="U38" s="496"/>
      <c r="V38" s="496"/>
      <c r="W38" s="496"/>
      <c r="X38" s="496"/>
      <c r="Y38" s="496"/>
      <c r="Z38" s="496"/>
      <c r="AA38" s="496"/>
      <c r="AB38" s="496"/>
      <c r="AC38" s="496"/>
      <c r="AD38" s="496"/>
      <c r="AE38" s="496"/>
      <c r="AF38" s="496"/>
      <c r="AG38" s="496"/>
      <c r="AH38" s="495"/>
      <c r="AI38" s="495"/>
      <c r="AJ38" s="495"/>
      <c r="AK38" s="495"/>
      <c r="AL38" s="495"/>
      <c r="AM38" s="495"/>
      <c r="AN38" s="495"/>
      <c r="AO38" s="495"/>
      <c r="AP38" s="495"/>
      <c r="AQ38" s="495"/>
      <c r="AR38" s="495"/>
      <c r="AS38" s="495"/>
      <c r="AT38" s="495"/>
      <c r="AU38" s="495"/>
      <c r="AV38" s="495"/>
      <c r="AW38" s="495"/>
      <c r="AX38" s="495"/>
      <c r="AY38" s="495"/>
      <c r="AZ38" s="495"/>
      <c r="BA38" s="495"/>
      <c r="BB38" s="495"/>
      <c r="BC38" s="495"/>
      <c r="BD38" s="495"/>
      <c r="BE38" s="495"/>
      <c r="BF38" s="495"/>
      <c r="BG38" s="495"/>
      <c r="BH38" s="495"/>
      <c r="BI38" s="497"/>
      <c r="BJ38" s="492"/>
    </row>
    <row r="39" spans="1:67" ht="8.25" customHeight="1" thickBot="1">
      <c r="A39" s="491"/>
      <c r="B39" s="491"/>
      <c r="C39" s="491"/>
      <c r="D39" s="491"/>
      <c r="E39" s="491"/>
      <c r="F39" s="490"/>
      <c r="G39" s="490"/>
      <c r="H39" s="490"/>
      <c r="I39" s="490"/>
      <c r="J39" s="490"/>
      <c r="K39" s="490"/>
      <c r="L39" s="490"/>
      <c r="M39" s="490"/>
      <c r="N39" s="490"/>
      <c r="O39" s="490"/>
      <c r="P39" s="490"/>
      <c r="Q39" s="490"/>
      <c r="R39" s="490"/>
      <c r="S39" s="490"/>
      <c r="T39" s="490"/>
      <c r="U39" s="490"/>
      <c r="V39" s="490"/>
      <c r="W39" s="490"/>
      <c r="X39" s="490"/>
      <c r="Y39" s="490"/>
      <c r="Z39" s="490"/>
      <c r="AA39" s="490"/>
      <c r="AB39" s="490"/>
      <c r="AC39" s="490"/>
      <c r="AD39" s="490"/>
      <c r="AE39" s="490"/>
      <c r="AF39" s="490"/>
      <c r="AG39" s="490"/>
      <c r="AH39" s="491"/>
      <c r="AI39" s="491"/>
      <c r="AJ39" s="491"/>
      <c r="AK39" s="491"/>
      <c r="AL39" s="491"/>
      <c r="AM39" s="491"/>
      <c r="AN39" s="491"/>
      <c r="AO39" s="491"/>
      <c r="AP39" s="491"/>
      <c r="AQ39" s="491"/>
      <c r="AR39" s="491"/>
      <c r="AS39" s="491"/>
      <c r="AT39" s="491"/>
      <c r="AU39" s="491"/>
      <c r="AV39" s="491"/>
      <c r="AW39" s="491"/>
      <c r="AX39" s="491"/>
      <c r="AY39" s="491"/>
      <c r="AZ39" s="491"/>
      <c r="BA39" s="491"/>
      <c r="BB39" s="491"/>
      <c r="BC39" s="491"/>
      <c r="BD39" s="491"/>
      <c r="BE39" s="491"/>
      <c r="BF39" s="491"/>
      <c r="BG39" s="491"/>
      <c r="BH39" s="491"/>
      <c r="BI39" s="469"/>
      <c r="BJ39" s="497"/>
    </row>
    <row r="40" spans="1:67" ht="15" customHeight="1">
      <c r="A40" s="1472" t="s">
        <v>196</v>
      </c>
      <c r="B40" s="1473" t="s">
        <v>187</v>
      </c>
      <c r="C40" s="1474"/>
      <c r="D40" s="1474"/>
      <c r="E40" s="1474"/>
      <c r="F40" s="1474"/>
      <c r="G40" s="1474"/>
      <c r="H40" s="1474"/>
      <c r="I40" s="1474"/>
      <c r="J40" s="1474"/>
      <c r="K40" s="1474"/>
      <c r="L40" s="1474"/>
      <c r="M40" s="1474"/>
      <c r="N40" s="1474"/>
      <c r="O40" s="1474"/>
      <c r="P40" s="1474"/>
      <c r="Q40" s="1474"/>
      <c r="R40" s="1474"/>
      <c r="S40" s="1474"/>
      <c r="T40" s="1474"/>
      <c r="U40" s="1474"/>
      <c r="V40" s="1474"/>
      <c r="W40" s="1474"/>
      <c r="X40" s="1474"/>
      <c r="Y40" s="1474"/>
      <c r="Z40" s="1474"/>
      <c r="AA40" s="1474"/>
      <c r="AB40" s="1474"/>
      <c r="AC40" s="1474"/>
      <c r="AD40" s="1474"/>
      <c r="AE40" s="1474"/>
      <c r="AF40" s="1474"/>
      <c r="AG40" s="1474"/>
      <c r="AH40" s="1474"/>
      <c r="AI40" s="1474"/>
      <c r="AJ40" s="1474"/>
      <c r="AK40" s="1474"/>
      <c r="AL40" s="1474"/>
      <c r="AM40" s="1474"/>
      <c r="AN40" s="1474"/>
      <c r="AO40" s="1474"/>
      <c r="AP40" s="1474"/>
      <c r="AQ40" s="1474"/>
      <c r="AR40" s="1474"/>
      <c r="AS40" s="1474"/>
      <c r="AT40" s="1474"/>
      <c r="AU40" s="1474"/>
      <c r="AV40" s="1474"/>
      <c r="AW40" s="1474"/>
      <c r="AX40" s="1474"/>
      <c r="AY40" s="1474"/>
      <c r="AZ40" s="1474"/>
      <c r="BA40" s="1474"/>
      <c r="BB40" s="1474"/>
      <c r="BC40" s="1474"/>
      <c r="BD40" s="499"/>
      <c r="BE40" s="1238" t="s">
        <v>197</v>
      </c>
      <c r="BF40" s="1239"/>
      <c r="BG40" s="1239"/>
      <c r="BH40" s="1239"/>
      <c r="BI40" s="1239"/>
      <c r="BJ40" s="1240"/>
    </row>
    <row r="41" spans="1:67" ht="15" customHeight="1">
      <c r="A41" s="500"/>
      <c r="B41" s="1247">
        <v>5601</v>
      </c>
      <c r="C41" s="1248"/>
      <c r="D41" s="1248"/>
      <c r="E41" s="1248"/>
      <c r="F41" s="1248"/>
      <c r="G41" s="1248"/>
      <c r="H41" s="1248"/>
      <c r="I41" s="1248"/>
      <c r="J41" s="1248"/>
      <c r="K41" s="1248"/>
      <c r="L41" s="1248"/>
      <c r="M41" s="1248"/>
      <c r="N41" s="1248"/>
      <c r="O41" s="1248"/>
      <c r="P41" s="1248"/>
      <c r="Q41" s="1248"/>
      <c r="R41" s="1248"/>
      <c r="S41" s="1248"/>
      <c r="T41" s="1248"/>
      <c r="U41" s="1248"/>
      <c r="V41" s="1248"/>
      <c r="W41" s="1248"/>
      <c r="X41" s="1248"/>
      <c r="Y41" s="1248"/>
      <c r="Z41" s="1248"/>
      <c r="AA41" s="1248"/>
      <c r="AB41" s="1248"/>
      <c r="AC41" s="1248"/>
      <c r="AD41" s="1248"/>
      <c r="AE41" s="1248"/>
      <c r="AF41" s="1248"/>
      <c r="AG41" s="1248"/>
      <c r="AH41" s="1248"/>
      <c r="AI41" s="1248"/>
      <c r="AJ41" s="1248"/>
      <c r="AK41" s="1248"/>
      <c r="AL41" s="1248"/>
      <c r="AM41" s="1248"/>
      <c r="AN41" s="1248"/>
      <c r="AO41" s="1248"/>
      <c r="AP41" s="1248"/>
      <c r="AQ41" s="1248"/>
      <c r="AR41" s="1248"/>
      <c r="AS41" s="1248"/>
      <c r="AT41" s="1248"/>
      <c r="AU41" s="1248"/>
      <c r="AV41" s="1248"/>
      <c r="AW41" s="1248"/>
      <c r="AX41" s="1248"/>
      <c r="AY41" s="1248"/>
      <c r="AZ41" s="1248"/>
      <c r="BA41" s="1248"/>
      <c r="BB41" s="1248"/>
      <c r="BC41" s="1248"/>
      <c r="BD41" s="501"/>
      <c r="BE41" s="1249" t="s">
        <v>198</v>
      </c>
      <c r="BF41" s="1250"/>
      <c r="BG41" s="1250"/>
      <c r="BH41" s="1250"/>
      <c r="BI41" s="1250"/>
      <c r="BJ41" s="1251"/>
    </row>
    <row r="42" spans="1:67" ht="15" customHeight="1" thickBot="1">
      <c r="A42" s="502" t="s">
        <v>199</v>
      </c>
      <c r="B42" s="1252">
        <v>49</v>
      </c>
      <c r="C42" s="1253"/>
      <c r="D42" s="1253"/>
      <c r="E42" s="1253"/>
      <c r="F42" s="504"/>
      <c r="G42" s="504"/>
      <c r="H42" s="505"/>
      <c r="I42" s="504"/>
      <c r="J42" s="504"/>
      <c r="K42" s="504"/>
      <c r="L42" s="506"/>
      <c r="M42" s="1252">
        <v>60</v>
      </c>
      <c r="N42" s="1253"/>
      <c r="O42" s="1253"/>
      <c r="P42" s="1253"/>
      <c r="Q42" s="504"/>
      <c r="R42" s="505"/>
      <c r="S42" s="504"/>
      <c r="T42" s="504"/>
      <c r="U42" s="504"/>
      <c r="V42" s="504"/>
      <c r="W42" s="1252">
        <v>70</v>
      </c>
      <c r="X42" s="1253"/>
      <c r="Y42" s="1253"/>
      <c r="Z42" s="1253"/>
      <c r="AA42" s="504"/>
      <c r="AB42" s="505"/>
      <c r="AC42" s="504"/>
      <c r="AD42" s="504"/>
      <c r="AE42" s="504"/>
      <c r="AF42" s="504"/>
      <c r="AG42" s="1252">
        <v>80</v>
      </c>
      <c r="AH42" s="1253"/>
      <c r="AI42" s="1253"/>
      <c r="AJ42" s="1253"/>
      <c r="AK42" s="503"/>
      <c r="AL42" s="507"/>
      <c r="AM42" s="503"/>
      <c r="AN42" s="503"/>
      <c r="AO42" s="503"/>
      <c r="AP42" s="503"/>
      <c r="AQ42" s="1252">
        <v>90</v>
      </c>
      <c r="AR42" s="1253"/>
      <c r="AS42" s="1253"/>
      <c r="AT42" s="1253"/>
      <c r="AU42" s="503"/>
      <c r="AV42" s="507"/>
      <c r="AW42" s="503"/>
      <c r="AX42" s="1253">
        <v>100</v>
      </c>
      <c r="AY42" s="1253"/>
      <c r="AZ42" s="1254"/>
      <c r="BA42" s="1252">
        <v>103</v>
      </c>
      <c r="BB42" s="1253"/>
      <c r="BC42" s="1253"/>
      <c r="BD42" s="501"/>
      <c r="BE42" s="1255" t="s">
        <v>200</v>
      </c>
      <c r="BF42" s="1256"/>
      <c r="BG42" s="1256"/>
      <c r="BH42" s="1256"/>
      <c r="BI42" s="1256"/>
      <c r="BJ42" s="1257"/>
    </row>
    <row r="43" spans="1:67" ht="12" customHeight="1" thickBot="1">
      <c r="A43" s="508" t="s">
        <v>201</v>
      </c>
      <c r="B43" s="509"/>
      <c r="C43" s="510"/>
      <c r="D43" s="510"/>
      <c r="E43" s="510"/>
      <c r="F43" s="511">
        <v>49</v>
      </c>
      <c r="G43" s="511"/>
      <c r="H43" s="512"/>
      <c r="I43" s="511"/>
      <c r="J43" s="511"/>
      <c r="K43" s="511"/>
      <c r="L43" s="511"/>
      <c r="M43" s="513"/>
      <c r="N43" s="514"/>
      <c r="O43" s="514"/>
      <c r="P43" s="514"/>
      <c r="Q43" s="514"/>
      <c r="R43" s="515"/>
      <c r="S43" s="514"/>
      <c r="T43" s="514"/>
      <c r="U43" s="514"/>
      <c r="V43" s="514"/>
      <c r="W43" s="513"/>
      <c r="X43" s="514"/>
      <c r="Y43" s="514"/>
      <c r="Z43" s="514"/>
      <c r="AA43" s="514"/>
      <c r="AB43" s="515"/>
      <c r="AC43" s="514"/>
      <c r="AD43" s="514"/>
      <c r="AE43" s="514"/>
      <c r="AF43" s="514"/>
      <c r="AG43" s="513"/>
      <c r="AH43" s="514">
        <v>55</v>
      </c>
      <c r="AI43" s="514">
        <v>60</v>
      </c>
      <c r="AJ43" s="514">
        <v>65</v>
      </c>
      <c r="AK43" s="514"/>
      <c r="AL43" s="515"/>
      <c r="AM43" s="514"/>
      <c r="AN43" s="514"/>
      <c r="AO43" s="514"/>
      <c r="AP43" s="514"/>
      <c r="AQ43" s="513"/>
      <c r="AR43" s="514"/>
      <c r="AS43" s="514"/>
      <c r="AT43" s="514"/>
      <c r="AU43" s="514"/>
      <c r="AV43" s="515"/>
      <c r="AW43" s="514"/>
      <c r="AX43" s="514">
        <v>70</v>
      </c>
      <c r="AY43" s="514">
        <v>75</v>
      </c>
      <c r="AZ43" s="514">
        <v>80</v>
      </c>
      <c r="BA43" s="513"/>
      <c r="BB43" s="514"/>
      <c r="BC43" s="514"/>
      <c r="BD43" s="516">
        <v>103</v>
      </c>
      <c r="BE43" s="1265" t="s">
        <v>172</v>
      </c>
      <c r="BF43" s="1266"/>
      <c r="BG43" s="1267" t="s">
        <v>176</v>
      </c>
      <c r="BH43" s="1266"/>
      <c r="BI43" s="1267" t="s">
        <v>170</v>
      </c>
      <c r="BJ43" s="1268"/>
    </row>
    <row r="44" spans="1:67" ht="12" customHeight="1">
      <c r="A44" s="517"/>
      <c r="B44" s="518"/>
      <c r="C44" s="519"/>
      <c r="D44" s="519"/>
      <c r="E44" s="519"/>
      <c r="H44" s="520"/>
      <c r="M44" s="521"/>
      <c r="R44" s="520"/>
      <c r="W44" s="521"/>
      <c r="AB44" s="520"/>
      <c r="AG44" s="521"/>
      <c r="AL44" s="520"/>
      <c r="AQ44" s="521"/>
      <c r="AV44" s="520"/>
      <c r="BA44" s="521"/>
      <c r="BD44" s="522"/>
      <c r="BE44" s="523" t="s">
        <v>202</v>
      </c>
      <c r="BF44" s="524" t="s">
        <v>135</v>
      </c>
      <c r="BG44" s="524" t="s">
        <v>202</v>
      </c>
      <c r="BH44" s="524" t="s">
        <v>135</v>
      </c>
      <c r="BI44" s="524" t="s">
        <v>202</v>
      </c>
      <c r="BJ44" s="525" t="s">
        <v>135</v>
      </c>
      <c r="BN44" s="526"/>
    </row>
    <row r="45" spans="1:67" ht="10.5" customHeight="1">
      <c r="A45" s="1269" t="s">
        <v>203</v>
      </c>
      <c r="B45" s="518"/>
      <c r="C45" s="1475" t="s">
        <v>172</v>
      </c>
      <c r="D45" s="519"/>
      <c r="E45" s="519"/>
      <c r="F45" s="527"/>
      <c r="G45" s="527"/>
      <c r="H45" s="528"/>
      <c r="I45" s="527"/>
      <c r="J45" s="527"/>
      <c r="K45" s="527"/>
      <c r="L45" s="527"/>
      <c r="M45" s="529"/>
      <c r="N45" s="527"/>
      <c r="O45" s="527"/>
      <c r="P45" s="527"/>
      <c r="Q45" s="527"/>
      <c r="R45" s="528"/>
      <c r="S45" s="527"/>
      <c r="T45" s="527"/>
      <c r="U45" s="527"/>
      <c r="V45" s="527"/>
      <c r="W45" s="529"/>
      <c r="X45" s="527"/>
      <c r="Y45" s="527"/>
      <c r="Z45" s="527"/>
      <c r="AA45" s="527"/>
      <c r="AB45" s="528"/>
      <c r="AC45" s="527"/>
      <c r="AD45" s="527"/>
      <c r="AE45" s="527"/>
      <c r="AF45" s="527"/>
      <c r="AG45" s="529"/>
      <c r="AH45" s="527"/>
      <c r="AI45" s="527"/>
      <c r="AJ45" s="527"/>
      <c r="AK45" s="527"/>
      <c r="AL45" s="528"/>
      <c r="AM45" s="527"/>
      <c r="AN45" s="527"/>
      <c r="AO45" s="527"/>
      <c r="AP45" s="527"/>
      <c r="AQ45" s="529"/>
      <c r="AR45" s="527"/>
      <c r="AS45" s="527"/>
      <c r="AT45" s="527"/>
      <c r="AU45" s="527"/>
      <c r="AV45" s="528"/>
      <c r="AW45" s="527"/>
      <c r="AX45" s="527"/>
      <c r="AY45" s="527"/>
      <c r="AZ45" s="527"/>
      <c r="BA45" s="529"/>
      <c r="BB45" s="527"/>
      <c r="BC45" s="1475" t="s">
        <v>172</v>
      </c>
      <c r="BD45" s="530"/>
      <c r="BE45" s="531"/>
      <c r="BF45" s="532"/>
      <c r="BG45" s="533"/>
      <c r="BH45" s="534"/>
      <c r="BI45" s="535"/>
      <c r="BJ45" s="536"/>
      <c r="BN45" s="526"/>
    </row>
    <row r="46" spans="1:67" ht="15" customHeight="1">
      <c r="A46" s="1264"/>
      <c r="B46" s="1195" t="s">
        <v>170</v>
      </c>
      <c r="C46" s="1476" t="s">
        <v>172</v>
      </c>
      <c r="D46" s="1476" t="s">
        <v>204</v>
      </c>
      <c r="E46" s="1476" t="s">
        <v>204</v>
      </c>
      <c r="F46" s="1476" t="s">
        <v>172</v>
      </c>
      <c r="G46" s="1476" t="s">
        <v>172</v>
      </c>
      <c r="H46" s="1477" t="s">
        <v>172</v>
      </c>
      <c r="I46" s="1476" t="s">
        <v>172</v>
      </c>
      <c r="J46" s="1476" t="s">
        <v>172</v>
      </c>
      <c r="K46" s="1476" t="s">
        <v>172</v>
      </c>
      <c r="L46" s="1476" t="s">
        <v>172</v>
      </c>
      <c r="M46" s="1478" t="s">
        <v>172</v>
      </c>
      <c r="N46" s="1476" t="s">
        <v>172</v>
      </c>
      <c r="O46" s="1476" t="s">
        <v>172</v>
      </c>
      <c r="P46" s="1476" t="s">
        <v>172</v>
      </c>
      <c r="Q46" s="1476" t="s">
        <v>172</v>
      </c>
      <c r="R46" s="1477" t="s">
        <v>172</v>
      </c>
      <c r="S46" s="1476" t="s">
        <v>172</v>
      </c>
      <c r="T46" s="1476" t="s">
        <v>172</v>
      </c>
      <c r="U46" s="1476" t="s">
        <v>172</v>
      </c>
      <c r="V46" s="1476" t="s">
        <v>176</v>
      </c>
      <c r="W46" s="1478" t="s">
        <v>176</v>
      </c>
      <c r="X46" s="1476" t="s">
        <v>176</v>
      </c>
      <c r="Y46" s="1476" t="s">
        <v>176</v>
      </c>
      <c r="Z46" s="1476" t="s">
        <v>204</v>
      </c>
      <c r="AA46" s="1476" t="s">
        <v>172</v>
      </c>
      <c r="AB46" s="1477" t="s">
        <v>172</v>
      </c>
      <c r="AC46" s="1476" t="s">
        <v>172</v>
      </c>
      <c r="AD46" s="1476" t="s">
        <v>172</v>
      </c>
      <c r="AE46" s="1476" t="s">
        <v>172</v>
      </c>
      <c r="AF46" s="1476" t="s">
        <v>172</v>
      </c>
      <c r="AG46" s="1478" t="s">
        <v>172</v>
      </c>
      <c r="AH46" s="1476" t="s">
        <v>172</v>
      </c>
      <c r="AI46" s="1476" t="s">
        <v>172</v>
      </c>
      <c r="AJ46" s="1476" t="s">
        <v>172</v>
      </c>
      <c r="AK46" s="1476" t="s">
        <v>172</v>
      </c>
      <c r="AL46" s="1477" t="s">
        <v>170</v>
      </c>
      <c r="AM46" s="1476" t="s">
        <v>170</v>
      </c>
      <c r="AN46" s="1476" t="s">
        <v>170</v>
      </c>
      <c r="AO46" s="1479" t="s">
        <v>205</v>
      </c>
      <c r="AP46" s="1476" t="s">
        <v>205</v>
      </c>
      <c r="AQ46" s="1478" t="s">
        <v>206</v>
      </c>
      <c r="AR46" s="1476" t="s">
        <v>205</v>
      </c>
      <c r="AS46" s="1476" t="s">
        <v>205</v>
      </c>
      <c r="AT46" s="1476" t="s">
        <v>205</v>
      </c>
      <c r="AU46" s="1476" t="s">
        <v>205</v>
      </c>
      <c r="AV46" s="1477" t="s">
        <v>170</v>
      </c>
      <c r="AW46" s="1476" t="s">
        <v>170</v>
      </c>
      <c r="AX46" s="1476" t="s">
        <v>204</v>
      </c>
      <c r="AY46" s="1476" t="s">
        <v>204</v>
      </c>
      <c r="AZ46" s="1476" t="s">
        <v>206</v>
      </c>
      <c r="BA46" s="1478" t="s">
        <v>206</v>
      </c>
      <c r="BB46" s="1476" t="s">
        <v>172</v>
      </c>
      <c r="BC46" s="1476" t="s">
        <v>172</v>
      </c>
      <c r="BD46" s="476"/>
      <c r="BE46" s="451">
        <f>+'ESTADO RED VIS'!J14</f>
        <v>33.597000000000001</v>
      </c>
      <c r="BF46" s="452">
        <f>+BE46/53.74</f>
        <v>0.62517677707480457</v>
      </c>
      <c r="BG46" s="453">
        <f>+'ESTADO RED VIS'!J15</f>
        <v>11.764000000000001</v>
      </c>
      <c r="BH46" s="452">
        <f>+BG46/53.74</f>
        <v>0.21890584294752513</v>
      </c>
      <c r="BI46" s="453">
        <f>+'ESTADO RED VIS'!J16</f>
        <v>8.3819999999999997</v>
      </c>
      <c r="BJ46" s="454">
        <f>+BI46/53.74</f>
        <v>0.15597320431708223</v>
      </c>
      <c r="BM46" s="537">
        <f>+BJ46+BH46+BF46</f>
        <v>1.000055824339412</v>
      </c>
      <c r="BN46" s="455"/>
      <c r="BO46" s="537"/>
    </row>
    <row r="47" spans="1:67" ht="10.5" customHeight="1">
      <c r="A47" s="1258" t="s">
        <v>207</v>
      </c>
      <c r="B47" s="518"/>
      <c r="C47" s="519"/>
      <c r="D47" s="519"/>
      <c r="E47" s="519"/>
      <c r="H47" s="520"/>
      <c r="M47" s="521"/>
      <c r="R47" s="520"/>
      <c r="W47" s="521"/>
      <c r="AB47" s="520"/>
      <c r="AG47" s="521"/>
      <c r="AL47" s="520"/>
      <c r="AQ47" s="521"/>
      <c r="AV47" s="520"/>
      <c r="BA47" s="521"/>
      <c r="BD47" s="530"/>
      <c r="BE47" s="538"/>
      <c r="BF47" s="456"/>
      <c r="BG47" s="539"/>
      <c r="BH47" s="457"/>
      <c r="BI47" s="540"/>
      <c r="BJ47" s="458"/>
      <c r="BM47" s="537"/>
      <c r="BN47" s="455"/>
      <c r="BO47" s="537"/>
    </row>
    <row r="48" spans="1:67" ht="15" customHeight="1">
      <c r="A48" s="1264"/>
      <c r="B48" s="1244" t="s">
        <v>208</v>
      </c>
      <c r="C48" s="1245"/>
      <c r="D48" s="1245"/>
      <c r="E48" s="1245"/>
      <c r="F48" s="1245"/>
      <c r="G48" s="1245"/>
      <c r="H48" s="1245"/>
      <c r="I48" s="1245"/>
      <c r="J48" s="1245"/>
      <c r="K48" s="1245"/>
      <c r="L48" s="1245"/>
      <c r="M48" s="1245"/>
      <c r="N48" s="1245"/>
      <c r="O48" s="1245"/>
      <c r="P48" s="1245"/>
      <c r="Q48" s="1245"/>
      <c r="R48" s="1245"/>
      <c r="S48" s="1245"/>
      <c r="T48" s="1245"/>
      <c r="U48" s="1245"/>
      <c r="V48" s="1245"/>
      <c r="W48" s="1245"/>
      <c r="X48" s="1245"/>
      <c r="Y48" s="1245"/>
      <c r="Z48" s="1245"/>
      <c r="AA48" s="1245"/>
      <c r="AB48" s="1245"/>
      <c r="AC48" s="1245"/>
      <c r="AD48" s="1245"/>
      <c r="AE48" s="1245"/>
      <c r="AF48" s="1245"/>
      <c r="AG48" s="1245"/>
      <c r="AH48" s="1245"/>
      <c r="AI48" s="1245"/>
      <c r="AJ48" s="1245"/>
      <c r="AK48" s="1245"/>
      <c r="AL48" s="1245"/>
      <c r="AM48" s="1245"/>
      <c r="AN48" s="1245"/>
      <c r="AO48" s="1245"/>
      <c r="AP48" s="1245"/>
      <c r="AQ48" s="1245"/>
      <c r="AR48" s="1245"/>
      <c r="AS48" s="1245"/>
      <c r="AT48" s="1245"/>
      <c r="AU48" s="1245"/>
      <c r="AV48" s="1245"/>
      <c r="AW48" s="1245"/>
      <c r="AX48" s="1245"/>
      <c r="AY48" s="1245"/>
      <c r="AZ48" s="1245"/>
      <c r="BA48" s="1245"/>
      <c r="BB48" s="1245"/>
      <c r="BC48" s="1246"/>
      <c r="BD48" s="476"/>
      <c r="BE48" s="459">
        <f>(COUNTIF($B$48:$BC$48,"B"))</f>
        <v>0</v>
      </c>
      <c r="BF48" s="452">
        <f>+BE48/54</f>
        <v>0</v>
      </c>
      <c r="BG48" s="460">
        <f>(COUNTIF($B$48:$BC$48,"R"))</f>
        <v>0</v>
      </c>
      <c r="BH48" s="452">
        <f>+BG48/54</f>
        <v>0</v>
      </c>
      <c r="BI48" s="460">
        <f>(COUNTIF($B$48:$BC$48,"M"))</f>
        <v>0</v>
      </c>
      <c r="BJ48" s="454">
        <f>+BI48/54</f>
        <v>0</v>
      </c>
      <c r="BM48" s="537">
        <f t="shared" ref="BM48:BM62" si="0">+BJ48+BH48+BF48</f>
        <v>0</v>
      </c>
      <c r="BN48" s="455"/>
      <c r="BO48" s="537"/>
    </row>
    <row r="49" spans="1:67" ht="10.5" customHeight="1">
      <c r="A49" s="1258" t="s">
        <v>209</v>
      </c>
      <c r="B49" s="518"/>
      <c r="C49" s="519"/>
      <c r="D49" s="519"/>
      <c r="E49" s="519"/>
      <c r="F49" s="472"/>
      <c r="G49" s="541"/>
      <c r="H49" s="542"/>
      <c r="I49" s="541"/>
      <c r="J49" s="541"/>
      <c r="K49" s="541"/>
      <c r="L49" s="541"/>
      <c r="M49" s="543"/>
      <c r="N49" s="541"/>
      <c r="O49" s="541"/>
      <c r="P49" s="541"/>
      <c r="Q49" s="541"/>
      <c r="R49" s="542"/>
      <c r="S49" s="541"/>
      <c r="T49" s="541"/>
      <c r="U49" s="541"/>
      <c r="V49" s="541"/>
      <c r="W49" s="543"/>
      <c r="X49" s="541"/>
      <c r="Y49" s="541"/>
      <c r="Z49" s="541"/>
      <c r="AA49" s="541"/>
      <c r="AB49" s="542"/>
      <c r="AC49" s="541"/>
      <c r="AD49" s="541"/>
      <c r="AE49" s="541"/>
      <c r="AF49" s="541"/>
      <c r="AG49" s="543"/>
      <c r="AH49" s="472"/>
      <c r="AI49" s="472"/>
      <c r="AJ49" s="472"/>
      <c r="AK49" s="472"/>
      <c r="AL49" s="544"/>
      <c r="AM49" s="472"/>
      <c r="AN49" s="472"/>
      <c r="AO49" s="472"/>
      <c r="AP49" s="472"/>
      <c r="AQ49" s="545"/>
      <c r="AR49" s="472"/>
      <c r="AS49" s="472"/>
      <c r="AT49" s="472"/>
      <c r="AU49" s="472"/>
      <c r="AV49" s="544"/>
      <c r="AW49" s="472"/>
      <c r="AX49" s="472"/>
      <c r="AY49" s="472"/>
      <c r="AZ49" s="472"/>
      <c r="BA49" s="545"/>
      <c r="BB49" s="472"/>
      <c r="BC49" s="472"/>
      <c r="BD49" s="530"/>
      <c r="BE49" s="546"/>
      <c r="BF49" s="547"/>
      <c r="BG49" s="548"/>
      <c r="BH49" s="549"/>
      <c r="BI49" s="550"/>
      <c r="BJ49" s="551"/>
      <c r="BM49" s="537"/>
      <c r="BN49" s="455"/>
      <c r="BO49" s="537"/>
    </row>
    <row r="50" spans="1:67" ht="15" customHeight="1">
      <c r="A50" s="1264"/>
      <c r="B50" s="1480"/>
      <c r="C50" s="1481"/>
      <c r="D50" s="1481"/>
      <c r="E50" s="1481"/>
      <c r="F50" s="1481"/>
      <c r="G50" s="1481"/>
      <c r="H50" s="1482"/>
      <c r="I50" s="1481"/>
      <c r="J50" s="1481" t="s">
        <v>172</v>
      </c>
      <c r="K50" s="1481"/>
      <c r="L50" s="1481"/>
      <c r="M50" s="1480"/>
      <c r="N50" s="1481" t="s">
        <v>172</v>
      </c>
      <c r="O50" s="1481"/>
      <c r="P50" s="1481"/>
      <c r="Q50" s="1481"/>
      <c r="R50" s="1482"/>
      <c r="S50" s="1481"/>
      <c r="T50" s="1481"/>
      <c r="U50" s="1481" t="s">
        <v>172</v>
      </c>
      <c r="V50" s="1481"/>
      <c r="W50" s="1480"/>
      <c r="X50" s="1481"/>
      <c r="Y50" s="1481" t="s">
        <v>172</v>
      </c>
      <c r="Z50" s="1481"/>
      <c r="AA50" s="1481"/>
      <c r="AB50" s="1482"/>
      <c r="AC50" s="1481"/>
      <c r="AD50" s="1481"/>
      <c r="AE50" s="1481"/>
      <c r="AF50" s="1481"/>
      <c r="AG50" s="1480"/>
      <c r="AH50" s="1481"/>
      <c r="AI50" s="1481" t="s">
        <v>172</v>
      </c>
      <c r="AJ50" s="1481" t="s">
        <v>170</v>
      </c>
      <c r="AK50" s="1481"/>
      <c r="AL50" s="1482"/>
      <c r="AM50" s="1481" t="s">
        <v>172</v>
      </c>
      <c r="AN50" s="1481"/>
      <c r="AO50" s="1481"/>
      <c r="AP50" s="1481"/>
      <c r="AQ50" s="1480"/>
      <c r="AR50" s="1481"/>
      <c r="AS50" s="1481"/>
      <c r="AT50" s="1481" t="s">
        <v>176</v>
      </c>
      <c r="AU50" s="1481"/>
      <c r="AV50" s="1482"/>
      <c r="AW50" s="1481"/>
      <c r="AX50" s="1481"/>
      <c r="AY50" s="1481"/>
      <c r="AZ50" s="1481"/>
      <c r="BA50" s="1480"/>
      <c r="BB50" s="1481"/>
      <c r="BC50" s="1483"/>
      <c r="BD50" s="476"/>
      <c r="BE50" s="461">
        <f>(COUNTIF($B$50:$BC$50,"B"))</f>
        <v>6</v>
      </c>
      <c r="BF50" s="452">
        <f>+BE50/8</f>
        <v>0.75</v>
      </c>
      <c r="BG50" s="460">
        <f>(COUNTIF($B$50:$BC$50,"R"))</f>
        <v>1</v>
      </c>
      <c r="BH50" s="452">
        <f>+BG50/8</f>
        <v>0.125</v>
      </c>
      <c r="BI50" s="460">
        <f>(COUNTIF($B$50:$BC$50,"M"))</f>
        <v>1</v>
      </c>
      <c r="BJ50" s="454">
        <f>+BI50/8</f>
        <v>0.125</v>
      </c>
      <c r="BM50" s="537">
        <f t="shared" si="0"/>
        <v>1</v>
      </c>
      <c r="BN50" s="462"/>
      <c r="BO50" s="537"/>
    </row>
    <row r="51" spans="1:67" ht="10.5" customHeight="1" thickBot="1">
      <c r="A51" s="1258" t="s">
        <v>210</v>
      </c>
      <c r="B51" s="518"/>
      <c r="C51" s="519"/>
      <c r="D51" s="519"/>
      <c r="E51" s="519"/>
      <c r="F51" s="527"/>
      <c r="G51" s="527"/>
      <c r="H51" s="528"/>
      <c r="I51" s="527"/>
      <c r="J51" s="527"/>
      <c r="K51" s="527"/>
      <c r="L51" s="527"/>
      <c r="M51" s="529"/>
      <c r="N51" s="527"/>
      <c r="O51" s="527"/>
      <c r="P51" s="527"/>
      <c r="Q51" s="527"/>
      <c r="R51" s="528"/>
      <c r="S51" s="527"/>
      <c r="T51" s="527"/>
      <c r="U51" s="527"/>
      <c r="V51" s="527"/>
      <c r="W51" s="529"/>
      <c r="X51" s="527"/>
      <c r="Y51" s="527"/>
      <c r="Z51" s="527"/>
      <c r="AA51" s="527"/>
      <c r="AB51" s="528"/>
      <c r="AC51" s="527"/>
      <c r="AD51" s="527"/>
      <c r="AE51" s="527"/>
      <c r="AF51" s="527"/>
      <c r="AG51" s="529"/>
      <c r="AH51" s="527"/>
      <c r="AI51" s="527"/>
      <c r="AJ51" s="527"/>
      <c r="AK51" s="527"/>
      <c r="AL51" s="528"/>
      <c r="AM51" s="527"/>
      <c r="AN51" s="527"/>
      <c r="AO51" s="527"/>
      <c r="AP51" s="527"/>
      <c r="AQ51" s="529"/>
      <c r="AR51" s="527"/>
      <c r="AS51" s="527"/>
      <c r="AT51" s="527"/>
      <c r="AU51" s="527"/>
      <c r="AV51" s="528"/>
      <c r="AW51" s="527"/>
      <c r="AX51" s="527"/>
      <c r="AY51" s="527"/>
      <c r="AZ51" s="527"/>
      <c r="BA51" s="529"/>
      <c r="BB51" s="527"/>
      <c r="BC51" s="527"/>
      <c r="BD51" s="530"/>
      <c r="BE51" s="546"/>
      <c r="BF51" s="547"/>
      <c r="BG51" s="548"/>
      <c r="BH51" s="549"/>
      <c r="BI51" s="550"/>
      <c r="BJ51" s="551"/>
      <c r="BM51" s="537"/>
      <c r="BN51" s="455"/>
      <c r="BO51" s="537"/>
    </row>
    <row r="52" spans="1:67" ht="15" customHeight="1" thickTop="1">
      <c r="A52" s="1264"/>
      <c r="B52" s="1480" t="s">
        <v>204</v>
      </c>
      <c r="C52" s="1481" t="s">
        <v>204</v>
      </c>
      <c r="D52" s="1481" t="s">
        <v>204</v>
      </c>
      <c r="E52" s="1481" t="s">
        <v>204</v>
      </c>
      <c r="F52" s="1481" t="s">
        <v>206</v>
      </c>
      <c r="G52" s="1481" t="s">
        <v>204</v>
      </c>
      <c r="H52" s="1482" t="s">
        <v>204</v>
      </c>
      <c r="I52" s="1481" t="s">
        <v>206</v>
      </c>
      <c r="J52" s="1481" t="s">
        <v>206</v>
      </c>
      <c r="K52" s="1481" t="s">
        <v>204</v>
      </c>
      <c r="L52" s="1481" t="s">
        <v>204</v>
      </c>
      <c r="M52" s="1480" t="s">
        <v>206</v>
      </c>
      <c r="N52" s="1481" t="s">
        <v>204</v>
      </c>
      <c r="O52" s="1481" t="s">
        <v>204</v>
      </c>
      <c r="P52" s="1481" t="s">
        <v>204</v>
      </c>
      <c r="Q52" s="1481" t="s">
        <v>204</v>
      </c>
      <c r="R52" s="1482" t="s">
        <v>204</v>
      </c>
      <c r="S52" s="1481" t="s">
        <v>204</v>
      </c>
      <c r="T52" s="1481" t="s">
        <v>204</v>
      </c>
      <c r="U52" s="1481" t="s">
        <v>206</v>
      </c>
      <c r="V52" s="1481" t="s">
        <v>206</v>
      </c>
      <c r="W52" s="1480" t="s">
        <v>206</v>
      </c>
      <c r="X52" s="1481" t="s">
        <v>204</v>
      </c>
      <c r="Y52" s="1481" t="s">
        <v>204</v>
      </c>
      <c r="Z52" s="1481" t="s">
        <v>204</v>
      </c>
      <c r="AA52" s="1481" t="s">
        <v>204</v>
      </c>
      <c r="AB52" s="1482" t="s">
        <v>204</v>
      </c>
      <c r="AC52" s="1481" t="s">
        <v>204</v>
      </c>
      <c r="AD52" s="1481" t="s">
        <v>204</v>
      </c>
      <c r="AE52" s="1481" t="s">
        <v>204</v>
      </c>
      <c r="AF52" s="1481" t="s">
        <v>204</v>
      </c>
      <c r="AG52" s="1480" t="s">
        <v>204</v>
      </c>
      <c r="AH52" s="1481" t="s">
        <v>204</v>
      </c>
      <c r="AI52" s="1481" t="s">
        <v>204</v>
      </c>
      <c r="AJ52" s="1481" t="s">
        <v>204</v>
      </c>
      <c r="AK52" s="1481" t="s">
        <v>204</v>
      </c>
      <c r="AL52" s="1482" t="s">
        <v>206</v>
      </c>
      <c r="AM52" s="1481" t="s">
        <v>206</v>
      </c>
      <c r="AN52" s="1481" t="s">
        <v>206</v>
      </c>
      <c r="AO52" s="1481" t="s">
        <v>172</v>
      </c>
      <c r="AP52" s="1481" t="s">
        <v>206</v>
      </c>
      <c r="AQ52" s="1480" t="s">
        <v>206</v>
      </c>
      <c r="AR52" s="1481" t="s">
        <v>206</v>
      </c>
      <c r="AS52" s="1481" t="s">
        <v>204</v>
      </c>
      <c r="AT52" s="1481" t="s">
        <v>204</v>
      </c>
      <c r="AU52" s="1481" t="s">
        <v>206</v>
      </c>
      <c r="AV52" s="1482" t="s">
        <v>205</v>
      </c>
      <c r="AW52" s="1481" t="s">
        <v>205</v>
      </c>
      <c r="AX52" s="1481" t="s">
        <v>205</v>
      </c>
      <c r="AY52" s="1481" t="s">
        <v>205</v>
      </c>
      <c r="AZ52" s="1481" t="s">
        <v>205</v>
      </c>
      <c r="BA52" s="1480" t="s">
        <v>205</v>
      </c>
      <c r="BB52" s="1481" t="s">
        <v>205</v>
      </c>
      <c r="BC52" s="1481" t="s">
        <v>204</v>
      </c>
      <c r="BD52" s="552"/>
      <c r="BE52" s="459">
        <f>(COUNTIF($B$52:$BC$52,"B"))</f>
        <v>33</v>
      </c>
      <c r="BF52" s="452">
        <f>+BE52/54</f>
        <v>0.61111111111111116</v>
      </c>
      <c r="BG52" s="460">
        <f>(COUNTIF($B$52:$BC$52,"R"))</f>
        <v>14</v>
      </c>
      <c r="BH52" s="452">
        <f>+BG52/54</f>
        <v>0.25925925925925924</v>
      </c>
      <c r="BI52" s="460">
        <f>(COUNTIF($B$52:$BC$52,"M"))</f>
        <v>7</v>
      </c>
      <c r="BJ52" s="454">
        <f>+BI52/54</f>
        <v>0.12962962962962962</v>
      </c>
      <c r="BM52" s="537">
        <f t="shared" si="0"/>
        <v>1</v>
      </c>
      <c r="BN52" s="455"/>
      <c r="BO52" s="537"/>
    </row>
    <row r="53" spans="1:67" ht="10.5" customHeight="1">
      <c r="A53" s="1258" t="s">
        <v>211</v>
      </c>
      <c r="B53" s="518"/>
      <c r="C53" s="519"/>
      <c r="D53" s="519"/>
      <c r="E53" s="519"/>
      <c r="F53" s="527"/>
      <c r="G53" s="527"/>
      <c r="H53" s="528"/>
      <c r="I53" s="527"/>
      <c r="J53" s="527"/>
      <c r="K53" s="527"/>
      <c r="L53" s="527"/>
      <c r="M53" s="529"/>
      <c r="N53" s="527"/>
      <c r="O53" s="527"/>
      <c r="P53" s="527"/>
      <c r="Q53" s="527"/>
      <c r="R53" s="528"/>
      <c r="S53" s="527"/>
      <c r="T53" s="527"/>
      <c r="U53" s="527"/>
      <c r="V53" s="527"/>
      <c r="W53" s="529"/>
      <c r="X53" s="527"/>
      <c r="Y53" s="527"/>
      <c r="Z53" s="527"/>
      <c r="AA53" s="527"/>
      <c r="AB53" s="528"/>
      <c r="AC53" s="527"/>
      <c r="AD53" s="527"/>
      <c r="AE53" s="527"/>
      <c r="AF53" s="527"/>
      <c r="AG53" s="529"/>
      <c r="AH53" s="527"/>
      <c r="AI53" s="527"/>
      <c r="AJ53" s="527"/>
      <c r="AK53" s="527"/>
      <c r="AL53" s="528"/>
      <c r="AM53" s="527"/>
      <c r="AN53" s="527"/>
      <c r="AO53" s="527"/>
      <c r="AP53" s="527"/>
      <c r="AQ53" s="529"/>
      <c r="AR53" s="527"/>
      <c r="AS53" s="527"/>
      <c r="AT53" s="527"/>
      <c r="AU53" s="527"/>
      <c r="AV53" s="528"/>
      <c r="AW53" s="527"/>
      <c r="AX53" s="527"/>
      <c r="AY53" s="527"/>
      <c r="AZ53" s="527"/>
      <c r="BA53" s="529"/>
      <c r="BB53" s="527"/>
      <c r="BC53" s="527"/>
      <c r="BD53" s="530"/>
      <c r="BE53" s="546"/>
      <c r="BF53" s="547"/>
      <c r="BG53" s="548"/>
      <c r="BH53" s="549"/>
      <c r="BI53" s="550"/>
      <c r="BJ53" s="551"/>
      <c r="BM53" s="537"/>
      <c r="BN53" s="455"/>
      <c r="BO53" s="537"/>
    </row>
    <row r="54" spans="1:67" ht="15" customHeight="1">
      <c r="A54" s="1264"/>
      <c r="B54" s="1484" t="s">
        <v>172</v>
      </c>
      <c r="C54" s="1485" t="s">
        <v>172</v>
      </c>
      <c r="D54" s="1485" t="s">
        <v>172</v>
      </c>
      <c r="E54" s="1485" t="s">
        <v>172</v>
      </c>
      <c r="F54" s="1485" t="s">
        <v>172</v>
      </c>
      <c r="G54" s="1485" t="s">
        <v>172</v>
      </c>
      <c r="H54" s="1486" t="s">
        <v>176</v>
      </c>
      <c r="I54" s="1485" t="s">
        <v>176</v>
      </c>
      <c r="J54" s="1485" t="s">
        <v>176</v>
      </c>
      <c r="K54" s="1485" t="s">
        <v>170</v>
      </c>
      <c r="L54" s="1485" t="s">
        <v>176</v>
      </c>
      <c r="M54" s="1484" t="s">
        <v>176</v>
      </c>
      <c r="N54" s="1485" t="s">
        <v>176</v>
      </c>
      <c r="O54" s="1485" t="s">
        <v>176</v>
      </c>
      <c r="P54" s="1485" t="s">
        <v>176</v>
      </c>
      <c r="Q54" s="1485" t="s">
        <v>172</v>
      </c>
      <c r="R54" s="1486" t="s">
        <v>172</v>
      </c>
      <c r="S54" s="1485" t="s">
        <v>172</v>
      </c>
      <c r="T54" s="1485" t="s">
        <v>176</v>
      </c>
      <c r="U54" s="1485" t="s">
        <v>176</v>
      </c>
      <c r="V54" s="1485" t="s">
        <v>170</v>
      </c>
      <c r="W54" s="1484" t="s">
        <v>176</v>
      </c>
      <c r="X54" s="1485" t="s">
        <v>170</v>
      </c>
      <c r="Y54" s="1485" t="s">
        <v>176</v>
      </c>
      <c r="Z54" s="1485" t="s">
        <v>176</v>
      </c>
      <c r="AA54" s="1485" t="s">
        <v>176</v>
      </c>
      <c r="AB54" s="1486" t="s">
        <v>176</v>
      </c>
      <c r="AC54" s="1485" t="s">
        <v>176</v>
      </c>
      <c r="AD54" s="1485" t="s">
        <v>176</v>
      </c>
      <c r="AE54" s="1485" t="s">
        <v>176</v>
      </c>
      <c r="AF54" s="1485" t="s">
        <v>176</v>
      </c>
      <c r="AG54" s="1484" t="s">
        <v>176</v>
      </c>
      <c r="AH54" s="1485" t="s">
        <v>176</v>
      </c>
      <c r="AI54" s="1485" t="s">
        <v>176</v>
      </c>
      <c r="AJ54" s="1485" t="s">
        <v>176</v>
      </c>
      <c r="AK54" s="1485" t="s">
        <v>176</v>
      </c>
      <c r="AL54" s="1486" t="s">
        <v>176</v>
      </c>
      <c r="AM54" s="1485" t="s">
        <v>176</v>
      </c>
      <c r="AN54" s="1485" t="s">
        <v>176</v>
      </c>
      <c r="AO54" s="1485" t="s">
        <v>176</v>
      </c>
      <c r="AP54" s="1485" t="s">
        <v>176</v>
      </c>
      <c r="AQ54" s="1484" t="s">
        <v>176</v>
      </c>
      <c r="AR54" s="1485" t="s">
        <v>176</v>
      </c>
      <c r="AS54" s="1485" t="s">
        <v>176</v>
      </c>
      <c r="AT54" s="1485" t="s">
        <v>176</v>
      </c>
      <c r="AU54" s="1485" t="s">
        <v>176</v>
      </c>
      <c r="AV54" s="1486" t="s">
        <v>176</v>
      </c>
      <c r="AW54" s="1485" t="s">
        <v>176</v>
      </c>
      <c r="AX54" s="1485" t="s">
        <v>176</v>
      </c>
      <c r="AY54" s="1485" t="s">
        <v>176</v>
      </c>
      <c r="AZ54" s="1485" t="s">
        <v>176</v>
      </c>
      <c r="BA54" s="1484" t="s">
        <v>176</v>
      </c>
      <c r="BB54" s="1485" t="s">
        <v>176</v>
      </c>
      <c r="BC54" s="1487" t="s">
        <v>176</v>
      </c>
      <c r="BD54" s="476"/>
      <c r="BE54" s="459">
        <f>(COUNTIF($B$54:$BC$54,"B"))</f>
        <v>9</v>
      </c>
      <c r="BF54" s="452">
        <f>+BE54/54</f>
        <v>0.16666666666666666</v>
      </c>
      <c r="BG54" s="460">
        <f>(COUNTIF($B$54:$BC$54,"R"))</f>
        <v>42</v>
      </c>
      <c r="BH54" s="452">
        <f>+BG54/54</f>
        <v>0.77777777777777779</v>
      </c>
      <c r="BI54" s="460">
        <f>(COUNTIF($B$54:$BC$54,"M"))</f>
        <v>3</v>
      </c>
      <c r="BJ54" s="454">
        <f>+BI54/54</f>
        <v>5.5555555555555552E-2</v>
      </c>
      <c r="BM54" s="537">
        <f t="shared" si="0"/>
        <v>1</v>
      </c>
      <c r="BN54" s="455"/>
      <c r="BO54" s="537"/>
    </row>
    <row r="55" spans="1:67" ht="10.5" customHeight="1">
      <c r="A55" s="1258" t="s">
        <v>212</v>
      </c>
      <c r="B55" s="518"/>
      <c r="C55" s="519"/>
      <c r="D55" s="519"/>
      <c r="E55" s="519"/>
      <c r="F55" s="527"/>
      <c r="G55" s="527"/>
      <c r="H55" s="528"/>
      <c r="I55" s="527"/>
      <c r="J55" s="527"/>
      <c r="K55" s="527"/>
      <c r="L55" s="527"/>
      <c r="M55" s="529"/>
      <c r="N55" s="527"/>
      <c r="O55" s="527"/>
      <c r="P55" s="527"/>
      <c r="Q55" s="527"/>
      <c r="R55" s="528"/>
      <c r="S55" s="527"/>
      <c r="T55" s="527"/>
      <c r="U55" s="527"/>
      <c r="V55" s="527"/>
      <c r="W55" s="529"/>
      <c r="X55" s="527"/>
      <c r="Y55" s="527"/>
      <c r="Z55" s="527"/>
      <c r="AA55" s="527"/>
      <c r="AB55" s="528"/>
      <c r="AC55" s="527"/>
      <c r="AD55" s="527"/>
      <c r="AE55" s="527"/>
      <c r="AF55" s="527"/>
      <c r="AG55" s="529"/>
      <c r="AH55" s="527"/>
      <c r="AI55" s="527"/>
      <c r="AJ55" s="527"/>
      <c r="AK55" s="527"/>
      <c r="AL55" s="528"/>
      <c r="AM55" s="527"/>
      <c r="AN55" s="527"/>
      <c r="AO55" s="527"/>
      <c r="AP55" s="527"/>
      <c r="AQ55" s="529"/>
      <c r="AR55" s="527"/>
      <c r="AS55" s="527"/>
      <c r="AT55" s="527"/>
      <c r="AU55" s="527"/>
      <c r="AV55" s="528"/>
      <c r="AW55" s="527"/>
      <c r="AX55" s="527"/>
      <c r="AY55" s="527"/>
      <c r="AZ55" s="527"/>
      <c r="BA55" s="529"/>
      <c r="BB55" s="527"/>
      <c r="BC55" s="527"/>
      <c r="BD55" s="530"/>
      <c r="BE55" s="546"/>
      <c r="BF55" s="547"/>
      <c r="BG55" s="548"/>
      <c r="BH55" s="549"/>
      <c r="BI55" s="550"/>
      <c r="BJ55" s="551"/>
      <c r="BM55" s="537"/>
      <c r="BN55" s="455"/>
      <c r="BO55" s="537"/>
    </row>
    <row r="56" spans="1:67" ht="15" customHeight="1">
      <c r="A56" s="1264"/>
      <c r="B56" s="1484" t="s">
        <v>205</v>
      </c>
      <c r="C56" s="1488" t="s">
        <v>176</v>
      </c>
      <c r="D56" s="1488" t="s">
        <v>176</v>
      </c>
      <c r="E56" s="1488" t="s">
        <v>176</v>
      </c>
      <c r="F56" s="1488" t="s">
        <v>176</v>
      </c>
      <c r="G56" s="1488" t="s">
        <v>176</v>
      </c>
      <c r="H56" s="1486" t="s">
        <v>204</v>
      </c>
      <c r="I56" s="1485" t="s">
        <v>204</v>
      </c>
      <c r="J56" s="1485" t="s">
        <v>204</v>
      </c>
      <c r="K56" s="1485" t="s">
        <v>204</v>
      </c>
      <c r="L56" s="1485" t="s">
        <v>204</v>
      </c>
      <c r="M56" s="1484" t="s">
        <v>204</v>
      </c>
      <c r="N56" s="1485" t="s">
        <v>204</v>
      </c>
      <c r="O56" s="1485" t="s">
        <v>204</v>
      </c>
      <c r="P56" s="1485" t="s">
        <v>170</v>
      </c>
      <c r="Q56" s="1485" t="s">
        <v>170</v>
      </c>
      <c r="R56" s="1486" t="s">
        <v>170</v>
      </c>
      <c r="S56" s="1485" t="s">
        <v>170</v>
      </c>
      <c r="T56" s="1485" t="s">
        <v>170</v>
      </c>
      <c r="U56" s="1485" t="s">
        <v>170</v>
      </c>
      <c r="V56" s="1485" t="s">
        <v>170</v>
      </c>
      <c r="W56" s="1484" t="s">
        <v>170</v>
      </c>
      <c r="X56" s="1485" t="s">
        <v>170</v>
      </c>
      <c r="Y56" s="1485" t="s">
        <v>170</v>
      </c>
      <c r="Z56" s="1485" t="s">
        <v>170</v>
      </c>
      <c r="AA56" s="1485" t="s">
        <v>172</v>
      </c>
      <c r="AB56" s="1486" t="s">
        <v>172</v>
      </c>
      <c r="AC56" s="1485" t="s">
        <v>172</v>
      </c>
      <c r="AD56" s="1485" t="s">
        <v>172</v>
      </c>
      <c r="AE56" s="1485" t="s">
        <v>204</v>
      </c>
      <c r="AF56" s="1485" t="s">
        <v>204</v>
      </c>
      <c r="AG56" s="1484" t="s">
        <v>204</v>
      </c>
      <c r="AH56" s="1485" t="s">
        <v>204</v>
      </c>
      <c r="AI56" s="1485" t="s">
        <v>204</v>
      </c>
      <c r="AJ56" s="1485" t="s">
        <v>204</v>
      </c>
      <c r="AK56" s="1485" t="s">
        <v>204</v>
      </c>
      <c r="AL56" s="1486" t="s">
        <v>204</v>
      </c>
      <c r="AM56" s="1485" t="s">
        <v>204</v>
      </c>
      <c r="AN56" s="1485" t="s">
        <v>204</v>
      </c>
      <c r="AO56" s="1485" t="s">
        <v>204</v>
      </c>
      <c r="AP56" s="1485" t="s">
        <v>204</v>
      </c>
      <c r="AQ56" s="1484" t="s">
        <v>204</v>
      </c>
      <c r="AR56" s="1485" t="s">
        <v>204</v>
      </c>
      <c r="AS56" s="1485" t="s">
        <v>204</v>
      </c>
      <c r="AT56" s="1485" t="s">
        <v>204</v>
      </c>
      <c r="AU56" s="1485" t="s">
        <v>204</v>
      </c>
      <c r="AV56" s="1486" t="s">
        <v>204</v>
      </c>
      <c r="AW56" s="1485" t="s">
        <v>204</v>
      </c>
      <c r="AX56" s="1485" t="s">
        <v>204</v>
      </c>
      <c r="AY56" s="1485" t="s">
        <v>204</v>
      </c>
      <c r="AZ56" s="1485" t="s">
        <v>204</v>
      </c>
      <c r="BA56" s="1484" t="s">
        <v>204</v>
      </c>
      <c r="BB56" s="1485" t="s">
        <v>204</v>
      </c>
      <c r="BC56" s="1487" t="s">
        <v>172</v>
      </c>
      <c r="BD56" s="476"/>
      <c r="BE56" s="459">
        <f>(COUNTIF($B$56:$BC$56,"B"))</f>
        <v>37</v>
      </c>
      <c r="BF56" s="452">
        <f>+BE56/54</f>
        <v>0.68518518518518523</v>
      </c>
      <c r="BG56" s="460">
        <f>(COUNTIF($B$56:$BC$56,"R"))</f>
        <v>5</v>
      </c>
      <c r="BH56" s="452">
        <f>+BG56/54</f>
        <v>9.2592592592592587E-2</v>
      </c>
      <c r="BI56" s="460">
        <f>(COUNTIF($B$56:$BC$56,"M"))</f>
        <v>12</v>
      </c>
      <c r="BJ56" s="454">
        <f>+BI56/54</f>
        <v>0.22222222222222221</v>
      </c>
      <c r="BM56" s="537">
        <f t="shared" si="0"/>
        <v>1</v>
      </c>
      <c r="BN56" s="455"/>
      <c r="BO56" s="537"/>
    </row>
    <row r="57" spans="1:67" ht="10.5" customHeight="1">
      <c r="A57" s="1258" t="s">
        <v>213</v>
      </c>
      <c r="B57" s="518"/>
      <c r="C57" s="519"/>
      <c r="D57" s="519"/>
      <c r="E57" s="519"/>
      <c r="F57" s="527"/>
      <c r="G57" s="527"/>
      <c r="H57" s="528"/>
      <c r="I57" s="527"/>
      <c r="J57" s="527"/>
      <c r="K57" s="527"/>
      <c r="L57" s="527"/>
      <c r="M57" s="529"/>
      <c r="N57" s="527"/>
      <c r="O57" s="527"/>
      <c r="P57" s="527"/>
      <c r="Q57" s="527"/>
      <c r="R57" s="528"/>
      <c r="S57" s="527"/>
      <c r="T57" s="527"/>
      <c r="U57" s="527"/>
      <c r="V57" s="527"/>
      <c r="W57" s="529"/>
      <c r="X57" s="527"/>
      <c r="Y57" s="527"/>
      <c r="Z57" s="527"/>
      <c r="AA57" s="527"/>
      <c r="AB57" s="528"/>
      <c r="AC57" s="527"/>
      <c r="AD57" s="527"/>
      <c r="AE57" s="527"/>
      <c r="AF57" s="527"/>
      <c r="AG57" s="529"/>
      <c r="AH57" s="527"/>
      <c r="AI57" s="527"/>
      <c r="AJ57" s="527"/>
      <c r="AK57" s="527"/>
      <c r="AL57" s="528"/>
      <c r="AM57" s="527"/>
      <c r="AN57" s="527"/>
      <c r="AO57" s="527"/>
      <c r="AP57" s="527"/>
      <c r="AQ57" s="529"/>
      <c r="AR57" s="527"/>
      <c r="AS57" s="527"/>
      <c r="AT57" s="527"/>
      <c r="AU57" s="527"/>
      <c r="AV57" s="528"/>
      <c r="AW57" s="527"/>
      <c r="AX57" s="527"/>
      <c r="AY57" s="527"/>
      <c r="AZ57" s="527"/>
      <c r="BA57" s="529"/>
      <c r="BB57" s="527"/>
      <c r="BC57" s="527"/>
      <c r="BD57" s="530"/>
      <c r="BE57" s="546"/>
      <c r="BF57" s="547"/>
      <c r="BG57" s="548"/>
      <c r="BH57" s="549"/>
      <c r="BI57" s="550"/>
      <c r="BJ57" s="551"/>
      <c r="BM57" s="537"/>
      <c r="BN57" s="455"/>
      <c r="BO57" s="537"/>
    </row>
    <row r="58" spans="1:67" ht="15" customHeight="1">
      <c r="A58" s="1264"/>
      <c r="B58" s="1484" t="s">
        <v>172</v>
      </c>
      <c r="C58" s="1485" t="s">
        <v>172</v>
      </c>
      <c r="D58" s="1485" t="s">
        <v>172</v>
      </c>
      <c r="E58" s="1485" t="s">
        <v>172</v>
      </c>
      <c r="F58" s="1485" t="s">
        <v>172</v>
      </c>
      <c r="G58" s="1485" t="s">
        <v>172</v>
      </c>
      <c r="H58" s="1486" t="s">
        <v>172</v>
      </c>
      <c r="I58" s="1485" t="s">
        <v>172</v>
      </c>
      <c r="J58" s="1485" t="s">
        <v>172</v>
      </c>
      <c r="K58" s="1485" t="s">
        <v>172</v>
      </c>
      <c r="L58" s="1485" t="s">
        <v>172</v>
      </c>
      <c r="M58" s="1484" t="s">
        <v>172</v>
      </c>
      <c r="N58" s="1485" t="s">
        <v>172</v>
      </c>
      <c r="O58" s="1485" t="s">
        <v>172</v>
      </c>
      <c r="P58" s="1485" t="s">
        <v>172</v>
      </c>
      <c r="Q58" s="1485" t="s">
        <v>172</v>
      </c>
      <c r="R58" s="1486" t="s">
        <v>172</v>
      </c>
      <c r="S58" s="1485" t="s">
        <v>172</v>
      </c>
      <c r="T58" s="1485" t="s">
        <v>172</v>
      </c>
      <c r="U58" s="1485" t="s">
        <v>172</v>
      </c>
      <c r="V58" s="1485" t="s">
        <v>172</v>
      </c>
      <c r="W58" s="1484" t="s">
        <v>172</v>
      </c>
      <c r="X58" s="1485" t="s">
        <v>172</v>
      </c>
      <c r="Y58" s="1485" t="s">
        <v>172</v>
      </c>
      <c r="Z58" s="1485" t="s">
        <v>172</v>
      </c>
      <c r="AA58" s="1485" t="s">
        <v>172</v>
      </c>
      <c r="AB58" s="1486" t="s">
        <v>172</v>
      </c>
      <c r="AC58" s="1485" t="s">
        <v>172</v>
      </c>
      <c r="AD58" s="1485" t="s">
        <v>172</v>
      </c>
      <c r="AE58" s="1485" t="s">
        <v>172</v>
      </c>
      <c r="AF58" s="1485" t="s">
        <v>172</v>
      </c>
      <c r="AG58" s="1484" t="s">
        <v>172</v>
      </c>
      <c r="AH58" s="1485" t="s">
        <v>172</v>
      </c>
      <c r="AI58" s="1485" t="s">
        <v>172</v>
      </c>
      <c r="AJ58" s="1485" t="s">
        <v>172</v>
      </c>
      <c r="AK58" s="1485" t="s">
        <v>172</v>
      </c>
      <c r="AL58" s="1486" t="s">
        <v>172</v>
      </c>
      <c r="AM58" s="1485" t="s">
        <v>172</v>
      </c>
      <c r="AN58" s="1485" t="s">
        <v>172</v>
      </c>
      <c r="AO58" s="1485" t="s">
        <v>172</v>
      </c>
      <c r="AP58" s="1485" t="s">
        <v>172</v>
      </c>
      <c r="AQ58" s="1484" t="s">
        <v>172</v>
      </c>
      <c r="AR58" s="1485" t="s">
        <v>172</v>
      </c>
      <c r="AS58" s="1485" t="s">
        <v>172</v>
      </c>
      <c r="AT58" s="1485" t="s">
        <v>172</v>
      </c>
      <c r="AU58" s="1485" t="s">
        <v>172</v>
      </c>
      <c r="AV58" s="1486" t="s">
        <v>172</v>
      </c>
      <c r="AW58" s="1485" t="s">
        <v>172</v>
      </c>
      <c r="AX58" s="1485" t="s">
        <v>172</v>
      </c>
      <c r="AY58" s="1485" t="s">
        <v>172</v>
      </c>
      <c r="AZ58" s="1485" t="s">
        <v>172</v>
      </c>
      <c r="BA58" s="1484" t="s">
        <v>172</v>
      </c>
      <c r="BB58" s="1485" t="s">
        <v>172</v>
      </c>
      <c r="BC58" s="1487" t="s">
        <v>172</v>
      </c>
      <c r="BD58" s="476"/>
      <c r="BE58" s="459">
        <f>(COUNTIF($B$58:$BC$58,"B"))</f>
        <v>54</v>
      </c>
      <c r="BF58" s="452">
        <f>+BE58/54</f>
        <v>1</v>
      </c>
      <c r="BG58" s="460">
        <f>(COUNTIF($B$58:$BC$58,"R"))</f>
        <v>0</v>
      </c>
      <c r="BH58" s="452">
        <f>+BG58/54</f>
        <v>0</v>
      </c>
      <c r="BI58" s="460">
        <f>(COUNTIF($B$58:$BC$58,"M"))</f>
        <v>0</v>
      </c>
      <c r="BJ58" s="454">
        <f>+BI58/54</f>
        <v>0</v>
      </c>
      <c r="BM58" s="537">
        <f t="shared" si="0"/>
        <v>1</v>
      </c>
      <c r="BN58" s="455"/>
      <c r="BO58" s="537"/>
    </row>
    <row r="59" spans="1:67" ht="10.5" customHeight="1">
      <c r="A59" s="1258" t="s">
        <v>214</v>
      </c>
      <c r="B59" s="518"/>
      <c r="C59" s="519"/>
      <c r="D59" s="519"/>
      <c r="E59" s="519"/>
      <c r="F59" s="527"/>
      <c r="G59" s="527"/>
      <c r="H59" s="528"/>
      <c r="I59" s="527"/>
      <c r="J59" s="527"/>
      <c r="K59" s="527"/>
      <c r="L59" s="527"/>
      <c r="M59" s="529"/>
      <c r="N59" s="527"/>
      <c r="O59" s="527"/>
      <c r="P59" s="527"/>
      <c r="Q59" s="527"/>
      <c r="R59" s="528"/>
      <c r="S59" s="527"/>
      <c r="T59" s="527"/>
      <c r="U59" s="527"/>
      <c r="V59" s="527"/>
      <c r="W59" s="529"/>
      <c r="X59" s="527"/>
      <c r="Y59" s="527"/>
      <c r="Z59" s="527"/>
      <c r="AA59" s="527"/>
      <c r="AB59" s="528"/>
      <c r="AC59" s="527"/>
      <c r="AD59" s="527"/>
      <c r="AE59" s="527"/>
      <c r="AF59" s="527"/>
      <c r="AG59" s="529"/>
      <c r="AH59" s="527"/>
      <c r="AI59" s="527"/>
      <c r="AJ59" s="527"/>
      <c r="AK59" s="527"/>
      <c r="AL59" s="528"/>
      <c r="AM59" s="527"/>
      <c r="AN59" s="527"/>
      <c r="AO59" s="527"/>
      <c r="AP59" s="527"/>
      <c r="AQ59" s="529"/>
      <c r="AR59" s="527"/>
      <c r="AS59" s="527"/>
      <c r="AT59" s="527"/>
      <c r="AU59" s="527"/>
      <c r="AV59" s="528"/>
      <c r="AW59" s="527"/>
      <c r="AX59" s="527"/>
      <c r="AY59" s="527"/>
      <c r="AZ59" s="527"/>
      <c r="BA59" s="529"/>
      <c r="BB59" s="527"/>
      <c r="BC59" s="527"/>
      <c r="BE59" s="546"/>
      <c r="BF59" s="547"/>
      <c r="BG59" s="548"/>
      <c r="BH59" s="549"/>
      <c r="BI59" s="550"/>
      <c r="BJ59" s="551"/>
      <c r="BM59" s="537"/>
      <c r="BN59" s="455"/>
      <c r="BO59" s="537"/>
    </row>
    <row r="60" spans="1:67" ht="15" customHeight="1">
      <c r="A60" s="1264"/>
      <c r="B60" s="1480" t="s">
        <v>204</v>
      </c>
      <c r="C60" s="1481" t="s">
        <v>204</v>
      </c>
      <c r="D60" s="1481" t="s">
        <v>176</v>
      </c>
      <c r="E60" s="1481" t="s">
        <v>176</v>
      </c>
      <c r="F60" s="1481" t="s">
        <v>176</v>
      </c>
      <c r="G60" s="1481" t="s">
        <v>176</v>
      </c>
      <c r="H60" s="1482" t="s">
        <v>176</v>
      </c>
      <c r="I60" s="1481" t="s">
        <v>176</v>
      </c>
      <c r="J60" s="1481" t="s">
        <v>176</v>
      </c>
      <c r="K60" s="1481" t="s">
        <v>172</v>
      </c>
      <c r="L60" s="1481" t="s">
        <v>176</v>
      </c>
      <c r="M60" s="1480" t="s">
        <v>176</v>
      </c>
      <c r="N60" s="1481" t="s">
        <v>176</v>
      </c>
      <c r="O60" s="1481" t="s">
        <v>176</v>
      </c>
      <c r="P60" s="1481" t="s">
        <v>176</v>
      </c>
      <c r="Q60" s="1481" t="s">
        <v>176</v>
      </c>
      <c r="R60" s="1482" t="s">
        <v>176</v>
      </c>
      <c r="S60" s="1481" t="s">
        <v>172</v>
      </c>
      <c r="T60" s="1481" t="s">
        <v>172</v>
      </c>
      <c r="U60" s="1481" t="s">
        <v>176</v>
      </c>
      <c r="V60" s="1481" t="s">
        <v>176</v>
      </c>
      <c r="W60" s="1480" t="s">
        <v>176</v>
      </c>
      <c r="X60" s="1481" t="s">
        <v>172</v>
      </c>
      <c r="Y60" s="1481" t="s">
        <v>172</v>
      </c>
      <c r="Z60" s="1481" t="s">
        <v>172</v>
      </c>
      <c r="AA60" s="1481" t="s">
        <v>172</v>
      </c>
      <c r="AB60" s="1482" t="s">
        <v>172</v>
      </c>
      <c r="AC60" s="1481" t="s">
        <v>172</v>
      </c>
      <c r="AD60" s="1481" t="s">
        <v>172</v>
      </c>
      <c r="AE60" s="1481" t="s">
        <v>172</v>
      </c>
      <c r="AF60" s="1481" t="s">
        <v>172</v>
      </c>
      <c r="AG60" s="1480" t="s">
        <v>172</v>
      </c>
      <c r="AH60" s="1481" t="s">
        <v>172</v>
      </c>
      <c r="AI60" s="1481" t="s">
        <v>172</v>
      </c>
      <c r="AJ60" s="1481" t="s">
        <v>172</v>
      </c>
      <c r="AK60" s="1481" t="s">
        <v>172</v>
      </c>
      <c r="AL60" s="1482" t="s">
        <v>176</v>
      </c>
      <c r="AM60" s="1481" t="s">
        <v>176</v>
      </c>
      <c r="AN60" s="1481" t="s">
        <v>176</v>
      </c>
      <c r="AO60" s="1481" t="s">
        <v>176</v>
      </c>
      <c r="AP60" s="1481" t="s">
        <v>176</v>
      </c>
      <c r="AQ60" s="1480" t="s">
        <v>176</v>
      </c>
      <c r="AR60" s="1481" t="s">
        <v>176</v>
      </c>
      <c r="AS60" s="1481" t="s">
        <v>176</v>
      </c>
      <c r="AT60" s="1481" t="s">
        <v>176</v>
      </c>
      <c r="AU60" s="1481" t="s">
        <v>176</v>
      </c>
      <c r="AV60" s="1482" t="s">
        <v>176</v>
      </c>
      <c r="AW60" s="1481" t="s">
        <v>176</v>
      </c>
      <c r="AX60" s="1481" t="s">
        <v>176</v>
      </c>
      <c r="AY60" s="1481" t="s">
        <v>176</v>
      </c>
      <c r="AZ60" s="1481" t="s">
        <v>172</v>
      </c>
      <c r="BA60" s="1480" t="s">
        <v>176</v>
      </c>
      <c r="BB60" s="1481" t="s">
        <v>172</v>
      </c>
      <c r="BC60" s="1483" t="s">
        <v>172</v>
      </c>
      <c r="BE60" s="459">
        <f>(COUNTIF($B$60:$BC$60,"B"))</f>
        <v>22</v>
      </c>
      <c r="BF60" s="452">
        <f>+BE60/54</f>
        <v>0.40740740740740738</v>
      </c>
      <c r="BG60" s="460">
        <f>(COUNTIF($B$60:$BC$60,"R"))</f>
        <v>32</v>
      </c>
      <c r="BH60" s="452">
        <f>+BG60/54</f>
        <v>0.59259259259259256</v>
      </c>
      <c r="BI60" s="460">
        <f>(COUNTIF($B$60:$BC$60,"M"))</f>
        <v>0</v>
      </c>
      <c r="BJ60" s="454">
        <f>+BI60/54</f>
        <v>0</v>
      </c>
      <c r="BM60" s="537">
        <f t="shared" si="0"/>
        <v>1</v>
      </c>
      <c r="BN60" s="455"/>
      <c r="BO60" s="537"/>
    </row>
    <row r="61" spans="1:67" ht="10.5" customHeight="1">
      <c r="A61" s="1258" t="s">
        <v>215</v>
      </c>
      <c r="B61" s="518"/>
      <c r="C61" s="519"/>
      <c r="D61" s="519"/>
      <c r="E61" s="519"/>
      <c r="F61" s="527"/>
      <c r="G61" s="527"/>
      <c r="H61" s="528"/>
      <c r="I61" s="527"/>
      <c r="J61" s="527"/>
      <c r="K61" s="527"/>
      <c r="L61" s="527"/>
      <c r="M61" s="529"/>
      <c r="N61" s="527"/>
      <c r="O61" s="527"/>
      <c r="P61" s="527"/>
      <c r="Q61" s="527"/>
      <c r="R61" s="528"/>
      <c r="S61" s="527"/>
      <c r="T61" s="527"/>
      <c r="U61" s="527"/>
      <c r="V61" s="527"/>
      <c r="W61" s="529"/>
      <c r="X61" s="527"/>
      <c r="Y61" s="527"/>
      <c r="Z61" s="527"/>
      <c r="AA61" s="527"/>
      <c r="AB61" s="528"/>
      <c r="AC61" s="527"/>
      <c r="AD61" s="527"/>
      <c r="AE61" s="527"/>
      <c r="AF61" s="527"/>
      <c r="AG61" s="529"/>
      <c r="AH61" s="527"/>
      <c r="AI61" s="527"/>
      <c r="AJ61" s="527"/>
      <c r="AK61" s="527"/>
      <c r="AL61" s="528"/>
      <c r="AM61" s="527"/>
      <c r="AN61" s="527"/>
      <c r="AO61" s="527"/>
      <c r="AP61" s="527"/>
      <c r="AQ61" s="529"/>
      <c r="AR61" s="527"/>
      <c r="AS61" s="527"/>
      <c r="AT61" s="527"/>
      <c r="AU61" s="527"/>
      <c r="AV61" s="528"/>
      <c r="AW61" s="527"/>
      <c r="AX61" s="527"/>
      <c r="AY61" s="527"/>
      <c r="AZ61" s="527"/>
      <c r="BA61" s="529"/>
      <c r="BB61" s="527"/>
      <c r="BC61" s="527"/>
      <c r="BD61" s="530"/>
      <c r="BE61" s="546"/>
      <c r="BF61" s="547"/>
      <c r="BG61" s="548"/>
      <c r="BH61" s="549"/>
      <c r="BI61" s="550"/>
      <c r="BJ61" s="551"/>
      <c r="BM61" s="537"/>
      <c r="BN61" s="455"/>
      <c r="BO61" s="537"/>
    </row>
    <row r="62" spans="1:67" ht="15" customHeight="1" thickBot="1">
      <c r="A62" s="1259"/>
      <c r="B62" s="1489" t="s">
        <v>172</v>
      </c>
      <c r="C62" s="1490" t="s">
        <v>172</v>
      </c>
      <c r="D62" s="1490" t="s">
        <v>172</v>
      </c>
      <c r="E62" s="1490" t="s">
        <v>172</v>
      </c>
      <c r="F62" s="1490" t="s">
        <v>172</v>
      </c>
      <c r="G62" s="1490" t="s">
        <v>172</v>
      </c>
      <c r="H62" s="1491" t="s">
        <v>172</v>
      </c>
      <c r="I62" s="1490" t="s">
        <v>172</v>
      </c>
      <c r="J62" s="1490" t="s">
        <v>172</v>
      </c>
      <c r="K62" s="1490" t="s">
        <v>172</v>
      </c>
      <c r="L62" s="1490" t="s">
        <v>172</v>
      </c>
      <c r="M62" s="1489" t="s">
        <v>172</v>
      </c>
      <c r="N62" s="1490" t="s">
        <v>172</v>
      </c>
      <c r="O62" s="1490" t="s">
        <v>172</v>
      </c>
      <c r="P62" s="1490" t="s">
        <v>172</v>
      </c>
      <c r="Q62" s="1490" t="s">
        <v>172</v>
      </c>
      <c r="R62" s="1491" t="s">
        <v>172</v>
      </c>
      <c r="S62" s="1490" t="s">
        <v>172</v>
      </c>
      <c r="T62" s="1490" t="s">
        <v>172</v>
      </c>
      <c r="U62" s="1490" t="s">
        <v>172</v>
      </c>
      <c r="V62" s="1490" t="s">
        <v>172</v>
      </c>
      <c r="W62" s="1489" t="s">
        <v>172</v>
      </c>
      <c r="X62" s="1490" t="s">
        <v>172</v>
      </c>
      <c r="Y62" s="1490" t="s">
        <v>172</v>
      </c>
      <c r="Z62" s="1490" t="s">
        <v>172</v>
      </c>
      <c r="AA62" s="1490" t="s">
        <v>172</v>
      </c>
      <c r="AB62" s="1491" t="s">
        <v>172</v>
      </c>
      <c r="AC62" s="1490" t="s">
        <v>172</v>
      </c>
      <c r="AD62" s="1490" t="s">
        <v>172</v>
      </c>
      <c r="AE62" s="1490" t="s">
        <v>172</v>
      </c>
      <c r="AF62" s="1490" t="s">
        <v>172</v>
      </c>
      <c r="AG62" s="1489" t="s">
        <v>172</v>
      </c>
      <c r="AH62" s="1490" t="s">
        <v>172</v>
      </c>
      <c r="AI62" s="1490" t="s">
        <v>172</v>
      </c>
      <c r="AJ62" s="1490" t="s">
        <v>172</v>
      </c>
      <c r="AK62" s="1490" t="s">
        <v>172</v>
      </c>
      <c r="AL62" s="1491" t="s">
        <v>172</v>
      </c>
      <c r="AM62" s="1490" t="s">
        <v>172</v>
      </c>
      <c r="AN62" s="1490" t="s">
        <v>172</v>
      </c>
      <c r="AO62" s="1490" t="s">
        <v>172</v>
      </c>
      <c r="AP62" s="1490" t="s">
        <v>172</v>
      </c>
      <c r="AQ62" s="1489" t="s">
        <v>172</v>
      </c>
      <c r="AR62" s="1490" t="s">
        <v>172</v>
      </c>
      <c r="AS62" s="1490" t="s">
        <v>172</v>
      </c>
      <c r="AT62" s="1490" t="s">
        <v>172</v>
      </c>
      <c r="AU62" s="1490" t="s">
        <v>172</v>
      </c>
      <c r="AV62" s="1491" t="s">
        <v>172</v>
      </c>
      <c r="AW62" s="1490" t="s">
        <v>172</v>
      </c>
      <c r="AX62" s="1490" t="s">
        <v>172</v>
      </c>
      <c r="AY62" s="1490" t="s">
        <v>172</v>
      </c>
      <c r="AZ62" s="1490" t="s">
        <v>172</v>
      </c>
      <c r="BA62" s="1489" t="s">
        <v>172</v>
      </c>
      <c r="BB62" s="1490" t="s">
        <v>172</v>
      </c>
      <c r="BC62" s="1492" t="s">
        <v>172</v>
      </c>
      <c r="BD62" s="553"/>
      <c r="BE62" s="463">
        <f>(COUNTIF($B$62:$BC$62,"B"))</f>
        <v>54</v>
      </c>
      <c r="BF62" s="464">
        <f>+BE62/54</f>
        <v>1</v>
      </c>
      <c r="BG62" s="465">
        <f>(COUNTIF($B$62:$BC$62,"R"))</f>
        <v>0</v>
      </c>
      <c r="BH62" s="464">
        <f>+BG62/54</f>
        <v>0</v>
      </c>
      <c r="BI62" s="465">
        <f>(COUNTIF($B$62:$BC$62,"M"))</f>
        <v>0</v>
      </c>
      <c r="BJ62" s="466">
        <f>+BI62/54</f>
        <v>0</v>
      </c>
      <c r="BM62" s="537">
        <f t="shared" si="0"/>
        <v>1</v>
      </c>
      <c r="BN62" s="455"/>
      <c r="BO62" s="537"/>
    </row>
    <row r="64" spans="1:67">
      <c r="A64" s="479" t="s">
        <v>216</v>
      </c>
      <c r="B64" s="479"/>
      <c r="C64" s="479"/>
      <c r="D64" s="479"/>
      <c r="E64" s="479"/>
      <c r="BE64" s="1260" t="s">
        <v>126</v>
      </c>
      <c r="BF64" s="1260"/>
      <c r="BG64" s="1260"/>
      <c r="BH64" s="1260"/>
      <c r="BI64" s="1260"/>
    </row>
  </sheetData>
  <mergeCells count="34">
    <mergeCell ref="A61:A62"/>
    <mergeCell ref="BE64:BI64"/>
    <mergeCell ref="BG7:BJ7"/>
    <mergeCell ref="B9:D9"/>
    <mergeCell ref="B10:D10"/>
    <mergeCell ref="A49:A50"/>
    <mergeCell ref="A51:A52"/>
    <mergeCell ref="A53:A54"/>
    <mergeCell ref="A55:A56"/>
    <mergeCell ref="A57:A58"/>
    <mergeCell ref="A59:A60"/>
    <mergeCell ref="BE43:BF43"/>
    <mergeCell ref="BG43:BH43"/>
    <mergeCell ref="BI43:BJ43"/>
    <mergeCell ref="A45:A46"/>
    <mergeCell ref="A47:A48"/>
    <mergeCell ref="B48:BC48"/>
    <mergeCell ref="B41:BC41"/>
    <mergeCell ref="BE41:BJ41"/>
    <mergeCell ref="B42:E42"/>
    <mergeCell ref="M42:P42"/>
    <mergeCell ref="W42:Z42"/>
    <mergeCell ref="AG42:AJ42"/>
    <mergeCell ref="AQ42:AT42"/>
    <mergeCell ref="AX42:AZ42"/>
    <mergeCell ref="BA42:BC42"/>
    <mergeCell ref="BE42:BJ42"/>
    <mergeCell ref="B40:BC40"/>
    <mergeCell ref="BE40:BJ40"/>
    <mergeCell ref="A1:BJ1"/>
    <mergeCell ref="A2:BJ2"/>
    <mergeCell ref="A3:BJ3"/>
    <mergeCell ref="A4:BJ4"/>
    <mergeCell ref="BG12:BJ12"/>
  </mergeCells>
  <conditionalFormatting sqref="B46:BC46 B50:BC50 B54:BC54 B56:BC56 B60:BC60 B62:BC62 B58:BC58 BC45 C45">
    <cfRule type="cellIs" dxfId="198" priority="5" stopIfTrue="1" operator="equal">
      <formula>"M"</formula>
    </cfRule>
    <cfRule type="cellIs" dxfId="197" priority="6" stopIfTrue="1" operator="equal">
      <formula>"R"</formula>
    </cfRule>
    <cfRule type="cellIs" dxfId="196" priority="7" stopIfTrue="1" operator="equal">
      <formula>"B"</formula>
    </cfRule>
    <cfRule type="cellIs" dxfId="195" priority="8" stopIfTrue="1" operator="equal">
      <formula>"N"</formula>
    </cfRule>
  </conditionalFormatting>
  <conditionalFormatting sqref="B52:BC52">
    <cfRule type="cellIs" dxfId="194" priority="1" stopIfTrue="1" operator="equal">
      <formula>"M"</formula>
    </cfRule>
    <cfRule type="cellIs" dxfId="193" priority="2" stopIfTrue="1" operator="equal">
      <formula>"R"</formula>
    </cfRule>
    <cfRule type="cellIs" dxfId="192" priority="3" stopIfTrue="1" operator="equal">
      <formula>"B"</formula>
    </cfRule>
    <cfRule type="cellIs" dxfId="191" priority="4" stopIfTrue="1" operator="equal">
      <formula>"N"</formula>
    </cfRule>
  </conditionalFormatting>
  <hyperlinks>
    <hyperlink ref="BE64" location="'TABLA DE CONTENIDO'!A1" display="VOLVER A TABLA DE CONTENIDO" xr:uid="{00000000-0004-0000-0500-000000000000}"/>
    <hyperlink ref="BE64:BI64" location="'TABLA DE CONTENIDO'!A1" display="VOLVER A TABLA DE CONTENIDO" xr:uid="{00000000-0004-0000-0500-000001000000}"/>
  </hyperlinks>
  <pageMargins left="0.79" right="0.79" top="0.54" bottom="0.54" header="0.12" footer="0"/>
  <pageSetup scale="75" orientation="portrait" horizontalDpi="300" verticalDpi="300"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K50"/>
  <sheetViews>
    <sheetView topLeftCell="A7" zoomScaleNormal="100" workbookViewId="0">
      <selection activeCell="B11" sqref="B11"/>
    </sheetView>
  </sheetViews>
  <sheetFormatPr defaultColWidth="11.42578125" defaultRowHeight="12.75"/>
  <cols>
    <col min="1" max="1" width="25.7109375" customWidth="1"/>
    <col min="2" max="3" width="33.7109375" customWidth="1"/>
    <col min="4" max="4" width="9" customWidth="1"/>
    <col min="8" max="8" width="14.7109375" customWidth="1"/>
    <col min="10" max="10" width="19.140625" customWidth="1"/>
  </cols>
  <sheetData>
    <row r="1" spans="1:11" s="33" customFormat="1" ht="23.25">
      <c r="A1" s="1228" t="s">
        <v>1</v>
      </c>
      <c r="B1" s="1228"/>
      <c r="C1" s="1228"/>
    </row>
    <row r="2" spans="1:11" s="33" customFormat="1" ht="18">
      <c r="A2" s="1229" t="s">
        <v>84</v>
      </c>
      <c r="B2" s="1229"/>
      <c r="C2" s="1229"/>
    </row>
    <row r="3" spans="1:11" s="33" customFormat="1">
      <c r="A3" s="74"/>
      <c r="B3" s="32"/>
      <c r="C3" s="1"/>
    </row>
    <row r="4" spans="1:11" s="33" customFormat="1" ht="18">
      <c r="A4" s="1229" t="s">
        <v>217</v>
      </c>
      <c r="B4" s="1229"/>
      <c r="C4" s="1229"/>
    </row>
    <row r="5" spans="1:11" s="33" customFormat="1">
      <c r="A5" s="74"/>
      <c r="B5" s="32"/>
      <c r="C5" s="1"/>
    </row>
    <row r="6" spans="1:11" s="33" customFormat="1" ht="38.25" customHeight="1">
      <c r="A6" s="1270" t="s">
        <v>218</v>
      </c>
      <c r="B6" s="1270"/>
      <c r="C6" s="1270"/>
    </row>
    <row r="7" spans="1:11" s="33" customFormat="1" ht="18">
      <c r="A7" s="75"/>
      <c r="B7" s="76"/>
      <c r="C7" s="1"/>
    </row>
    <row r="8" spans="1:11" s="33" customFormat="1">
      <c r="A8" s="173" t="s">
        <v>130</v>
      </c>
      <c r="B8" s="310" t="s">
        <v>88</v>
      </c>
    </row>
    <row r="9" spans="1:11" s="33" customFormat="1">
      <c r="A9" s="173"/>
      <c r="C9"/>
    </row>
    <row r="10" spans="1:11" s="33" customFormat="1">
      <c r="A10" s="92" t="s">
        <v>160</v>
      </c>
      <c r="B10" s="310" t="s">
        <v>219</v>
      </c>
      <c r="C10"/>
    </row>
    <row r="11" spans="1:11" s="33" customFormat="1">
      <c r="A11" s="50"/>
      <c r="C11"/>
    </row>
    <row r="12" spans="1:11" ht="13.5" thickBot="1"/>
    <row r="13" spans="1:11" ht="12.75" customHeight="1">
      <c r="A13" s="1271" t="s">
        <v>106</v>
      </c>
      <c r="B13" s="1271" t="s">
        <v>220</v>
      </c>
      <c r="C13" s="1271" t="s">
        <v>221</v>
      </c>
    </row>
    <row r="14" spans="1:11" ht="12.75" customHeight="1">
      <c r="A14" s="1272"/>
      <c r="B14" s="1272"/>
      <c r="C14" s="1272"/>
    </row>
    <row r="15" spans="1:11" ht="13.5" customHeight="1" thickBot="1">
      <c r="A15" s="1273"/>
      <c r="B15" s="1273"/>
      <c r="C15" s="1273"/>
    </row>
    <row r="16" spans="1:11">
      <c r="A16" s="78"/>
      <c r="B16" s="78"/>
      <c r="C16" s="18"/>
      <c r="G16" s="60" t="s">
        <v>135</v>
      </c>
      <c r="H16" s="1493"/>
      <c r="J16" s="1493"/>
      <c r="K16" s="79"/>
    </row>
    <row r="17" spans="1:11">
      <c r="A17" s="80"/>
      <c r="B17" s="80"/>
      <c r="C17" s="19"/>
      <c r="E17" s="436" t="s">
        <v>171</v>
      </c>
      <c r="F17" s="437">
        <f>+'ESTADO RED VIS'!J14</f>
        <v>33.597000000000001</v>
      </c>
      <c r="G17" s="557">
        <f>+F17/$F$20</f>
        <v>0.62514187894237394</v>
      </c>
      <c r="H17" s="81"/>
      <c r="J17" s="81"/>
      <c r="K17" s="79"/>
    </row>
    <row r="18" spans="1:11">
      <c r="A18" s="287" t="s">
        <v>222</v>
      </c>
      <c r="B18" s="80"/>
      <c r="C18" s="19"/>
      <c r="E18" s="438" t="s">
        <v>173</v>
      </c>
      <c r="F18" s="437">
        <f>+'ESTADO RED VIS'!J15</f>
        <v>11.764000000000001</v>
      </c>
      <c r="G18" s="557">
        <f>+F18/$F$20</f>
        <v>0.21889362335559981</v>
      </c>
      <c r="H18" s="81"/>
      <c r="J18" s="81"/>
      <c r="K18" s="79"/>
    </row>
    <row r="19" spans="1:11">
      <c r="A19" s="555">
        <v>5601</v>
      </c>
      <c r="B19" s="80"/>
      <c r="C19" s="19"/>
      <c r="E19" s="440" t="s">
        <v>174</v>
      </c>
      <c r="F19" s="437">
        <f>+'ESTADO RED VIS'!J16</f>
        <v>8.3819999999999997</v>
      </c>
      <c r="G19" s="557">
        <f>+F19/$F$20</f>
        <v>0.15596449770202631</v>
      </c>
    </row>
    <row r="20" spans="1:11" ht="25.5">
      <c r="A20" s="556" t="s">
        <v>223</v>
      </c>
      <c r="B20" s="80"/>
      <c r="C20" s="19"/>
      <c r="E20" s="426" t="s">
        <v>175</v>
      </c>
      <c r="F20" s="437">
        <f>SUM(F17:F19)</f>
        <v>53.743000000000002</v>
      </c>
      <c r="G20" s="558">
        <f>SUM(G17:G19)</f>
        <v>1</v>
      </c>
    </row>
    <row r="21" spans="1:11">
      <c r="A21" s="80"/>
      <c r="B21" s="80"/>
      <c r="C21" s="19"/>
    </row>
    <row r="22" spans="1:11">
      <c r="A22" s="80"/>
      <c r="B22" s="80"/>
      <c r="C22" s="19"/>
    </row>
    <row r="23" spans="1:11">
      <c r="A23" s="80"/>
      <c r="B23" s="80"/>
      <c r="C23" s="19"/>
    </row>
    <row r="24" spans="1:11">
      <c r="A24" s="80"/>
      <c r="B24" s="80"/>
      <c r="C24" s="19"/>
    </row>
    <row r="25" spans="1:11" ht="13.5" thickBot="1">
      <c r="A25" s="83"/>
      <c r="B25" s="83"/>
      <c r="C25" s="21"/>
    </row>
    <row r="26" spans="1:11" ht="15.75" hidden="1">
      <c r="A26" s="78"/>
      <c r="B26" s="307"/>
      <c r="C26" s="84"/>
    </row>
    <row r="27" spans="1:11" ht="15" hidden="1">
      <c r="A27" s="80"/>
      <c r="B27" s="308"/>
      <c r="C27" s="77"/>
    </row>
    <row r="28" spans="1:11" hidden="1">
      <c r="A28" s="80"/>
      <c r="B28" s="80"/>
      <c r="C28" s="19"/>
    </row>
    <row r="29" spans="1:11" hidden="1">
      <c r="A29" s="80"/>
      <c r="B29" s="80"/>
      <c r="C29" s="19"/>
      <c r="H29" s="81"/>
      <c r="J29" s="81"/>
    </row>
    <row r="30" spans="1:11" hidden="1">
      <c r="A30" s="85"/>
      <c r="B30" s="80"/>
      <c r="C30" s="19"/>
      <c r="H30" s="81"/>
      <c r="J30" s="81"/>
    </row>
    <row r="31" spans="1:11" hidden="1">
      <c r="A31" s="80"/>
      <c r="B31" s="80"/>
      <c r="C31" s="19"/>
    </row>
    <row r="32" spans="1:11" hidden="1">
      <c r="A32" s="80"/>
      <c r="B32" s="80"/>
      <c r="C32" s="19"/>
    </row>
    <row r="33" spans="1:10" hidden="1">
      <c r="A33" s="80"/>
      <c r="B33" s="80"/>
      <c r="C33" s="19"/>
    </row>
    <row r="34" spans="1:10" hidden="1">
      <c r="A34" s="80"/>
      <c r="B34" s="80"/>
      <c r="C34" s="19"/>
    </row>
    <row r="35" spans="1:10" ht="13.5" hidden="1" thickBot="1">
      <c r="A35" s="83"/>
      <c r="B35" s="83"/>
      <c r="C35" s="21"/>
    </row>
    <row r="36" spans="1:10" hidden="1">
      <c r="A36" s="78"/>
      <c r="B36" s="78"/>
      <c r="C36" s="18"/>
    </row>
    <row r="37" spans="1:10" hidden="1">
      <c r="A37" s="80"/>
      <c r="B37" s="80"/>
      <c r="C37" s="19"/>
    </row>
    <row r="38" spans="1:10" hidden="1">
      <c r="A38" s="80"/>
      <c r="B38" s="80"/>
      <c r="C38" s="19"/>
      <c r="H38" s="81"/>
      <c r="J38" s="81"/>
    </row>
    <row r="39" spans="1:10" hidden="1">
      <c r="A39" s="80"/>
      <c r="B39" s="80"/>
      <c r="C39" s="19"/>
      <c r="H39" s="81"/>
      <c r="J39" s="81"/>
    </row>
    <row r="40" spans="1:10" hidden="1">
      <c r="A40" s="85"/>
      <c r="B40" s="80"/>
      <c r="C40" s="19"/>
      <c r="H40" s="81"/>
      <c r="J40" s="81"/>
    </row>
    <row r="41" spans="1:10" hidden="1">
      <c r="A41" s="80"/>
      <c r="B41" s="80"/>
      <c r="C41" s="19"/>
    </row>
    <row r="42" spans="1:10" hidden="1">
      <c r="A42" s="80"/>
      <c r="B42" s="80"/>
      <c r="C42" s="19"/>
    </row>
    <row r="43" spans="1:10" hidden="1">
      <c r="A43" s="80"/>
      <c r="B43" s="80"/>
      <c r="C43" s="19"/>
    </row>
    <row r="44" spans="1:10" hidden="1">
      <c r="A44" s="80"/>
      <c r="B44" s="80"/>
      <c r="C44" s="19"/>
    </row>
    <row r="45" spans="1:10" ht="13.5" hidden="1" thickBot="1">
      <c r="A45" s="83"/>
      <c r="B45" s="83"/>
      <c r="C45" s="21"/>
    </row>
    <row r="47" spans="1:10">
      <c r="A47" s="884" t="s">
        <v>179</v>
      </c>
      <c r="B47" s="60"/>
    </row>
    <row r="48" spans="1:10">
      <c r="A48" s="6" t="s">
        <v>171</v>
      </c>
      <c r="D48" s="309"/>
    </row>
    <row r="49" spans="1:3">
      <c r="A49" s="6" t="s">
        <v>173</v>
      </c>
    </row>
    <row r="50" spans="1:3">
      <c r="A50" s="6" t="s">
        <v>174</v>
      </c>
      <c r="C50" s="362" t="s">
        <v>126</v>
      </c>
    </row>
  </sheetData>
  <mergeCells count="7">
    <mergeCell ref="A1:C1"/>
    <mergeCell ref="A2:C2"/>
    <mergeCell ref="A4:C4"/>
    <mergeCell ref="A6:C6"/>
    <mergeCell ref="A13:A15"/>
    <mergeCell ref="B13:B15"/>
    <mergeCell ref="C13:C15"/>
  </mergeCells>
  <phoneticPr fontId="5" type="noConversion"/>
  <hyperlinks>
    <hyperlink ref="C50" location="'TABLA DE CONTENIDO'!A1" display="VOLVER A TABLA DE CONTENIDO" xr:uid="{00000000-0004-0000-0600-000000000000}"/>
  </hyperlinks>
  <printOptions horizontalCentered="1" verticalCentered="1"/>
  <pageMargins left="0.47244094488188981" right="0.51181102362204722" top="0.78740157480314965" bottom="0.6692913385826772" header="0.31496062992125984" footer="0.51181102362204722"/>
  <pageSetup orientation="portrait" horizontalDpi="120" verticalDpi="144"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K88"/>
  <sheetViews>
    <sheetView topLeftCell="A22" workbookViewId="0">
      <selection activeCell="I15" sqref="I15"/>
    </sheetView>
  </sheetViews>
  <sheetFormatPr defaultColWidth="11.42578125" defaultRowHeight="12.75"/>
  <cols>
    <col min="1" max="1" width="12.42578125" customWidth="1"/>
    <col min="2" max="2" width="13.5703125" customWidth="1"/>
    <col min="3" max="3" width="13.42578125" customWidth="1"/>
    <col min="4" max="4" width="26.140625" customWidth="1"/>
    <col min="5" max="6" width="12.140625" customWidth="1"/>
    <col min="7" max="7" width="14.42578125" customWidth="1"/>
  </cols>
  <sheetData>
    <row r="1" spans="1:11" ht="23.25">
      <c r="A1" s="1235" t="s">
        <v>1</v>
      </c>
      <c r="B1" s="1235"/>
      <c r="C1" s="1235"/>
      <c r="D1" s="1235"/>
      <c r="E1" s="1235"/>
      <c r="F1" s="1235"/>
      <c r="G1" s="1235"/>
    </row>
    <row r="2" spans="1:11" ht="18">
      <c r="A2" s="1236" t="s">
        <v>84</v>
      </c>
      <c r="B2" s="1236"/>
      <c r="C2" s="1236"/>
      <c r="D2" s="1236"/>
      <c r="E2" s="1236"/>
      <c r="F2" s="1236"/>
      <c r="G2" s="1236"/>
    </row>
    <row r="3" spans="1:11">
      <c r="A3" s="167"/>
      <c r="B3" s="76"/>
      <c r="C3" s="76"/>
      <c r="D3" s="76"/>
      <c r="E3" s="76"/>
      <c r="F3" s="76"/>
      <c r="G3" s="76"/>
    </row>
    <row r="4" spans="1:11" ht="18">
      <c r="A4" s="1236" t="s">
        <v>224</v>
      </c>
      <c r="B4" s="1236"/>
      <c r="C4" s="1236"/>
      <c r="D4" s="1236"/>
      <c r="E4" s="1236"/>
      <c r="F4" s="1236"/>
      <c r="G4" s="1236"/>
    </row>
    <row r="5" spans="1:11">
      <c r="A5" s="168"/>
      <c r="B5" s="168"/>
      <c r="C5" s="168"/>
      <c r="D5" s="168"/>
      <c r="E5" s="168"/>
      <c r="F5" s="168"/>
      <c r="G5" s="168"/>
    </row>
    <row r="6" spans="1:11" ht="18">
      <c r="A6" s="1237" t="s">
        <v>225</v>
      </c>
      <c r="B6" s="1237"/>
      <c r="C6" s="1237"/>
      <c r="D6" s="1237"/>
      <c r="E6" s="1237"/>
      <c r="F6" s="1237"/>
      <c r="G6" s="1237"/>
    </row>
    <row r="7" spans="1:11" ht="18">
      <c r="A7" s="164"/>
      <c r="B7" s="164"/>
      <c r="C7" s="164"/>
      <c r="D7" s="164"/>
      <c r="E7" s="164"/>
      <c r="F7" s="164"/>
      <c r="G7" s="164"/>
    </row>
    <row r="8" spans="1:11">
      <c r="A8" s="173" t="s">
        <v>130</v>
      </c>
      <c r="C8" s="3" t="s">
        <v>88</v>
      </c>
      <c r="D8" s="3"/>
      <c r="E8" s="92" t="s">
        <v>226</v>
      </c>
      <c r="G8" s="430" t="s">
        <v>227</v>
      </c>
    </row>
    <row r="9" spans="1:11">
      <c r="A9" s="169"/>
      <c r="B9" s="168"/>
      <c r="C9" s="168"/>
      <c r="D9" s="168"/>
      <c r="E9" s="168"/>
      <c r="F9" s="168"/>
      <c r="G9" s="168"/>
    </row>
    <row r="10" spans="1:11">
      <c r="A10" s="1466" t="s">
        <v>162</v>
      </c>
      <c r="B10" s="1466" t="s">
        <v>163</v>
      </c>
      <c r="C10" s="1466" t="s">
        <v>164</v>
      </c>
      <c r="D10" s="1466" t="s">
        <v>106</v>
      </c>
      <c r="E10" s="1466" t="s">
        <v>165</v>
      </c>
      <c r="F10" s="1466" t="s">
        <v>166</v>
      </c>
      <c r="G10" s="1467" t="s">
        <v>167</v>
      </c>
    </row>
    <row r="11" spans="1:11">
      <c r="A11" s="1468"/>
      <c r="B11" s="1468"/>
      <c r="C11" s="1468"/>
      <c r="D11" s="1468"/>
      <c r="E11" s="1468"/>
      <c r="F11" s="1468" t="s">
        <v>168</v>
      </c>
      <c r="G11" s="1469"/>
      <c r="J11" s="60">
        <v>5601</v>
      </c>
    </row>
    <row r="12" spans="1:11">
      <c r="A12" s="22">
        <v>5601</v>
      </c>
      <c r="B12" s="22" t="s">
        <v>118</v>
      </c>
      <c r="C12" s="22" t="s">
        <v>228</v>
      </c>
      <c r="D12" s="22" t="s">
        <v>117</v>
      </c>
      <c r="E12" s="1069">
        <v>0.88500000000000001</v>
      </c>
      <c r="F12" s="22" t="s">
        <v>229</v>
      </c>
      <c r="G12" s="966" t="s">
        <v>170</v>
      </c>
      <c r="J12" s="966" t="s">
        <v>230</v>
      </c>
      <c r="K12" s="437">
        <f>+SUMIF(G$12:G$76,"MB",E$12:E$76)</f>
        <v>0</v>
      </c>
    </row>
    <row r="13" spans="1:11">
      <c r="A13" s="22">
        <f>+A12</f>
        <v>5601</v>
      </c>
      <c r="B13" s="22" t="str">
        <f>+C12</f>
        <v>49+0885</v>
      </c>
      <c r="C13" s="22" t="s">
        <v>231</v>
      </c>
      <c r="D13" s="22" t="s">
        <v>117</v>
      </c>
      <c r="E13" s="1069">
        <v>0.02</v>
      </c>
      <c r="F13" s="22" t="s">
        <v>232</v>
      </c>
      <c r="G13" s="966" t="s">
        <v>176</v>
      </c>
      <c r="J13" s="966" t="s">
        <v>172</v>
      </c>
      <c r="K13" s="437">
        <f>+SUMIF(G$12:G$76,"B",E$12:E$76)</f>
        <v>5.1369999999999996</v>
      </c>
    </row>
    <row r="14" spans="1:11">
      <c r="A14" s="22">
        <f>+A13</f>
        <v>5601</v>
      </c>
      <c r="B14" s="22" t="str">
        <f>+C12</f>
        <v>49+0885</v>
      </c>
      <c r="C14" s="22" t="str">
        <f>+C13</f>
        <v>50+0040</v>
      </c>
      <c r="D14" s="22" t="s">
        <v>117</v>
      </c>
      <c r="E14" s="1069">
        <v>0.04</v>
      </c>
      <c r="F14" s="22" t="s">
        <v>232</v>
      </c>
      <c r="G14" s="966" t="s">
        <v>170</v>
      </c>
      <c r="J14" s="965" t="s">
        <v>176</v>
      </c>
      <c r="K14" s="437">
        <f>+SUMIF(G$12:G$76,"R",E$12:E$76)</f>
        <v>30.86999999999999</v>
      </c>
    </row>
    <row r="15" spans="1:11">
      <c r="A15" s="22">
        <f t="shared" ref="A15:A76" si="0">+A14</f>
        <v>5601</v>
      </c>
      <c r="B15" s="22" t="str">
        <f>+C14</f>
        <v>50+0040</v>
      </c>
      <c r="C15" s="22" t="s">
        <v>233</v>
      </c>
      <c r="D15" s="22" t="s">
        <v>117</v>
      </c>
      <c r="E15" s="1069">
        <v>0.2</v>
      </c>
      <c r="F15" s="22" t="s">
        <v>232</v>
      </c>
      <c r="G15" s="966" t="s">
        <v>170</v>
      </c>
      <c r="J15" s="965" t="s">
        <v>170</v>
      </c>
      <c r="K15" s="437">
        <f>+SUMIF(G$12:G$76,"M",E$12:E$76)</f>
        <v>18.911000000000001</v>
      </c>
    </row>
    <row r="16" spans="1:11">
      <c r="A16" s="22">
        <f t="shared" si="0"/>
        <v>5601</v>
      </c>
      <c r="B16" s="22" t="str">
        <f>+C14</f>
        <v>50+0040</v>
      </c>
      <c r="C16" s="22" t="s">
        <v>233</v>
      </c>
      <c r="D16" s="22" t="s">
        <v>117</v>
      </c>
      <c r="E16" s="1069">
        <v>0.2</v>
      </c>
      <c r="F16" s="22" t="s">
        <v>232</v>
      </c>
      <c r="G16" s="966" t="s">
        <v>170</v>
      </c>
      <c r="J16" s="966" t="s">
        <v>234</v>
      </c>
      <c r="K16" s="437">
        <f>+SUMIF(G$12:G$76,"MM",E$12:E$76)</f>
        <v>0</v>
      </c>
    </row>
    <row r="17" spans="1:11">
      <c r="A17" s="22">
        <f t="shared" si="0"/>
        <v>5601</v>
      </c>
      <c r="B17" s="22" t="str">
        <f>+C16</f>
        <v>50+0240</v>
      </c>
      <c r="C17" s="22" t="s">
        <v>235</v>
      </c>
      <c r="D17" s="22" t="s">
        <v>117</v>
      </c>
      <c r="E17" s="1069">
        <v>0.76</v>
      </c>
      <c r="F17" s="22" t="s">
        <v>232</v>
      </c>
      <c r="G17" s="966" t="s">
        <v>176</v>
      </c>
      <c r="J17" s="426" t="s">
        <v>175</v>
      </c>
      <c r="K17" s="437">
        <f>SUM(K12:K16)</f>
        <v>54.917999999999992</v>
      </c>
    </row>
    <row r="18" spans="1:11">
      <c r="A18" s="22">
        <f t="shared" si="0"/>
        <v>5601</v>
      </c>
      <c r="B18" s="22" t="str">
        <f>+C17</f>
        <v>51+0000</v>
      </c>
      <c r="C18" s="22" t="s">
        <v>236</v>
      </c>
      <c r="D18" s="22" t="s">
        <v>117</v>
      </c>
      <c r="E18" s="1069">
        <v>1</v>
      </c>
      <c r="F18" s="22" t="s">
        <v>232</v>
      </c>
      <c r="G18" s="966" t="s">
        <v>176</v>
      </c>
    </row>
    <row r="19" spans="1:11">
      <c r="A19" s="22">
        <f t="shared" si="0"/>
        <v>5601</v>
      </c>
      <c r="B19" s="22" t="str">
        <f t="shared" ref="B19:B76" si="1">+C18</f>
        <v>52+0000</v>
      </c>
      <c r="C19" s="22" t="s">
        <v>237</v>
      </c>
      <c r="D19" s="22" t="s">
        <v>117</v>
      </c>
      <c r="E19" s="1069">
        <v>0.996</v>
      </c>
      <c r="F19" s="22" t="s">
        <v>232</v>
      </c>
      <c r="G19" s="966" t="s">
        <v>176</v>
      </c>
    </row>
    <row r="20" spans="1:11">
      <c r="A20" s="22">
        <f t="shared" si="0"/>
        <v>5601</v>
      </c>
      <c r="B20" s="22" t="str">
        <f t="shared" si="1"/>
        <v>53+0000</v>
      </c>
      <c r="C20" s="22" t="s">
        <v>238</v>
      </c>
      <c r="D20" s="22" t="s">
        <v>117</v>
      </c>
      <c r="E20" s="1069">
        <v>1.002</v>
      </c>
      <c r="F20" s="22" t="s">
        <v>232</v>
      </c>
      <c r="G20" s="966" t="s">
        <v>172</v>
      </c>
    </row>
    <row r="21" spans="1:11">
      <c r="A21" s="22">
        <f t="shared" si="0"/>
        <v>5601</v>
      </c>
      <c r="B21" s="22" t="str">
        <f t="shared" si="1"/>
        <v>54+0000</v>
      </c>
      <c r="C21" s="22" t="s">
        <v>239</v>
      </c>
      <c r="D21" s="22" t="s">
        <v>117</v>
      </c>
      <c r="E21" s="1069">
        <v>1.002</v>
      </c>
      <c r="F21" s="22" t="s">
        <v>232</v>
      </c>
      <c r="G21" s="966" t="s">
        <v>176</v>
      </c>
    </row>
    <row r="22" spans="1:11">
      <c r="A22" s="22">
        <f t="shared" si="0"/>
        <v>5601</v>
      </c>
      <c r="B22" s="22" t="str">
        <f t="shared" si="1"/>
        <v>55+0000</v>
      </c>
      <c r="C22" s="22" t="s">
        <v>240</v>
      </c>
      <c r="D22" s="22" t="s">
        <v>117</v>
      </c>
      <c r="E22" s="1069">
        <v>0.999</v>
      </c>
      <c r="F22" s="22" t="s">
        <v>232</v>
      </c>
      <c r="G22" s="966" t="s">
        <v>176</v>
      </c>
    </row>
    <row r="23" spans="1:11">
      <c r="A23" s="22">
        <f t="shared" si="0"/>
        <v>5601</v>
      </c>
      <c r="B23" s="22" t="str">
        <f t="shared" si="1"/>
        <v>56+0000</v>
      </c>
      <c r="C23" s="22" t="s">
        <v>241</v>
      </c>
      <c r="D23" s="22" t="s">
        <v>117</v>
      </c>
      <c r="E23" s="1069">
        <v>1.002</v>
      </c>
      <c r="F23" s="22" t="s">
        <v>232</v>
      </c>
      <c r="G23" s="966" t="s">
        <v>176</v>
      </c>
    </row>
    <row r="24" spans="1:11">
      <c r="A24" s="22">
        <f t="shared" si="0"/>
        <v>5601</v>
      </c>
      <c r="B24" s="22" t="str">
        <f t="shared" si="1"/>
        <v>57+0000</v>
      </c>
      <c r="C24" s="22" t="s">
        <v>242</v>
      </c>
      <c r="D24" s="22" t="s">
        <v>117</v>
      </c>
      <c r="E24" s="1069">
        <v>0.97599999999999998</v>
      </c>
      <c r="F24" s="22" t="s">
        <v>232</v>
      </c>
      <c r="G24" s="966" t="s">
        <v>176</v>
      </c>
    </row>
    <row r="25" spans="1:11">
      <c r="A25" s="22">
        <f t="shared" si="0"/>
        <v>5601</v>
      </c>
      <c r="B25" s="22" t="str">
        <f t="shared" si="1"/>
        <v>58+0000</v>
      </c>
      <c r="C25" s="22" t="s">
        <v>243</v>
      </c>
      <c r="D25" s="22" t="s">
        <v>117</v>
      </c>
      <c r="E25" s="1069">
        <v>0.95599999999999996</v>
      </c>
      <c r="F25" s="22" t="s">
        <v>232</v>
      </c>
      <c r="G25" s="966" t="s">
        <v>176</v>
      </c>
    </row>
    <row r="26" spans="1:11">
      <c r="A26" s="22">
        <f t="shared" si="0"/>
        <v>5601</v>
      </c>
      <c r="B26" s="22" t="str">
        <f t="shared" si="1"/>
        <v>59+0000</v>
      </c>
      <c r="C26" s="22" t="s">
        <v>244</v>
      </c>
      <c r="D26" s="22" t="s">
        <v>117</v>
      </c>
      <c r="E26" s="1069">
        <v>1.0429999999999999</v>
      </c>
      <c r="F26" s="22" t="s">
        <v>232</v>
      </c>
      <c r="G26" s="966" t="s">
        <v>176</v>
      </c>
    </row>
    <row r="27" spans="1:11">
      <c r="A27" s="22">
        <f t="shared" si="0"/>
        <v>5601</v>
      </c>
      <c r="B27" s="22" t="str">
        <f t="shared" si="1"/>
        <v>60+0000</v>
      </c>
      <c r="C27" s="22" t="s">
        <v>245</v>
      </c>
      <c r="D27" s="22" t="s">
        <v>117</v>
      </c>
      <c r="E27" s="1069">
        <v>1.006</v>
      </c>
      <c r="F27" s="22" t="s">
        <v>232</v>
      </c>
      <c r="G27" s="966" t="s">
        <v>176</v>
      </c>
    </row>
    <row r="28" spans="1:11">
      <c r="A28" s="22">
        <f t="shared" si="0"/>
        <v>5601</v>
      </c>
      <c r="B28" s="22" t="str">
        <f t="shared" si="1"/>
        <v>61+0000</v>
      </c>
      <c r="C28" s="22" t="s">
        <v>246</v>
      </c>
      <c r="D28" s="22" t="s">
        <v>117</v>
      </c>
      <c r="E28" s="1069">
        <v>1.012</v>
      </c>
      <c r="F28" s="22" t="s">
        <v>232</v>
      </c>
      <c r="G28" s="966" t="s">
        <v>176</v>
      </c>
    </row>
    <row r="29" spans="1:11">
      <c r="A29" s="22">
        <f t="shared" si="0"/>
        <v>5601</v>
      </c>
      <c r="B29" s="22" t="str">
        <f t="shared" si="1"/>
        <v>62+0000</v>
      </c>
      <c r="C29" s="22" t="s">
        <v>247</v>
      </c>
      <c r="D29" s="22" t="s">
        <v>117</v>
      </c>
      <c r="E29" s="1069">
        <v>1.0069999999999999</v>
      </c>
      <c r="F29" s="22" t="s">
        <v>232</v>
      </c>
      <c r="G29" s="966" t="s">
        <v>176</v>
      </c>
    </row>
    <row r="30" spans="1:11">
      <c r="A30" s="22">
        <f t="shared" si="0"/>
        <v>5601</v>
      </c>
      <c r="B30" s="22" t="str">
        <f t="shared" si="1"/>
        <v>63+0000</v>
      </c>
      <c r="C30" s="22" t="s">
        <v>248</v>
      </c>
      <c r="D30" s="22" t="s">
        <v>117</v>
      </c>
      <c r="E30" s="1069">
        <v>1.0049999999999999</v>
      </c>
      <c r="F30" s="22" t="s">
        <v>232</v>
      </c>
      <c r="G30" s="966" t="s">
        <v>176</v>
      </c>
    </row>
    <row r="31" spans="1:11">
      <c r="A31" s="22">
        <f t="shared" si="0"/>
        <v>5601</v>
      </c>
      <c r="B31" s="22" t="str">
        <f t="shared" si="1"/>
        <v>64+0000</v>
      </c>
      <c r="C31" s="22" t="s">
        <v>249</v>
      </c>
      <c r="D31" s="22" t="s">
        <v>117</v>
      </c>
      <c r="E31" s="1069">
        <v>0.995</v>
      </c>
      <c r="F31" s="22" t="s">
        <v>232</v>
      </c>
      <c r="G31" s="966" t="s">
        <v>176</v>
      </c>
    </row>
    <row r="32" spans="1:11">
      <c r="A32" s="22">
        <f t="shared" si="0"/>
        <v>5601</v>
      </c>
      <c r="B32" s="22" t="str">
        <f t="shared" si="1"/>
        <v>65+0000</v>
      </c>
      <c r="C32" s="22" t="s">
        <v>250</v>
      </c>
      <c r="D32" s="22" t="s">
        <v>117</v>
      </c>
      <c r="E32" s="1069">
        <v>0.99199999999999999</v>
      </c>
      <c r="F32" s="22" t="s">
        <v>232</v>
      </c>
      <c r="G32" s="966" t="s">
        <v>176</v>
      </c>
    </row>
    <row r="33" spans="1:9">
      <c r="A33" s="22">
        <f t="shared" si="0"/>
        <v>5601</v>
      </c>
      <c r="B33" s="22" t="str">
        <f t="shared" si="1"/>
        <v>66+0000</v>
      </c>
      <c r="C33" s="22" t="s">
        <v>251</v>
      </c>
      <c r="D33" s="22" t="s">
        <v>117</v>
      </c>
      <c r="E33" s="1069">
        <v>1</v>
      </c>
      <c r="F33" s="22" t="s">
        <v>232</v>
      </c>
      <c r="G33" s="966" t="s">
        <v>176</v>
      </c>
    </row>
    <row r="34" spans="1:9">
      <c r="A34" s="22">
        <f t="shared" si="0"/>
        <v>5601</v>
      </c>
      <c r="B34" s="22" t="str">
        <f t="shared" si="1"/>
        <v>67+0000</v>
      </c>
      <c r="C34" s="22" t="s">
        <v>252</v>
      </c>
      <c r="D34" s="22" t="s">
        <v>117</v>
      </c>
      <c r="E34" s="1069">
        <v>1.004</v>
      </c>
      <c r="F34" s="22" t="s">
        <v>232</v>
      </c>
      <c r="G34" s="966" t="s">
        <v>176</v>
      </c>
    </row>
    <row r="35" spans="1:9">
      <c r="A35" s="22">
        <f t="shared" si="0"/>
        <v>5601</v>
      </c>
      <c r="B35" s="22" t="str">
        <f t="shared" si="1"/>
        <v>68+0000</v>
      </c>
      <c r="C35" s="22" t="s">
        <v>253</v>
      </c>
      <c r="D35" s="22" t="s">
        <v>117</v>
      </c>
      <c r="E35" s="1069">
        <v>0.60099999999999998</v>
      </c>
      <c r="F35" s="22" t="s">
        <v>232</v>
      </c>
      <c r="G35" s="966" t="s">
        <v>176</v>
      </c>
    </row>
    <row r="36" spans="1:9">
      <c r="A36" s="22">
        <f t="shared" si="0"/>
        <v>5601</v>
      </c>
      <c r="B36" s="22" t="str">
        <f t="shared" si="1"/>
        <v>68+0601</v>
      </c>
      <c r="C36" s="22" t="s">
        <v>254</v>
      </c>
      <c r="D36" s="22" t="s">
        <v>117</v>
      </c>
      <c r="E36" s="1069">
        <v>0.39300000000000002</v>
      </c>
      <c r="F36" s="22" t="s">
        <v>229</v>
      </c>
      <c r="G36" s="966" t="s">
        <v>170</v>
      </c>
    </row>
    <row r="37" spans="1:9">
      <c r="A37" s="22">
        <f t="shared" si="0"/>
        <v>5601</v>
      </c>
      <c r="B37" s="22" t="str">
        <f t="shared" si="1"/>
        <v>69+0000</v>
      </c>
      <c r="C37" s="22" t="s">
        <v>255</v>
      </c>
      <c r="D37" s="22" t="s">
        <v>117</v>
      </c>
      <c r="E37" s="1069">
        <v>1</v>
      </c>
      <c r="F37" s="22" t="s">
        <v>229</v>
      </c>
      <c r="G37" s="966" t="s">
        <v>170</v>
      </c>
      <c r="H37" s="363"/>
      <c r="I37" s="363"/>
    </row>
    <row r="38" spans="1:9">
      <c r="A38" s="22">
        <f t="shared" si="0"/>
        <v>5601</v>
      </c>
      <c r="B38" s="22" t="str">
        <f t="shared" si="1"/>
        <v>70+0000</v>
      </c>
      <c r="C38" s="22" t="s">
        <v>256</v>
      </c>
      <c r="D38" s="22" t="s">
        <v>117</v>
      </c>
      <c r="E38" s="1069">
        <v>0.99</v>
      </c>
      <c r="F38" s="22" t="s">
        <v>229</v>
      </c>
      <c r="G38" s="966" t="s">
        <v>170</v>
      </c>
    </row>
    <row r="39" spans="1:9">
      <c r="A39" s="22">
        <f t="shared" si="0"/>
        <v>5601</v>
      </c>
      <c r="B39" s="22" t="str">
        <f t="shared" si="1"/>
        <v>71+0000</v>
      </c>
      <c r="C39" s="22" t="s">
        <v>257</v>
      </c>
      <c r="D39" s="22" t="s">
        <v>117</v>
      </c>
      <c r="E39" s="1069">
        <v>0.318</v>
      </c>
      <c r="F39" s="22" t="s">
        <v>229</v>
      </c>
      <c r="G39" s="966" t="s">
        <v>170</v>
      </c>
    </row>
    <row r="40" spans="1:9">
      <c r="A40" s="22">
        <f t="shared" si="0"/>
        <v>5601</v>
      </c>
      <c r="B40" s="22" t="str">
        <f t="shared" si="1"/>
        <v>71+0318</v>
      </c>
      <c r="C40" s="22" t="s">
        <v>258</v>
      </c>
      <c r="D40" s="22" t="s">
        <v>117</v>
      </c>
      <c r="E40" s="1069">
        <v>0.68500000000000005</v>
      </c>
      <c r="F40" s="22" t="s">
        <v>232</v>
      </c>
      <c r="G40" s="966" t="s">
        <v>176</v>
      </c>
    </row>
    <row r="41" spans="1:9">
      <c r="A41" s="22">
        <f t="shared" si="0"/>
        <v>5601</v>
      </c>
      <c r="B41" s="22" t="str">
        <f t="shared" si="1"/>
        <v>72+0000</v>
      </c>
      <c r="C41" s="22" t="s">
        <v>259</v>
      </c>
      <c r="D41" s="22" t="s">
        <v>117</v>
      </c>
      <c r="E41" s="1069">
        <v>0.68799999999999994</v>
      </c>
      <c r="F41" s="22" t="s">
        <v>232</v>
      </c>
      <c r="G41" s="966" t="s">
        <v>176</v>
      </c>
    </row>
    <row r="42" spans="1:9">
      <c r="A42" s="22">
        <f t="shared" si="0"/>
        <v>5601</v>
      </c>
      <c r="B42" s="22" t="str">
        <f t="shared" si="1"/>
        <v>72+0688</v>
      </c>
      <c r="C42" s="22" t="s">
        <v>260</v>
      </c>
      <c r="D42" s="22" t="s">
        <v>117</v>
      </c>
      <c r="E42" s="1069">
        <v>0.28799999999999998</v>
      </c>
      <c r="F42" s="22" t="s">
        <v>229</v>
      </c>
      <c r="G42" s="966" t="s">
        <v>176</v>
      </c>
    </row>
    <row r="43" spans="1:9">
      <c r="A43" s="22">
        <f t="shared" si="0"/>
        <v>5601</v>
      </c>
      <c r="B43" s="22" t="str">
        <f t="shared" si="1"/>
        <v>73+0000</v>
      </c>
      <c r="C43" s="22" t="s">
        <v>261</v>
      </c>
      <c r="D43" s="22" t="s">
        <v>117</v>
      </c>
      <c r="E43" s="1069">
        <v>1.0209999999999999</v>
      </c>
      <c r="F43" s="22" t="s">
        <v>229</v>
      </c>
      <c r="G43" s="966" t="s">
        <v>176</v>
      </c>
    </row>
    <row r="44" spans="1:9">
      <c r="A44" s="22">
        <f t="shared" si="0"/>
        <v>5601</v>
      </c>
      <c r="B44" s="22" t="str">
        <f t="shared" si="1"/>
        <v>74+0000</v>
      </c>
      <c r="C44" s="22" t="s">
        <v>262</v>
      </c>
      <c r="D44" s="22" t="s">
        <v>117</v>
      </c>
      <c r="E44" s="1069">
        <v>1.0029999999999999</v>
      </c>
      <c r="F44" s="22" t="s">
        <v>229</v>
      </c>
      <c r="G44" s="966" t="s">
        <v>170</v>
      </c>
    </row>
    <row r="45" spans="1:9">
      <c r="A45" s="22">
        <f t="shared" si="0"/>
        <v>5601</v>
      </c>
      <c r="B45" s="22" t="str">
        <f t="shared" si="1"/>
        <v>75+0000</v>
      </c>
      <c r="C45" s="22" t="s">
        <v>263</v>
      </c>
      <c r="D45" s="22" t="s">
        <v>117</v>
      </c>
      <c r="E45" s="1069">
        <v>0.998</v>
      </c>
      <c r="F45" s="22" t="s">
        <v>229</v>
      </c>
      <c r="G45" s="966" t="s">
        <v>170</v>
      </c>
    </row>
    <row r="46" spans="1:9">
      <c r="A46" s="22">
        <f t="shared" si="0"/>
        <v>5601</v>
      </c>
      <c r="B46" s="22" t="str">
        <f t="shared" si="1"/>
        <v>76+0000</v>
      </c>
      <c r="C46" s="22" t="s">
        <v>264</v>
      </c>
      <c r="D46" s="22" t="s">
        <v>117</v>
      </c>
      <c r="E46" s="1069">
        <v>0.97299999999999998</v>
      </c>
      <c r="F46" s="22" t="s">
        <v>229</v>
      </c>
      <c r="G46" s="966" t="s">
        <v>176</v>
      </c>
    </row>
    <row r="47" spans="1:9">
      <c r="A47" s="22">
        <f t="shared" si="0"/>
        <v>5601</v>
      </c>
      <c r="B47" s="22" t="str">
        <f t="shared" si="1"/>
        <v>77+0000</v>
      </c>
      <c r="C47" s="22" t="s">
        <v>265</v>
      </c>
      <c r="D47" s="22" t="s">
        <v>117</v>
      </c>
      <c r="E47" s="1069">
        <v>1.0409999999999999</v>
      </c>
      <c r="F47" s="22" t="s">
        <v>229</v>
      </c>
      <c r="G47" s="966" t="s">
        <v>176</v>
      </c>
    </row>
    <row r="48" spans="1:9">
      <c r="A48" s="22">
        <f t="shared" si="0"/>
        <v>5601</v>
      </c>
      <c r="B48" s="22" t="str">
        <f t="shared" si="1"/>
        <v>78+0000</v>
      </c>
      <c r="C48" s="22" t="s">
        <v>266</v>
      </c>
      <c r="D48" s="22" t="s">
        <v>117</v>
      </c>
      <c r="E48" s="1069">
        <v>0.98199999999999998</v>
      </c>
      <c r="F48" s="22" t="s">
        <v>229</v>
      </c>
      <c r="G48" s="966" t="s">
        <v>170</v>
      </c>
    </row>
    <row r="49" spans="1:7">
      <c r="A49" s="22">
        <f t="shared" si="0"/>
        <v>5601</v>
      </c>
      <c r="B49" s="22" t="str">
        <f t="shared" si="1"/>
        <v>79+0000</v>
      </c>
      <c r="C49" s="22" t="s">
        <v>267</v>
      </c>
      <c r="D49" s="22" t="s">
        <v>117</v>
      </c>
      <c r="E49" s="1069">
        <v>0.94699999999999995</v>
      </c>
      <c r="F49" s="22" t="s">
        <v>229</v>
      </c>
      <c r="G49" s="966" t="s">
        <v>176</v>
      </c>
    </row>
    <row r="50" spans="1:7">
      <c r="A50" s="22">
        <f t="shared" si="0"/>
        <v>5601</v>
      </c>
      <c r="B50" s="22" t="str">
        <f t="shared" si="1"/>
        <v>80+0000</v>
      </c>
      <c r="C50" s="22" t="s">
        <v>268</v>
      </c>
      <c r="D50" s="22" t="s">
        <v>117</v>
      </c>
      <c r="E50" s="1069">
        <v>0.96799999999999997</v>
      </c>
      <c r="F50" s="22" t="s">
        <v>229</v>
      </c>
      <c r="G50" s="966" t="s">
        <v>176</v>
      </c>
    </row>
    <row r="51" spans="1:7">
      <c r="A51" s="22">
        <f t="shared" si="0"/>
        <v>5601</v>
      </c>
      <c r="B51" s="22" t="str">
        <f t="shared" si="1"/>
        <v>81+0000</v>
      </c>
      <c r="C51" s="22" t="s">
        <v>269</v>
      </c>
      <c r="D51" s="22" t="s">
        <v>117</v>
      </c>
      <c r="E51" s="1069">
        <v>0.996</v>
      </c>
      <c r="F51" s="22" t="s">
        <v>229</v>
      </c>
      <c r="G51" s="966" t="s">
        <v>176</v>
      </c>
    </row>
    <row r="52" spans="1:7">
      <c r="A52" s="22">
        <f t="shared" si="0"/>
        <v>5601</v>
      </c>
      <c r="B52" s="22" t="str">
        <f t="shared" si="1"/>
        <v>82+0000</v>
      </c>
      <c r="C52" s="22" t="s">
        <v>270</v>
      </c>
      <c r="D52" s="22" t="s">
        <v>117</v>
      </c>
      <c r="E52" s="1069">
        <v>0.96299999999999997</v>
      </c>
      <c r="F52" s="22" t="s">
        <v>229</v>
      </c>
      <c r="G52" s="966" t="s">
        <v>176</v>
      </c>
    </row>
    <row r="53" spans="1:7">
      <c r="A53" s="22">
        <f t="shared" si="0"/>
        <v>5601</v>
      </c>
      <c r="B53" s="22" t="str">
        <f t="shared" si="1"/>
        <v>83+0000</v>
      </c>
      <c r="C53" s="22" t="s">
        <v>271</v>
      </c>
      <c r="D53" s="22" t="s">
        <v>117</v>
      </c>
      <c r="E53" s="1069">
        <v>0.99199999999999999</v>
      </c>
      <c r="F53" s="22" t="s">
        <v>229</v>
      </c>
      <c r="G53" s="966" t="s">
        <v>170</v>
      </c>
    </row>
    <row r="54" spans="1:7">
      <c r="A54" s="22">
        <f t="shared" si="0"/>
        <v>5601</v>
      </c>
      <c r="B54" s="22" t="str">
        <f t="shared" si="1"/>
        <v>84+0000</v>
      </c>
      <c r="C54" s="22" t="s">
        <v>272</v>
      </c>
      <c r="D54" s="22" t="s">
        <v>117</v>
      </c>
      <c r="E54" s="1069">
        <v>1.0029999999999999</v>
      </c>
      <c r="F54" s="22" t="s">
        <v>229</v>
      </c>
      <c r="G54" s="966" t="s">
        <v>170</v>
      </c>
    </row>
    <row r="55" spans="1:7">
      <c r="A55" s="22">
        <f t="shared" si="0"/>
        <v>5601</v>
      </c>
      <c r="B55" s="22" t="str">
        <f t="shared" si="1"/>
        <v>85+0000</v>
      </c>
      <c r="C55" s="22" t="s">
        <v>273</v>
      </c>
      <c r="D55" s="22" t="s">
        <v>117</v>
      </c>
      <c r="E55" s="1069">
        <v>0.98299999999999998</v>
      </c>
      <c r="F55" s="22" t="s">
        <v>229</v>
      </c>
      <c r="G55" s="966" t="s">
        <v>170</v>
      </c>
    </row>
    <row r="56" spans="1:7">
      <c r="A56" s="22">
        <f t="shared" si="0"/>
        <v>5601</v>
      </c>
      <c r="B56" s="22" t="str">
        <f t="shared" si="1"/>
        <v>86+0000</v>
      </c>
      <c r="C56" s="22" t="s">
        <v>274</v>
      </c>
      <c r="D56" s="22" t="s">
        <v>117</v>
      </c>
      <c r="E56" s="1069">
        <v>0.99399999999999999</v>
      </c>
      <c r="F56" s="22" t="s">
        <v>229</v>
      </c>
      <c r="G56" s="966" t="s">
        <v>170</v>
      </c>
    </row>
    <row r="57" spans="1:7">
      <c r="A57" s="22">
        <f t="shared" si="0"/>
        <v>5601</v>
      </c>
      <c r="B57" s="22" t="str">
        <f t="shared" si="1"/>
        <v>87+0000</v>
      </c>
      <c r="C57" s="22" t="s">
        <v>275</v>
      </c>
      <c r="D57" s="22" t="s">
        <v>117</v>
      </c>
      <c r="E57" s="1069">
        <v>0.98</v>
      </c>
      <c r="F57" s="22" t="s">
        <v>229</v>
      </c>
      <c r="G57" s="966" t="s">
        <v>170</v>
      </c>
    </row>
    <row r="58" spans="1:7">
      <c r="A58" s="22">
        <f t="shared" si="0"/>
        <v>5601</v>
      </c>
      <c r="B58" s="22" t="str">
        <f t="shared" si="1"/>
        <v>88+0000</v>
      </c>
      <c r="C58" s="22" t="s">
        <v>276</v>
      </c>
      <c r="D58" s="22" t="s">
        <v>117</v>
      </c>
      <c r="E58" s="1069">
        <v>0.98899999999999999</v>
      </c>
      <c r="F58" s="22" t="s">
        <v>229</v>
      </c>
      <c r="G58" s="966" t="s">
        <v>170</v>
      </c>
    </row>
    <row r="59" spans="1:7">
      <c r="A59" s="22">
        <f t="shared" si="0"/>
        <v>5601</v>
      </c>
      <c r="B59" s="22" t="str">
        <f t="shared" si="1"/>
        <v>89+0000</v>
      </c>
      <c r="C59" s="22" t="s">
        <v>277</v>
      </c>
      <c r="D59" s="22" t="s">
        <v>117</v>
      </c>
      <c r="E59" s="1069">
        <v>0.99299999999999999</v>
      </c>
      <c r="F59" s="22" t="s">
        <v>229</v>
      </c>
      <c r="G59" s="966" t="s">
        <v>170</v>
      </c>
    </row>
    <row r="60" spans="1:7">
      <c r="A60" s="22">
        <f t="shared" si="0"/>
        <v>5601</v>
      </c>
      <c r="B60" s="22" t="str">
        <f t="shared" si="1"/>
        <v>90+0000</v>
      </c>
      <c r="C60" s="22" t="s">
        <v>278</v>
      </c>
      <c r="D60" s="22" t="s">
        <v>117</v>
      </c>
      <c r="E60" s="1069">
        <v>0.99399999999999999</v>
      </c>
      <c r="F60" s="22" t="s">
        <v>229</v>
      </c>
      <c r="G60" s="966" t="s">
        <v>170</v>
      </c>
    </row>
    <row r="61" spans="1:7">
      <c r="A61" s="22">
        <f t="shared" si="0"/>
        <v>5601</v>
      </c>
      <c r="B61" s="22" t="str">
        <f t="shared" si="1"/>
        <v>91+0000</v>
      </c>
      <c r="C61" s="22" t="s">
        <v>279</v>
      </c>
      <c r="D61" s="22" t="s">
        <v>117</v>
      </c>
      <c r="E61" s="1069">
        <v>1.002</v>
      </c>
      <c r="F61" s="22" t="s">
        <v>229</v>
      </c>
      <c r="G61" s="966" t="s">
        <v>170</v>
      </c>
    </row>
    <row r="62" spans="1:7">
      <c r="A62" s="22">
        <f t="shared" si="0"/>
        <v>5601</v>
      </c>
      <c r="B62" s="22" t="str">
        <f t="shared" si="1"/>
        <v>92+0000</v>
      </c>
      <c r="C62" s="22" t="s">
        <v>280</v>
      </c>
      <c r="D62" s="22" t="s">
        <v>117</v>
      </c>
      <c r="E62" s="1069">
        <v>0.99</v>
      </c>
      <c r="F62" s="22" t="s">
        <v>229</v>
      </c>
      <c r="G62" s="966" t="s">
        <v>170</v>
      </c>
    </row>
    <row r="63" spans="1:7">
      <c r="A63" s="22">
        <f t="shared" si="0"/>
        <v>5601</v>
      </c>
      <c r="B63" s="22" t="str">
        <f t="shared" si="1"/>
        <v>93+0000</v>
      </c>
      <c r="C63" s="22" t="s">
        <v>281</v>
      </c>
      <c r="D63" s="22" t="s">
        <v>117</v>
      </c>
      <c r="E63" s="1069">
        <v>0.99199999999999999</v>
      </c>
      <c r="F63" s="22" t="s">
        <v>229</v>
      </c>
      <c r="G63" s="966" t="s">
        <v>170</v>
      </c>
    </row>
    <row r="64" spans="1:7">
      <c r="A64" s="22">
        <f t="shared" si="0"/>
        <v>5601</v>
      </c>
      <c r="B64" s="22" t="str">
        <f t="shared" si="1"/>
        <v>94+0000</v>
      </c>
      <c r="C64" s="22" t="s">
        <v>282</v>
      </c>
      <c r="D64" s="22" t="s">
        <v>117</v>
      </c>
      <c r="E64" s="1069">
        <v>0.99</v>
      </c>
      <c r="F64" s="22" t="s">
        <v>229</v>
      </c>
      <c r="G64" s="966" t="s">
        <v>170</v>
      </c>
    </row>
    <row r="65" spans="1:7">
      <c r="A65" s="22">
        <f t="shared" si="0"/>
        <v>5601</v>
      </c>
      <c r="B65" s="22" t="str">
        <f t="shared" si="1"/>
        <v>95+0000</v>
      </c>
      <c r="C65" s="22" t="s">
        <v>283</v>
      </c>
      <c r="D65" s="22" t="s">
        <v>117</v>
      </c>
      <c r="E65" s="1069">
        <v>0.95799999999999996</v>
      </c>
      <c r="F65" s="22" t="s">
        <v>229</v>
      </c>
      <c r="G65" s="966" t="s">
        <v>172</v>
      </c>
    </row>
    <row r="66" spans="1:7">
      <c r="A66" s="22">
        <f t="shared" si="0"/>
        <v>5601</v>
      </c>
      <c r="B66" s="22" t="str">
        <f t="shared" si="1"/>
        <v>96+0000</v>
      </c>
      <c r="C66" s="22" t="s">
        <v>284</v>
      </c>
      <c r="D66" s="22" t="s">
        <v>117</v>
      </c>
      <c r="E66" s="1069">
        <v>0.96899999999999997</v>
      </c>
      <c r="F66" s="22" t="s">
        <v>229</v>
      </c>
      <c r="G66" s="966" t="s">
        <v>172</v>
      </c>
    </row>
    <row r="67" spans="1:7">
      <c r="A67" s="22">
        <f t="shared" si="0"/>
        <v>5601</v>
      </c>
      <c r="B67" s="22" t="str">
        <f t="shared" si="1"/>
        <v>97+0000</v>
      </c>
      <c r="C67" s="22" t="s">
        <v>285</v>
      </c>
      <c r="D67" s="22" t="s">
        <v>117</v>
      </c>
      <c r="E67" s="1069">
        <v>1</v>
      </c>
      <c r="F67" s="22" t="s">
        <v>229</v>
      </c>
      <c r="G67" s="966" t="s">
        <v>176</v>
      </c>
    </row>
    <row r="68" spans="1:7">
      <c r="A68" s="22">
        <f t="shared" si="0"/>
        <v>5601</v>
      </c>
      <c r="B68" s="22" t="str">
        <f t="shared" si="1"/>
        <v>98+0000</v>
      </c>
      <c r="C68" s="22" t="s">
        <v>286</v>
      </c>
      <c r="D68" s="22" t="s">
        <v>117</v>
      </c>
      <c r="E68" s="1069">
        <v>0.99</v>
      </c>
      <c r="F68" s="22" t="s">
        <v>229</v>
      </c>
      <c r="G68" s="966" t="s">
        <v>176</v>
      </c>
    </row>
    <row r="69" spans="1:7">
      <c r="A69" s="22">
        <f t="shared" si="0"/>
        <v>5601</v>
      </c>
      <c r="B69" s="22" t="str">
        <f t="shared" si="1"/>
        <v>99+0000</v>
      </c>
      <c r="C69" s="22" t="s">
        <v>287</v>
      </c>
      <c r="D69" s="22" t="s">
        <v>117</v>
      </c>
      <c r="E69" s="1069">
        <v>0.98899999999999999</v>
      </c>
      <c r="F69" s="22" t="s">
        <v>229</v>
      </c>
      <c r="G69" s="966" t="s">
        <v>172</v>
      </c>
    </row>
    <row r="70" spans="1:7">
      <c r="A70" s="22">
        <f t="shared" si="0"/>
        <v>5601</v>
      </c>
      <c r="B70" s="22" t="str">
        <f t="shared" si="1"/>
        <v>100+0000</v>
      </c>
      <c r="C70" s="22" t="s">
        <v>288</v>
      </c>
      <c r="D70" s="22" t="s">
        <v>117</v>
      </c>
      <c r="E70" s="1069">
        <v>0.99</v>
      </c>
      <c r="F70" s="22" t="s">
        <v>229</v>
      </c>
      <c r="G70" s="966" t="s">
        <v>176</v>
      </c>
    </row>
    <row r="71" spans="1:7">
      <c r="A71" s="22">
        <f t="shared" si="0"/>
        <v>5601</v>
      </c>
      <c r="B71" s="22" t="str">
        <f t="shared" si="1"/>
        <v>101+0000</v>
      </c>
      <c r="C71" s="22" t="s">
        <v>289</v>
      </c>
      <c r="D71" s="22" t="s">
        <v>117</v>
      </c>
      <c r="E71" s="1069">
        <v>0.91</v>
      </c>
      <c r="F71" s="22" t="s">
        <v>229</v>
      </c>
      <c r="G71" s="966" t="s">
        <v>176</v>
      </c>
    </row>
    <row r="72" spans="1:7">
      <c r="A72" s="22">
        <f t="shared" si="0"/>
        <v>5601</v>
      </c>
      <c r="B72" s="22" t="str">
        <f t="shared" si="1"/>
        <v>101+0910</v>
      </c>
      <c r="C72" s="22" t="s">
        <v>290</v>
      </c>
      <c r="D72" s="22" t="s">
        <v>117</v>
      </c>
      <c r="E72" s="1069">
        <v>8.4000000000000005E-2</v>
      </c>
      <c r="F72" s="22" t="s">
        <v>229</v>
      </c>
      <c r="G72" s="966" t="s">
        <v>172</v>
      </c>
    </row>
    <row r="73" spans="1:7">
      <c r="A73" s="22">
        <f t="shared" si="0"/>
        <v>5601</v>
      </c>
      <c r="B73" s="22" t="str">
        <f t="shared" si="1"/>
        <v>102+0000</v>
      </c>
      <c r="C73" s="22" t="s">
        <v>290</v>
      </c>
      <c r="D73" s="22" t="s">
        <v>117</v>
      </c>
      <c r="E73" s="1069">
        <v>8.4000000000000005E-2</v>
      </c>
      <c r="F73" s="22" t="s">
        <v>229</v>
      </c>
      <c r="G73" s="966" t="s">
        <v>176</v>
      </c>
    </row>
    <row r="74" spans="1:7">
      <c r="A74" s="22">
        <f t="shared" si="0"/>
        <v>5601</v>
      </c>
      <c r="B74" s="22" t="str">
        <f t="shared" si="1"/>
        <v>102+0000</v>
      </c>
      <c r="C74" s="22" t="s">
        <v>291</v>
      </c>
      <c r="D74" s="22" t="s">
        <v>117</v>
      </c>
      <c r="E74" s="1069">
        <v>0.95</v>
      </c>
      <c r="F74" s="22" t="s">
        <v>229</v>
      </c>
      <c r="G74" s="966" t="s">
        <v>172</v>
      </c>
    </row>
    <row r="75" spans="1:7">
      <c r="A75" s="22">
        <f t="shared" si="0"/>
        <v>5601</v>
      </c>
      <c r="B75" s="22" t="str">
        <f t="shared" si="1"/>
        <v>102+0950</v>
      </c>
      <c r="C75" s="22" t="s">
        <v>291</v>
      </c>
      <c r="D75" s="22" t="s">
        <v>117</v>
      </c>
      <c r="E75" s="1069">
        <v>0.95</v>
      </c>
      <c r="F75" s="22" t="s">
        <v>229</v>
      </c>
      <c r="G75" s="966" t="s">
        <v>176</v>
      </c>
    </row>
    <row r="76" spans="1:7">
      <c r="A76" s="22">
        <f t="shared" si="0"/>
        <v>5601</v>
      </c>
      <c r="B76" s="22" t="str">
        <f t="shared" si="1"/>
        <v>102+0950</v>
      </c>
      <c r="C76" s="22" t="s">
        <v>119</v>
      </c>
      <c r="D76" s="22" t="s">
        <v>117</v>
      </c>
      <c r="E76" s="1069">
        <v>0.185</v>
      </c>
      <c r="F76" s="22" t="s">
        <v>229</v>
      </c>
      <c r="G76" s="966" t="s">
        <v>172</v>
      </c>
    </row>
    <row r="77" spans="1:7">
      <c r="E77" s="443">
        <f>SUM(E12:E76)</f>
        <v>54.918000000000006</v>
      </c>
    </row>
    <row r="78" spans="1:7">
      <c r="E78" s="144"/>
    </row>
    <row r="79" spans="1:7">
      <c r="E79" s="144"/>
    </row>
    <row r="80" spans="1:7">
      <c r="E80" s="144"/>
    </row>
    <row r="81" spans="5:7">
      <c r="E81" s="144"/>
    </row>
    <row r="82" spans="5:7">
      <c r="E82" s="962" t="s">
        <v>179</v>
      </c>
      <c r="F82" s="963"/>
    </row>
    <row r="83" spans="5:7">
      <c r="E83" s="335" t="s">
        <v>230</v>
      </c>
      <c r="F83" s="336" t="s">
        <v>292</v>
      </c>
    </row>
    <row r="84" spans="5:7">
      <c r="E84" s="303" t="s">
        <v>172</v>
      </c>
      <c r="F84" s="300" t="s">
        <v>171</v>
      </c>
    </row>
    <row r="85" spans="5:7">
      <c r="E85" s="302" t="s">
        <v>176</v>
      </c>
      <c r="F85" s="300" t="s">
        <v>173</v>
      </c>
    </row>
    <row r="86" spans="5:7">
      <c r="E86" s="337" t="s">
        <v>170</v>
      </c>
      <c r="F86" s="300" t="s">
        <v>174</v>
      </c>
    </row>
    <row r="87" spans="5:7">
      <c r="E87" s="301" t="s">
        <v>234</v>
      </c>
      <c r="F87" s="300" t="s">
        <v>293</v>
      </c>
      <c r="G87" s="964" t="s">
        <v>126</v>
      </c>
    </row>
    <row r="88" spans="5:7">
      <c r="E88" s="144"/>
    </row>
  </sheetData>
  <mergeCells count="4">
    <mergeCell ref="A1:G1"/>
    <mergeCell ref="A2:G2"/>
    <mergeCell ref="A4:G4"/>
    <mergeCell ref="A6:G6"/>
  </mergeCells>
  <phoneticPr fontId="5" type="noConversion"/>
  <conditionalFormatting sqref="G12">
    <cfRule type="cellIs" dxfId="190" priority="122" stopIfTrue="1" operator="equal">
      <formula>"MM"</formula>
    </cfRule>
  </conditionalFormatting>
  <conditionalFormatting sqref="G12">
    <cfRule type="cellIs" dxfId="189" priority="121" stopIfTrue="1" operator="equal">
      <formula>"MB"</formula>
    </cfRule>
  </conditionalFormatting>
  <conditionalFormatting sqref="G12">
    <cfRule type="cellIs" dxfId="188" priority="120" stopIfTrue="1" operator="equal">
      <formula>"M"</formula>
    </cfRule>
  </conditionalFormatting>
  <conditionalFormatting sqref="G12">
    <cfRule type="cellIs" dxfId="187" priority="117" stopIfTrue="1" operator="equal">
      <formula>"N"</formula>
    </cfRule>
    <cfRule type="cellIs" dxfId="186" priority="118" stopIfTrue="1" operator="equal">
      <formula>"B"</formula>
    </cfRule>
    <cfRule type="cellIs" dxfId="185" priority="119" stopIfTrue="1" operator="equal">
      <formula>"R"</formula>
    </cfRule>
  </conditionalFormatting>
  <conditionalFormatting sqref="G15:G76">
    <cfRule type="cellIs" dxfId="184" priority="1" stopIfTrue="1" operator="equal">
      <formula>"N"</formula>
    </cfRule>
    <cfRule type="cellIs" dxfId="183" priority="2" stopIfTrue="1" operator="equal">
      <formula>"B"</formula>
    </cfRule>
    <cfRule type="cellIs" dxfId="182" priority="3" stopIfTrue="1" operator="equal">
      <formula>"R"</formula>
    </cfRule>
  </conditionalFormatting>
  <conditionalFormatting sqref="J13">
    <cfRule type="cellIs" dxfId="181" priority="112" stopIfTrue="1" operator="equal">
      <formula>"MM"</formula>
    </cfRule>
    <cfRule type="cellIs" dxfId="180" priority="113" stopIfTrue="1" operator="equal">
      <formula>"N"</formula>
    </cfRule>
    <cfRule type="cellIs" dxfId="179" priority="114" stopIfTrue="1" operator="equal">
      <formula>"B"</formula>
    </cfRule>
    <cfRule type="cellIs" dxfId="178" priority="115" stopIfTrue="1" operator="equal">
      <formula>"R"</formula>
    </cfRule>
    <cfRule type="cellIs" dxfId="177" priority="116" stopIfTrue="1" operator="equal">
      <formula>"M"</formula>
    </cfRule>
  </conditionalFormatting>
  <conditionalFormatting sqref="J13">
    <cfRule type="cellIs" dxfId="176" priority="108" stopIfTrue="1" operator="equal">
      <formula>"M"</formula>
    </cfRule>
    <cfRule type="cellIs" dxfId="175" priority="109" stopIfTrue="1" operator="equal">
      <formula>"R"</formula>
    </cfRule>
    <cfRule type="cellIs" dxfId="174" priority="110" stopIfTrue="1" operator="equal">
      <formula>"B"</formula>
    </cfRule>
    <cfRule type="cellIs" dxfId="173" priority="111" stopIfTrue="1" operator="equal">
      <formula>"N"</formula>
    </cfRule>
  </conditionalFormatting>
  <conditionalFormatting sqref="J13">
    <cfRule type="cellIs" dxfId="172" priority="101" stopIfTrue="1" operator="equal">
      <formula>"""MB"""</formula>
    </cfRule>
    <cfRule type="cellIs" dxfId="171" priority="102" stopIfTrue="1" operator="equal">
      <formula>"MM"</formula>
    </cfRule>
    <cfRule type="cellIs" dxfId="170" priority="103" stopIfTrue="1" operator="equal">
      <formula>"N"</formula>
    </cfRule>
    <cfRule type="cellIs" dxfId="169" priority="104" stopIfTrue="1" operator="equal">
      <formula>"B"</formula>
    </cfRule>
    <cfRule type="cellIs" dxfId="168" priority="105" stopIfTrue="1" operator="equal">
      <formula>"R"</formula>
    </cfRule>
    <cfRule type="cellIs" dxfId="167" priority="106" stopIfTrue="1" operator="equal">
      <formula>"M"</formula>
    </cfRule>
    <cfRule type="cellIs" dxfId="166" priority="107" stopIfTrue="1" operator="equal">
      <formula>"""MB"""</formula>
    </cfRule>
  </conditionalFormatting>
  <conditionalFormatting sqref="J13">
    <cfRule type="cellIs" dxfId="165" priority="100" stopIfTrue="1" operator="equal">
      <formula>"MB"</formula>
    </cfRule>
  </conditionalFormatting>
  <conditionalFormatting sqref="J13">
    <cfRule type="cellIs" dxfId="164" priority="98" stopIfTrue="1" operator="equal">
      <formula>"B"</formula>
    </cfRule>
    <cfRule type="cellIs" dxfId="163" priority="99" stopIfTrue="1" operator="equal">
      <formula>"M"</formula>
    </cfRule>
  </conditionalFormatting>
  <conditionalFormatting sqref="J13">
    <cfRule type="cellIs" dxfId="162" priority="97" stopIfTrue="1" operator="equal">
      <formula>"MM"</formula>
    </cfRule>
  </conditionalFormatting>
  <conditionalFormatting sqref="J13">
    <cfRule type="cellIs" dxfId="161" priority="94" stopIfTrue="1" operator="equal">
      <formula>"N"</formula>
    </cfRule>
    <cfRule type="cellIs" dxfId="160" priority="95" stopIfTrue="1" operator="equal">
      <formula>"B"</formula>
    </cfRule>
    <cfRule type="cellIs" dxfId="159" priority="96" stopIfTrue="1" operator="equal">
      <formula>"R"</formula>
    </cfRule>
  </conditionalFormatting>
  <conditionalFormatting sqref="J14">
    <cfRule type="cellIs" dxfId="158" priority="89" stopIfTrue="1" operator="equal">
      <formula>"MM"</formula>
    </cfRule>
    <cfRule type="cellIs" dxfId="157" priority="90" stopIfTrue="1" operator="equal">
      <formula>"N"</formula>
    </cfRule>
    <cfRule type="cellIs" dxfId="156" priority="91" stopIfTrue="1" operator="equal">
      <formula>"B"</formula>
    </cfRule>
    <cfRule type="cellIs" dxfId="155" priority="92" stopIfTrue="1" operator="equal">
      <formula>"R"</formula>
    </cfRule>
    <cfRule type="cellIs" dxfId="154" priority="93" stopIfTrue="1" operator="equal">
      <formula>"M"</formula>
    </cfRule>
  </conditionalFormatting>
  <conditionalFormatting sqref="J14">
    <cfRule type="cellIs" dxfId="153" priority="85" stopIfTrue="1" operator="equal">
      <formula>"M"</formula>
    </cfRule>
    <cfRule type="cellIs" dxfId="152" priority="86" stopIfTrue="1" operator="equal">
      <formula>"R"</formula>
    </cfRule>
    <cfRule type="cellIs" dxfId="151" priority="87" stopIfTrue="1" operator="equal">
      <formula>"B"</formula>
    </cfRule>
    <cfRule type="cellIs" dxfId="150" priority="88" stopIfTrue="1" operator="equal">
      <formula>"N"</formula>
    </cfRule>
  </conditionalFormatting>
  <conditionalFormatting sqref="J14">
    <cfRule type="cellIs" dxfId="149" priority="78" stopIfTrue="1" operator="equal">
      <formula>"""MB"""</formula>
    </cfRule>
    <cfRule type="cellIs" dxfId="148" priority="79" stopIfTrue="1" operator="equal">
      <formula>"MM"</formula>
    </cfRule>
    <cfRule type="cellIs" dxfId="147" priority="80" stopIfTrue="1" operator="equal">
      <formula>"N"</formula>
    </cfRule>
    <cfRule type="cellIs" dxfId="146" priority="81" stopIfTrue="1" operator="equal">
      <formula>"B"</formula>
    </cfRule>
    <cfRule type="cellIs" dxfId="145" priority="82" stopIfTrue="1" operator="equal">
      <formula>"R"</formula>
    </cfRule>
    <cfRule type="cellIs" dxfId="144" priority="83" stopIfTrue="1" operator="equal">
      <formula>"M"</formula>
    </cfRule>
    <cfRule type="cellIs" dxfId="143" priority="84" stopIfTrue="1" operator="equal">
      <formula>"""MB"""</formula>
    </cfRule>
  </conditionalFormatting>
  <conditionalFormatting sqref="J14">
    <cfRule type="cellIs" dxfId="142" priority="77" stopIfTrue="1" operator="equal">
      <formula>"MB"</formula>
    </cfRule>
  </conditionalFormatting>
  <conditionalFormatting sqref="J14">
    <cfRule type="cellIs" dxfId="141" priority="75" stopIfTrue="1" operator="equal">
      <formula>"B"</formula>
    </cfRule>
    <cfRule type="cellIs" dxfId="140" priority="76" stopIfTrue="1" operator="equal">
      <formula>"M"</formula>
    </cfRule>
  </conditionalFormatting>
  <conditionalFormatting sqref="J14">
    <cfRule type="cellIs" dxfId="139" priority="74" stopIfTrue="1" operator="equal">
      <formula>"MM"</formula>
    </cfRule>
  </conditionalFormatting>
  <conditionalFormatting sqref="J14">
    <cfRule type="cellIs" dxfId="138" priority="71" stopIfTrue="1" operator="equal">
      <formula>"N"</formula>
    </cfRule>
    <cfRule type="cellIs" dxfId="137" priority="72" stopIfTrue="1" operator="equal">
      <formula>"B"</formula>
    </cfRule>
    <cfRule type="cellIs" dxfId="136" priority="73" stopIfTrue="1" operator="equal">
      <formula>"R"</formula>
    </cfRule>
  </conditionalFormatting>
  <conditionalFormatting sqref="J15">
    <cfRule type="cellIs" dxfId="135" priority="66" stopIfTrue="1" operator="equal">
      <formula>"MM"</formula>
    </cfRule>
    <cfRule type="cellIs" dxfId="134" priority="67" stopIfTrue="1" operator="equal">
      <formula>"N"</formula>
    </cfRule>
    <cfRule type="cellIs" dxfId="133" priority="68" stopIfTrue="1" operator="equal">
      <formula>"B"</formula>
    </cfRule>
    <cfRule type="cellIs" dxfId="132" priority="69" stopIfTrue="1" operator="equal">
      <formula>"R"</formula>
    </cfRule>
    <cfRule type="cellIs" dxfId="131" priority="70" stopIfTrue="1" operator="equal">
      <formula>"M"</formula>
    </cfRule>
  </conditionalFormatting>
  <conditionalFormatting sqref="J15">
    <cfRule type="cellIs" dxfId="130" priority="62" stopIfTrue="1" operator="equal">
      <formula>"M"</formula>
    </cfRule>
    <cfRule type="cellIs" dxfId="129" priority="63" stopIfTrue="1" operator="equal">
      <formula>"R"</formula>
    </cfRule>
    <cfRule type="cellIs" dxfId="128" priority="64" stopIfTrue="1" operator="equal">
      <formula>"B"</formula>
    </cfRule>
    <cfRule type="cellIs" dxfId="127" priority="65" stopIfTrue="1" operator="equal">
      <formula>"N"</formula>
    </cfRule>
  </conditionalFormatting>
  <conditionalFormatting sqref="J15">
    <cfRule type="cellIs" dxfId="126" priority="55" stopIfTrue="1" operator="equal">
      <formula>"""MB"""</formula>
    </cfRule>
    <cfRule type="cellIs" dxfId="125" priority="56" stopIfTrue="1" operator="equal">
      <formula>"MM"</formula>
    </cfRule>
    <cfRule type="cellIs" dxfId="124" priority="57" stopIfTrue="1" operator="equal">
      <formula>"N"</formula>
    </cfRule>
    <cfRule type="cellIs" dxfId="123" priority="58" stopIfTrue="1" operator="equal">
      <formula>"B"</formula>
    </cfRule>
    <cfRule type="cellIs" dxfId="122" priority="59" stopIfTrue="1" operator="equal">
      <formula>"R"</formula>
    </cfRule>
    <cfRule type="cellIs" dxfId="121" priority="60" stopIfTrue="1" operator="equal">
      <formula>"M"</formula>
    </cfRule>
    <cfRule type="cellIs" dxfId="120" priority="61" stopIfTrue="1" operator="equal">
      <formula>"""MB"""</formula>
    </cfRule>
  </conditionalFormatting>
  <conditionalFormatting sqref="J15">
    <cfRule type="cellIs" dxfId="119" priority="54" stopIfTrue="1" operator="equal">
      <formula>"MB"</formula>
    </cfRule>
  </conditionalFormatting>
  <conditionalFormatting sqref="J15">
    <cfRule type="cellIs" dxfId="118" priority="52" stopIfTrue="1" operator="equal">
      <formula>"B"</formula>
    </cfRule>
    <cfRule type="cellIs" dxfId="117" priority="53" stopIfTrue="1" operator="equal">
      <formula>"M"</formula>
    </cfRule>
  </conditionalFormatting>
  <conditionalFormatting sqref="J15">
    <cfRule type="cellIs" dxfId="116" priority="51" stopIfTrue="1" operator="equal">
      <formula>"MM"</formula>
    </cfRule>
  </conditionalFormatting>
  <conditionalFormatting sqref="J15">
    <cfRule type="cellIs" dxfId="115" priority="48" stopIfTrue="1" operator="equal">
      <formula>"N"</formula>
    </cfRule>
    <cfRule type="cellIs" dxfId="114" priority="49" stopIfTrue="1" operator="equal">
      <formula>"B"</formula>
    </cfRule>
    <cfRule type="cellIs" dxfId="113" priority="50" stopIfTrue="1" operator="equal">
      <formula>"R"</formula>
    </cfRule>
  </conditionalFormatting>
  <conditionalFormatting sqref="J16">
    <cfRule type="cellIs" dxfId="112" priority="47" stopIfTrue="1" operator="equal">
      <formula>"MM"</formula>
    </cfRule>
  </conditionalFormatting>
  <conditionalFormatting sqref="J16">
    <cfRule type="cellIs" dxfId="111" priority="46" stopIfTrue="1" operator="equal">
      <formula>"MB"</formula>
    </cfRule>
  </conditionalFormatting>
  <conditionalFormatting sqref="J16">
    <cfRule type="cellIs" dxfId="110" priority="45" stopIfTrue="1" operator="equal">
      <formula>"M"</formula>
    </cfRule>
  </conditionalFormatting>
  <conditionalFormatting sqref="J16">
    <cfRule type="cellIs" dxfId="109" priority="42" stopIfTrue="1" operator="equal">
      <formula>"N"</formula>
    </cfRule>
    <cfRule type="cellIs" dxfId="108" priority="43" stopIfTrue="1" operator="equal">
      <formula>"B"</formula>
    </cfRule>
    <cfRule type="cellIs" dxfId="107" priority="44" stopIfTrue="1" operator="equal">
      <formula>"R"</formula>
    </cfRule>
  </conditionalFormatting>
  <conditionalFormatting sqref="J12">
    <cfRule type="cellIs" dxfId="106" priority="37" stopIfTrue="1" operator="equal">
      <formula>"MM"</formula>
    </cfRule>
    <cfRule type="cellIs" dxfId="105" priority="38" stopIfTrue="1" operator="equal">
      <formula>"N"</formula>
    </cfRule>
    <cfRule type="cellIs" dxfId="104" priority="39" stopIfTrue="1" operator="equal">
      <formula>"B"</formula>
    </cfRule>
    <cfRule type="cellIs" dxfId="103" priority="40" stopIfTrue="1" operator="equal">
      <formula>"R"</formula>
    </cfRule>
    <cfRule type="cellIs" dxfId="102" priority="41" stopIfTrue="1" operator="equal">
      <formula>"M"</formula>
    </cfRule>
  </conditionalFormatting>
  <conditionalFormatting sqref="J12">
    <cfRule type="cellIs" dxfId="101" priority="33" stopIfTrue="1" operator="equal">
      <formula>"M"</formula>
    </cfRule>
    <cfRule type="cellIs" dxfId="100" priority="34" stopIfTrue="1" operator="equal">
      <formula>"R"</formula>
    </cfRule>
    <cfRule type="cellIs" dxfId="99" priority="35" stopIfTrue="1" operator="equal">
      <formula>"B"</formula>
    </cfRule>
    <cfRule type="cellIs" dxfId="98" priority="36" stopIfTrue="1" operator="equal">
      <formula>"N"</formula>
    </cfRule>
  </conditionalFormatting>
  <conditionalFormatting sqref="J12">
    <cfRule type="cellIs" dxfId="97" priority="26" stopIfTrue="1" operator="equal">
      <formula>"""MB"""</formula>
    </cfRule>
    <cfRule type="cellIs" dxfId="96" priority="27" stopIfTrue="1" operator="equal">
      <formula>"MM"</formula>
    </cfRule>
    <cfRule type="cellIs" dxfId="95" priority="28" stopIfTrue="1" operator="equal">
      <formula>"N"</formula>
    </cfRule>
    <cfRule type="cellIs" dxfId="94" priority="29" stopIfTrue="1" operator="equal">
      <formula>"B"</formula>
    </cfRule>
    <cfRule type="cellIs" dxfId="93" priority="30" stopIfTrue="1" operator="equal">
      <formula>"R"</formula>
    </cfRule>
    <cfRule type="cellIs" dxfId="92" priority="31" stopIfTrue="1" operator="equal">
      <formula>"M"</formula>
    </cfRule>
    <cfRule type="cellIs" dxfId="91" priority="32" stopIfTrue="1" operator="equal">
      <formula>"""MB"""</formula>
    </cfRule>
  </conditionalFormatting>
  <conditionalFormatting sqref="J12">
    <cfRule type="cellIs" dxfId="90" priority="25" stopIfTrue="1" operator="equal">
      <formula>"MB"</formula>
    </cfRule>
  </conditionalFormatting>
  <conditionalFormatting sqref="J12">
    <cfRule type="cellIs" dxfId="89" priority="23" stopIfTrue="1" operator="equal">
      <formula>"B"</formula>
    </cfRule>
    <cfRule type="cellIs" dxfId="88" priority="24" stopIfTrue="1" operator="equal">
      <formula>"M"</formula>
    </cfRule>
  </conditionalFormatting>
  <conditionalFormatting sqref="J12">
    <cfRule type="cellIs" dxfId="87" priority="22" stopIfTrue="1" operator="equal">
      <formula>"MM"</formula>
    </cfRule>
  </conditionalFormatting>
  <conditionalFormatting sqref="J12">
    <cfRule type="cellIs" dxfId="86" priority="19" stopIfTrue="1" operator="equal">
      <formula>"N"</formula>
    </cfRule>
    <cfRule type="cellIs" dxfId="85" priority="20" stopIfTrue="1" operator="equal">
      <formula>"B"</formula>
    </cfRule>
    <cfRule type="cellIs" dxfId="84" priority="21" stopIfTrue="1" operator="equal">
      <formula>"R"</formula>
    </cfRule>
  </conditionalFormatting>
  <conditionalFormatting sqref="G13">
    <cfRule type="cellIs" dxfId="83" priority="18" stopIfTrue="1" operator="equal">
      <formula>"MM"</formula>
    </cfRule>
  </conditionalFormatting>
  <conditionalFormatting sqref="G13">
    <cfRule type="cellIs" dxfId="82" priority="17" stopIfTrue="1" operator="equal">
      <formula>"MB"</formula>
    </cfRule>
  </conditionalFormatting>
  <conditionalFormatting sqref="G13">
    <cfRule type="cellIs" dxfId="81" priority="16" stopIfTrue="1" operator="equal">
      <formula>"M"</formula>
    </cfRule>
  </conditionalFormatting>
  <conditionalFormatting sqref="G13">
    <cfRule type="cellIs" dxfId="80" priority="13" stopIfTrue="1" operator="equal">
      <formula>"N"</formula>
    </cfRule>
    <cfRule type="cellIs" dxfId="79" priority="14" stopIfTrue="1" operator="equal">
      <formula>"B"</formula>
    </cfRule>
    <cfRule type="cellIs" dxfId="78" priority="15" stopIfTrue="1" operator="equal">
      <formula>"R"</formula>
    </cfRule>
  </conditionalFormatting>
  <conditionalFormatting sqref="G14">
    <cfRule type="cellIs" dxfId="77" priority="12" stopIfTrue="1" operator="equal">
      <formula>"MM"</formula>
    </cfRule>
  </conditionalFormatting>
  <conditionalFormatting sqref="G14">
    <cfRule type="cellIs" dxfId="76" priority="11" stopIfTrue="1" operator="equal">
      <formula>"MB"</formula>
    </cfRule>
  </conditionalFormatting>
  <conditionalFormatting sqref="G14">
    <cfRule type="cellIs" dxfId="75" priority="10" stopIfTrue="1" operator="equal">
      <formula>"M"</formula>
    </cfRule>
  </conditionalFormatting>
  <conditionalFormatting sqref="G14">
    <cfRule type="cellIs" dxfId="74" priority="7" stopIfTrue="1" operator="equal">
      <formula>"N"</formula>
    </cfRule>
    <cfRule type="cellIs" dxfId="73" priority="8" stopIfTrue="1" operator="equal">
      <formula>"B"</formula>
    </cfRule>
    <cfRule type="cellIs" dxfId="72" priority="9" stopIfTrue="1" operator="equal">
      <formula>"R"</formula>
    </cfRule>
  </conditionalFormatting>
  <conditionalFormatting sqref="G15:G76">
    <cfRule type="cellIs" dxfId="71" priority="6" stopIfTrue="1" operator="equal">
      <formula>"MM"</formula>
    </cfRule>
  </conditionalFormatting>
  <conditionalFormatting sqref="G15:G76">
    <cfRule type="cellIs" dxfId="70" priority="5" stopIfTrue="1" operator="equal">
      <formula>"MB"</formula>
    </cfRule>
  </conditionalFormatting>
  <conditionalFormatting sqref="G15:G76">
    <cfRule type="cellIs" dxfId="69" priority="4" stopIfTrue="1" operator="equal">
      <formula>"M"</formula>
    </cfRule>
  </conditionalFormatting>
  <dataValidations count="1">
    <dataValidation type="list" allowBlank="1" showInputMessage="1" showErrorMessage="1" sqref="F12:F76" xr:uid="{00000000-0002-0000-0700-000000000000}">
      <formula1>$I$27:$I$38</formula1>
    </dataValidation>
  </dataValidations>
  <hyperlinks>
    <hyperlink ref="G87" location="'TABLA DE CONTENIDO'!A1" display="VOLVER A TABLA DE CONTENIDO" xr:uid="{00000000-0004-0000-0700-000000000000}"/>
  </hyperlinks>
  <printOptions horizontalCentered="1" verticalCentered="1"/>
  <pageMargins left="0.59055118110236227" right="0.39370078740157483" top="0.59055118110236227" bottom="0.98425196850393704" header="0" footer="0"/>
  <pageSetup orientation="landscape" horizontalDpi="300" verticalDpi="300"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BN68"/>
  <sheetViews>
    <sheetView view="pageBreakPreview" topLeftCell="A49" zoomScaleNormal="160" zoomScaleSheetLayoutView="100" zoomScalePageLayoutView="125" workbookViewId="0">
      <selection activeCell="L284" sqref="L284"/>
    </sheetView>
  </sheetViews>
  <sheetFormatPr defaultColWidth="11.42578125" defaultRowHeight="12.75"/>
  <cols>
    <col min="1" max="1" width="18.42578125" customWidth="1"/>
    <col min="2" max="55" width="0.85546875" customWidth="1"/>
    <col min="56" max="56" width="4.85546875" customWidth="1"/>
    <col min="57" max="57" width="7.42578125" customWidth="1"/>
    <col min="58" max="58" width="4.85546875" customWidth="1"/>
    <col min="59" max="59" width="7.42578125" customWidth="1"/>
    <col min="60" max="60" width="4.85546875" customWidth="1"/>
    <col min="61" max="61" width="7.42578125" customWidth="1"/>
    <col min="62" max="62" width="4.85546875" customWidth="1"/>
    <col min="63" max="63" width="7.42578125" customWidth="1"/>
    <col min="64" max="64" width="4.85546875" customWidth="1"/>
    <col min="65" max="65" width="7.42578125" customWidth="1"/>
    <col min="66" max="66" width="9" hidden="1" customWidth="1"/>
  </cols>
  <sheetData>
    <row r="1" spans="1:65" ht="23.25">
      <c r="A1" s="1230" t="s">
        <v>180</v>
      </c>
      <c r="B1" s="1230"/>
      <c r="C1" s="1230"/>
      <c r="D1" s="1230"/>
      <c r="E1" s="1230"/>
      <c r="F1" s="1230"/>
      <c r="G1" s="1230"/>
      <c r="H1" s="1230"/>
      <c r="I1" s="1230"/>
      <c r="J1" s="1230"/>
      <c r="K1" s="1230"/>
      <c r="L1" s="1230"/>
      <c r="M1" s="1230"/>
      <c r="N1" s="1230"/>
      <c r="O1" s="1230"/>
      <c r="P1" s="1230"/>
      <c r="Q1" s="1230"/>
      <c r="R1" s="1230"/>
      <c r="S1" s="1230"/>
      <c r="T1" s="1230"/>
      <c r="U1" s="1230"/>
      <c r="V1" s="1230"/>
      <c r="W1" s="1230"/>
      <c r="X1" s="1230"/>
      <c r="Y1" s="1230"/>
      <c r="Z1" s="1230"/>
      <c r="AA1" s="1230"/>
      <c r="AB1" s="1230"/>
      <c r="AC1" s="1230"/>
      <c r="AD1" s="1230"/>
      <c r="AE1" s="1230"/>
      <c r="AF1" s="1230"/>
      <c r="AG1" s="1230"/>
      <c r="AH1" s="1230"/>
      <c r="AI1" s="1230"/>
      <c r="AJ1" s="1230"/>
      <c r="AK1" s="1230"/>
      <c r="AL1" s="1230"/>
      <c r="AM1" s="1230"/>
      <c r="AN1" s="1230"/>
      <c r="AO1" s="1230"/>
      <c r="AP1" s="1230"/>
      <c r="AQ1" s="1230"/>
      <c r="AR1" s="1230"/>
      <c r="AS1" s="1230"/>
      <c r="AT1" s="1230"/>
      <c r="AU1" s="1230"/>
      <c r="AV1" s="1230"/>
      <c r="AW1" s="1230"/>
      <c r="AX1" s="1230"/>
      <c r="AY1" s="1230"/>
      <c r="AZ1" s="1230"/>
      <c r="BA1" s="1230"/>
      <c r="BB1" s="1230"/>
      <c r="BC1" s="1230"/>
      <c r="BD1" s="1230"/>
      <c r="BE1" s="1230"/>
      <c r="BF1" s="1230"/>
      <c r="BG1" s="1230"/>
      <c r="BH1" s="1230"/>
      <c r="BI1" s="1230"/>
      <c r="BJ1" s="1230"/>
      <c r="BK1" s="1230"/>
      <c r="BL1" s="1230"/>
      <c r="BM1" s="1230"/>
    </row>
    <row r="2" spans="1:65" ht="18">
      <c r="A2" s="1225" t="s">
        <v>181</v>
      </c>
      <c r="B2" s="1225"/>
      <c r="C2" s="1225"/>
      <c r="D2" s="1225"/>
      <c r="E2" s="1225"/>
      <c r="F2" s="1225"/>
      <c r="G2" s="1225"/>
      <c r="H2" s="1225"/>
      <c r="I2" s="1225"/>
      <c r="J2" s="1225"/>
      <c r="K2" s="1225"/>
      <c r="L2" s="1225"/>
      <c r="M2" s="1225"/>
      <c r="N2" s="1225"/>
      <c r="O2" s="1225"/>
      <c r="P2" s="1225"/>
      <c r="Q2" s="1225"/>
      <c r="R2" s="1225"/>
      <c r="S2" s="1225"/>
      <c r="T2" s="1225"/>
      <c r="U2" s="1225"/>
      <c r="V2" s="1225"/>
      <c r="W2" s="1225"/>
      <c r="X2" s="1225"/>
      <c r="Y2" s="1225"/>
      <c r="Z2" s="1225"/>
      <c r="AA2" s="1225"/>
      <c r="AB2" s="1225"/>
      <c r="AC2" s="1225"/>
      <c r="AD2" s="1225"/>
      <c r="AE2" s="1225"/>
      <c r="AF2" s="1225"/>
      <c r="AG2" s="1225"/>
      <c r="AH2" s="1225"/>
      <c r="AI2" s="1225"/>
      <c r="AJ2" s="1225"/>
      <c r="AK2" s="1225"/>
      <c r="AL2" s="1225"/>
      <c r="AM2" s="1225"/>
      <c r="AN2" s="1225"/>
      <c r="AO2" s="1225"/>
      <c r="AP2" s="1225"/>
      <c r="AQ2" s="1225"/>
      <c r="AR2" s="1225"/>
      <c r="AS2" s="1225"/>
      <c r="AT2" s="1225"/>
      <c r="AU2" s="1225"/>
      <c r="AV2" s="1225"/>
      <c r="AW2" s="1225"/>
      <c r="AX2" s="1225"/>
      <c r="AY2" s="1225"/>
      <c r="AZ2" s="1225"/>
      <c r="BA2" s="1225"/>
      <c r="BB2" s="1225"/>
      <c r="BC2" s="1225"/>
      <c r="BD2" s="1225"/>
      <c r="BE2" s="1225"/>
      <c r="BF2" s="1225"/>
      <c r="BG2" s="1225"/>
      <c r="BH2" s="1225"/>
      <c r="BI2" s="1225"/>
      <c r="BJ2" s="1225"/>
      <c r="BK2" s="1225"/>
      <c r="BL2" s="1225"/>
      <c r="BM2" s="1225"/>
    </row>
    <row r="3" spans="1:65" ht="15" customHeight="1">
      <c r="A3" s="1225" t="s">
        <v>294</v>
      </c>
      <c r="B3" s="1225"/>
      <c r="C3" s="1225"/>
      <c r="D3" s="1225"/>
      <c r="E3" s="1225"/>
      <c r="F3" s="1225"/>
      <c r="G3" s="1225"/>
      <c r="H3" s="1225"/>
      <c r="I3" s="1225"/>
      <c r="J3" s="1225"/>
      <c r="K3" s="1225"/>
      <c r="L3" s="1225"/>
      <c r="M3" s="1225"/>
      <c r="N3" s="1225"/>
      <c r="O3" s="1225"/>
      <c r="P3" s="1225"/>
      <c r="Q3" s="1225"/>
      <c r="R3" s="1225"/>
      <c r="S3" s="1225"/>
      <c r="T3" s="1225"/>
      <c r="U3" s="1225"/>
      <c r="V3" s="1225"/>
      <c r="W3" s="1225"/>
      <c r="X3" s="1225"/>
      <c r="Y3" s="1225"/>
      <c r="Z3" s="1225"/>
      <c r="AA3" s="1225"/>
      <c r="AB3" s="1225"/>
      <c r="AC3" s="1225"/>
      <c r="AD3" s="1225"/>
      <c r="AE3" s="1225"/>
      <c r="AF3" s="1225"/>
      <c r="AG3" s="1225"/>
      <c r="AH3" s="1225"/>
      <c r="AI3" s="1225"/>
      <c r="AJ3" s="1225"/>
      <c r="AK3" s="1225"/>
      <c r="AL3" s="1225"/>
      <c r="AM3" s="1225"/>
      <c r="AN3" s="1225"/>
      <c r="AO3" s="1225"/>
      <c r="AP3" s="1225"/>
      <c r="AQ3" s="1225"/>
      <c r="AR3" s="1225"/>
      <c r="AS3" s="1225"/>
      <c r="AT3" s="1225"/>
      <c r="AU3" s="1225"/>
      <c r="AV3" s="1225"/>
      <c r="AW3" s="1225"/>
      <c r="AX3" s="1225"/>
      <c r="AY3" s="1225"/>
      <c r="AZ3" s="1225"/>
      <c r="BA3" s="1225"/>
      <c r="BB3" s="1225"/>
      <c r="BC3" s="1225"/>
      <c r="BD3" s="1225"/>
      <c r="BE3" s="1225"/>
      <c r="BF3" s="1225"/>
      <c r="BG3" s="1225"/>
      <c r="BH3" s="1225"/>
      <c r="BI3" s="1225"/>
      <c r="BJ3" s="1225"/>
      <c r="BK3" s="1225"/>
      <c r="BL3" s="1225"/>
      <c r="BM3" s="1225"/>
    </row>
    <row r="4" spans="1:65" ht="18">
      <c r="A4" s="1225" t="s">
        <v>295</v>
      </c>
      <c r="B4" s="1225"/>
      <c r="C4" s="1225"/>
      <c r="D4" s="1225"/>
      <c r="E4" s="1225"/>
      <c r="F4" s="1225"/>
      <c r="G4" s="1225"/>
      <c r="H4" s="1225"/>
      <c r="I4" s="1225"/>
      <c r="J4" s="1225"/>
      <c r="K4" s="1225"/>
      <c r="L4" s="1225"/>
      <c r="M4" s="1225"/>
      <c r="N4" s="1225"/>
      <c r="O4" s="1225"/>
      <c r="P4" s="1225"/>
      <c r="Q4" s="1225"/>
      <c r="R4" s="1225"/>
      <c r="S4" s="1225"/>
      <c r="T4" s="1225"/>
      <c r="U4" s="1225"/>
      <c r="V4" s="1225"/>
      <c r="W4" s="1225"/>
      <c r="X4" s="1225"/>
      <c r="Y4" s="1225"/>
      <c r="Z4" s="1225"/>
      <c r="AA4" s="1225"/>
      <c r="AB4" s="1225"/>
      <c r="AC4" s="1225"/>
      <c r="AD4" s="1225"/>
      <c r="AE4" s="1225"/>
      <c r="AF4" s="1225"/>
      <c r="AG4" s="1225"/>
      <c r="AH4" s="1225"/>
      <c r="AI4" s="1225"/>
      <c r="AJ4" s="1225"/>
      <c r="AK4" s="1225"/>
      <c r="AL4" s="1225"/>
      <c r="AM4" s="1225"/>
      <c r="AN4" s="1225"/>
      <c r="AO4" s="1225"/>
      <c r="AP4" s="1225"/>
      <c r="AQ4" s="1225"/>
      <c r="AR4" s="1225"/>
      <c r="AS4" s="1225"/>
      <c r="AT4" s="1225"/>
      <c r="AU4" s="1225"/>
      <c r="AV4" s="1225"/>
      <c r="AW4" s="1225"/>
      <c r="AX4" s="1225"/>
      <c r="AY4" s="1225"/>
      <c r="AZ4" s="1225"/>
      <c r="BA4" s="1225"/>
      <c r="BB4" s="1225"/>
      <c r="BC4" s="1225"/>
      <c r="BD4" s="1225"/>
      <c r="BE4" s="1225"/>
      <c r="BF4" s="1225"/>
      <c r="BG4" s="1225"/>
      <c r="BH4" s="1225"/>
      <c r="BI4" s="1225"/>
      <c r="BJ4" s="1225"/>
      <c r="BK4" s="1225"/>
      <c r="BL4" s="1225"/>
      <c r="BM4" s="1225"/>
    </row>
    <row r="5" spans="1:65" ht="9" customHeight="1">
      <c r="A5" s="1494"/>
      <c r="B5" s="1225"/>
      <c r="C5" s="1225"/>
      <c r="D5" s="1225"/>
      <c r="E5" s="1225"/>
      <c r="F5" s="1225"/>
      <c r="G5" s="1225"/>
      <c r="H5" s="1225"/>
      <c r="I5" s="1225"/>
      <c r="J5" s="1225"/>
      <c r="K5" s="1225"/>
      <c r="L5" s="1225"/>
      <c r="M5" s="1225"/>
      <c r="N5" s="1225"/>
      <c r="O5" s="1225"/>
      <c r="P5" s="1225"/>
      <c r="Q5" s="1225"/>
      <c r="R5" s="1225"/>
      <c r="S5" s="1225"/>
      <c r="T5" s="1225"/>
      <c r="U5" s="1225"/>
      <c r="V5" s="1225"/>
      <c r="W5" s="1225"/>
      <c r="X5" s="1225"/>
      <c r="Y5" s="1225"/>
      <c r="Z5" s="1225"/>
      <c r="AA5" s="1225"/>
      <c r="AB5" s="1225"/>
      <c r="AC5" s="1225"/>
      <c r="AD5" s="1225"/>
      <c r="AE5" s="1225"/>
      <c r="AF5" s="1225"/>
      <c r="AG5" s="1225"/>
      <c r="AH5" s="1225"/>
      <c r="AI5" s="1225"/>
      <c r="AJ5" s="1225"/>
      <c r="AK5" s="1225"/>
      <c r="AL5" s="1225"/>
      <c r="AM5" s="1225"/>
      <c r="AN5" s="1225"/>
      <c r="AO5" s="1225"/>
      <c r="AP5" s="1225"/>
      <c r="AQ5" s="1225"/>
      <c r="AR5" s="1225"/>
      <c r="AS5" s="1225"/>
      <c r="AT5" s="1225"/>
      <c r="AU5" s="1225"/>
      <c r="AV5" s="1225"/>
      <c r="AW5" s="1225"/>
      <c r="AX5" s="1225"/>
      <c r="AY5" s="1225"/>
      <c r="AZ5" s="1225"/>
      <c r="BA5" s="1225"/>
      <c r="BB5" s="1225"/>
      <c r="BC5" s="1225"/>
      <c r="BD5" s="1225"/>
      <c r="BE5" s="967"/>
      <c r="BF5" s="967"/>
      <c r="BG5" s="967"/>
      <c r="BH5" s="967"/>
      <c r="BI5" s="967"/>
      <c r="BJ5" s="967"/>
      <c r="BK5" s="967"/>
      <c r="BL5" s="967"/>
      <c r="BM5" s="967"/>
    </row>
    <row r="6" spans="1:65">
      <c r="A6" s="470" t="s">
        <v>296</v>
      </c>
      <c r="B6" s="1298" t="s">
        <v>297</v>
      </c>
      <c r="C6" s="1298"/>
      <c r="D6" s="1298"/>
      <c r="E6" s="1298"/>
      <c r="F6" s="1298"/>
      <c r="G6" s="1298"/>
      <c r="H6" s="1298"/>
      <c r="I6" s="1298"/>
      <c r="J6" s="1298"/>
      <c r="K6" s="1298"/>
      <c r="L6" s="1298"/>
      <c r="M6" s="1298"/>
      <c r="N6" s="1298"/>
      <c r="O6" s="1298"/>
      <c r="P6" s="1298"/>
      <c r="Q6" s="1298"/>
      <c r="R6" s="1298"/>
      <c r="S6" s="1298"/>
      <c r="T6" s="1298"/>
      <c r="U6" s="1298"/>
      <c r="V6" s="1298"/>
      <c r="W6" s="1298"/>
      <c r="X6" s="1298"/>
      <c r="Y6" s="1298"/>
      <c r="Z6" s="1298"/>
      <c r="AA6" s="1298"/>
      <c r="AB6" s="1298"/>
      <c r="AC6" s="1298"/>
      <c r="AD6" s="1298"/>
      <c r="AE6" s="1298"/>
      <c r="AF6" s="1298"/>
      <c r="AG6" s="1298"/>
      <c r="AH6" s="1298"/>
      <c r="AI6" s="1298"/>
      <c r="AJ6" s="1298"/>
      <c r="AK6" s="1298"/>
      <c r="AL6" s="1298"/>
      <c r="AM6" s="1298"/>
      <c r="AN6" s="1298"/>
      <c r="AO6" s="1298"/>
      <c r="AP6" s="1298"/>
      <c r="AQ6" s="1298"/>
      <c r="AR6" s="1298"/>
      <c r="AS6" s="1298"/>
      <c r="AT6" s="1298"/>
      <c r="AU6" s="1298"/>
      <c r="AV6" s="1298"/>
      <c r="AW6" s="1298"/>
      <c r="AX6" s="1298"/>
      <c r="AY6" s="1298"/>
      <c r="AZ6" s="1298"/>
      <c r="BA6" s="1298"/>
      <c r="BB6" s="1299"/>
      <c r="BC6" s="1299"/>
      <c r="BD6" s="968" t="s">
        <v>298</v>
      </c>
      <c r="BE6" s="968"/>
      <c r="BF6" s="968"/>
      <c r="BH6" s="1300">
        <v>5601</v>
      </c>
      <c r="BI6" s="1300"/>
      <c r="BJ6" s="473"/>
      <c r="BK6" s="967"/>
      <c r="BL6" s="62"/>
    </row>
    <row r="7" spans="1:65">
      <c r="A7" s="1301"/>
      <c r="B7" s="1301"/>
      <c r="C7" s="1301"/>
      <c r="D7" s="1301"/>
      <c r="E7" s="1301"/>
      <c r="F7" s="1301"/>
      <c r="G7" s="1301"/>
      <c r="H7" s="1301"/>
      <c r="I7" s="1301"/>
      <c r="J7" s="1301"/>
      <c r="K7" s="1301"/>
      <c r="L7" s="1301"/>
      <c r="M7" s="1301"/>
      <c r="N7" s="1301"/>
      <c r="O7" s="1301"/>
      <c r="P7" s="1301"/>
      <c r="Q7" s="1301"/>
      <c r="R7" s="1301"/>
      <c r="S7" s="1301"/>
      <c r="T7" s="1301"/>
      <c r="U7" s="1301"/>
      <c r="V7" s="1301"/>
      <c r="W7" s="1301"/>
      <c r="X7" s="1301"/>
      <c r="Y7" s="1301"/>
      <c r="Z7" s="1301"/>
      <c r="AA7" s="1301"/>
      <c r="AB7" s="1301"/>
      <c r="AC7" s="1301"/>
      <c r="AD7" s="1301"/>
      <c r="AE7" s="1301"/>
      <c r="AF7" s="1301"/>
      <c r="AG7" s="1301"/>
      <c r="AH7" s="1301"/>
      <c r="AI7" s="1301"/>
      <c r="AJ7" s="1301"/>
      <c r="AK7" s="1301"/>
      <c r="AL7" s="1301"/>
      <c r="AM7" s="1301"/>
      <c r="AN7" s="1301"/>
      <c r="AO7" s="1301"/>
      <c r="AP7" s="1301"/>
      <c r="AQ7" s="1301"/>
      <c r="AR7" s="1301"/>
      <c r="AS7" s="1301"/>
      <c r="AT7" s="1301"/>
      <c r="AU7" s="1301"/>
      <c r="AV7" s="1301"/>
      <c r="AW7" s="1301"/>
      <c r="AX7" s="1301"/>
      <c r="AY7" s="1301"/>
      <c r="AZ7" s="1301"/>
      <c r="BA7" s="1301"/>
      <c r="BB7" s="1301"/>
      <c r="BC7" s="1301"/>
      <c r="BD7" s="1301"/>
      <c r="BE7" s="1301"/>
      <c r="BF7" s="1301"/>
      <c r="BG7" s="1301"/>
      <c r="BH7" s="1301"/>
      <c r="BI7" s="1301"/>
      <c r="BJ7" s="1301"/>
      <c r="BK7" s="1301"/>
      <c r="BL7" s="1301"/>
      <c r="BM7" s="1301"/>
    </row>
    <row r="8" spans="1:65">
      <c r="A8" s="969" t="s">
        <v>187</v>
      </c>
      <c r="B8" s="970" t="s">
        <v>299</v>
      </c>
      <c r="C8" s="971"/>
      <c r="D8" s="971"/>
      <c r="E8" s="971"/>
      <c r="F8" s="972"/>
      <c r="G8" s="972"/>
      <c r="H8" s="972"/>
      <c r="I8" s="972"/>
      <c r="J8" s="972"/>
      <c r="K8" s="972"/>
      <c r="L8" s="972"/>
      <c r="M8" s="972"/>
      <c r="N8" s="972"/>
      <c r="O8" s="972"/>
      <c r="P8" s="972"/>
      <c r="Q8" s="972"/>
      <c r="R8" s="972"/>
      <c r="S8" s="972"/>
      <c r="T8" s="972"/>
      <c r="U8" s="471"/>
      <c r="V8" s="1302"/>
      <c r="W8" s="1302"/>
      <c r="X8" s="1302"/>
      <c r="Y8" s="1302"/>
      <c r="Z8" s="1302"/>
      <c r="AA8" s="1302"/>
      <c r="AB8" s="1302"/>
      <c r="AC8" s="1302"/>
      <c r="AD8" s="1302"/>
      <c r="AE8" s="1302"/>
      <c r="AF8" s="1302"/>
      <c r="AG8" s="1302"/>
      <c r="AH8" s="1302"/>
      <c r="AI8" s="1302"/>
      <c r="AJ8" s="1302"/>
      <c r="AK8" s="1302"/>
      <c r="AL8" s="1302"/>
      <c r="AM8" s="1302"/>
      <c r="AN8" s="1302"/>
      <c r="AO8" s="1302"/>
      <c r="AP8" s="1302"/>
      <c r="AQ8" s="1302"/>
      <c r="AR8" s="1302"/>
      <c r="AS8" s="1302"/>
      <c r="AT8" s="1302"/>
      <c r="AU8" s="1302"/>
      <c r="AV8" s="1302"/>
      <c r="AW8" s="1302"/>
      <c r="AX8" s="1302"/>
      <c r="AY8" s="1302"/>
      <c r="AZ8" s="1302"/>
      <c r="BA8" s="1302"/>
      <c r="BB8" s="1302"/>
      <c r="BC8" s="1302"/>
      <c r="BD8" s="973" t="s">
        <v>300</v>
      </c>
      <c r="BE8" s="974"/>
      <c r="BF8" s="974"/>
      <c r="BG8" s="974"/>
      <c r="BH8" s="974"/>
      <c r="BI8" s="974"/>
      <c r="BJ8" s="473"/>
      <c r="BK8" s="60"/>
      <c r="BL8" s="64"/>
    </row>
    <row r="9" spans="1:65" ht="14.25" customHeight="1">
      <c r="A9" s="1293"/>
      <c r="B9" s="1293"/>
      <c r="C9" s="1293"/>
      <c r="D9" s="1293"/>
      <c r="E9" s="1293"/>
      <c r="F9" s="1293"/>
      <c r="G9" s="1293"/>
      <c r="H9" s="1293"/>
      <c r="I9" s="1293"/>
      <c r="J9" s="1293"/>
      <c r="K9" s="1293"/>
      <c r="L9" s="1293"/>
      <c r="M9" s="1293"/>
      <c r="N9" s="1293"/>
      <c r="O9" s="1293"/>
      <c r="P9" s="1293"/>
      <c r="Q9" s="1293"/>
      <c r="R9" s="1293"/>
      <c r="S9" s="1293"/>
      <c r="T9" s="1293"/>
      <c r="U9" s="1293"/>
      <c r="V9" s="1293"/>
      <c r="W9" s="1293"/>
      <c r="X9" s="1293"/>
      <c r="Y9" s="1293"/>
      <c r="Z9" s="1293"/>
      <c r="AA9" s="1293"/>
      <c r="AB9" s="1293"/>
      <c r="AC9" s="1293"/>
      <c r="AD9" s="1293"/>
      <c r="AE9" s="1293"/>
      <c r="AF9" s="1293"/>
      <c r="AG9" s="1293"/>
      <c r="AH9" s="1293"/>
      <c r="AI9" s="1293"/>
      <c r="AJ9" s="1293"/>
      <c r="AK9" s="1293"/>
      <c r="AL9" s="1293"/>
      <c r="AM9" s="1293"/>
      <c r="AN9" s="1293"/>
      <c r="AO9" s="1293"/>
      <c r="AP9" s="1293"/>
      <c r="AQ9" s="1293"/>
      <c r="AR9" s="1293"/>
      <c r="AS9" s="1293"/>
      <c r="AT9" s="1293"/>
      <c r="AU9" s="1293"/>
      <c r="AV9" s="1293"/>
      <c r="AW9" s="1293"/>
      <c r="AX9" s="1293"/>
      <c r="AY9" s="1293"/>
      <c r="AZ9" s="1293"/>
      <c r="BA9" s="1293"/>
      <c r="BB9" s="1293"/>
      <c r="BC9" s="1293"/>
      <c r="BD9" s="1293"/>
      <c r="BE9" s="1293"/>
      <c r="BF9" s="1293"/>
      <c r="BG9" s="1293"/>
      <c r="BH9" s="1293"/>
      <c r="BI9" s="1293"/>
      <c r="BJ9" s="1293"/>
      <c r="BK9" s="1293"/>
      <c r="BL9" s="1293"/>
      <c r="BM9" s="1293"/>
    </row>
    <row r="10" spans="1:65" ht="17.100000000000001" customHeight="1">
      <c r="A10" s="173" t="s">
        <v>130</v>
      </c>
      <c r="B10" s="88"/>
      <c r="C10" s="88"/>
      <c r="D10" s="88"/>
      <c r="E10" s="88"/>
      <c r="F10" s="975"/>
      <c r="G10" s="338" t="s">
        <v>301</v>
      </c>
      <c r="H10" s="338"/>
      <c r="I10" s="338"/>
      <c r="J10" s="338"/>
      <c r="K10" s="338"/>
      <c r="L10" s="338"/>
      <c r="M10" s="338"/>
      <c r="N10" s="338"/>
      <c r="O10" s="338"/>
      <c r="P10" s="338"/>
      <c r="Q10" s="338"/>
      <c r="R10" s="338"/>
      <c r="S10" s="338"/>
      <c r="T10" s="338"/>
      <c r="U10" s="338"/>
      <c r="V10" s="338"/>
      <c r="W10" s="338"/>
      <c r="X10" s="338"/>
      <c r="Y10" s="338"/>
      <c r="Z10" s="338"/>
      <c r="AA10" s="338"/>
      <c r="AB10" s="338"/>
      <c r="AC10" s="338"/>
      <c r="AD10" s="338"/>
      <c r="AE10" s="976"/>
      <c r="AF10" s="976"/>
      <c r="AG10" s="976"/>
      <c r="AH10" s="338"/>
      <c r="AI10" s="64"/>
      <c r="AJ10" s="1294"/>
      <c r="AK10" s="1294"/>
      <c r="AL10" s="1294"/>
      <c r="AM10" s="1294"/>
      <c r="AN10" s="1294"/>
      <c r="AO10" s="1294"/>
      <c r="AP10" s="1294"/>
      <c r="AQ10" s="1294"/>
      <c r="AR10" s="1294"/>
      <c r="AS10" s="1294"/>
      <c r="AT10" s="1294"/>
      <c r="AU10" s="1294"/>
      <c r="AV10" s="1294"/>
      <c r="AW10" s="1294"/>
      <c r="AX10" s="1294"/>
      <c r="AY10" s="1294"/>
      <c r="AZ10" s="1294"/>
      <c r="BA10" s="1294"/>
      <c r="BB10" s="1294"/>
      <c r="BC10" s="1294"/>
      <c r="BD10" s="63" t="s">
        <v>302</v>
      </c>
      <c r="BE10" s="62"/>
      <c r="BI10" s="972" t="s">
        <v>303</v>
      </c>
      <c r="BJ10" s="304"/>
      <c r="BK10" s="304"/>
      <c r="BL10" s="977"/>
      <c r="BM10" s="977"/>
    </row>
    <row r="11" spans="1:65" ht="15" customHeight="1" thickBot="1">
      <c r="A11" s="65"/>
      <c r="B11" s="173"/>
      <c r="C11" s="173"/>
      <c r="D11" s="173"/>
      <c r="E11" s="173"/>
      <c r="F11" s="978"/>
      <c r="G11" s="978"/>
      <c r="H11" s="978"/>
      <c r="I11" s="978"/>
      <c r="J11" s="978"/>
      <c r="K11" s="978"/>
      <c r="L11" s="978"/>
      <c r="M11" s="978"/>
      <c r="N11" s="978"/>
      <c r="O11" s="978"/>
      <c r="P11" s="978"/>
      <c r="Q11" s="978"/>
      <c r="R11" s="978"/>
      <c r="S11" s="978"/>
      <c r="T11" s="978"/>
      <c r="U11" s="978"/>
      <c r="V11" s="978"/>
      <c r="W11" s="978"/>
      <c r="X11" s="978"/>
      <c r="Y11" s="978"/>
      <c r="Z11" s="978"/>
      <c r="AA11" s="978"/>
      <c r="AB11" s="978"/>
      <c r="AC11" s="978"/>
      <c r="AD11" s="978"/>
      <c r="AE11" s="978"/>
      <c r="AF11" s="978"/>
      <c r="AG11" s="978"/>
      <c r="BD11" s="66"/>
      <c r="BE11" s="66"/>
      <c r="BF11" s="66"/>
      <c r="BG11" s="66"/>
      <c r="BH11" s="66"/>
      <c r="BI11" s="66"/>
      <c r="BJ11" s="66"/>
      <c r="BK11" s="66"/>
      <c r="BL11" s="66"/>
      <c r="BM11" s="66"/>
    </row>
    <row r="12" spans="1:65" ht="15" customHeight="1">
      <c r="A12" s="979"/>
      <c r="B12" s="980"/>
      <c r="C12" s="980"/>
      <c r="D12" s="980"/>
      <c r="E12" s="980"/>
      <c r="F12" s="981"/>
      <c r="G12" s="981"/>
      <c r="H12" s="981"/>
      <c r="I12" s="981"/>
      <c r="J12" s="981"/>
      <c r="K12" s="981"/>
      <c r="L12" s="981"/>
      <c r="M12" s="981"/>
      <c r="N12" s="981"/>
      <c r="O12" s="981"/>
      <c r="P12" s="981"/>
      <c r="Q12" s="981"/>
      <c r="R12" s="981"/>
      <c r="S12" s="981"/>
      <c r="T12" s="981"/>
      <c r="U12" s="981"/>
      <c r="V12" s="981"/>
      <c r="W12" s="981"/>
      <c r="X12" s="981"/>
      <c r="Y12" s="981"/>
      <c r="Z12" s="981"/>
      <c r="AA12" s="981"/>
      <c r="AB12" s="981"/>
      <c r="AC12" s="981"/>
      <c r="AD12" s="981"/>
      <c r="AE12" s="981"/>
      <c r="AF12" s="981"/>
      <c r="AG12" s="981"/>
      <c r="AH12" s="982"/>
      <c r="AI12" s="982"/>
      <c r="AJ12" s="982"/>
      <c r="AK12" s="982"/>
      <c r="AL12" s="982"/>
      <c r="AM12" s="982"/>
      <c r="AN12" s="982"/>
      <c r="AO12" s="982"/>
      <c r="AP12" s="982"/>
      <c r="AQ12" s="982"/>
      <c r="AR12" s="982"/>
      <c r="AS12" s="982"/>
      <c r="AT12" s="982"/>
      <c r="AU12" s="982"/>
      <c r="AV12" s="982"/>
      <c r="AW12" s="982"/>
      <c r="AX12" s="982"/>
      <c r="AY12" s="982"/>
      <c r="AZ12" s="982"/>
      <c r="BA12" s="982"/>
      <c r="BB12" s="982"/>
      <c r="BC12" s="982"/>
      <c r="BD12" s="983"/>
      <c r="BE12" s="983"/>
      <c r="BF12" s="983"/>
      <c r="BG12" s="983"/>
      <c r="BH12" s="983"/>
      <c r="BI12" s="983"/>
      <c r="BJ12" s="983"/>
      <c r="BK12" s="983"/>
      <c r="BL12" s="67"/>
      <c r="BM12" s="68"/>
    </row>
    <row r="13" spans="1:65" ht="15" customHeight="1">
      <c r="A13" s="9"/>
      <c r="B13" s="62"/>
      <c r="C13" s="62"/>
      <c r="D13" s="62"/>
      <c r="E13" s="62"/>
      <c r="F13" s="978"/>
      <c r="G13" s="978"/>
      <c r="H13" s="978"/>
      <c r="I13" s="978"/>
      <c r="J13" s="978"/>
      <c r="K13" s="978"/>
      <c r="L13" s="978"/>
      <c r="M13" s="978"/>
      <c r="N13" s="978"/>
      <c r="O13" s="978"/>
      <c r="P13" s="978"/>
      <c r="Q13" s="978"/>
      <c r="R13" s="978"/>
      <c r="S13" s="978"/>
      <c r="T13" s="978"/>
      <c r="U13" s="978"/>
      <c r="V13" s="978"/>
      <c r="W13" s="978"/>
      <c r="X13" s="978"/>
      <c r="Y13" s="978"/>
      <c r="Z13" s="978"/>
      <c r="AA13" s="978"/>
      <c r="AB13" s="978"/>
      <c r="AC13" s="978"/>
      <c r="AD13" s="978"/>
      <c r="AE13" s="978"/>
      <c r="AF13" s="978"/>
      <c r="AG13" s="978"/>
      <c r="AH13" s="62"/>
      <c r="AI13" s="62"/>
      <c r="AJ13" s="62"/>
      <c r="AK13" s="62"/>
      <c r="AL13" s="62"/>
      <c r="AM13" s="62"/>
      <c r="AN13" s="62"/>
      <c r="AO13" s="62"/>
      <c r="AP13" s="62"/>
      <c r="AQ13" s="62"/>
      <c r="AR13" s="62"/>
      <c r="AS13" s="62"/>
      <c r="AT13" s="62"/>
      <c r="AU13" s="62"/>
      <c r="AV13" s="62"/>
      <c r="AW13" s="62"/>
      <c r="AX13" s="62"/>
      <c r="AY13" s="62"/>
      <c r="AZ13" s="62"/>
      <c r="BA13" s="62"/>
      <c r="BB13" s="62"/>
      <c r="BC13" s="62"/>
      <c r="BD13" s="62"/>
      <c r="BE13" s="62"/>
      <c r="BF13" s="62"/>
      <c r="BG13" s="62"/>
      <c r="BH13" s="62"/>
      <c r="BI13" s="62"/>
      <c r="BJ13" s="62"/>
      <c r="BK13" s="62"/>
      <c r="BL13" s="1"/>
      <c r="BM13" s="69"/>
    </row>
    <row r="14" spans="1:65" ht="15" customHeight="1">
      <c r="A14" s="9"/>
      <c r="F14" s="978"/>
      <c r="G14" s="978"/>
      <c r="H14" s="978"/>
      <c r="I14" s="978"/>
      <c r="J14" s="978"/>
      <c r="K14" s="978"/>
      <c r="L14" s="978"/>
      <c r="M14" s="978"/>
      <c r="N14" s="978"/>
      <c r="O14" s="978"/>
      <c r="P14" s="978"/>
      <c r="Q14" s="978"/>
      <c r="R14" s="978"/>
      <c r="S14" s="978"/>
      <c r="T14" s="978"/>
      <c r="U14" s="978"/>
      <c r="V14" s="978"/>
      <c r="W14" s="978"/>
      <c r="X14" s="978"/>
      <c r="Y14" s="978"/>
      <c r="Z14" s="978"/>
      <c r="AA14" s="978"/>
      <c r="AB14" s="978"/>
      <c r="AC14" s="978"/>
      <c r="AD14" s="978"/>
      <c r="AE14" s="978"/>
      <c r="AF14" s="978"/>
      <c r="AG14" s="978"/>
      <c r="AH14" s="62"/>
      <c r="AI14" s="62"/>
      <c r="AJ14" s="62"/>
      <c r="AK14" s="62"/>
      <c r="AL14" s="62"/>
      <c r="AM14" s="62"/>
      <c r="AN14" s="62"/>
      <c r="AO14" s="62"/>
      <c r="AP14" s="62"/>
      <c r="AQ14" s="62"/>
      <c r="AR14" s="62"/>
      <c r="AS14" s="62"/>
      <c r="AT14" s="62"/>
      <c r="AU14" s="62"/>
      <c r="AV14" s="62"/>
      <c r="AW14" s="62"/>
      <c r="AX14" s="62"/>
      <c r="AY14" s="62"/>
      <c r="AZ14" s="62"/>
      <c r="BA14" s="62"/>
      <c r="BB14" s="62"/>
      <c r="BC14" s="62"/>
      <c r="BD14" s="62"/>
      <c r="BE14" s="62"/>
      <c r="BF14" s="62"/>
      <c r="BG14" s="62"/>
      <c r="BH14" s="62"/>
      <c r="BI14" s="62"/>
      <c r="BJ14" s="62"/>
      <c r="BK14" s="62"/>
      <c r="BL14" s="1"/>
      <c r="BM14" s="69"/>
    </row>
    <row r="15" spans="1:65" ht="15" customHeight="1">
      <c r="A15" s="9"/>
      <c r="B15" s="62"/>
      <c r="C15" s="62"/>
      <c r="D15" s="62"/>
      <c r="E15" s="62"/>
      <c r="F15" s="978"/>
      <c r="G15" s="978"/>
      <c r="H15" s="978"/>
      <c r="I15" s="978"/>
      <c r="J15" s="978"/>
      <c r="K15" s="978"/>
      <c r="L15" s="978"/>
      <c r="M15" s="978"/>
      <c r="N15" s="978"/>
      <c r="O15" s="978"/>
      <c r="P15" s="978"/>
      <c r="Q15" s="978"/>
      <c r="R15" s="978"/>
      <c r="S15" s="978"/>
      <c r="T15" s="978"/>
      <c r="U15" s="978"/>
      <c r="V15" s="978"/>
      <c r="W15" s="978"/>
      <c r="X15" s="978"/>
      <c r="Y15" s="978"/>
      <c r="Z15" s="978"/>
      <c r="AA15" s="978"/>
      <c r="AB15" s="978"/>
      <c r="AC15" s="978"/>
      <c r="AD15" s="978"/>
      <c r="AE15" s="978"/>
      <c r="AF15" s="978"/>
      <c r="AG15" s="978"/>
      <c r="AH15" s="62"/>
      <c r="AI15" s="62"/>
      <c r="AJ15" s="62"/>
      <c r="AK15" s="62"/>
      <c r="AL15" s="62"/>
      <c r="AM15" s="62"/>
      <c r="AN15" s="62"/>
      <c r="AO15" s="62"/>
      <c r="AP15" s="62"/>
      <c r="AQ15" s="62"/>
      <c r="AR15" s="62"/>
      <c r="AS15" s="62"/>
      <c r="AT15" s="62"/>
      <c r="AU15" s="62"/>
      <c r="AV15" s="62"/>
      <c r="AW15" s="62"/>
      <c r="AX15" s="62"/>
      <c r="AY15" s="62"/>
      <c r="AZ15" s="62"/>
      <c r="BA15" s="62"/>
      <c r="BB15" s="62"/>
      <c r="BC15" s="62"/>
      <c r="BD15" s="62"/>
      <c r="BE15" s="62"/>
      <c r="BF15" s="62"/>
      <c r="BG15" s="62"/>
      <c r="BH15" s="62"/>
      <c r="BI15" s="62"/>
      <c r="BJ15" s="62"/>
      <c r="BK15" s="62"/>
      <c r="BL15" s="1"/>
      <c r="BM15" s="69"/>
    </row>
    <row r="16" spans="1:65" ht="15" customHeight="1">
      <c r="A16" s="9"/>
      <c r="B16" s="62"/>
      <c r="C16" s="62"/>
      <c r="D16" s="62"/>
      <c r="E16" s="62"/>
      <c r="F16" s="978"/>
      <c r="G16" s="978"/>
      <c r="H16" s="978"/>
      <c r="I16" s="978"/>
      <c r="J16" s="978"/>
      <c r="K16" s="978"/>
      <c r="L16" s="978"/>
      <c r="M16" s="978"/>
      <c r="N16" s="978"/>
      <c r="O16" s="978"/>
      <c r="P16" s="978"/>
      <c r="Q16" s="978"/>
      <c r="R16" s="978"/>
      <c r="S16" s="978"/>
      <c r="T16" s="978"/>
      <c r="U16" s="978"/>
      <c r="V16" s="978"/>
      <c r="W16" s="978"/>
      <c r="X16" s="978"/>
      <c r="Y16" s="978"/>
      <c r="Z16" s="978"/>
      <c r="AA16" s="978"/>
      <c r="AB16" s="978"/>
      <c r="AC16" s="978"/>
      <c r="AD16" s="978"/>
      <c r="AE16" s="978"/>
      <c r="AF16" s="978"/>
      <c r="AG16" s="978"/>
      <c r="AH16" s="62"/>
      <c r="AI16" s="62"/>
      <c r="AJ16" s="62"/>
      <c r="AK16" s="62"/>
      <c r="AL16" s="62"/>
      <c r="AM16" s="62"/>
      <c r="AN16" s="62"/>
      <c r="AO16" s="62"/>
      <c r="AP16" s="62"/>
      <c r="AQ16" s="62"/>
      <c r="AR16" s="62"/>
      <c r="AS16" s="62"/>
      <c r="AT16" s="62"/>
      <c r="AU16" s="62"/>
      <c r="AV16" s="62"/>
      <c r="AW16" s="62"/>
      <c r="AX16" s="62"/>
      <c r="AY16" s="62"/>
      <c r="AZ16" s="62"/>
      <c r="BA16" s="62"/>
      <c r="BB16" s="62"/>
      <c r="BC16" s="62"/>
      <c r="BD16" s="62"/>
      <c r="BE16" s="62"/>
      <c r="BF16" s="62"/>
      <c r="BG16" s="62"/>
      <c r="BH16" s="62"/>
      <c r="BI16" s="62"/>
      <c r="BJ16" s="62"/>
      <c r="BK16" s="62"/>
      <c r="BL16" s="1"/>
      <c r="BM16" s="69"/>
    </row>
    <row r="17" spans="1:65" ht="15" customHeight="1">
      <c r="A17" s="984"/>
      <c r="B17" s="62"/>
      <c r="C17" s="62"/>
      <c r="D17" s="62"/>
      <c r="E17" s="62"/>
      <c r="F17" s="978"/>
      <c r="G17" s="978"/>
      <c r="H17" s="978"/>
      <c r="I17" s="978"/>
      <c r="J17" s="978"/>
      <c r="K17" s="978"/>
      <c r="L17" s="978"/>
      <c r="M17" s="978"/>
      <c r="N17" s="978"/>
      <c r="O17" s="978"/>
      <c r="P17" s="978"/>
      <c r="Q17" s="978"/>
      <c r="R17" s="978"/>
      <c r="S17" s="978"/>
      <c r="T17" s="978"/>
      <c r="U17" s="978"/>
      <c r="V17" s="978"/>
      <c r="W17" s="978"/>
      <c r="X17" s="978"/>
      <c r="Y17" s="978"/>
      <c r="Z17" s="978"/>
      <c r="AA17" s="978"/>
      <c r="AB17" s="978"/>
      <c r="AC17" s="978"/>
      <c r="AD17" s="978"/>
      <c r="AE17" s="978"/>
      <c r="AF17" s="978"/>
      <c r="AG17" s="978"/>
      <c r="AH17" s="62"/>
      <c r="AI17" s="62"/>
      <c r="AJ17" s="62"/>
      <c r="AK17" s="62"/>
      <c r="AL17" s="62"/>
      <c r="AM17" s="62"/>
      <c r="AN17" s="62"/>
      <c r="AO17" s="62"/>
      <c r="AP17" s="62"/>
      <c r="AQ17" s="62"/>
      <c r="AR17" s="62"/>
      <c r="AS17" s="62"/>
      <c r="AT17" s="62"/>
      <c r="AU17" s="62"/>
      <c r="AV17" s="62"/>
      <c r="AW17" s="62"/>
      <c r="AX17" s="62"/>
      <c r="AY17" s="62"/>
      <c r="AZ17" s="62"/>
      <c r="BA17" s="62"/>
      <c r="BB17" s="62"/>
      <c r="BC17" s="62"/>
      <c r="BD17" s="62"/>
      <c r="BE17" s="62"/>
      <c r="BF17" s="62"/>
      <c r="BG17" s="62"/>
      <c r="BH17" s="62"/>
      <c r="BI17" s="62"/>
      <c r="BJ17" s="62"/>
      <c r="BK17" s="62"/>
      <c r="BL17" s="1"/>
      <c r="BM17" s="69"/>
    </row>
    <row r="18" spans="1:65" ht="15" customHeight="1">
      <c r="A18" s="984"/>
      <c r="B18" s="62"/>
      <c r="C18" s="62"/>
      <c r="D18" s="62"/>
      <c r="E18" s="62"/>
      <c r="F18" s="978"/>
      <c r="G18" s="978"/>
      <c r="H18" s="978"/>
      <c r="I18" s="978"/>
      <c r="J18" s="978"/>
      <c r="K18" s="978"/>
      <c r="L18" s="978"/>
      <c r="M18" s="978"/>
      <c r="N18" s="978"/>
      <c r="O18" s="978"/>
      <c r="P18" s="978"/>
      <c r="Q18" s="978"/>
      <c r="R18" s="978"/>
      <c r="S18" s="978"/>
      <c r="T18" s="978"/>
      <c r="U18" s="978"/>
      <c r="V18" s="978"/>
      <c r="W18" s="978"/>
      <c r="X18" s="978"/>
      <c r="Y18" s="978"/>
      <c r="Z18" s="978"/>
      <c r="AA18" s="978"/>
      <c r="AB18" s="978"/>
      <c r="AC18" s="978"/>
      <c r="AD18" s="978"/>
      <c r="AE18" s="978"/>
      <c r="AF18" s="978"/>
      <c r="AG18" s="978"/>
      <c r="AH18" s="62"/>
      <c r="AI18" s="62"/>
      <c r="AJ18" s="62"/>
      <c r="AK18" s="62"/>
      <c r="AL18" s="62"/>
      <c r="AM18" s="62"/>
      <c r="AN18" s="62"/>
      <c r="AO18" s="62"/>
      <c r="AP18" s="62"/>
      <c r="AQ18" s="62"/>
      <c r="AR18" s="62"/>
      <c r="AS18" s="62"/>
      <c r="AT18" s="62"/>
      <c r="AU18" s="62"/>
      <c r="AV18" s="62"/>
      <c r="AW18" s="62"/>
      <c r="AX18" s="62"/>
      <c r="AY18" s="62"/>
      <c r="AZ18" s="62"/>
      <c r="BA18" s="62"/>
      <c r="BB18" s="62"/>
      <c r="BC18" s="62"/>
      <c r="BD18" s="62"/>
      <c r="BE18" s="62"/>
      <c r="BF18" s="62"/>
      <c r="BG18" s="62"/>
      <c r="BH18" s="62"/>
      <c r="BI18" s="62"/>
      <c r="BJ18" s="62"/>
      <c r="BK18" s="62"/>
      <c r="BL18" s="1"/>
      <c r="BM18" s="69"/>
    </row>
    <row r="19" spans="1:65" ht="15" customHeight="1">
      <c r="A19" s="984"/>
      <c r="B19" s="62"/>
      <c r="C19" s="62"/>
      <c r="D19" s="62"/>
      <c r="E19" s="62"/>
      <c r="F19" s="978"/>
      <c r="G19" s="978"/>
      <c r="H19" s="978"/>
      <c r="I19" s="978"/>
      <c r="J19" s="978"/>
      <c r="K19" s="978"/>
      <c r="L19" s="978"/>
      <c r="M19" s="978"/>
      <c r="N19" s="978"/>
      <c r="O19" s="978"/>
      <c r="P19" s="978"/>
      <c r="Q19" s="978"/>
      <c r="R19" s="978"/>
      <c r="S19" s="978"/>
      <c r="T19" s="978"/>
      <c r="U19" s="978"/>
      <c r="V19" s="978"/>
      <c r="W19" s="978"/>
      <c r="X19" s="978"/>
      <c r="Y19" s="978"/>
      <c r="Z19" s="978"/>
      <c r="AA19" s="978"/>
      <c r="AB19" s="978"/>
      <c r="AC19" s="978"/>
      <c r="AD19" s="978"/>
      <c r="AE19" s="978"/>
      <c r="AF19" s="978"/>
      <c r="AG19" s="978"/>
      <c r="AH19" s="62"/>
      <c r="AI19" s="62"/>
      <c r="AJ19" s="62"/>
      <c r="AK19" s="62"/>
      <c r="AL19" s="62"/>
      <c r="AM19" s="62"/>
      <c r="AN19" s="62"/>
      <c r="AO19" s="62"/>
      <c r="AP19" s="62"/>
      <c r="AQ19" s="62"/>
      <c r="AR19" s="62"/>
      <c r="AS19" s="62"/>
      <c r="AT19" s="62"/>
      <c r="AU19" s="62"/>
      <c r="AV19" s="62"/>
      <c r="AW19" s="62"/>
      <c r="AX19" s="62"/>
      <c r="AY19" s="62"/>
      <c r="AZ19" s="62"/>
      <c r="BA19" s="62"/>
      <c r="BB19" s="62"/>
      <c r="BC19" s="62"/>
      <c r="BD19" s="62"/>
      <c r="BE19" s="62"/>
      <c r="BF19" s="62"/>
      <c r="BG19" s="62"/>
      <c r="BH19" s="62"/>
      <c r="BI19" s="62"/>
      <c r="BJ19" s="62"/>
      <c r="BK19" s="62"/>
      <c r="BL19" s="1"/>
      <c r="BM19" s="69"/>
    </row>
    <row r="20" spans="1:65" ht="15" customHeight="1">
      <c r="A20" s="984"/>
      <c r="B20" s="62"/>
      <c r="C20" s="62"/>
      <c r="D20" s="62"/>
      <c r="E20" s="62"/>
      <c r="F20" s="978"/>
      <c r="G20" s="978"/>
      <c r="H20" s="978"/>
      <c r="I20" s="978"/>
      <c r="J20" s="978"/>
      <c r="K20" s="978"/>
      <c r="L20" s="978"/>
      <c r="M20" s="978"/>
      <c r="N20" s="978"/>
      <c r="O20" s="978"/>
      <c r="P20" s="978"/>
      <c r="Q20" s="978"/>
      <c r="R20" s="978"/>
      <c r="S20" s="978"/>
      <c r="T20" s="978"/>
      <c r="U20" s="978"/>
      <c r="V20" s="978"/>
      <c r="W20" s="978"/>
      <c r="X20" s="978"/>
      <c r="Y20" s="978"/>
      <c r="Z20" s="978"/>
      <c r="AA20" s="978"/>
      <c r="AB20" s="978"/>
      <c r="AC20" s="978"/>
      <c r="AD20" s="978"/>
      <c r="AE20" s="978"/>
      <c r="AF20" s="978"/>
      <c r="AG20" s="978"/>
      <c r="AH20" s="62"/>
      <c r="AI20" s="62"/>
      <c r="AJ20" s="62"/>
      <c r="AK20" s="62"/>
      <c r="AL20" s="62"/>
      <c r="AM20" s="62"/>
      <c r="AN20" s="62"/>
      <c r="AO20" s="62"/>
      <c r="AP20" s="62"/>
      <c r="AQ20" s="62"/>
      <c r="AR20" s="62"/>
      <c r="AS20" s="62"/>
      <c r="AT20" s="62"/>
      <c r="AU20" s="62"/>
      <c r="AV20" s="62"/>
      <c r="AW20" s="62"/>
      <c r="AX20" s="62"/>
      <c r="AY20" s="62"/>
      <c r="AZ20" s="62"/>
      <c r="BA20" s="62"/>
      <c r="BB20" s="62"/>
      <c r="BC20" s="62"/>
      <c r="BD20" s="62"/>
      <c r="BE20" s="62"/>
      <c r="BF20" s="62"/>
      <c r="BG20" s="62"/>
      <c r="BH20" s="62"/>
      <c r="BI20" s="62"/>
      <c r="BJ20" s="62"/>
      <c r="BK20" s="62"/>
      <c r="BL20" s="1"/>
      <c r="BM20" s="69"/>
    </row>
    <row r="21" spans="1:65" ht="15" customHeight="1">
      <c r="A21" s="984"/>
      <c r="B21" s="62"/>
      <c r="C21" s="62"/>
      <c r="D21" s="62"/>
      <c r="E21" s="62"/>
      <c r="F21" s="978"/>
      <c r="G21" s="978"/>
      <c r="H21" s="978"/>
      <c r="I21" s="978"/>
      <c r="J21" s="978"/>
      <c r="K21" s="978"/>
      <c r="L21" s="978"/>
      <c r="M21" s="978"/>
      <c r="N21" s="978"/>
      <c r="O21" s="978"/>
      <c r="P21" s="978"/>
      <c r="Q21" s="978"/>
      <c r="R21" s="978"/>
      <c r="S21" s="978"/>
      <c r="T21" s="978"/>
      <c r="U21" s="978"/>
      <c r="V21" s="978"/>
      <c r="W21" s="978"/>
      <c r="X21" s="978"/>
      <c r="Y21" s="978"/>
      <c r="Z21" s="978"/>
      <c r="AA21" s="978"/>
      <c r="AB21" s="978"/>
      <c r="AC21" s="978"/>
      <c r="AD21" s="978"/>
      <c r="AE21" s="978"/>
      <c r="AF21" s="978"/>
      <c r="AG21" s="978"/>
      <c r="AH21" s="62"/>
      <c r="AI21" s="62"/>
      <c r="AJ21" s="62"/>
      <c r="AK21" s="62"/>
      <c r="AL21" s="62"/>
      <c r="AM21" s="62"/>
      <c r="AN21" s="62"/>
      <c r="AO21" s="62"/>
      <c r="AP21" s="62"/>
      <c r="AQ21" s="62"/>
      <c r="AR21" s="62"/>
      <c r="AS21" s="62"/>
      <c r="AT21" s="62"/>
      <c r="AU21" s="62"/>
      <c r="AV21" s="62"/>
      <c r="AW21" s="62"/>
      <c r="AX21" s="62"/>
      <c r="AY21" s="62"/>
      <c r="AZ21" s="62"/>
      <c r="BA21" s="62"/>
      <c r="BB21" s="62"/>
      <c r="BC21" s="62"/>
      <c r="BD21" s="62"/>
      <c r="BE21" s="62"/>
      <c r="BF21" s="62"/>
      <c r="BG21" s="62"/>
      <c r="BH21" s="62"/>
      <c r="BI21" s="62"/>
      <c r="BJ21" s="62"/>
      <c r="BK21" s="62"/>
      <c r="BL21" s="1"/>
      <c r="BM21" s="69"/>
    </row>
    <row r="22" spans="1:65" ht="15" customHeight="1">
      <c r="A22" s="984"/>
      <c r="B22" s="62"/>
      <c r="C22" s="62"/>
      <c r="D22" s="62"/>
      <c r="E22" s="62"/>
      <c r="F22" s="978"/>
      <c r="G22" s="978"/>
      <c r="H22" s="978"/>
      <c r="I22" s="978"/>
      <c r="J22" s="978"/>
      <c r="K22" s="978"/>
      <c r="L22" s="978"/>
      <c r="M22" s="978"/>
      <c r="N22" s="978"/>
      <c r="O22" s="978"/>
      <c r="P22" s="978"/>
      <c r="Q22" s="978"/>
      <c r="R22" s="978"/>
      <c r="S22" s="978"/>
      <c r="T22" s="978"/>
      <c r="U22" s="978"/>
      <c r="V22" s="978"/>
      <c r="W22" s="978"/>
      <c r="X22" s="978"/>
      <c r="Y22" s="978"/>
      <c r="Z22" s="978"/>
      <c r="AA22" s="978"/>
      <c r="AB22" s="978"/>
      <c r="AC22" s="978"/>
      <c r="AD22" s="978"/>
      <c r="AE22" s="978"/>
      <c r="AF22" s="978"/>
      <c r="AG22" s="978"/>
      <c r="AH22" s="62"/>
      <c r="AI22" s="62"/>
      <c r="AJ22" s="62"/>
      <c r="AK22" s="62"/>
      <c r="AL22" s="62"/>
      <c r="AM22" s="62"/>
      <c r="AN22" s="62"/>
      <c r="AO22" s="62"/>
      <c r="AP22" s="62"/>
      <c r="AQ22" s="62"/>
      <c r="AR22" s="62"/>
      <c r="AS22" s="62"/>
      <c r="AT22" s="62"/>
      <c r="AU22" s="62"/>
      <c r="AV22" s="62"/>
      <c r="AW22" s="62"/>
      <c r="AX22" s="62"/>
      <c r="AY22" s="62"/>
      <c r="AZ22" s="62"/>
      <c r="BA22" s="62"/>
      <c r="BB22" s="62"/>
      <c r="BC22" s="62"/>
      <c r="BD22" s="62"/>
      <c r="BE22" s="62"/>
      <c r="BF22" s="62"/>
      <c r="BG22" s="62"/>
      <c r="BH22" s="62"/>
      <c r="BI22" s="62"/>
      <c r="BJ22" s="62"/>
      <c r="BK22" s="62"/>
      <c r="BL22" s="1"/>
      <c r="BM22" s="69"/>
    </row>
    <row r="23" spans="1:65" ht="15" customHeight="1">
      <c r="A23" s="984"/>
      <c r="B23" s="62"/>
      <c r="C23" s="62"/>
      <c r="D23" s="62"/>
      <c r="E23" s="62"/>
      <c r="F23" s="978"/>
      <c r="G23" s="978"/>
      <c r="H23" s="978"/>
      <c r="I23" s="978"/>
      <c r="J23" s="978"/>
      <c r="K23" s="978"/>
      <c r="L23" s="978"/>
      <c r="M23" s="978"/>
      <c r="N23" s="978"/>
      <c r="O23" s="978"/>
      <c r="P23" s="978"/>
      <c r="Q23" s="978"/>
      <c r="R23" s="978"/>
      <c r="S23" s="978"/>
      <c r="T23" s="978"/>
      <c r="U23" s="978"/>
      <c r="V23" s="978"/>
      <c r="W23" s="978"/>
      <c r="X23" s="978"/>
      <c r="Y23" s="978"/>
      <c r="Z23" s="978"/>
      <c r="AA23" s="978"/>
      <c r="AB23" s="978"/>
      <c r="AC23" s="978"/>
      <c r="AD23" s="978"/>
      <c r="AE23" s="978"/>
      <c r="AF23" s="978"/>
      <c r="AG23" s="978"/>
      <c r="AH23" s="62"/>
      <c r="AI23" s="62"/>
      <c r="AJ23" s="62"/>
      <c r="AK23" s="62"/>
      <c r="AL23" s="62"/>
      <c r="AM23" s="62"/>
      <c r="AN23" s="62"/>
      <c r="AO23" s="62"/>
      <c r="AP23" s="62"/>
      <c r="AQ23" s="62"/>
      <c r="AR23" s="62"/>
      <c r="AS23" s="62"/>
      <c r="AT23" s="62"/>
      <c r="AU23" s="62"/>
      <c r="AV23" s="62"/>
      <c r="AW23" s="62"/>
      <c r="AX23" s="62"/>
      <c r="AY23" s="62"/>
      <c r="AZ23" s="62"/>
      <c r="BA23" s="62"/>
      <c r="BB23" s="62"/>
      <c r="BC23" s="62"/>
      <c r="BD23" s="62"/>
      <c r="BE23" s="62"/>
      <c r="BF23" s="62"/>
      <c r="BG23" s="62"/>
      <c r="BH23" s="62"/>
      <c r="BI23" s="62"/>
      <c r="BJ23" s="62"/>
      <c r="BK23" s="62"/>
      <c r="BL23" s="1"/>
      <c r="BM23" s="69"/>
    </row>
    <row r="24" spans="1:65" ht="15" customHeight="1">
      <c r="A24" s="984"/>
      <c r="B24" s="62"/>
      <c r="C24" s="62"/>
      <c r="D24" s="62"/>
      <c r="E24" s="62"/>
      <c r="F24" s="978"/>
      <c r="G24" s="978"/>
      <c r="H24" s="978"/>
      <c r="I24" s="978"/>
      <c r="J24" s="978"/>
      <c r="K24" s="978"/>
      <c r="L24" s="978"/>
      <c r="M24" s="978"/>
      <c r="N24" s="978"/>
      <c r="O24" s="978"/>
      <c r="P24" s="978"/>
      <c r="Q24" s="978"/>
      <c r="R24" s="978"/>
      <c r="S24" s="978"/>
      <c r="T24" s="978"/>
      <c r="U24" s="978"/>
      <c r="V24" s="978"/>
      <c r="W24" s="978"/>
      <c r="X24" s="978"/>
      <c r="Y24" s="978"/>
      <c r="Z24" s="978"/>
      <c r="AA24" s="978"/>
      <c r="AB24" s="978"/>
      <c r="AC24" s="978"/>
      <c r="AD24" s="978"/>
      <c r="AE24" s="978"/>
      <c r="AF24" s="978"/>
      <c r="AG24" s="978"/>
      <c r="AH24" s="62"/>
      <c r="AI24" s="62"/>
      <c r="AJ24" s="62"/>
      <c r="AK24" s="62"/>
      <c r="AL24" s="62"/>
      <c r="AM24" s="62"/>
      <c r="AN24" s="62"/>
      <c r="AO24" s="62"/>
      <c r="AP24" s="62"/>
      <c r="AQ24" s="62"/>
      <c r="AR24" s="62"/>
      <c r="AS24" s="62"/>
      <c r="AT24" s="62"/>
      <c r="AU24" s="62"/>
      <c r="AV24" s="62"/>
      <c r="AW24" s="62"/>
      <c r="AX24" s="62"/>
      <c r="AY24" s="62"/>
      <c r="AZ24" s="62"/>
      <c r="BA24" s="62"/>
      <c r="BB24" s="62"/>
      <c r="BC24" s="62"/>
      <c r="BD24" s="62"/>
      <c r="BE24" s="62"/>
      <c r="BF24" s="62"/>
      <c r="BG24" s="62"/>
      <c r="BH24" s="62"/>
      <c r="BI24" s="62"/>
      <c r="BJ24" s="62"/>
      <c r="BK24" s="62"/>
      <c r="BL24" s="1"/>
      <c r="BM24" s="69"/>
    </row>
    <row r="25" spans="1:65" ht="15" customHeight="1">
      <c r="A25" s="984"/>
      <c r="B25" s="62"/>
      <c r="C25" s="62"/>
      <c r="D25" s="62"/>
      <c r="E25" s="62"/>
      <c r="F25" s="978"/>
      <c r="G25" s="978"/>
      <c r="H25" s="978"/>
      <c r="I25" s="978"/>
      <c r="J25" s="978"/>
      <c r="K25" s="978"/>
      <c r="L25" s="978"/>
      <c r="M25" s="978"/>
      <c r="N25" s="978"/>
      <c r="O25" s="978"/>
      <c r="P25" s="978"/>
      <c r="Q25" s="978"/>
      <c r="R25" s="978"/>
      <c r="S25" s="978"/>
      <c r="T25" s="978"/>
      <c r="U25" s="978"/>
      <c r="V25" s="978"/>
      <c r="W25" s="978"/>
      <c r="X25" s="978"/>
      <c r="Y25" s="978"/>
      <c r="Z25" s="978"/>
      <c r="AA25" s="978"/>
      <c r="AB25" s="978"/>
      <c r="AC25" s="978"/>
      <c r="AD25" s="978"/>
      <c r="AE25" s="978"/>
      <c r="AF25" s="978"/>
      <c r="AG25" s="978"/>
      <c r="AH25" s="62"/>
      <c r="AI25" s="62"/>
      <c r="AJ25" s="62"/>
      <c r="AK25" s="62"/>
      <c r="AL25" s="62"/>
      <c r="AM25" s="62"/>
      <c r="AN25" s="62"/>
      <c r="AO25" s="62"/>
      <c r="AP25" s="62"/>
      <c r="AQ25" s="62"/>
      <c r="AR25" s="62"/>
      <c r="AS25" s="62"/>
      <c r="AT25" s="62"/>
      <c r="AU25" s="62"/>
      <c r="AV25" s="62"/>
      <c r="AW25" s="62"/>
      <c r="AX25" s="62"/>
      <c r="AY25" s="62"/>
      <c r="AZ25" s="62"/>
      <c r="BA25" s="62"/>
      <c r="BB25" s="62"/>
      <c r="BC25" s="62"/>
      <c r="BD25" s="62"/>
      <c r="BE25" s="62"/>
      <c r="BF25" s="62"/>
      <c r="BG25" s="62"/>
      <c r="BH25" s="62"/>
      <c r="BI25" s="62"/>
      <c r="BJ25" s="62"/>
      <c r="BK25" s="62"/>
      <c r="BL25" s="1"/>
      <c r="BM25" s="69"/>
    </row>
    <row r="26" spans="1:65" ht="15" customHeight="1">
      <c r="A26" s="984"/>
      <c r="B26" s="62"/>
      <c r="C26" s="62"/>
      <c r="D26" s="62"/>
      <c r="E26" s="62"/>
      <c r="F26" s="978"/>
      <c r="G26" s="978"/>
      <c r="H26" s="978"/>
      <c r="I26" s="978"/>
      <c r="J26" s="978"/>
      <c r="K26" s="978"/>
      <c r="L26" s="978"/>
      <c r="M26" s="978"/>
      <c r="N26" s="978"/>
      <c r="O26" s="978"/>
      <c r="P26" s="978"/>
      <c r="Q26" s="978"/>
      <c r="R26" s="978"/>
      <c r="S26" s="978"/>
      <c r="T26" s="978"/>
      <c r="U26" s="978"/>
      <c r="V26" s="978"/>
      <c r="W26" s="978"/>
      <c r="X26" s="978"/>
      <c r="Y26" s="978"/>
      <c r="Z26" s="978"/>
      <c r="AA26" s="978"/>
      <c r="AB26" s="978"/>
      <c r="AC26" s="978"/>
      <c r="AD26" s="978"/>
      <c r="AE26" s="978"/>
      <c r="AF26" s="978"/>
      <c r="AG26" s="978"/>
      <c r="AH26" s="62"/>
      <c r="AI26" s="62"/>
      <c r="AJ26" s="62"/>
      <c r="AK26" s="62"/>
      <c r="AL26" s="62"/>
      <c r="AM26" s="62"/>
      <c r="AN26" s="62"/>
      <c r="AO26" s="62"/>
      <c r="AP26" s="62"/>
      <c r="AQ26" s="62"/>
      <c r="AR26" s="62"/>
      <c r="AS26" s="62"/>
      <c r="AT26" s="62"/>
      <c r="AU26" s="62"/>
      <c r="AV26" s="62"/>
      <c r="AW26" s="62"/>
      <c r="AX26" s="62"/>
      <c r="AY26" s="62"/>
      <c r="AZ26" s="62"/>
      <c r="BA26" s="62"/>
      <c r="BB26" s="62"/>
      <c r="BC26" s="62"/>
      <c r="BD26" s="62"/>
      <c r="BE26" s="62"/>
      <c r="BF26" s="62"/>
      <c r="BG26" s="62"/>
      <c r="BH26" s="62"/>
      <c r="BI26" s="62"/>
      <c r="BJ26" s="62"/>
      <c r="BK26" s="62"/>
      <c r="BL26" s="1"/>
      <c r="BM26" s="69"/>
    </row>
    <row r="27" spans="1:65" ht="15" customHeight="1">
      <c r="A27" s="984"/>
      <c r="B27" s="62"/>
      <c r="C27" s="62"/>
      <c r="D27" s="62"/>
      <c r="E27" s="62"/>
      <c r="F27" s="978"/>
      <c r="G27" s="978"/>
      <c r="H27" s="978"/>
      <c r="I27" s="978"/>
      <c r="J27" s="978"/>
      <c r="K27" s="978"/>
      <c r="L27" s="978"/>
      <c r="M27" s="978"/>
      <c r="N27" s="978"/>
      <c r="O27" s="978"/>
      <c r="P27" s="978"/>
      <c r="Q27" s="978"/>
      <c r="R27" s="978"/>
      <c r="S27" s="978"/>
      <c r="T27" s="978"/>
      <c r="U27" s="978"/>
      <c r="V27" s="978"/>
      <c r="W27" s="978"/>
      <c r="X27" s="978"/>
      <c r="Y27" s="978"/>
      <c r="Z27" s="978"/>
      <c r="AA27" s="978"/>
      <c r="AB27" s="978"/>
      <c r="AC27" s="978"/>
      <c r="AD27" s="978"/>
      <c r="AE27" s="978"/>
      <c r="AF27" s="978"/>
      <c r="AG27" s="978"/>
      <c r="AH27" s="62"/>
      <c r="AI27" s="62"/>
      <c r="AJ27" s="62"/>
      <c r="AK27" s="62"/>
      <c r="AL27" s="62"/>
      <c r="AM27" s="62"/>
      <c r="AN27" s="62"/>
      <c r="AO27" s="62"/>
      <c r="AP27" s="62"/>
      <c r="AQ27" s="62"/>
      <c r="AR27" s="62"/>
      <c r="AS27" s="62"/>
      <c r="AT27" s="62"/>
      <c r="AU27" s="62"/>
      <c r="AV27" s="62"/>
      <c r="AW27" s="62"/>
      <c r="AX27" s="62"/>
      <c r="AY27" s="62"/>
      <c r="AZ27" s="62"/>
      <c r="BA27" s="62"/>
      <c r="BB27" s="62"/>
      <c r="BC27" s="62"/>
      <c r="BD27" s="62"/>
      <c r="BE27" s="62"/>
      <c r="BF27" s="62"/>
      <c r="BG27" s="62"/>
      <c r="BH27" s="62"/>
      <c r="BI27" s="62"/>
      <c r="BJ27" s="62"/>
      <c r="BK27" s="62"/>
      <c r="BL27" s="1"/>
      <c r="BM27" s="69"/>
    </row>
    <row r="28" spans="1:65" ht="15" customHeight="1">
      <c r="A28" s="984"/>
      <c r="B28" s="62"/>
      <c r="C28" s="62"/>
      <c r="D28" s="62"/>
      <c r="E28" s="62"/>
      <c r="F28" s="978"/>
      <c r="G28" s="978"/>
      <c r="H28" s="978"/>
      <c r="I28" s="978"/>
      <c r="J28" s="978"/>
      <c r="K28" s="978"/>
      <c r="L28" s="978"/>
      <c r="M28" s="978"/>
      <c r="N28" s="978"/>
      <c r="O28" s="978"/>
      <c r="P28" s="978"/>
      <c r="Q28" s="978"/>
      <c r="R28" s="978"/>
      <c r="S28" s="978"/>
      <c r="T28" s="978"/>
      <c r="U28" s="978"/>
      <c r="V28" s="978"/>
      <c r="W28" s="978"/>
      <c r="X28" s="978"/>
      <c r="Y28" s="978"/>
      <c r="Z28" s="978"/>
      <c r="AA28" s="978"/>
      <c r="AB28" s="978"/>
      <c r="AC28" s="978"/>
      <c r="AD28" s="978"/>
      <c r="AE28" s="978"/>
      <c r="AF28" s="978"/>
      <c r="AG28" s="978"/>
      <c r="AH28" s="62"/>
      <c r="AI28" s="62"/>
      <c r="AJ28" s="62"/>
      <c r="AK28" s="62"/>
      <c r="AL28" s="62"/>
      <c r="AM28" s="62"/>
      <c r="AN28" s="62"/>
      <c r="AO28" s="62"/>
      <c r="AP28" s="62"/>
      <c r="AQ28" s="62"/>
      <c r="AR28" s="62"/>
      <c r="AS28" s="62"/>
      <c r="AT28" s="62"/>
      <c r="AU28" s="62"/>
      <c r="AV28" s="62"/>
      <c r="AW28" s="62"/>
      <c r="AX28" s="62"/>
      <c r="AY28" s="62"/>
      <c r="AZ28" s="62"/>
      <c r="BA28" s="62"/>
      <c r="BB28" s="62"/>
      <c r="BC28" s="62"/>
      <c r="BD28" s="62"/>
      <c r="BE28" s="62"/>
      <c r="BF28" s="62"/>
      <c r="BG28" s="62"/>
      <c r="BH28" s="62"/>
      <c r="BI28" s="62"/>
      <c r="BJ28" s="62"/>
      <c r="BK28" s="62"/>
      <c r="BL28" s="1"/>
      <c r="BM28" s="69"/>
    </row>
    <row r="29" spans="1:65" ht="15" customHeight="1">
      <c r="A29" s="984"/>
      <c r="B29" s="62"/>
      <c r="C29" s="62"/>
      <c r="D29" s="62"/>
      <c r="E29" s="62"/>
      <c r="F29" s="978"/>
      <c r="G29" s="978"/>
      <c r="H29" s="978"/>
      <c r="I29" s="978"/>
      <c r="J29" s="978"/>
      <c r="K29" s="978"/>
      <c r="L29" s="978"/>
      <c r="M29" s="978"/>
      <c r="N29" s="978"/>
      <c r="O29" s="978"/>
      <c r="P29" s="978"/>
      <c r="Q29" s="978"/>
      <c r="R29" s="978"/>
      <c r="S29" s="978"/>
      <c r="T29" s="978"/>
      <c r="U29" s="978"/>
      <c r="V29" s="978"/>
      <c r="W29" s="978"/>
      <c r="X29" s="978"/>
      <c r="Y29" s="978"/>
      <c r="Z29" s="978"/>
      <c r="AA29" s="978"/>
      <c r="AB29" s="978"/>
      <c r="AC29" s="978"/>
      <c r="AD29" s="978"/>
      <c r="AE29" s="978"/>
      <c r="AF29" s="978"/>
      <c r="AG29" s="978"/>
      <c r="AH29" s="62"/>
      <c r="AI29" s="62"/>
      <c r="AJ29" s="62"/>
      <c r="AK29" s="62"/>
      <c r="AL29" s="62"/>
      <c r="AM29" s="62"/>
      <c r="AN29" s="62"/>
      <c r="AO29" s="62"/>
      <c r="AP29" s="62"/>
      <c r="AQ29" s="62"/>
      <c r="AR29" s="62"/>
      <c r="AS29" s="62"/>
      <c r="AT29" s="62"/>
      <c r="AU29" s="62"/>
      <c r="AV29" s="62"/>
      <c r="AW29" s="62"/>
      <c r="AX29" s="62"/>
      <c r="AY29" s="62"/>
      <c r="AZ29" s="62"/>
      <c r="BA29" s="62"/>
      <c r="BB29" s="62"/>
      <c r="BC29" s="62"/>
      <c r="BD29" s="62"/>
      <c r="BE29" s="62"/>
      <c r="BF29" s="62"/>
      <c r="BG29" s="62"/>
      <c r="BH29" s="62"/>
      <c r="BI29" s="62"/>
      <c r="BJ29" s="62"/>
      <c r="BK29" s="62"/>
      <c r="BL29" s="1"/>
      <c r="BM29" s="69"/>
    </row>
    <row r="30" spans="1:65" ht="15" customHeight="1">
      <c r="A30" s="984"/>
      <c r="B30" s="62"/>
      <c r="C30" s="62"/>
      <c r="D30" s="62"/>
      <c r="E30" s="62"/>
      <c r="F30" s="978"/>
      <c r="G30" s="978"/>
      <c r="H30" s="978"/>
      <c r="I30" s="978"/>
      <c r="J30" s="978"/>
      <c r="K30" s="978"/>
      <c r="L30" s="978"/>
      <c r="M30" s="978"/>
      <c r="N30" s="978"/>
      <c r="O30" s="978"/>
      <c r="P30" s="978"/>
      <c r="Q30" s="978"/>
      <c r="R30" s="978"/>
      <c r="S30" s="978"/>
      <c r="T30" s="978"/>
      <c r="U30" s="978"/>
      <c r="V30" s="978"/>
      <c r="W30" s="978"/>
      <c r="X30" s="978"/>
      <c r="Y30" s="978"/>
      <c r="Z30" s="978"/>
      <c r="AA30" s="978"/>
      <c r="AB30" s="978"/>
      <c r="AC30" s="978"/>
      <c r="AD30" s="978"/>
      <c r="AE30" s="978"/>
      <c r="AF30" s="978"/>
      <c r="AG30" s="978"/>
      <c r="AH30" s="62"/>
      <c r="AI30" s="62"/>
      <c r="AJ30" s="62"/>
      <c r="AK30" s="62"/>
      <c r="AL30" s="62"/>
      <c r="AM30" s="62"/>
      <c r="AN30" s="62"/>
      <c r="AO30" s="62"/>
      <c r="AP30" s="62"/>
      <c r="AQ30" s="62"/>
      <c r="AR30" s="62"/>
      <c r="AS30" s="62"/>
      <c r="AT30" s="62"/>
      <c r="AU30" s="62"/>
      <c r="AV30" s="62"/>
      <c r="AW30" s="62"/>
      <c r="AX30" s="62"/>
      <c r="AY30" s="62"/>
      <c r="AZ30" s="62"/>
      <c r="BA30" s="62"/>
      <c r="BB30" s="62"/>
      <c r="BC30" s="62"/>
      <c r="BD30" s="62"/>
      <c r="BE30" s="62"/>
      <c r="BF30" s="62"/>
      <c r="BG30" s="62"/>
      <c r="BH30" s="62"/>
      <c r="BI30" s="62"/>
      <c r="BJ30" s="62"/>
      <c r="BK30" s="62"/>
      <c r="BL30" s="1"/>
      <c r="BM30" s="69"/>
    </row>
    <row r="31" spans="1:65" ht="15" customHeight="1">
      <c r="A31" s="984"/>
      <c r="B31" s="62"/>
      <c r="C31" s="62"/>
      <c r="D31" s="62"/>
      <c r="E31" s="62"/>
      <c r="F31" s="978"/>
      <c r="G31" s="978"/>
      <c r="H31" s="978"/>
      <c r="I31" s="978"/>
      <c r="J31" s="978"/>
      <c r="K31" s="978"/>
      <c r="L31" s="978"/>
      <c r="M31" s="978"/>
      <c r="N31" s="978"/>
      <c r="O31" s="978"/>
      <c r="P31" s="978"/>
      <c r="Q31" s="978"/>
      <c r="R31" s="978"/>
      <c r="S31" s="978"/>
      <c r="T31" s="978"/>
      <c r="U31" s="978"/>
      <c r="V31" s="978"/>
      <c r="W31" s="978"/>
      <c r="X31" s="978"/>
      <c r="Y31" s="978"/>
      <c r="Z31" s="978"/>
      <c r="AA31" s="978"/>
      <c r="AB31" s="978"/>
      <c r="AC31" s="978"/>
      <c r="AD31" s="978"/>
      <c r="AE31" s="978"/>
      <c r="AF31" s="978"/>
      <c r="AG31" s="978"/>
      <c r="AH31" s="62"/>
      <c r="AI31" s="62"/>
      <c r="AJ31" s="62"/>
      <c r="AK31" s="62"/>
      <c r="AL31" s="62"/>
      <c r="AM31" s="62"/>
      <c r="AN31" s="62"/>
      <c r="AO31" s="62"/>
      <c r="AP31" s="62"/>
      <c r="AQ31" s="62"/>
      <c r="AR31" s="62"/>
      <c r="AS31" s="62"/>
      <c r="AT31" s="62"/>
      <c r="AU31" s="62"/>
      <c r="AV31" s="62"/>
      <c r="AW31" s="62"/>
      <c r="AX31" s="62"/>
      <c r="AY31" s="62"/>
      <c r="AZ31" s="62"/>
      <c r="BA31" s="62"/>
      <c r="BB31" s="62"/>
      <c r="BC31" s="62"/>
      <c r="BD31" s="62"/>
      <c r="BE31" s="62"/>
      <c r="BF31" s="62"/>
      <c r="BG31" s="62"/>
      <c r="BH31" s="62"/>
      <c r="BI31" s="62"/>
      <c r="BJ31" s="62"/>
      <c r="BK31" s="62"/>
      <c r="BL31" s="1"/>
      <c r="BM31" s="69"/>
    </row>
    <row r="32" spans="1:65" ht="15" customHeight="1">
      <c r="A32" s="984"/>
      <c r="B32" s="62"/>
      <c r="C32" s="62"/>
      <c r="D32" s="62"/>
      <c r="E32" s="62"/>
      <c r="F32" s="978"/>
      <c r="G32" s="978"/>
      <c r="H32" s="978"/>
      <c r="I32" s="978"/>
      <c r="J32" s="978"/>
      <c r="K32" s="978"/>
      <c r="L32" s="978"/>
      <c r="M32" s="978"/>
      <c r="N32" s="978"/>
      <c r="O32" s="978"/>
      <c r="P32" s="978"/>
      <c r="Q32" s="978"/>
      <c r="R32" s="978"/>
      <c r="S32" s="978"/>
      <c r="T32" s="978"/>
      <c r="U32" s="978"/>
      <c r="V32" s="978"/>
      <c r="W32" s="978"/>
      <c r="X32" s="978"/>
      <c r="Y32" s="978"/>
      <c r="Z32" s="978"/>
      <c r="AA32" s="978"/>
      <c r="AB32" s="978"/>
      <c r="AC32" s="978"/>
      <c r="AD32" s="978"/>
      <c r="AE32" s="978"/>
      <c r="AF32" s="978"/>
      <c r="AG32" s="978"/>
      <c r="AH32" s="62"/>
      <c r="AI32" s="62"/>
      <c r="AJ32" s="62"/>
      <c r="AK32" s="62"/>
      <c r="AL32" s="62"/>
      <c r="AM32" s="62"/>
      <c r="AN32" s="62"/>
      <c r="AO32" s="62"/>
      <c r="AP32" s="62"/>
      <c r="AQ32" s="62"/>
      <c r="AR32" s="62"/>
      <c r="AS32" s="62"/>
      <c r="AT32" s="62"/>
      <c r="AU32" s="62"/>
      <c r="AV32" s="62"/>
      <c r="AW32" s="62"/>
      <c r="AX32" s="62"/>
      <c r="AY32" s="62"/>
      <c r="AZ32" s="62"/>
      <c r="BA32" s="62"/>
      <c r="BB32" s="62"/>
      <c r="BC32" s="62"/>
      <c r="BD32" s="62"/>
      <c r="BE32" s="62"/>
      <c r="BF32" s="62"/>
      <c r="BG32" s="62"/>
      <c r="BH32" s="62"/>
      <c r="BI32" s="62"/>
      <c r="BJ32" s="62"/>
      <c r="BK32" s="62"/>
      <c r="BL32" s="1"/>
      <c r="BM32" s="69"/>
    </row>
    <row r="33" spans="1:66" ht="15" customHeight="1">
      <c r="A33" s="984"/>
      <c r="B33" s="62"/>
      <c r="C33" s="62"/>
      <c r="D33" s="62"/>
      <c r="E33" s="62"/>
      <c r="F33" s="978"/>
      <c r="G33" s="978"/>
      <c r="H33" s="978"/>
      <c r="I33" s="978"/>
      <c r="J33" s="978"/>
      <c r="K33" s="978"/>
      <c r="L33" s="978"/>
      <c r="M33" s="978"/>
      <c r="N33" s="978"/>
      <c r="O33" s="978"/>
      <c r="P33" s="978"/>
      <c r="Q33" s="978"/>
      <c r="R33" s="978"/>
      <c r="S33" s="978"/>
      <c r="T33" s="978"/>
      <c r="U33" s="978"/>
      <c r="V33" s="978"/>
      <c r="W33" s="978"/>
      <c r="X33" s="978"/>
      <c r="Y33" s="978"/>
      <c r="Z33" s="978"/>
      <c r="AA33" s="978"/>
      <c r="AB33" s="978"/>
      <c r="AC33" s="978"/>
      <c r="AD33" s="978"/>
      <c r="AE33" s="978"/>
      <c r="AF33" s="978"/>
      <c r="AG33" s="978"/>
      <c r="AH33" s="62"/>
      <c r="AI33" s="62"/>
      <c r="AJ33" s="62"/>
      <c r="AK33" s="62"/>
      <c r="AL33" s="62"/>
      <c r="AM33" s="62"/>
      <c r="AN33" s="62"/>
      <c r="AO33" s="62"/>
      <c r="AP33" s="62"/>
      <c r="AQ33" s="62"/>
      <c r="AR33" s="62"/>
      <c r="AS33" s="62"/>
      <c r="AT33" s="62"/>
      <c r="AU33" s="62"/>
      <c r="AV33" s="62"/>
      <c r="AW33" s="62"/>
      <c r="AX33" s="62"/>
      <c r="AY33" s="62"/>
      <c r="AZ33" s="62"/>
      <c r="BA33" s="62"/>
      <c r="BB33" s="62"/>
      <c r="BC33" s="62"/>
      <c r="BD33" s="62"/>
      <c r="BE33" s="62"/>
      <c r="BF33" s="62"/>
      <c r="BG33" s="62"/>
      <c r="BH33" s="62"/>
      <c r="BI33" s="62"/>
      <c r="BJ33" s="62"/>
      <c r="BK33" s="62"/>
      <c r="BL33" s="1"/>
      <c r="BM33" s="69"/>
    </row>
    <row r="34" spans="1:66" ht="15" customHeight="1">
      <c r="A34" s="984"/>
      <c r="B34" s="62"/>
      <c r="C34" s="62"/>
      <c r="D34" s="62"/>
      <c r="E34" s="62"/>
      <c r="F34" s="978"/>
      <c r="G34" s="978"/>
      <c r="H34" s="978"/>
      <c r="I34" s="978"/>
      <c r="J34" s="978"/>
      <c r="K34" s="978"/>
      <c r="L34" s="978"/>
      <c r="M34" s="978"/>
      <c r="N34" s="978"/>
      <c r="O34" s="978"/>
      <c r="P34" s="978"/>
      <c r="Q34" s="978"/>
      <c r="R34" s="978"/>
      <c r="S34" s="978"/>
      <c r="T34" s="978"/>
      <c r="U34" s="978"/>
      <c r="V34" s="978"/>
      <c r="W34" s="978"/>
      <c r="X34" s="978"/>
      <c r="Y34" s="978"/>
      <c r="Z34" s="978"/>
      <c r="AA34" s="978"/>
      <c r="AB34" s="978"/>
      <c r="AC34" s="978"/>
      <c r="AD34" s="978"/>
      <c r="AE34" s="978"/>
      <c r="AF34" s="978"/>
      <c r="AG34" s="978"/>
      <c r="AH34" s="62"/>
      <c r="AI34" s="62"/>
      <c r="AJ34" s="62"/>
      <c r="AK34" s="62"/>
      <c r="AL34" s="62"/>
      <c r="AM34" s="62"/>
      <c r="AN34" s="62"/>
      <c r="AO34" s="62"/>
      <c r="AP34" s="62"/>
      <c r="AQ34" s="62"/>
      <c r="AR34" s="62"/>
      <c r="AS34" s="62"/>
      <c r="AT34" s="62"/>
      <c r="AU34" s="62"/>
      <c r="AV34" s="62"/>
      <c r="AW34" s="62"/>
      <c r="AX34" s="62"/>
      <c r="AY34" s="62"/>
      <c r="AZ34" s="62"/>
      <c r="BA34" s="62"/>
      <c r="BB34" s="62"/>
      <c r="BC34" s="62"/>
      <c r="BD34" s="62"/>
      <c r="BE34" s="62"/>
      <c r="BF34" s="62"/>
      <c r="BG34" s="62"/>
      <c r="BH34" s="62"/>
      <c r="BI34" s="62"/>
      <c r="BJ34" s="62"/>
      <c r="BK34" s="62"/>
      <c r="BL34" s="1"/>
      <c r="BM34" s="69"/>
    </row>
    <row r="35" spans="1:66" ht="15" customHeight="1">
      <c r="A35" s="984"/>
      <c r="B35" s="62"/>
      <c r="C35" s="62"/>
      <c r="D35" s="62"/>
      <c r="E35" s="62"/>
      <c r="F35" s="978"/>
      <c r="G35" s="978"/>
      <c r="H35" s="978"/>
      <c r="I35" s="978"/>
      <c r="J35" s="978"/>
      <c r="K35" s="978"/>
      <c r="L35" s="978"/>
      <c r="M35" s="978"/>
      <c r="N35" s="978"/>
      <c r="O35" s="978"/>
      <c r="P35" s="978"/>
      <c r="Q35" s="978"/>
      <c r="R35" s="978"/>
      <c r="S35" s="978"/>
      <c r="T35" s="978"/>
      <c r="U35" s="978"/>
      <c r="V35" s="978"/>
      <c r="W35" s="978"/>
      <c r="X35" s="978"/>
      <c r="Y35" s="978"/>
      <c r="Z35" s="978"/>
      <c r="AA35" s="978"/>
      <c r="AB35" s="978"/>
      <c r="AC35" s="978"/>
      <c r="AD35" s="978"/>
      <c r="AE35" s="978"/>
      <c r="AF35" s="978"/>
      <c r="AG35" s="978"/>
      <c r="AH35" s="62"/>
      <c r="AI35" s="62"/>
      <c r="AJ35" s="62"/>
      <c r="AK35" s="62"/>
      <c r="AL35" s="62"/>
      <c r="AM35" s="62"/>
      <c r="AN35" s="62"/>
      <c r="AO35" s="62"/>
      <c r="AP35" s="62"/>
      <c r="AQ35" s="62"/>
      <c r="AR35" s="62"/>
      <c r="AS35" s="62"/>
      <c r="AT35" s="62"/>
      <c r="AU35" s="62"/>
      <c r="AV35" s="62"/>
      <c r="AW35" s="62"/>
      <c r="AX35" s="62"/>
      <c r="AY35" s="62"/>
      <c r="AZ35" s="62"/>
      <c r="BA35" s="62"/>
      <c r="BB35" s="62"/>
      <c r="BC35" s="62"/>
      <c r="BD35" s="62"/>
      <c r="BE35" s="62"/>
      <c r="BF35" s="62"/>
      <c r="BG35" s="62"/>
      <c r="BH35" s="62"/>
      <c r="BI35" s="62"/>
      <c r="BJ35" s="62"/>
      <c r="BK35" s="62"/>
      <c r="BL35" s="1"/>
      <c r="BM35" s="69"/>
    </row>
    <row r="36" spans="1:66" ht="15" customHeight="1">
      <c r="A36" s="984"/>
      <c r="B36" s="62"/>
      <c r="C36" s="62"/>
      <c r="D36" s="62"/>
      <c r="E36" s="62"/>
      <c r="F36" s="978"/>
      <c r="G36" s="978"/>
      <c r="H36" s="978"/>
      <c r="I36" s="978"/>
      <c r="J36" s="978"/>
      <c r="K36" s="978"/>
      <c r="L36" s="978"/>
      <c r="M36" s="978"/>
      <c r="N36" s="978"/>
      <c r="O36" s="978"/>
      <c r="P36" s="978"/>
      <c r="Q36" s="978"/>
      <c r="R36" s="978"/>
      <c r="S36" s="978"/>
      <c r="T36" s="978"/>
      <c r="U36" s="978"/>
      <c r="V36" s="978"/>
      <c r="W36" s="978"/>
      <c r="X36" s="978"/>
      <c r="Y36" s="978"/>
      <c r="Z36" s="978"/>
      <c r="AA36" s="978"/>
      <c r="AB36" s="978"/>
      <c r="AC36" s="978"/>
      <c r="AD36" s="978"/>
      <c r="AE36" s="978"/>
      <c r="AF36" s="978"/>
      <c r="AG36" s="978"/>
      <c r="AH36" s="62"/>
      <c r="AI36" s="62"/>
      <c r="AJ36" s="62"/>
      <c r="AK36" s="62"/>
      <c r="AL36" s="62"/>
      <c r="AM36" s="62"/>
      <c r="AN36" s="62"/>
      <c r="AO36" s="62"/>
      <c r="AP36" s="62"/>
      <c r="AQ36" s="62"/>
      <c r="AR36" s="62"/>
      <c r="AS36" s="62"/>
      <c r="AT36" s="62"/>
      <c r="AU36" s="62"/>
      <c r="AV36" s="62"/>
      <c r="AW36" s="62"/>
      <c r="AX36" s="62"/>
      <c r="AY36" s="62"/>
      <c r="AZ36" s="62"/>
      <c r="BA36" s="62"/>
      <c r="BB36" s="62"/>
      <c r="BC36" s="62"/>
      <c r="BD36" s="62"/>
      <c r="BE36" s="62"/>
      <c r="BF36" s="62"/>
      <c r="BG36" s="62"/>
      <c r="BH36" s="62"/>
      <c r="BI36" s="62"/>
      <c r="BJ36" s="62"/>
      <c r="BK36" s="62"/>
      <c r="BL36" s="1"/>
      <c r="BM36" s="69"/>
    </row>
    <row r="37" spans="1:66" ht="15" customHeight="1" thickBot="1">
      <c r="A37" s="985"/>
      <c r="B37" s="986"/>
      <c r="C37" s="986"/>
      <c r="D37" s="986"/>
      <c r="E37" s="986"/>
      <c r="F37" s="987"/>
      <c r="G37" s="987"/>
      <c r="H37" s="987"/>
      <c r="I37" s="987"/>
      <c r="J37" s="987"/>
      <c r="K37" s="987"/>
      <c r="L37" s="987"/>
      <c r="M37" s="987"/>
      <c r="N37" s="987"/>
      <c r="O37" s="987"/>
      <c r="P37" s="987"/>
      <c r="Q37" s="987"/>
      <c r="R37" s="987"/>
      <c r="S37" s="987"/>
      <c r="T37" s="987"/>
      <c r="U37" s="987"/>
      <c r="V37" s="987"/>
      <c r="W37" s="987"/>
      <c r="X37" s="987"/>
      <c r="Y37" s="987"/>
      <c r="Z37" s="987"/>
      <c r="AA37" s="987"/>
      <c r="AB37" s="987"/>
      <c r="AC37" s="987"/>
      <c r="AD37" s="987"/>
      <c r="AE37" s="987"/>
      <c r="AF37" s="987"/>
      <c r="AG37" s="987"/>
      <c r="AH37" s="986"/>
      <c r="AI37" s="986"/>
      <c r="AJ37" s="986"/>
      <c r="AK37" s="986"/>
      <c r="AL37" s="986"/>
      <c r="AM37" s="986"/>
      <c r="AN37" s="986"/>
      <c r="AO37" s="986"/>
      <c r="AP37" s="986"/>
      <c r="AQ37" s="986"/>
      <c r="AR37" s="986"/>
      <c r="AS37" s="986"/>
      <c r="AT37" s="986"/>
      <c r="AU37" s="986"/>
      <c r="AV37" s="986"/>
      <c r="AW37" s="986"/>
      <c r="AX37" s="986"/>
      <c r="AY37" s="986"/>
      <c r="AZ37" s="986"/>
      <c r="BA37" s="986"/>
      <c r="BB37" s="986"/>
      <c r="BC37" s="986"/>
      <c r="BD37" s="986"/>
      <c r="BE37" s="986"/>
      <c r="BF37" s="986"/>
      <c r="BG37" s="986"/>
      <c r="BH37" s="986"/>
      <c r="BI37" s="986"/>
      <c r="BJ37" s="986"/>
      <c r="BK37" s="986"/>
      <c r="BL37" s="70"/>
      <c r="BM37" s="71"/>
    </row>
    <row r="38" spans="1:66" ht="13.5" thickBot="1">
      <c r="A38" s="62"/>
      <c r="B38" s="986"/>
      <c r="C38" s="986"/>
      <c r="D38" s="986"/>
      <c r="E38" s="986"/>
      <c r="F38" s="987"/>
      <c r="G38" s="987"/>
      <c r="H38" s="987"/>
      <c r="I38" s="987"/>
      <c r="J38" s="987"/>
      <c r="K38" s="987"/>
      <c r="L38" s="987"/>
      <c r="M38" s="987"/>
      <c r="N38" s="987"/>
      <c r="O38" s="987"/>
      <c r="P38" s="987"/>
      <c r="Q38" s="987"/>
      <c r="R38" s="987"/>
      <c r="S38" s="987"/>
      <c r="T38" s="987"/>
      <c r="U38" s="987"/>
      <c r="V38" s="987"/>
      <c r="W38" s="987"/>
      <c r="X38" s="987"/>
      <c r="Y38" s="987"/>
      <c r="Z38" s="987"/>
      <c r="AA38" s="987"/>
      <c r="AB38" s="987"/>
      <c r="AC38" s="987"/>
      <c r="AD38" s="987"/>
      <c r="AE38" s="987"/>
      <c r="AF38" s="987"/>
      <c r="AG38" s="987"/>
      <c r="AH38" s="986"/>
      <c r="AI38" s="986"/>
      <c r="AJ38" s="986"/>
      <c r="AK38" s="986"/>
      <c r="AL38" s="986"/>
      <c r="AM38" s="986"/>
      <c r="AN38" s="986"/>
      <c r="AO38" s="986"/>
      <c r="AP38" s="986"/>
      <c r="AQ38" s="986"/>
      <c r="AR38" s="986"/>
      <c r="AS38" s="986"/>
      <c r="AT38" s="986"/>
      <c r="AU38" s="986"/>
      <c r="AV38" s="986"/>
      <c r="AW38" s="986"/>
      <c r="AX38" s="986"/>
      <c r="AY38" s="986"/>
      <c r="AZ38" s="986"/>
      <c r="BA38" s="986"/>
      <c r="BB38" s="986"/>
      <c r="BC38" s="986"/>
      <c r="BD38" s="62"/>
      <c r="BE38" s="62"/>
      <c r="BF38" s="62"/>
      <c r="BG38" s="62"/>
      <c r="BH38" s="62"/>
      <c r="BI38" s="62"/>
      <c r="BJ38" s="62"/>
      <c r="BK38" s="62"/>
      <c r="BL38" s="1"/>
      <c r="BM38" s="988"/>
    </row>
    <row r="39" spans="1:66" ht="15.75" thickBot="1">
      <c r="A39" s="1495" t="s">
        <v>196</v>
      </c>
      <c r="B39" s="62"/>
      <c r="C39" s="62"/>
      <c r="D39" s="62"/>
      <c r="E39" s="62"/>
      <c r="F39" s="978"/>
      <c r="G39" s="978"/>
      <c r="H39" s="978"/>
      <c r="I39" s="978"/>
      <c r="J39" s="978"/>
      <c r="K39" s="978"/>
      <c r="L39" s="978"/>
      <c r="M39" s="978"/>
      <c r="N39" s="978"/>
      <c r="O39" s="978"/>
      <c r="P39" s="978"/>
      <c r="Q39" s="978"/>
      <c r="R39" s="978"/>
      <c r="S39" s="978"/>
      <c r="T39" s="978"/>
      <c r="U39" s="978"/>
      <c r="V39" s="978"/>
      <c r="W39" s="978"/>
      <c r="X39" s="978"/>
      <c r="Y39" s="978"/>
      <c r="Z39" s="978"/>
      <c r="AA39" s="978"/>
      <c r="AB39" s="978"/>
      <c r="AC39" s="978"/>
      <c r="AD39" s="978"/>
      <c r="AE39" s="978"/>
      <c r="AF39" s="978"/>
      <c r="AG39" s="978"/>
      <c r="AH39" s="62"/>
      <c r="AI39" s="62"/>
      <c r="AJ39" s="62"/>
      <c r="AK39" s="62"/>
      <c r="AL39" s="62"/>
      <c r="AM39" s="62"/>
      <c r="AN39" s="62"/>
      <c r="AO39" s="62"/>
      <c r="AP39" s="62"/>
      <c r="AQ39" s="62"/>
      <c r="AR39" s="62"/>
      <c r="AS39" s="62"/>
      <c r="AT39" s="62"/>
      <c r="AU39" s="62"/>
      <c r="AV39" s="62"/>
      <c r="AW39" s="62"/>
      <c r="AX39" s="62"/>
      <c r="AY39" s="62"/>
      <c r="AZ39" s="62"/>
      <c r="BA39" s="62"/>
      <c r="BB39" s="62"/>
      <c r="BC39" s="62"/>
      <c r="BD39" s="989"/>
      <c r="BE39" s="982"/>
      <c r="BF39" s="1295" t="s">
        <v>197</v>
      </c>
      <c r="BG39" s="1295"/>
      <c r="BH39" s="1295"/>
      <c r="BI39" s="1295"/>
      <c r="BJ39" s="1295"/>
      <c r="BK39" s="1295"/>
      <c r="BL39" s="1295"/>
      <c r="BM39" s="1296"/>
    </row>
    <row r="40" spans="1:66" ht="15">
      <c r="A40" s="72"/>
      <c r="B40" s="1496" t="s">
        <v>187</v>
      </c>
      <c r="C40" s="1497"/>
      <c r="D40" s="1497"/>
      <c r="E40" s="1497"/>
      <c r="F40" s="1497"/>
      <c r="G40" s="1497"/>
      <c r="H40" s="1497"/>
      <c r="I40" s="1497"/>
      <c r="J40" s="1497"/>
      <c r="K40" s="1497"/>
      <c r="L40" s="1497"/>
      <c r="M40" s="1497"/>
      <c r="N40" s="1497"/>
      <c r="O40" s="1497"/>
      <c r="P40" s="1497"/>
      <c r="Q40" s="1497"/>
      <c r="R40" s="1497"/>
      <c r="S40" s="1497"/>
      <c r="T40" s="1497"/>
      <c r="U40" s="1497"/>
      <c r="V40" s="1497"/>
      <c r="W40" s="1497"/>
      <c r="X40" s="1497"/>
      <c r="Y40" s="1497"/>
      <c r="Z40" s="1497"/>
      <c r="AA40" s="1497"/>
      <c r="AB40" s="1497"/>
      <c r="AC40" s="1497"/>
      <c r="AD40" s="1497"/>
      <c r="AE40" s="1497"/>
      <c r="AF40" s="1497"/>
      <c r="AG40" s="1497"/>
      <c r="AH40" s="1497"/>
      <c r="AI40" s="1497"/>
      <c r="AJ40" s="1497"/>
      <c r="AK40" s="1497"/>
      <c r="AL40" s="1497"/>
      <c r="AM40" s="1497"/>
      <c r="AN40" s="1497"/>
      <c r="AO40" s="1497"/>
      <c r="AP40" s="1497"/>
      <c r="AQ40" s="1497"/>
      <c r="AR40" s="1497"/>
      <c r="AS40" s="1497"/>
      <c r="AT40" s="1497"/>
      <c r="AU40" s="1497"/>
      <c r="AV40" s="1497"/>
      <c r="AW40" s="1497"/>
      <c r="AX40" s="1497"/>
      <c r="AY40" s="1497"/>
      <c r="AZ40" s="1497"/>
      <c r="BA40" s="1497"/>
      <c r="BB40" s="1497"/>
      <c r="BC40" s="1497"/>
      <c r="BD40" s="990"/>
      <c r="BE40" s="991"/>
      <c r="BF40" s="1226" t="s">
        <v>198</v>
      </c>
      <c r="BG40" s="1226"/>
      <c r="BH40" s="1226"/>
      <c r="BI40" s="1226"/>
      <c r="BJ40" s="1226"/>
      <c r="BK40" s="1226"/>
      <c r="BL40" s="1226"/>
      <c r="BM40" s="1297"/>
    </row>
    <row r="41" spans="1:66" ht="15.75" thickBot="1">
      <c r="A41" s="89" t="s">
        <v>199</v>
      </c>
      <c r="B41" s="1283">
        <v>5601</v>
      </c>
      <c r="C41" s="1284"/>
      <c r="D41" s="1284"/>
      <c r="E41" s="1284"/>
      <c r="F41" s="1284"/>
      <c r="G41" s="1284"/>
      <c r="H41" s="1284"/>
      <c r="I41" s="1284"/>
      <c r="J41" s="1284"/>
      <c r="K41" s="1284"/>
      <c r="L41" s="1284"/>
      <c r="M41" s="1284"/>
      <c r="N41" s="1284"/>
      <c r="O41" s="1284"/>
      <c r="P41" s="1284"/>
      <c r="Q41" s="1284"/>
      <c r="R41" s="1284"/>
      <c r="S41" s="1284"/>
      <c r="T41" s="1284"/>
      <c r="U41" s="1284"/>
      <c r="V41" s="1284"/>
      <c r="W41" s="1284"/>
      <c r="X41" s="1284"/>
      <c r="Y41" s="1284"/>
      <c r="Z41" s="1284"/>
      <c r="AA41" s="1284"/>
      <c r="AB41" s="1284"/>
      <c r="AC41" s="1284"/>
      <c r="AD41" s="1284"/>
      <c r="AE41" s="1284"/>
      <c r="AF41" s="1284"/>
      <c r="AG41" s="1284"/>
      <c r="AH41" s="1284"/>
      <c r="AI41" s="1284"/>
      <c r="AJ41" s="1284"/>
      <c r="AK41" s="1284"/>
      <c r="AL41" s="1284"/>
      <c r="AM41" s="1284"/>
      <c r="AN41" s="1284"/>
      <c r="AO41" s="1284"/>
      <c r="AP41" s="1284"/>
      <c r="AQ41" s="1284"/>
      <c r="AR41" s="1284"/>
      <c r="AS41" s="1284"/>
      <c r="AT41" s="1284"/>
      <c r="AU41" s="1284"/>
      <c r="AV41" s="1284"/>
      <c r="AW41" s="1284"/>
      <c r="AX41" s="1284"/>
      <c r="AY41" s="1284"/>
      <c r="AZ41" s="1284"/>
      <c r="BA41" s="1284"/>
      <c r="BB41" s="1284"/>
      <c r="BC41" s="1284"/>
      <c r="BD41" s="992"/>
      <c r="BE41" s="993"/>
      <c r="BF41" s="1285" t="s">
        <v>200</v>
      </c>
      <c r="BG41" s="1285"/>
      <c r="BH41" s="1285"/>
      <c r="BI41" s="1285"/>
      <c r="BJ41" s="1285"/>
      <c r="BK41" s="1285"/>
      <c r="BL41" s="1285"/>
      <c r="BM41" s="1286"/>
    </row>
    <row r="42" spans="1:66" ht="13.5" thickBot="1">
      <c r="A42" s="305" t="s">
        <v>201</v>
      </c>
      <c r="B42" s="1287">
        <v>49</v>
      </c>
      <c r="C42" s="1288"/>
      <c r="D42" s="1288"/>
      <c r="E42" s="1288"/>
      <c r="F42" s="995"/>
      <c r="G42" s="995"/>
      <c r="H42" s="996"/>
      <c r="I42" s="995"/>
      <c r="J42" s="995"/>
      <c r="K42" s="995"/>
      <c r="L42" s="997"/>
      <c r="M42" s="1287">
        <v>60</v>
      </c>
      <c r="N42" s="1288"/>
      <c r="O42" s="1288"/>
      <c r="P42" s="1288"/>
      <c r="Q42" s="995"/>
      <c r="R42" s="995"/>
      <c r="S42" s="995"/>
      <c r="T42" s="995"/>
      <c r="U42" s="995"/>
      <c r="V42" s="995"/>
      <c r="W42" s="1287">
        <v>70</v>
      </c>
      <c r="X42" s="1288"/>
      <c r="Y42" s="1288"/>
      <c r="Z42" s="1288"/>
      <c r="AA42" s="995"/>
      <c r="AB42" s="995"/>
      <c r="AC42" s="995"/>
      <c r="AD42" s="995"/>
      <c r="AE42" s="995"/>
      <c r="AF42" s="995"/>
      <c r="AG42" s="1287">
        <v>80</v>
      </c>
      <c r="AH42" s="1288"/>
      <c r="AI42" s="1288"/>
      <c r="AJ42" s="1288"/>
      <c r="AK42" s="994"/>
      <c r="AL42" s="994"/>
      <c r="AM42" s="994"/>
      <c r="AN42" s="994"/>
      <c r="AO42" s="994"/>
      <c r="AP42" s="994"/>
      <c r="AQ42" s="1287">
        <v>90</v>
      </c>
      <c r="AR42" s="1288"/>
      <c r="AS42" s="1288"/>
      <c r="AT42" s="1288"/>
      <c r="AU42" s="994"/>
      <c r="AV42" s="994"/>
      <c r="AW42" s="994"/>
      <c r="AX42" s="1287">
        <v>100</v>
      </c>
      <c r="AY42" s="1288"/>
      <c r="AZ42" s="1288"/>
      <c r="BA42" s="1287">
        <v>103</v>
      </c>
      <c r="BB42" s="1288"/>
      <c r="BC42" s="1288"/>
      <c r="BD42" s="1289" t="s">
        <v>230</v>
      </c>
      <c r="BE42" s="1290"/>
      <c r="BF42" s="1289" t="s">
        <v>172</v>
      </c>
      <c r="BG42" s="1290"/>
      <c r="BH42" s="1291" t="s">
        <v>176</v>
      </c>
      <c r="BI42" s="1290"/>
      <c r="BJ42" s="1291" t="s">
        <v>170</v>
      </c>
      <c r="BK42" s="1292"/>
      <c r="BL42" s="1291" t="s">
        <v>234</v>
      </c>
      <c r="BM42" s="1292"/>
    </row>
    <row r="43" spans="1:66">
      <c r="A43" s="306"/>
      <c r="B43" s="998"/>
      <c r="C43" s="999"/>
      <c r="D43" s="999"/>
      <c r="E43" s="999"/>
      <c r="F43" s="511">
        <v>49</v>
      </c>
      <c r="G43" s="511"/>
      <c r="H43" s="512"/>
      <c r="I43" s="511"/>
      <c r="J43" s="511"/>
      <c r="K43" s="511"/>
      <c r="L43" s="511"/>
      <c r="M43" s="513"/>
      <c r="N43" s="514"/>
      <c r="O43" s="514"/>
      <c r="P43" s="514"/>
      <c r="Q43" s="514"/>
      <c r="R43" s="515"/>
      <c r="S43" s="514"/>
      <c r="T43" s="514"/>
      <c r="U43" s="514"/>
      <c r="V43" s="514"/>
      <c r="W43" s="513"/>
      <c r="X43" s="514"/>
      <c r="Y43" s="514"/>
      <c r="Z43" s="514"/>
      <c r="AA43" s="514"/>
      <c r="AB43" s="515"/>
      <c r="AC43" s="514"/>
      <c r="AD43" s="514"/>
      <c r="AE43" s="514"/>
      <c r="AF43" s="514"/>
      <c r="AG43" s="513"/>
      <c r="AH43" s="514">
        <v>55</v>
      </c>
      <c r="AI43" s="514">
        <v>60</v>
      </c>
      <c r="AJ43" s="514">
        <v>65</v>
      </c>
      <c r="AK43" s="514"/>
      <c r="AL43" s="515"/>
      <c r="AM43" s="514"/>
      <c r="AN43" s="514"/>
      <c r="AO43" s="514"/>
      <c r="AP43" s="514"/>
      <c r="AQ43" s="513"/>
      <c r="AR43" s="514"/>
      <c r="AS43" s="514"/>
      <c r="AT43" s="514"/>
      <c r="AU43" s="514"/>
      <c r="AV43" s="515"/>
      <c r="AW43" s="514"/>
      <c r="AX43" s="514">
        <v>70</v>
      </c>
      <c r="AY43" s="514">
        <v>75</v>
      </c>
      <c r="AZ43" s="514">
        <v>80</v>
      </c>
      <c r="BA43" s="513"/>
      <c r="BB43" s="514"/>
      <c r="BC43" s="514"/>
      <c r="BD43" s="1000" t="s">
        <v>202</v>
      </c>
      <c r="BE43" s="1001" t="s">
        <v>135</v>
      </c>
      <c r="BF43" s="1000" t="s">
        <v>202</v>
      </c>
      <c r="BG43" s="1001" t="s">
        <v>135</v>
      </c>
      <c r="BH43" s="1002" t="s">
        <v>202</v>
      </c>
      <c r="BI43" s="1001" t="s">
        <v>135</v>
      </c>
      <c r="BJ43" s="1002" t="s">
        <v>202</v>
      </c>
      <c r="BK43" s="1001" t="s">
        <v>135</v>
      </c>
      <c r="BL43" s="1002" t="s">
        <v>202</v>
      </c>
      <c r="BM43" s="1003" t="s">
        <v>135</v>
      </c>
    </row>
    <row r="44" spans="1:66" ht="9.9499999999999993" customHeight="1">
      <c r="A44" s="1277" t="s">
        <v>203</v>
      </c>
      <c r="B44" s="1004"/>
      <c r="C44" s="541" t="s">
        <v>170</v>
      </c>
      <c r="D44" s="1005"/>
      <c r="E44" s="1005"/>
      <c r="H44" s="1006"/>
      <c r="M44" s="10"/>
      <c r="R44" s="1006"/>
      <c r="W44" s="10"/>
      <c r="AB44" s="1006"/>
      <c r="AG44" s="10"/>
      <c r="AL44" s="1006"/>
      <c r="AQ44" s="10"/>
      <c r="AV44" s="1006"/>
      <c r="BA44" s="10"/>
      <c r="BC44" s="1007" t="s">
        <v>172</v>
      </c>
      <c r="BD44" s="1008"/>
      <c r="BE44" s="1009"/>
      <c r="BF44" s="1010"/>
      <c r="BG44" s="1010"/>
      <c r="BH44" s="1011"/>
      <c r="BI44" s="1011"/>
      <c r="BJ44" s="1012"/>
      <c r="BK44" s="1012"/>
      <c r="BL44" s="1013"/>
      <c r="BM44" s="1014"/>
    </row>
    <row r="45" spans="1:66" ht="15" customHeight="1">
      <c r="A45" s="1276"/>
      <c r="B45" s="1015" t="s">
        <v>170</v>
      </c>
      <c r="C45" s="1016" t="s">
        <v>176</v>
      </c>
      <c r="D45" s="1016" t="s">
        <v>170</v>
      </c>
      <c r="E45" s="1016" t="s">
        <v>176</v>
      </c>
      <c r="F45" s="1016" t="s">
        <v>172</v>
      </c>
      <c r="G45" s="1016" t="s">
        <v>176</v>
      </c>
      <c r="H45" s="1017" t="s">
        <v>172</v>
      </c>
      <c r="I45" s="1016" t="s">
        <v>176</v>
      </c>
      <c r="J45" s="1016" t="s">
        <v>176</v>
      </c>
      <c r="K45" s="1016" t="s">
        <v>176</v>
      </c>
      <c r="L45" s="1016" t="s">
        <v>176</v>
      </c>
      <c r="M45" s="1018" t="s">
        <v>176</v>
      </c>
      <c r="N45" s="1016" t="s">
        <v>176</v>
      </c>
      <c r="O45" s="1016" t="s">
        <v>176</v>
      </c>
      <c r="P45" s="1016" t="s">
        <v>176</v>
      </c>
      <c r="Q45" s="1016" t="s">
        <v>176</v>
      </c>
      <c r="R45" s="1017" t="s">
        <v>176</v>
      </c>
      <c r="S45" s="1016" t="s">
        <v>176</v>
      </c>
      <c r="T45" s="1016" t="s">
        <v>176</v>
      </c>
      <c r="U45" s="1016" t="s">
        <v>170</v>
      </c>
      <c r="V45" s="1016" t="s">
        <v>170</v>
      </c>
      <c r="W45" s="1018" t="s">
        <v>170</v>
      </c>
      <c r="X45" s="1016" t="s">
        <v>170</v>
      </c>
      <c r="Y45" s="1016" t="s">
        <v>176</v>
      </c>
      <c r="Z45" s="1016" t="s">
        <v>176</v>
      </c>
      <c r="AA45" s="1016" t="s">
        <v>170</v>
      </c>
      <c r="AB45" s="1017" t="s">
        <v>170</v>
      </c>
      <c r="AC45" s="1016" t="s">
        <v>176</v>
      </c>
      <c r="AD45" s="1016" t="s">
        <v>176</v>
      </c>
      <c r="AE45" s="1016" t="s">
        <v>176</v>
      </c>
      <c r="AF45" s="1016" t="s">
        <v>170</v>
      </c>
      <c r="AG45" s="1018" t="s">
        <v>176</v>
      </c>
      <c r="AH45" s="1016" t="s">
        <v>176</v>
      </c>
      <c r="AI45" s="1016" t="s">
        <v>176</v>
      </c>
      <c r="AJ45" s="1016" t="s">
        <v>176</v>
      </c>
      <c r="AK45" s="1016" t="s">
        <v>176</v>
      </c>
      <c r="AL45" s="1017" t="s">
        <v>170</v>
      </c>
      <c r="AM45" s="1016" t="s">
        <v>170</v>
      </c>
      <c r="AN45" s="1016" t="s">
        <v>170</v>
      </c>
      <c r="AO45" s="1016" t="s">
        <v>170</v>
      </c>
      <c r="AP45" s="1016" t="s">
        <v>170</v>
      </c>
      <c r="AQ45" s="1018" t="s">
        <v>170</v>
      </c>
      <c r="AR45" s="1016" t="s">
        <v>170</v>
      </c>
      <c r="AS45" s="1016" t="s">
        <v>170</v>
      </c>
      <c r="AT45" s="1016" t="s">
        <v>170</v>
      </c>
      <c r="AU45" s="1016" t="s">
        <v>170</v>
      </c>
      <c r="AV45" s="1017" t="s">
        <v>172</v>
      </c>
      <c r="AW45" s="1016" t="s">
        <v>172</v>
      </c>
      <c r="AX45" s="1016" t="s">
        <v>176</v>
      </c>
      <c r="AY45" s="1016" t="s">
        <v>176</v>
      </c>
      <c r="AZ45" s="1016" t="s">
        <v>176</v>
      </c>
      <c r="BA45" s="1018" t="s">
        <v>172</v>
      </c>
      <c r="BB45" s="1016" t="s">
        <v>176</v>
      </c>
      <c r="BC45" s="1019" t="s">
        <v>172</v>
      </c>
      <c r="BD45" s="461">
        <f>+'ESTADO RED TEC'!K12</f>
        <v>0</v>
      </c>
      <c r="BE45" s="1020">
        <f>+BD45/+'ESTADO RED TEC'!K17</f>
        <v>0</v>
      </c>
      <c r="BF45" s="460">
        <f>+'ESTADO RED TEC'!K13</f>
        <v>5.1369999999999996</v>
      </c>
      <c r="BG45" s="1020">
        <f>+BF45/'ESTADO RED TEC'!K17</f>
        <v>9.3539458829527661E-2</v>
      </c>
      <c r="BH45" s="460">
        <f>+'ESTADO RED TEC'!K14</f>
        <v>30.86999999999999</v>
      </c>
      <c r="BI45" s="1020">
        <f>+BH45/'ESTADO RED TEC'!K17</f>
        <v>0.56211078334972131</v>
      </c>
      <c r="BJ45" s="460">
        <f>+'ESTADO RED TEC'!K15</f>
        <v>18.911000000000001</v>
      </c>
      <c r="BK45" s="1020">
        <f>+BJ45/'ESTADO RED TEC'!K17</f>
        <v>0.344349757820751</v>
      </c>
      <c r="BL45" s="460">
        <f>+'ESTADO RED TEC'!K16</f>
        <v>0</v>
      </c>
      <c r="BM45" s="1021">
        <f>+BL45/'ESTADO RED TEC'!K17</f>
        <v>0</v>
      </c>
      <c r="BN45" s="1022">
        <f>+BE45+BG45+BI45+BK45+BM45</f>
        <v>1</v>
      </c>
    </row>
    <row r="46" spans="1:66" ht="9.9499999999999993" customHeight="1">
      <c r="A46" s="1275" t="s">
        <v>207</v>
      </c>
      <c r="B46" s="1023"/>
      <c r="C46" s="1024"/>
      <c r="D46" s="1024"/>
      <c r="E46" s="1024"/>
      <c r="F46" s="1025"/>
      <c r="G46" s="1025"/>
      <c r="H46" s="1026"/>
      <c r="I46" s="1025"/>
      <c r="J46" s="1025"/>
      <c r="K46" s="1025"/>
      <c r="L46" s="1025"/>
      <c r="M46" s="1027"/>
      <c r="N46" s="1025"/>
      <c r="O46" s="1025"/>
      <c r="P46" s="1025"/>
      <c r="Q46" s="1025"/>
      <c r="R46" s="1026"/>
      <c r="S46" s="1025"/>
      <c r="T46" s="1025"/>
      <c r="U46" s="1025"/>
      <c r="V46" s="1025"/>
      <c r="W46" s="1027"/>
      <c r="X46" s="1025"/>
      <c r="Y46" s="1025"/>
      <c r="Z46" s="1025"/>
      <c r="AA46" s="1025"/>
      <c r="AB46" s="1026"/>
      <c r="AC46" s="1025"/>
      <c r="AD46" s="1025"/>
      <c r="AE46" s="1025"/>
      <c r="AF46" s="1025"/>
      <c r="AG46" s="1027"/>
      <c r="AH46" s="1025"/>
      <c r="AI46" s="1025"/>
      <c r="AJ46" s="1025"/>
      <c r="AK46" s="1025"/>
      <c r="AL46" s="1026"/>
      <c r="AM46" s="1025"/>
      <c r="AN46" s="1025"/>
      <c r="AO46" s="1025"/>
      <c r="AP46" s="1025"/>
      <c r="AQ46" s="1027"/>
      <c r="AR46" s="1025"/>
      <c r="AS46" s="1025"/>
      <c r="AT46" s="1025"/>
      <c r="AU46" s="1025"/>
      <c r="AV46" s="1026"/>
      <c r="AW46" s="1025"/>
      <c r="AX46" s="1025"/>
      <c r="AY46" s="1025"/>
      <c r="AZ46" s="1025"/>
      <c r="BA46" s="1027"/>
      <c r="BB46" s="1025"/>
      <c r="BC46" s="1025"/>
      <c r="BD46" s="1028"/>
      <c r="BE46" s="1029"/>
      <c r="BF46" s="1030"/>
      <c r="BG46" s="1030"/>
      <c r="BH46" s="1031"/>
      <c r="BI46" s="1031"/>
      <c r="BJ46" s="1032"/>
      <c r="BK46" s="1033"/>
      <c r="BL46" s="1034"/>
      <c r="BM46" s="1035"/>
      <c r="BN46" s="1022"/>
    </row>
    <row r="47" spans="1:66" ht="15" customHeight="1">
      <c r="A47" s="1276"/>
      <c r="B47" s="1278" t="s">
        <v>208</v>
      </c>
      <c r="C47" s="1279"/>
      <c r="D47" s="1279"/>
      <c r="E47" s="1279"/>
      <c r="F47" s="1279"/>
      <c r="G47" s="1279"/>
      <c r="H47" s="1279"/>
      <c r="I47" s="1279"/>
      <c r="J47" s="1279"/>
      <c r="K47" s="1279"/>
      <c r="L47" s="1279"/>
      <c r="M47" s="1279"/>
      <c r="N47" s="1279"/>
      <c r="O47" s="1279"/>
      <c r="P47" s="1279"/>
      <c r="Q47" s="1279"/>
      <c r="R47" s="1279"/>
      <c r="S47" s="1279"/>
      <c r="T47" s="1279"/>
      <c r="U47" s="1279"/>
      <c r="V47" s="1279"/>
      <c r="W47" s="1279"/>
      <c r="X47" s="1279"/>
      <c r="Y47" s="1279"/>
      <c r="Z47" s="1279"/>
      <c r="AA47" s="1279"/>
      <c r="AB47" s="1279"/>
      <c r="AC47" s="1279"/>
      <c r="AD47" s="1279"/>
      <c r="AE47" s="1279"/>
      <c r="AF47" s="1279"/>
      <c r="AG47" s="1279"/>
      <c r="AH47" s="1279"/>
      <c r="AI47" s="1279"/>
      <c r="AJ47" s="1279"/>
      <c r="AK47" s="1279"/>
      <c r="AL47" s="1279"/>
      <c r="AM47" s="1279"/>
      <c r="AN47" s="1279"/>
      <c r="AO47" s="1279"/>
      <c r="AP47" s="1279"/>
      <c r="AQ47" s="1279"/>
      <c r="AR47" s="1279"/>
      <c r="AS47" s="1279"/>
      <c r="AT47" s="1279"/>
      <c r="AU47" s="1279"/>
      <c r="AV47" s="1279"/>
      <c r="AW47" s="1279"/>
      <c r="AX47" s="1279"/>
      <c r="AY47" s="1279"/>
      <c r="AZ47" s="1279"/>
      <c r="BA47" s="1279"/>
      <c r="BB47" s="1279"/>
      <c r="BC47" s="1280"/>
      <c r="BD47" s="461">
        <f>(COUNTIF($B$47:$BC$47,"MB"))</f>
        <v>0</v>
      </c>
      <c r="BE47" s="1020">
        <f>+BD47/8</f>
        <v>0</v>
      </c>
      <c r="BF47" s="460">
        <f>(COUNTIF($B$47:$BC$47,"B"))</f>
        <v>0</v>
      </c>
      <c r="BG47" s="1020">
        <f>+BF47/54</f>
        <v>0</v>
      </c>
      <c r="BH47" s="460">
        <f>(COUNTIF($B$47:$BC$47,"R"))</f>
        <v>0</v>
      </c>
      <c r="BI47" s="1020">
        <f>+BH47/54</f>
        <v>0</v>
      </c>
      <c r="BJ47" s="460">
        <f>(COUNTIF($B$47:$BC$47,"M"))</f>
        <v>0</v>
      </c>
      <c r="BK47" s="1020">
        <f>+BJ47/54</f>
        <v>0</v>
      </c>
      <c r="BL47" s="460">
        <f>(COUNTIF($B$47:$BC$47,"MM"))</f>
        <v>0</v>
      </c>
      <c r="BM47" s="1021">
        <f>+BL47/54</f>
        <v>0</v>
      </c>
      <c r="BN47" s="1022">
        <f t="shared" ref="BN47:BN61" si="0">+BE47+BG47+BI47+BK47+BM47</f>
        <v>0</v>
      </c>
    </row>
    <row r="48" spans="1:66" ht="9.9499999999999993" customHeight="1">
      <c r="A48" s="1275" t="s">
        <v>209</v>
      </c>
      <c r="B48" s="1023"/>
      <c r="C48" s="1024"/>
      <c r="D48" s="1024"/>
      <c r="E48" s="1024"/>
      <c r="H48" s="1006"/>
      <c r="M48" s="10"/>
      <c r="R48" s="1006"/>
      <c r="W48" s="10"/>
      <c r="AB48" s="1006"/>
      <c r="AG48" s="10"/>
      <c r="AL48" s="1006"/>
      <c r="AQ48" s="10"/>
      <c r="AV48" s="1006"/>
      <c r="BA48" s="10"/>
      <c r="BD48" s="1036"/>
      <c r="BE48" s="1029"/>
      <c r="BF48" s="1030"/>
      <c r="BG48" s="1030"/>
      <c r="BH48" s="1037"/>
      <c r="BI48" s="1037"/>
      <c r="BJ48" s="1032"/>
      <c r="BK48" s="1033"/>
      <c r="BL48" s="1034"/>
      <c r="BM48" s="1035"/>
      <c r="BN48" s="1022"/>
    </row>
    <row r="49" spans="1:66" ht="15" customHeight="1">
      <c r="A49" s="1276"/>
      <c r="B49" s="1038"/>
      <c r="C49" s="1039"/>
      <c r="D49" s="1039"/>
      <c r="E49" s="1039"/>
      <c r="F49" s="1039"/>
      <c r="G49" s="1039"/>
      <c r="H49" s="1040"/>
      <c r="I49" s="1039"/>
      <c r="J49" s="1039" t="s">
        <v>172</v>
      </c>
      <c r="K49" s="1039"/>
      <c r="L49" s="1039"/>
      <c r="M49" s="1041"/>
      <c r="N49" s="1039" t="s">
        <v>172</v>
      </c>
      <c r="O49" s="1039"/>
      <c r="P49" s="1039"/>
      <c r="Q49" s="1039"/>
      <c r="R49" s="1040"/>
      <c r="S49" s="1039"/>
      <c r="T49" s="1039"/>
      <c r="U49" s="1039" t="s">
        <v>172</v>
      </c>
      <c r="V49" s="1039"/>
      <c r="W49" s="1041"/>
      <c r="X49" s="1039"/>
      <c r="Y49" s="1039" t="s">
        <v>172</v>
      </c>
      <c r="Z49" s="1039"/>
      <c r="AA49" s="1039"/>
      <c r="AB49" s="1040"/>
      <c r="AC49" s="1039"/>
      <c r="AD49" s="1039"/>
      <c r="AE49" s="1039"/>
      <c r="AF49" s="1039"/>
      <c r="AG49" s="1041"/>
      <c r="AH49" s="1039"/>
      <c r="AI49" s="1039" t="s">
        <v>172</v>
      </c>
      <c r="AJ49" s="1039" t="s">
        <v>170</v>
      </c>
      <c r="AK49" s="1039"/>
      <c r="AL49" s="1040"/>
      <c r="AM49" s="1039" t="s">
        <v>172</v>
      </c>
      <c r="AN49" s="1039"/>
      <c r="AO49" s="1039"/>
      <c r="AP49" s="1039"/>
      <c r="AQ49" s="1041"/>
      <c r="AR49" s="1039"/>
      <c r="AS49" s="1039"/>
      <c r="AT49" s="1039" t="s">
        <v>172</v>
      </c>
      <c r="AU49" s="1039"/>
      <c r="AV49" s="1040"/>
      <c r="AW49" s="1039"/>
      <c r="AX49" s="1039"/>
      <c r="AY49" s="1039"/>
      <c r="AZ49" s="1039"/>
      <c r="BA49" s="1041"/>
      <c r="BB49" s="1039"/>
      <c r="BC49" s="1042"/>
      <c r="BD49" s="461">
        <f>(COUNTIF($B$49:$BC$49,"MB"))</f>
        <v>0</v>
      </c>
      <c r="BE49" s="1020">
        <f>+BD49/8</f>
        <v>0</v>
      </c>
      <c r="BF49" s="460">
        <f>(COUNTIF($B$49:$BC$49,"B"))</f>
        <v>7</v>
      </c>
      <c r="BG49" s="1020">
        <f>+BF49/8</f>
        <v>0.875</v>
      </c>
      <c r="BH49" s="460">
        <f>(COUNTIF($B$49:$BC$49,"R"))</f>
        <v>0</v>
      </c>
      <c r="BI49" s="1020">
        <f>+BH49/8</f>
        <v>0</v>
      </c>
      <c r="BJ49" s="460">
        <f>(COUNTIF($B$49:$BC$49,"M"))</f>
        <v>1</v>
      </c>
      <c r="BK49" s="1020">
        <f>+BJ49/8</f>
        <v>0.125</v>
      </c>
      <c r="BL49" s="460">
        <f>(COUNTIF($B$49:$BC$49,"MM"))</f>
        <v>0</v>
      </c>
      <c r="BM49" s="1021">
        <f>+BL49/54</f>
        <v>0</v>
      </c>
      <c r="BN49" s="1022">
        <f t="shared" si="0"/>
        <v>1</v>
      </c>
    </row>
    <row r="50" spans="1:66" ht="9.9499999999999993" customHeight="1">
      <c r="A50" s="1275" t="s">
        <v>210</v>
      </c>
      <c r="B50" s="1023"/>
      <c r="C50" s="1024"/>
      <c r="D50" s="1024"/>
      <c r="E50" s="1024"/>
      <c r="F50" s="472"/>
      <c r="G50" s="541"/>
      <c r="H50" s="542"/>
      <c r="I50" s="541"/>
      <c r="J50" s="541"/>
      <c r="K50" s="541"/>
      <c r="L50" s="541"/>
      <c r="M50" s="543"/>
      <c r="N50" s="541"/>
      <c r="O50" s="541"/>
      <c r="P50" s="541"/>
      <c r="Q50" s="541"/>
      <c r="R50" s="542"/>
      <c r="S50" s="541"/>
      <c r="T50" s="541"/>
      <c r="U50" s="541"/>
      <c r="V50" s="541"/>
      <c r="W50" s="543"/>
      <c r="X50" s="541"/>
      <c r="Y50" s="541"/>
      <c r="Z50" s="541"/>
      <c r="AA50" s="541"/>
      <c r="AB50" s="542"/>
      <c r="AC50" s="541"/>
      <c r="AD50" s="541"/>
      <c r="AE50" s="541"/>
      <c r="AF50" s="541"/>
      <c r="AG50" s="543"/>
      <c r="AH50" s="472"/>
      <c r="AI50" s="472"/>
      <c r="AJ50" s="472"/>
      <c r="AK50" s="472"/>
      <c r="AL50" s="544"/>
      <c r="AM50" s="472"/>
      <c r="AN50" s="472"/>
      <c r="AO50" s="472"/>
      <c r="AP50" s="472"/>
      <c r="AQ50" s="545"/>
      <c r="AR50" s="472"/>
      <c r="AS50" s="472"/>
      <c r="AT50" s="472"/>
      <c r="AU50" s="472"/>
      <c r="AV50" s="544"/>
      <c r="AW50" s="472"/>
      <c r="AX50" s="472"/>
      <c r="AY50" s="472"/>
      <c r="AZ50" s="472"/>
      <c r="BA50" s="545"/>
      <c r="BB50" s="472"/>
      <c r="BC50" s="472"/>
      <c r="BD50" s="1028"/>
      <c r="BE50" s="1029"/>
      <c r="BF50" s="1030"/>
      <c r="BG50" s="1030"/>
      <c r="BH50" s="1037"/>
      <c r="BI50" s="1037"/>
      <c r="BJ50" s="1032"/>
      <c r="BK50" s="1033"/>
      <c r="BL50" s="1034"/>
      <c r="BM50" s="1035"/>
      <c r="BN50" s="1022"/>
    </row>
    <row r="51" spans="1:66" ht="15" customHeight="1">
      <c r="A51" s="1276"/>
      <c r="B51" s="1038" t="s">
        <v>204</v>
      </c>
      <c r="C51" s="1043" t="s">
        <v>204</v>
      </c>
      <c r="D51" s="1043" t="s">
        <v>204</v>
      </c>
      <c r="E51" s="1043" t="s">
        <v>204</v>
      </c>
      <c r="F51" s="1043" t="s">
        <v>206</v>
      </c>
      <c r="G51" s="1043" t="s">
        <v>204</v>
      </c>
      <c r="H51" s="1044" t="s">
        <v>204</v>
      </c>
      <c r="I51" s="1043" t="s">
        <v>206</v>
      </c>
      <c r="J51" s="1043" t="s">
        <v>206</v>
      </c>
      <c r="K51" s="1043" t="s">
        <v>204</v>
      </c>
      <c r="L51" s="1043" t="s">
        <v>204</v>
      </c>
      <c r="M51" s="1038" t="s">
        <v>206</v>
      </c>
      <c r="N51" s="1043" t="s">
        <v>204</v>
      </c>
      <c r="O51" s="1043" t="s">
        <v>204</v>
      </c>
      <c r="P51" s="1043" t="s">
        <v>204</v>
      </c>
      <c r="Q51" s="1043" t="s">
        <v>204</v>
      </c>
      <c r="R51" s="1044" t="s">
        <v>204</v>
      </c>
      <c r="S51" s="1043" t="s">
        <v>204</v>
      </c>
      <c r="T51" s="1043" t="s">
        <v>204</v>
      </c>
      <c r="U51" s="1043" t="s">
        <v>206</v>
      </c>
      <c r="V51" s="1043" t="s">
        <v>206</v>
      </c>
      <c r="W51" s="1038" t="s">
        <v>206</v>
      </c>
      <c r="X51" s="1043" t="s">
        <v>204</v>
      </c>
      <c r="Y51" s="1043" t="s">
        <v>204</v>
      </c>
      <c r="Z51" s="1043" t="s">
        <v>204</v>
      </c>
      <c r="AA51" s="1043" t="s">
        <v>204</v>
      </c>
      <c r="AB51" s="1044" t="s">
        <v>204</v>
      </c>
      <c r="AC51" s="1043" t="s">
        <v>204</v>
      </c>
      <c r="AD51" s="1043" t="s">
        <v>204</v>
      </c>
      <c r="AE51" s="1043" t="s">
        <v>204</v>
      </c>
      <c r="AF51" s="1043" t="s">
        <v>204</v>
      </c>
      <c r="AG51" s="1038" t="s">
        <v>204</v>
      </c>
      <c r="AH51" s="1043" t="s">
        <v>204</v>
      </c>
      <c r="AI51" s="1043" t="s">
        <v>204</v>
      </c>
      <c r="AJ51" s="1043" t="s">
        <v>204</v>
      </c>
      <c r="AK51" s="1043" t="s">
        <v>204</v>
      </c>
      <c r="AL51" s="1044" t="s">
        <v>206</v>
      </c>
      <c r="AM51" s="1043" t="s">
        <v>206</v>
      </c>
      <c r="AN51" s="1043" t="s">
        <v>206</v>
      </c>
      <c r="AO51" s="1043" t="s">
        <v>205</v>
      </c>
      <c r="AP51" s="1043" t="s">
        <v>206</v>
      </c>
      <c r="AQ51" s="1038" t="s">
        <v>206</v>
      </c>
      <c r="AR51" s="1043" t="s">
        <v>206</v>
      </c>
      <c r="AS51" s="1043" t="s">
        <v>204</v>
      </c>
      <c r="AT51" s="1043" t="s">
        <v>204</v>
      </c>
      <c r="AU51" s="1043" t="s">
        <v>206</v>
      </c>
      <c r="AV51" s="1044" t="s">
        <v>205</v>
      </c>
      <c r="AW51" s="1043" t="s">
        <v>205</v>
      </c>
      <c r="AX51" s="1043" t="s">
        <v>205</v>
      </c>
      <c r="AY51" s="1043" t="s">
        <v>205</v>
      </c>
      <c r="AZ51" s="1043" t="s">
        <v>205</v>
      </c>
      <c r="BA51" s="1038" t="s">
        <v>205</v>
      </c>
      <c r="BB51" s="1043" t="s">
        <v>205</v>
      </c>
      <c r="BC51" s="1042" t="s">
        <v>204</v>
      </c>
      <c r="BD51" s="461">
        <f>(COUNTIF($B$51:$BC$51,"MB"))</f>
        <v>0</v>
      </c>
      <c r="BE51" s="1020">
        <f>+BD51/54</f>
        <v>0</v>
      </c>
      <c r="BF51" s="460">
        <f>(COUNTIF($B$51:$BC$51,"B"))</f>
        <v>32</v>
      </c>
      <c r="BG51" s="1020">
        <f>+BF51/54</f>
        <v>0.59259259259259256</v>
      </c>
      <c r="BH51" s="460">
        <f>(COUNTIF($B$51:$BC$51,"R"))</f>
        <v>14</v>
      </c>
      <c r="BI51" s="1020">
        <f>+BH51/54</f>
        <v>0.25925925925925924</v>
      </c>
      <c r="BJ51" s="460">
        <f>(COUNTIF($B$51:$BC$51,"M"))</f>
        <v>8</v>
      </c>
      <c r="BK51" s="1020">
        <f>+BJ51/54</f>
        <v>0.14814814814814814</v>
      </c>
      <c r="BL51" s="460">
        <f>(COUNTIF($B$51:$BC$51,"MM"))</f>
        <v>0</v>
      </c>
      <c r="BM51" s="1021">
        <f>+BL51/54</f>
        <v>0</v>
      </c>
      <c r="BN51" s="1022">
        <f t="shared" si="0"/>
        <v>1</v>
      </c>
    </row>
    <row r="52" spans="1:66" ht="9.9499999999999993" customHeight="1">
      <c r="A52" s="1275" t="s">
        <v>211</v>
      </c>
      <c r="B52" s="1023"/>
      <c r="C52" s="1024"/>
      <c r="D52" s="1024"/>
      <c r="E52" s="1024"/>
      <c r="F52" s="1025"/>
      <c r="G52" s="1025"/>
      <c r="H52" s="1026"/>
      <c r="I52" s="1025"/>
      <c r="J52" s="1025"/>
      <c r="K52" s="1025"/>
      <c r="L52" s="1025"/>
      <c r="M52" s="1027"/>
      <c r="N52" s="1025"/>
      <c r="O52" s="1025"/>
      <c r="P52" s="1025"/>
      <c r="Q52" s="1025"/>
      <c r="R52" s="1026"/>
      <c r="S52" s="1025"/>
      <c r="T52" s="1025"/>
      <c r="U52" s="1025"/>
      <c r="V52" s="1025"/>
      <c r="W52" s="1027"/>
      <c r="X52" s="1025"/>
      <c r="Y52" s="1025"/>
      <c r="Z52" s="1025"/>
      <c r="AA52" s="1025"/>
      <c r="AB52" s="1026"/>
      <c r="AC52" s="1025"/>
      <c r="AD52" s="1025"/>
      <c r="AE52" s="1025"/>
      <c r="AF52" s="1025"/>
      <c r="AG52" s="1027"/>
      <c r="AH52" s="1025"/>
      <c r="AI52" s="1025"/>
      <c r="AJ52" s="1025"/>
      <c r="AK52" s="1025"/>
      <c r="AL52" s="1026"/>
      <c r="AM52" s="1025"/>
      <c r="AN52" s="1025"/>
      <c r="AO52" s="1025"/>
      <c r="AP52" s="1025"/>
      <c r="AQ52" s="1027"/>
      <c r="AR52" s="1025"/>
      <c r="AS52" s="1025"/>
      <c r="AT52" s="1025"/>
      <c r="AU52" s="1025"/>
      <c r="AV52" s="1026"/>
      <c r="AW52" s="1025"/>
      <c r="AX52" s="1025"/>
      <c r="AY52" s="1025"/>
      <c r="AZ52" s="1025"/>
      <c r="BA52" s="1027"/>
      <c r="BB52" s="1025"/>
      <c r="BC52" s="1025"/>
      <c r="BD52" s="1028"/>
      <c r="BE52" s="1029"/>
      <c r="BF52" s="1030"/>
      <c r="BG52" s="1030"/>
      <c r="BH52" s="1037"/>
      <c r="BI52" s="1037"/>
      <c r="BJ52" s="1032"/>
      <c r="BK52" s="1033"/>
      <c r="BL52" s="1034"/>
      <c r="BM52" s="1035"/>
      <c r="BN52" s="1022"/>
    </row>
    <row r="53" spans="1:66" ht="15" customHeight="1">
      <c r="A53" s="1276"/>
      <c r="B53" s="1038" t="s">
        <v>176</v>
      </c>
      <c r="C53" s="1043" t="s">
        <v>170</v>
      </c>
      <c r="D53" s="1043" t="s">
        <v>172</v>
      </c>
      <c r="E53" s="1043" t="s">
        <v>172</v>
      </c>
      <c r="F53" s="1043" t="s">
        <v>176</v>
      </c>
      <c r="G53" s="1043" t="s">
        <v>176</v>
      </c>
      <c r="H53" s="1044" t="s">
        <v>176</v>
      </c>
      <c r="I53" s="1043" t="s">
        <v>176</v>
      </c>
      <c r="J53" s="1043" t="s">
        <v>176</v>
      </c>
      <c r="K53" s="1043" t="s">
        <v>170</v>
      </c>
      <c r="L53" s="1043" t="s">
        <v>176</v>
      </c>
      <c r="M53" s="1038" t="s">
        <v>176</v>
      </c>
      <c r="N53" s="1043" t="s">
        <v>176</v>
      </c>
      <c r="O53" s="1043" t="s">
        <v>176</v>
      </c>
      <c r="P53" s="1043" t="s">
        <v>176</v>
      </c>
      <c r="Q53" s="1043" t="s">
        <v>176</v>
      </c>
      <c r="R53" s="1044" t="s">
        <v>176</v>
      </c>
      <c r="S53" s="1043" t="s">
        <v>176</v>
      </c>
      <c r="T53" s="1043" t="s">
        <v>176</v>
      </c>
      <c r="U53" s="1043" t="s">
        <v>176</v>
      </c>
      <c r="V53" s="1043" t="s">
        <v>170</v>
      </c>
      <c r="W53" s="1038" t="s">
        <v>176</v>
      </c>
      <c r="X53" s="1043" t="s">
        <v>170</v>
      </c>
      <c r="Y53" s="1043" t="s">
        <v>176</v>
      </c>
      <c r="Z53" s="1043" t="s">
        <v>176</v>
      </c>
      <c r="AA53" s="1043" t="s">
        <v>176</v>
      </c>
      <c r="AB53" s="1044" t="s">
        <v>176</v>
      </c>
      <c r="AC53" s="1043" t="s">
        <v>176</v>
      </c>
      <c r="AD53" s="1043" t="s">
        <v>176</v>
      </c>
      <c r="AE53" s="1043" t="s">
        <v>176</v>
      </c>
      <c r="AF53" s="1043" t="s">
        <v>176</v>
      </c>
      <c r="AG53" s="1038" t="s">
        <v>176</v>
      </c>
      <c r="AH53" s="1043" t="s">
        <v>176</v>
      </c>
      <c r="AI53" s="1043" t="s">
        <v>176</v>
      </c>
      <c r="AJ53" s="1043" t="s">
        <v>176</v>
      </c>
      <c r="AK53" s="1043" t="s">
        <v>176</v>
      </c>
      <c r="AL53" s="1044" t="s">
        <v>176</v>
      </c>
      <c r="AM53" s="1043" t="s">
        <v>176</v>
      </c>
      <c r="AN53" s="1043" t="s">
        <v>176</v>
      </c>
      <c r="AO53" s="1043" t="s">
        <v>176</v>
      </c>
      <c r="AP53" s="1043" t="s">
        <v>176</v>
      </c>
      <c r="AQ53" s="1038" t="s">
        <v>176</v>
      </c>
      <c r="AR53" s="1043" t="s">
        <v>176</v>
      </c>
      <c r="AS53" s="1043" t="s">
        <v>176</v>
      </c>
      <c r="AT53" s="1043" t="s">
        <v>176</v>
      </c>
      <c r="AU53" s="1043" t="s">
        <v>176</v>
      </c>
      <c r="AV53" s="1044" t="s">
        <v>176</v>
      </c>
      <c r="AW53" s="1043" t="s">
        <v>176</v>
      </c>
      <c r="AX53" s="1043" t="s">
        <v>176</v>
      </c>
      <c r="AY53" s="1043" t="s">
        <v>176</v>
      </c>
      <c r="AZ53" s="1043" t="s">
        <v>176</v>
      </c>
      <c r="BA53" s="1038" t="s">
        <v>176</v>
      </c>
      <c r="BB53" s="1043" t="s">
        <v>176</v>
      </c>
      <c r="BC53" s="1042" t="s">
        <v>176</v>
      </c>
      <c r="BD53" s="461">
        <f>(COUNTIF($B$53:$BC$53,"MB"))</f>
        <v>0</v>
      </c>
      <c r="BE53" s="1020">
        <f>+BD53/54</f>
        <v>0</v>
      </c>
      <c r="BF53" s="460">
        <f>(COUNTIF($B$53:$BC$53,"B"))</f>
        <v>2</v>
      </c>
      <c r="BG53" s="1020">
        <f>+BF53/54</f>
        <v>3.7037037037037035E-2</v>
      </c>
      <c r="BH53" s="460">
        <f>(COUNTIF($B$53:$BC$53,"R"))</f>
        <v>48</v>
      </c>
      <c r="BI53" s="1020">
        <f>+BH53/54</f>
        <v>0.88888888888888884</v>
      </c>
      <c r="BJ53" s="460">
        <f>(COUNTIF($B$53:$BC$53,"M"))</f>
        <v>4</v>
      </c>
      <c r="BK53" s="1020">
        <f>+BJ53/54</f>
        <v>7.407407407407407E-2</v>
      </c>
      <c r="BL53" s="460">
        <f>(COUNTIF($B$53:$BC$53,"MM"))</f>
        <v>0</v>
      </c>
      <c r="BM53" s="1021">
        <f>+BL53/54</f>
        <v>0</v>
      </c>
      <c r="BN53" s="1022">
        <f t="shared" si="0"/>
        <v>0.99999999999999989</v>
      </c>
    </row>
    <row r="54" spans="1:66" ht="9.9499999999999993" customHeight="1">
      <c r="A54" s="1275" t="s">
        <v>212</v>
      </c>
      <c r="B54" s="1023"/>
      <c r="C54" s="1024"/>
      <c r="D54" s="1024"/>
      <c r="E54" s="1024"/>
      <c r="F54" s="1025"/>
      <c r="G54" s="1025"/>
      <c r="H54" s="1026"/>
      <c r="I54" s="1025"/>
      <c r="J54" s="1025"/>
      <c r="K54" s="1025"/>
      <c r="L54" s="1025"/>
      <c r="M54" s="1027"/>
      <c r="N54" s="1025"/>
      <c r="O54" s="1025"/>
      <c r="P54" s="1025"/>
      <c r="Q54" s="1025"/>
      <c r="R54" s="1026"/>
      <c r="S54" s="1025"/>
      <c r="T54" s="1025"/>
      <c r="U54" s="1025"/>
      <c r="V54" s="1025"/>
      <c r="W54" s="1027"/>
      <c r="X54" s="1025"/>
      <c r="Y54" s="1025"/>
      <c r="Z54" s="1025"/>
      <c r="AA54" s="1025"/>
      <c r="AB54" s="1026"/>
      <c r="AC54" s="1025"/>
      <c r="AD54" s="1025"/>
      <c r="AE54" s="1025"/>
      <c r="AF54" s="1025"/>
      <c r="AG54" s="1027"/>
      <c r="AH54" s="1025"/>
      <c r="AI54" s="1025"/>
      <c r="AJ54" s="1025"/>
      <c r="AK54" s="1025"/>
      <c r="AL54" s="1026"/>
      <c r="AM54" s="1025"/>
      <c r="AN54" s="1025"/>
      <c r="AO54" s="1025"/>
      <c r="AP54" s="1025"/>
      <c r="AQ54" s="1027"/>
      <c r="AR54" s="1025"/>
      <c r="AS54" s="1025"/>
      <c r="AT54" s="1025"/>
      <c r="AU54" s="1025"/>
      <c r="AV54" s="1026"/>
      <c r="AW54" s="1025"/>
      <c r="AX54" s="1025"/>
      <c r="AY54" s="1025"/>
      <c r="AZ54" s="1025"/>
      <c r="BA54" s="1027"/>
      <c r="BB54" s="1025"/>
      <c r="BC54" s="1025"/>
      <c r="BD54" s="1028"/>
      <c r="BE54" s="1029"/>
      <c r="BF54" s="1030"/>
      <c r="BG54" s="1030"/>
      <c r="BH54" s="1037"/>
      <c r="BI54" s="1037"/>
      <c r="BJ54" s="1032"/>
      <c r="BK54" s="1033"/>
      <c r="BL54" s="1034"/>
      <c r="BM54" s="1035"/>
      <c r="BN54" s="1022"/>
    </row>
    <row r="55" spans="1:66" ht="15" customHeight="1">
      <c r="A55" s="1276"/>
      <c r="B55" s="1038" t="s">
        <v>170</v>
      </c>
      <c r="C55" s="1043" t="s">
        <v>170</v>
      </c>
      <c r="D55" s="1043" t="s">
        <v>170</v>
      </c>
      <c r="E55" s="1043" t="s">
        <v>176</v>
      </c>
      <c r="F55" s="1043" t="s">
        <v>176</v>
      </c>
      <c r="G55" s="1043" t="s">
        <v>176</v>
      </c>
      <c r="H55" s="1044" t="s">
        <v>176</v>
      </c>
      <c r="I55" s="1043" t="s">
        <v>176</v>
      </c>
      <c r="J55" s="1043" t="s">
        <v>176</v>
      </c>
      <c r="K55" s="1043" t="s">
        <v>176</v>
      </c>
      <c r="L55" s="1043" t="s">
        <v>176</v>
      </c>
      <c r="M55" s="1038" t="s">
        <v>176</v>
      </c>
      <c r="N55" s="1043" t="s">
        <v>176</v>
      </c>
      <c r="O55" s="1043" t="s">
        <v>176</v>
      </c>
      <c r="P55" s="1043" t="s">
        <v>176</v>
      </c>
      <c r="Q55" s="1043" t="s">
        <v>176</v>
      </c>
      <c r="R55" s="1044" t="s">
        <v>176</v>
      </c>
      <c r="S55" s="1043" t="s">
        <v>176</v>
      </c>
      <c r="T55" s="1043" t="s">
        <v>176</v>
      </c>
      <c r="U55" s="1043" t="s">
        <v>176</v>
      </c>
      <c r="V55" s="1043" t="s">
        <v>176</v>
      </c>
      <c r="W55" s="1038" t="s">
        <v>172</v>
      </c>
      <c r="X55" s="1043" t="s">
        <v>172</v>
      </c>
      <c r="Y55" s="1043" t="s">
        <v>172</v>
      </c>
      <c r="Z55" s="1043" t="s">
        <v>172</v>
      </c>
      <c r="AA55" s="1043" t="s">
        <v>172</v>
      </c>
      <c r="AB55" s="1044" t="s">
        <v>172</v>
      </c>
      <c r="AC55" s="1043" t="s">
        <v>172</v>
      </c>
      <c r="AD55" s="1043" t="s">
        <v>172</v>
      </c>
      <c r="AE55" s="1043" t="s">
        <v>172</v>
      </c>
      <c r="AF55" s="1043" t="s">
        <v>172</v>
      </c>
      <c r="AG55" s="1038" t="s">
        <v>172</v>
      </c>
      <c r="AH55" s="1043" t="s">
        <v>172</v>
      </c>
      <c r="AI55" s="1043" t="s">
        <v>172</v>
      </c>
      <c r="AJ55" s="1043" t="s">
        <v>172</v>
      </c>
      <c r="AK55" s="1043" t="s">
        <v>172</v>
      </c>
      <c r="AL55" s="1044" t="s">
        <v>205</v>
      </c>
      <c r="AM55" s="1043" t="s">
        <v>205</v>
      </c>
      <c r="AN55" s="1043" t="s">
        <v>205</v>
      </c>
      <c r="AO55" s="1043" t="s">
        <v>205</v>
      </c>
      <c r="AP55" s="1043" t="s">
        <v>205</v>
      </c>
      <c r="AQ55" s="1038" t="s">
        <v>205</v>
      </c>
      <c r="AR55" s="1043" t="s">
        <v>205</v>
      </c>
      <c r="AS55" s="1043" t="s">
        <v>205</v>
      </c>
      <c r="AT55" s="1043" t="s">
        <v>205</v>
      </c>
      <c r="AU55" s="1043" t="s">
        <v>205</v>
      </c>
      <c r="AV55" s="1044" t="s">
        <v>205</v>
      </c>
      <c r="AW55" s="1043" t="s">
        <v>205</v>
      </c>
      <c r="AX55" s="1043" t="s">
        <v>205</v>
      </c>
      <c r="AY55" s="1043" t="s">
        <v>205</v>
      </c>
      <c r="AZ55" s="1043" t="s">
        <v>205</v>
      </c>
      <c r="BA55" s="1038" t="s">
        <v>205</v>
      </c>
      <c r="BB55" s="1043" t="s">
        <v>205</v>
      </c>
      <c r="BC55" s="1042" t="s">
        <v>172</v>
      </c>
      <c r="BD55" s="461">
        <f>(COUNTIF($B$55:$BC$55,"MB"))</f>
        <v>0</v>
      </c>
      <c r="BE55" s="1020">
        <f>+BD55/54</f>
        <v>0</v>
      </c>
      <c r="BF55" s="460">
        <f>(COUNTIF($B$55:$BC$55,"B"))</f>
        <v>16</v>
      </c>
      <c r="BG55" s="1020">
        <f>+BF55/54</f>
        <v>0.29629629629629628</v>
      </c>
      <c r="BH55" s="460">
        <f>(COUNTIF($B$55:$BC$55,"R"))</f>
        <v>18</v>
      </c>
      <c r="BI55" s="1020">
        <f>+BH55/54</f>
        <v>0.33333333333333331</v>
      </c>
      <c r="BJ55" s="460">
        <f>(COUNTIF($B$55:$BC$55,"M"))</f>
        <v>20</v>
      </c>
      <c r="BK55" s="1020">
        <f>+BJ55/54</f>
        <v>0.37037037037037035</v>
      </c>
      <c r="BL55" s="460">
        <f>(COUNTIF($B$55:$BC$55,"MM"))</f>
        <v>0</v>
      </c>
      <c r="BM55" s="1021">
        <f>+BL55/54</f>
        <v>0</v>
      </c>
      <c r="BN55" s="1022">
        <f t="shared" si="0"/>
        <v>0.99999999999999989</v>
      </c>
    </row>
    <row r="56" spans="1:66" ht="9.9499999999999993" customHeight="1">
      <c r="A56" s="1275" t="s">
        <v>213</v>
      </c>
      <c r="B56" s="1045"/>
      <c r="C56" s="1046"/>
      <c r="D56" s="1046"/>
      <c r="E56" s="1046"/>
      <c r="F56" s="1047"/>
      <c r="G56" s="1047"/>
      <c r="H56" s="1048"/>
      <c r="I56" s="1047"/>
      <c r="J56" s="1047"/>
      <c r="K56" s="1047"/>
      <c r="L56" s="1047"/>
      <c r="M56" s="1049"/>
      <c r="N56" s="1047"/>
      <c r="O56" s="1047"/>
      <c r="P56" s="1047"/>
      <c r="Q56" s="1047"/>
      <c r="R56" s="1048"/>
      <c r="S56" s="1047"/>
      <c r="T56" s="1047"/>
      <c r="U56" s="1047"/>
      <c r="V56" s="1047"/>
      <c r="W56" s="1049"/>
      <c r="X56" s="1047"/>
      <c r="Y56" s="1047"/>
      <c r="Z56" s="1047"/>
      <c r="AA56" s="1047"/>
      <c r="AB56" s="1048"/>
      <c r="AC56" s="1047"/>
      <c r="AD56" s="1047"/>
      <c r="AE56" s="1047"/>
      <c r="AF56" s="1047"/>
      <c r="AG56" s="1049"/>
      <c r="AH56" s="1047"/>
      <c r="AI56" s="1047"/>
      <c r="AJ56" s="1047"/>
      <c r="AK56" s="1047"/>
      <c r="AL56" s="1048"/>
      <c r="AM56" s="1047"/>
      <c r="AN56" s="1047"/>
      <c r="AO56" s="1047"/>
      <c r="AP56" s="1047"/>
      <c r="AQ56" s="1049"/>
      <c r="AR56" s="1047"/>
      <c r="AS56" s="1047"/>
      <c r="AT56" s="1047"/>
      <c r="AU56" s="1047"/>
      <c r="AV56" s="1048"/>
      <c r="AW56" s="1047"/>
      <c r="AX56" s="1047"/>
      <c r="AY56" s="1047"/>
      <c r="AZ56" s="1047"/>
      <c r="BA56" s="1049"/>
      <c r="BB56" s="1047"/>
      <c r="BC56" s="1050"/>
      <c r="BD56" s="1028"/>
      <c r="BE56" s="1029"/>
      <c r="BF56" s="1030"/>
      <c r="BG56" s="1030"/>
      <c r="BH56" s="1037"/>
      <c r="BI56" s="1037"/>
      <c r="BJ56" s="1032"/>
      <c r="BK56" s="1033"/>
      <c r="BL56" s="1034"/>
      <c r="BM56" s="1035"/>
      <c r="BN56" s="1022"/>
    </row>
    <row r="57" spans="1:66" ht="15" customHeight="1">
      <c r="A57" s="1276"/>
      <c r="B57" s="1038" t="s">
        <v>172</v>
      </c>
      <c r="C57" s="1043" t="s">
        <v>172</v>
      </c>
      <c r="D57" s="1043" t="s">
        <v>172</v>
      </c>
      <c r="E57" s="1043" t="s">
        <v>172</v>
      </c>
      <c r="F57" s="1043" t="s">
        <v>172</v>
      </c>
      <c r="G57" s="1043" t="s">
        <v>172</v>
      </c>
      <c r="H57" s="1044" t="s">
        <v>172</v>
      </c>
      <c r="I57" s="1043" t="s">
        <v>172</v>
      </c>
      <c r="J57" s="1043" t="s">
        <v>172</v>
      </c>
      <c r="K57" s="1043" t="s">
        <v>172</v>
      </c>
      <c r="L57" s="1043" t="s">
        <v>172</v>
      </c>
      <c r="M57" s="1038" t="s">
        <v>172</v>
      </c>
      <c r="N57" s="1043" t="s">
        <v>172</v>
      </c>
      <c r="O57" s="1043" t="s">
        <v>172</v>
      </c>
      <c r="P57" s="1043" t="s">
        <v>172</v>
      </c>
      <c r="Q57" s="1043" t="s">
        <v>172</v>
      </c>
      <c r="R57" s="1044" t="s">
        <v>172</v>
      </c>
      <c r="S57" s="1043" t="s">
        <v>172</v>
      </c>
      <c r="T57" s="1043" t="s">
        <v>172</v>
      </c>
      <c r="U57" s="1043" t="s">
        <v>172</v>
      </c>
      <c r="V57" s="1043" t="s">
        <v>172</v>
      </c>
      <c r="W57" s="1038" t="s">
        <v>172</v>
      </c>
      <c r="X57" s="1043" t="s">
        <v>172</v>
      </c>
      <c r="Y57" s="1043" t="s">
        <v>172</v>
      </c>
      <c r="Z57" s="1043" t="s">
        <v>172</v>
      </c>
      <c r="AA57" s="1043" t="s">
        <v>172</v>
      </c>
      <c r="AB57" s="1044" t="s">
        <v>172</v>
      </c>
      <c r="AC57" s="1043" t="s">
        <v>172</v>
      </c>
      <c r="AD57" s="1043" t="s">
        <v>172</v>
      </c>
      <c r="AE57" s="1043" t="s">
        <v>172</v>
      </c>
      <c r="AF57" s="1043" t="s">
        <v>172</v>
      </c>
      <c r="AG57" s="1038" t="s">
        <v>172</v>
      </c>
      <c r="AH57" s="1043" t="s">
        <v>172</v>
      </c>
      <c r="AI57" s="1043" t="s">
        <v>172</v>
      </c>
      <c r="AJ57" s="1043" t="s">
        <v>172</v>
      </c>
      <c r="AK57" s="1043" t="s">
        <v>172</v>
      </c>
      <c r="AL57" s="1044" t="s">
        <v>172</v>
      </c>
      <c r="AM57" s="1043" t="s">
        <v>172</v>
      </c>
      <c r="AN57" s="1043" t="s">
        <v>172</v>
      </c>
      <c r="AO57" s="1043" t="s">
        <v>172</v>
      </c>
      <c r="AP57" s="1043" t="s">
        <v>172</v>
      </c>
      <c r="AQ57" s="1038" t="s">
        <v>172</v>
      </c>
      <c r="AR57" s="1043" t="s">
        <v>172</v>
      </c>
      <c r="AS57" s="1043" t="s">
        <v>172</v>
      </c>
      <c r="AT57" s="1043" t="s">
        <v>172</v>
      </c>
      <c r="AU57" s="1043" t="s">
        <v>172</v>
      </c>
      <c r="AV57" s="1044" t="s">
        <v>172</v>
      </c>
      <c r="AW57" s="1043" t="s">
        <v>172</v>
      </c>
      <c r="AX57" s="1043" t="s">
        <v>172</v>
      </c>
      <c r="AY57" s="1043" t="s">
        <v>172</v>
      </c>
      <c r="AZ57" s="1043" t="s">
        <v>172</v>
      </c>
      <c r="BA57" s="1038" t="s">
        <v>172</v>
      </c>
      <c r="BB57" s="1043" t="s">
        <v>172</v>
      </c>
      <c r="BC57" s="1042" t="s">
        <v>172</v>
      </c>
      <c r="BD57" s="461">
        <f>(COUNTIF($B$57:$BC$57,"MB"))</f>
        <v>0</v>
      </c>
      <c r="BE57" s="1020">
        <f>+BD57/54</f>
        <v>0</v>
      </c>
      <c r="BF57" s="460">
        <f>(COUNTIF($B$57:$BC$57,"B"))</f>
        <v>54</v>
      </c>
      <c r="BG57" s="1020">
        <f>+BF57/54</f>
        <v>1</v>
      </c>
      <c r="BH57" s="460">
        <f>(COUNTIF($B$57:$BC$57,"R"))</f>
        <v>0</v>
      </c>
      <c r="BI57" s="1020">
        <f>+BH57/54</f>
        <v>0</v>
      </c>
      <c r="BJ57" s="460">
        <f>(COUNTIF($B$57:$BC$57,"M"))</f>
        <v>0</v>
      </c>
      <c r="BK57" s="1020">
        <f>+BJ57/54</f>
        <v>0</v>
      </c>
      <c r="BL57" s="460">
        <f>(COUNTIF($B$57:$BC$57,"MM"))</f>
        <v>0</v>
      </c>
      <c r="BM57" s="1021">
        <f>+BL57/54</f>
        <v>0</v>
      </c>
      <c r="BN57" s="1022">
        <f t="shared" si="0"/>
        <v>1</v>
      </c>
    </row>
    <row r="58" spans="1:66" ht="9.9499999999999993" customHeight="1">
      <c r="A58" s="1275" t="s">
        <v>214</v>
      </c>
      <c r="B58" s="1023"/>
      <c r="C58" s="1024"/>
      <c r="D58" s="1024"/>
      <c r="E58" s="1024"/>
      <c r="F58" s="1025"/>
      <c r="G58" s="1025"/>
      <c r="H58" s="1026"/>
      <c r="I58" s="1025"/>
      <c r="J58" s="1025"/>
      <c r="K58" s="1025"/>
      <c r="L58" s="1025"/>
      <c r="M58" s="1027"/>
      <c r="N58" s="1025"/>
      <c r="O58" s="1025"/>
      <c r="P58" s="1025"/>
      <c r="Q58" s="1025"/>
      <c r="R58" s="1026"/>
      <c r="S58" s="1025"/>
      <c r="T58" s="1025"/>
      <c r="U58" s="1025"/>
      <c r="V58" s="1025"/>
      <c r="W58" s="1027"/>
      <c r="X58" s="1025"/>
      <c r="Y58" s="1025"/>
      <c r="Z58" s="1025"/>
      <c r="AA58" s="1025"/>
      <c r="AB58" s="1026"/>
      <c r="AC58" s="1025"/>
      <c r="AD58" s="1025"/>
      <c r="AE58" s="1025"/>
      <c r="AF58" s="1025"/>
      <c r="AG58" s="1027"/>
      <c r="AH58" s="1025"/>
      <c r="AI58" s="1025"/>
      <c r="AJ58" s="1025"/>
      <c r="AK58" s="1025"/>
      <c r="AL58" s="1026"/>
      <c r="AM58" s="1025"/>
      <c r="AN58" s="1025"/>
      <c r="AO58" s="1025"/>
      <c r="AP58" s="1025"/>
      <c r="AQ58" s="1027"/>
      <c r="AR58" s="1025"/>
      <c r="AS58" s="1025"/>
      <c r="AT58" s="1025"/>
      <c r="AU58" s="1025"/>
      <c r="AV58" s="1026"/>
      <c r="AW58" s="1025"/>
      <c r="AX58" s="1025"/>
      <c r="AY58" s="1025"/>
      <c r="AZ58" s="1025"/>
      <c r="BA58" s="1027"/>
      <c r="BB58" s="1025"/>
      <c r="BC58" s="1025"/>
      <c r="BD58" s="1028"/>
      <c r="BE58" s="1029"/>
      <c r="BF58" s="1030"/>
      <c r="BG58" s="1030"/>
      <c r="BH58" s="1037"/>
      <c r="BI58" s="1037"/>
      <c r="BJ58" s="1032"/>
      <c r="BK58" s="1033"/>
      <c r="BL58" s="1034"/>
      <c r="BM58" s="1035"/>
      <c r="BN58" s="1022"/>
    </row>
    <row r="59" spans="1:66" ht="15" customHeight="1">
      <c r="A59" s="1276"/>
      <c r="B59" s="1038" t="s">
        <v>204</v>
      </c>
      <c r="C59" s="1043" t="s">
        <v>204</v>
      </c>
      <c r="D59" s="1043" t="s">
        <v>176</v>
      </c>
      <c r="E59" s="1043" t="s">
        <v>176</v>
      </c>
      <c r="F59" s="1043" t="s">
        <v>176</v>
      </c>
      <c r="G59" s="1043" t="s">
        <v>176</v>
      </c>
      <c r="H59" s="1044" t="s">
        <v>176</v>
      </c>
      <c r="I59" s="1043" t="s">
        <v>176</v>
      </c>
      <c r="J59" s="1043" t="s">
        <v>176</v>
      </c>
      <c r="K59" s="1043" t="s">
        <v>172</v>
      </c>
      <c r="L59" s="1043" t="s">
        <v>176</v>
      </c>
      <c r="M59" s="1038" t="s">
        <v>176</v>
      </c>
      <c r="N59" s="1043" t="s">
        <v>176</v>
      </c>
      <c r="O59" s="1043" t="s">
        <v>176</v>
      </c>
      <c r="P59" s="1043" t="s">
        <v>176</v>
      </c>
      <c r="Q59" s="1043" t="s">
        <v>176</v>
      </c>
      <c r="R59" s="1044" t="s">
        <v>176</v>
      </c>
      <c r="S59" s="1043" t="s">
        <v>172</v>
      </c>
      <c r="T59" s="1043" t="s">
        <v>172</v>
      </c>
      <c r="U59" s="1043" t="s">
        <v>176</v>
      </c>
      <c r="V59" s="1043" t="s">
        <v>176</v>
      </c>
      <c r="W59" s="1038" t="s">
        <v>176</v>
      </c>
      <c r="X59" s="1043" t="s">
        <v>172</v>
      </c>
      <c r="Y59" s="1043" t="s">
        <v>172</v>
      </c>
      <c r="Z59" s="1043" t="s">
        <v>172</v>
      </c>
      <c r="AA59" s="1043" t="s">
        <v>172</v>
      </c>
      <c r="AB59" s="1044" t="s">
        <v>172</v>
      </c>
      <c r="AC59" s="1043" t="s">
        <v>172</v>
      </c>
      <c r="AD59" s="1043" t="s">
        <v>172</v>
      </c>
      <c r="AE59" s="1043" t="s">
        <v>172</v>
      </c>
      <c r="AF59" s="1043" t="s">
        <v>172</v>
      </c>
      <c r="AG59" s="1038" t="s">
        <v>172</v>
      </c>
      <c r="AH59" s="1043" t="s">
        <v>172</v>
      </c>
      <c r="AI59" s="1043" t="s">
        <v>172</v>
      </c>
      <c r="AJ59" s="1043" t="s">
        <v>172</v>
      </c>
      <c r="AK59" s="1043" t="s">
        <v>172</v>
      </c>
      <c r="AL59" s="1044" t="s">
        <v>176</v>
      </c>
      <c r="AM59" s="1043" t="s">
        <v>176</v>
      </c>
      <c r="AN59" s="1043" t="s">
        <v>176</v>
      </c>
      <c r="AO59" s="1043" t="s">
        <v>176</v>
      </c>
      <c r="AP59" s="1043" t="s">
        <v>176</v>
      </c>
      <c r="AQ59" s="1038" t="s">
        <v>176</v>
      </c>
      <c r="AR59" s="1043" t="s">
        <v>176</v>
      </c>
      <c r="AS59" s="1043" t="s">
        <v>176</v>
      </c>
      <c r="AT59" s="1043" t="s">
        <v>176</v>
      </c>
      <c r="AU59" s="1043" t="s">
        <v>176</v>
      </c>
      <c r="AV59" s="1044" t="s">
        <v>176</v>
      </c>
      <c r="AW59" s="1043" t="s">
        <v>176</v>
      </c>
      <c r="AX59" s="1043" t="s">
        <v>176</v>
      </c>
      <c r="AY59" s="1043" t="s">
        <v>176</v>
      </c>
      <c r="AZ59" s="1043" t="s">
        <v>172</v>
      </c>
      <c r="BA59" s="1038" t="s">
        <v>176</v>
      </c>
      <c r="BB59" s="1043" t="s">
        <v>172</v>
      </c>
      <c r="BC59" s="1042" t="s">
        <v>172</v>
      </c>
      <c r="BD59" s="461">
        <f>(COUNTIF($B$59:$BC$59,"MB"))</f>
        <v>0</v>
      </c>
      <c r="BE59" s="1020">
        <f>+BD59/54</f>
        <v>0</v>
      </c>
      <c r="BF59" s="460">
        <f>(COUNTIF($B$59:$BC$59,"B"))</f>
        <v>22</v>
      </c>
      <c r="BG59" s="1020">
        <f>+BF59/54</f>
        <v>0.40740740740740738</v>
      </c>
      <c r="BH59" s="460">
        <f>(COUNTIF($B$59:$BC$59,"R"))</f>
        <v>32</v>
      </c>
      <c r="BI59" s="1020">
        <f>+BH59/54</f>
        <v>0.59259259259259256</v>
      </c>
      <c r="BJ59" s="460">
        <f>(COUNTIF($B$59:$BC$59,"M"))</f>
        <v>0</v>
      </c>
      <c r="BK59" s="1020">
        <f>+BJ59/54</f>
        <v>0</v>
      </c>
      <c r="BL59" s="460">
        <f>(COUNTIF($B$59:$BC$59,"MM"))</f>
        <v>0</v>
      </c>
      <c r="BM59" s="1021">
        <f>+BL59/54</f>
        <v>0</v>
      </c>
      <c r="BN59" s="1022">
        <f t="shared" si="0"/>
        <v>1</v>
      </c>
    </row>
    <row r="60" spans="1:66" ht="9.9499999999999993" customHeight="1">
      <c r="A60" s="1275" t="s">
        <v>215</v>
      </c>
      <c r="B60" s="1023"/>
      <c r="C60" s="1024"/>
      <c r="D60" s="1024"/>
      <c r="E60" s="1024"/>
      <c r="F60" s="1025"/>
      <c r="G60" s="1025"/>
      <c r="H60" s="1026"/>
      <c r="I60" s="1025"/>
      <c r="J60" s="1025"/>
      <c r="K60" s="1025"/>
      <c r="L60" s="1025"/>
      <c r="M60" s="1027"/>
      <c r="N60" s="1025"/>
      <c r="O60" s="1025"/>
      <c r="P60" s="1025"/>
      <c r="Q60" s="1025"/>
      <c r="R60" s="1026"/>
      <c r="S60" s="1025"/>
      <c r="T60" s="1025"/>
      <c r="U60" s="1025"/>
      <c r="V60" s="1025"/>
      <c r="W60" s="1027"/>
      <c r="X60" s="1025"/>
      <c r="Y60" s="1025"/>
      <c r="Z60" s="1025"/>
      <c r="AA60" s="1025"/>
      <c r="AB60" s="1026"/>
      <c r="AC60" s="1025"/>
      <c r="AD60" s="1025"/>
      <c r="AE60" s="1025"/>
      <c r="AF60" s="1025"/>
      <c r="AG60" s="1027"/>
      <c r="AH60" s="1025"/>
      <c r="AI60" s="1025"/>
      <c r="AJ60" s="1025"/>
      <c r="AK60" s="1025"/>
      <c r="AL60" s="1026"/>
      <c r="AM60" s="1025"/>
      <c r="AN60" s="1025"/>
      <c r="AO60" s="1025"/>
      <c r="AP60" s="1025"/>
      <c r="AQ60" s="1027"/>
      <c r="AR60" s="1025"/>
      <c r="AS60" s="1025"/>
      <c r="AT60" s="1025"/>
      <c r="AU60" s="1025"/>
      <c r="AV60" s="1026"/>
      <c r="AW60" s="1025"/>
      <c r="AX60" s="1025"/>
      <c r="AY60" s="1025"/>
      <c r="AZ60" s="1025"/>
      <c r="BA60" s="1027"/>
      <c r="BB60" s="1025"/>
      <c r="BC60" s="1025"/>
      <c r="BD60" s="1051"/>
      <c r="BE60" s="1052"/>
      <c r="BF60" s="1030"/>
      <c r="BG60" s="1030"/>
      <c r="BH60" s="1053"/>
      <c r="BI60" s="1053"/>
      <c r="BJ60" s="1054"/>
      <c r="BK60" s="1055"/>
      <c r="BL60" s="1056"/>
      <c r="BM60" s="1035"/>
      <c r="BN60" s="1022"/>
    </row>
    <row r="61" spans="1:66" ht="15" customHeight="1" thickBot="1">
      <c r="A61" s="1281"/>
      <c r="B61" s="1070"/>
      <c r="C61" s="1071"/>
      <c r="D61" s="1071"/>
      <c r="E61" s="1071"/>
      <c r="F61" s="1071"/>
      <c r="G61" s="1071"/>
      <c r="H61" s="1072"/>
      <c r="I61" s="1071"/>
      <c r="J61" s="1071"/>
      <c r="K61" s="1071"/>
      <c r="L61" s="1071"/>
      <c r="M61" s="1070"/>
      <c r="N61" s="1071"/>
      <c r="O61" s="1071"/>
      <c r="P61" s="1071"/>
      <c r="Q61" s="1071"/>
      <c r="R61" s="1072"/>
      <c r="S61" s="1071"/>
      <c r="T61" s="1071"/>
      <c r="U61" s="1071"/>
      <c r="V61" s="1071"/>
      <c r="W61" s="1070"/>
      <c r="X61" s="1071"/>
      <c r="Y61" s="1071"/>
      <c r="Z61" s="1071"/>
      <c r="AA61" s="1071"/>
      <c r="AB61" s="1072"/>
      <c r="AC61" s="1071"/>
      <c r="AD61" s="1071"/>
      <c r="AE61" s="1071"/>
      <c r="AF61" s="1071"/>
      <c r="AG61" s="1070"/>
      <c r="AH61" s="1071"/>
      <c r="AI61" s="1071"/>
      <c r="AJ61" s="1071"/>
      <c r="AK61" s="1071"/>
      <c r="AL61" s="1072"/>
      <c r="AM61" s="1071"/>
      <c r="AN61" s="1071"/>
      <c r="AO61" s="1071"/>
      <c r="AP61" s="1071"/>
      <c r="AQ61" s="1070"/>
      <c r="AR61" s="1071"/>
      <c r="AS61" s="1071"/>
      <c r="AT61" s="1071"/>
      <c r="AU61" s="1071"/>
      <c r="AV61" s="1072"/>
      <c r="AW61" s="1071"/>
      <c r="AX61" s="1071"/>
      <c r="AY61" s="1071"/>
      <c r="AZ61" s="1071"/>
      <c r="BA61" s="1070"/>
      <c r="BB61" s="1071"/>
      <c r="BC61" s="1071"/>
      <c r="BD61" s="1057">
        <f>(COUNTIF($B$61:$BC$61,"MB"))</f>
        <v>0</v>
      </c>
      <c r="BE61" s="1058">
        <f>+BD61/54</f>
        <v>0</v>
      </c>
      <c r="BF61" s="1059">
        <f>(COUNTIF($B$61:$BC$61,"B"))</f>
        <v>0</v>
      </c>
      <c r="BG61" s="1058">
        <f>+BF61/54</f>
        <v>0</v>
      </c>
      <c r="BH61" s="1059">
        <f>(COUNTIF($B$61:$BC$61,"R"))</f>
        <v>0</v>
      </c>
      <c r="BI61" s="1060">
        <f>+BH61/54</f>
        <v>0</v>
      </c>
      <c r="BJ61" s="1059">
        <f>(COUNTIF($B$61:$BC$61,"M"))</f>
        <v>0</v>
      </c>
      <c r="BK61" s="1060">
        <f>+BJ61/54</f>
        <v>0</v>
      </c>
      <c r="BL61" s="1059">
        <f>(COUNTIF($B$61:$BC$61,"MM"))</f>
        <v>0</v>
      </c>
      <c r="BM61" s="1061">
        <f>+BL61/54</f>
        <v>0</v>
      </c>
      <c r="BN61" s="1022">
        <f t="shared" si="0"/>
        <v>0</v>
      </c>
    </row>
    <row r="62" spans="1:66">
      <c r="A62" s="1282"/>
      <c r="B62" s="1282"/>
      <c r="C62" s="1282"/>
      <c r="D62" s="1282"/>
      <c r="E62" s="1282"/>
      <c r="F62" s="1282"/>
      <c r="G62" s="1282"/>
      <c r="H62" s="1282"/>
      <c r="I62" s="1282"/>
      <c r="J62" s="1282"/>
      <c r="K62" s="1282"/>
      <c r="L62" s="1282"/>
      <c r="M62" s="1282"/>
      <c r="N62" s="1282"/>
      <c r="O62" s="1282"/>
      <c r="P62" s="1282"/>
      <c r="Q62" s="1282"/>
      <c r="R62" s="1282"/>
      <c r="S62" s="1282"/>
      <c r="T62" s="1282"/>
      <c r="U62" s="1282"/>
      <c r="V62" s="1282"/>
      <c r="W62" s="1282"/>
      <c r="X62" s="1282"/>
      <c r="Y62" s="1282"/>
      <c r="Z62" s="1282"/>
      <c r="AA62" s="1282"/>
      <c r="AB62" s="1282"/>
      <c r="AC62" s="1282"/>
      <c r="AD62" s="1282"/>
      <c r="AE62" s="1282"/>
      <c r="AF62" s="1282"/>
      <c r="AG62" s="1282"/>
      <c r="AH62" s="1282"/>
      <c r="AI62" s="1282"/>
      <c r="AJ62" s="1282"/>
      <c r="AK62" s="1282"/>
      <c r="AL62" s="1282"/>
      <c r="AM62" s="1282"/>
      <c r="AN62" s="1282"/>
      <c r="AO62" s="1282"/>
      <c r="AP62" s="1282"/>
      <c r="AQ62" s="1282"/>
      <c r="AR62" s="1282"/>
      <c r="AS62" s="1282"/>
      <c r="AT62" s="1282"/>
      <c r="AU62" s="1282"/>
      <c r="AV62" s="1282"/>
      <c r="AW62" s="1282"/>
      <c r="AX62" s="1282"/>
      <c r="AY62" s="1282"/>
      <c r="AZ62" s="1282"/>
      <c r="BA62" s="1282"/>
      <c r="BB62" s="1282"/>
      <c r="BC62" s="1282"/>
      <c r="BD62" s="1282"/>
    </row>
    <row r="63" spans="1:66" s="472" customFormat="1">
      <c r="A63" s="472" t="s">
        <v>216</v>
      </c>
      <c r="B63"/>
      <c r="C63"/>
      <c r="D63"/>
      <c r="E63"/>
      <c r="F63"/>
      <c r="G63"/>
      <c r="H63"/>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row>
    <row r="64" spans="1:66" s="472" customFormat="1">
      <c r="A64" s="1062" t="s">
        <v>304</v>
      </c>
      <c r="B64" s="63"/>
      <c r="C64" s="63"/>
      <c r="D64" s="63"/>
      <c r="E64" s="63"/>
      <c r="F64"/>
      <c r="G64"/>
      <c r="H64"/>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row>
    <row r="65" spans="1:64">
      <c r="A65" s="92" t="s">
        <v>305</v>
      </c>
    </row>
    <row r="67" spans="1:64">
      <c r="A67" s="63"/>
      <c r="BE67" s="1260" t="s">
        <v>126</v>
      </c>
      <c r="BF67" s="1260"/>
      <c r="BG67" s="1260"/>
      <c r="BH67" s="1260"/>
      <c r="BI67" s="1260"/>
      <c r="BJ67" s="1260"/>
      <c r="BK67" s="1260"/>
      <c r="BL67" s="1260"/>
    </row>
    <row r="68" spans="1:64">
      <c r="BE68" s="1274"/>
      <c r="BF68" s="1274"/>
      <c r="BG68" s="1274"/>
      <c r="BH68" s="1274"/>
      <c r="BI68" s="1274"/>
      <c r="BJ68" s="1274"/>
      <c r="BK68" s="1274"/>
      <c r="BL68" s="1274"/>
    </row>
  </sheetData>
  <mergeCells count="42">
    <mergeCell ref="A1:BM1"/>
    <mergeCell ref="A2:BM2"/>
    <mergeCell ref="A3:BM3"/>
    <mergeCell ref="A4:BM4"/>
    <mergeCell ref="B5:BD5"/>
    <mergeCell ref="B6:BA6"/>
    <mergeCell ref="BB6:BC6"/>
    <mergeCell ref="BH6:BI6"/>
    <mergeCell ref="A7:BM7"/>
    <mergeCell ref="V8:BC8"/>
    <mergeCell ref="A9:BM9"/>
    <mergeCell ref="AJ10:BC10"/>
    <mergeCell ref="BF39:BM39"/>
    <mergeCell ref="B40:BC40"/>
    <mergeCell ref="BF40:BM40"/>
    <mergeCell ref="B41:BC41"/>
    <mergeCell ref="BF41:BM41"/>
    <mergeCell ref="B42:E42"/>
    <mergeCell ref="M42:P42"/>
    <mergeCell ref="W42:Z42"/>
    <mergeCell ref="AG42:AJ42"/>
    <mergeCell ref="AQ42:AT42"/>
    <mergeCell ref="AX42:AZ42"/>
    <mergeCell ref="BA42:BC42"/>
    <mergeCell ref="BD42:BE42"/>
    <mergeCell ref="BF42:BG42"/>
    <mergeCell ref="BH42:BI42"/>
    <mergeCell ref="BJ42:BK42"/>
    <mergeCell ref="BL42:BM42"/>
    <mergeCell ref="A44:A45"/>
    <mergeCell ref="A46:A47"/>
    <mergeCell ref="B47:BC47"/>
    <mergeCell ref="A60:A61"/>
    <mergeCell ref="A62:BD62"/>
    <mergeCell ref="BE67:BL67"/>
    <mergeCell ref="BE68:BL68"/>
    <mergeCell ref="A48:A49"/>
    <mergeCell ref="A50:A51"/>
    <mergeCell ref="A52:A53"/>
    <mergeCell ref="A54:A55"/>
    <mergeCell ref="A56:A57"/>
    <mergeCell ref="A58:A59"/>
  </mergeCells>
  <conditionalFormatting sqref="B61:BC61 B57:BC57 B47 B59:BC59 B55:BC55 B53:BC53 B51:BC51 B49:BC49 B45:BC45">
    <cfRule type="cellIs" dxfId="68" priority="65" stopIfTrue="1" operator="equal">
      <formula>"MM"</formula>
    </cfRule>
    <cfRule type="cellIs" dxfId="67" priority="66" stopIfTrue="1" operator="equal">
      <formula>"N"</formula>
    </cfRule>
    <cfRule type="cellIs" dxfId="66" priority="67" stopIfTrue="1" operator="equal">
      <formula>"B"</formula>
    </cfRule>
    <cfRule type="cellIs" dxfId="65" priority="68" stopIfTrue="1" operator="equal">
      <formula>"R"</formula>
    </cfRule>
    <cfRule type="cellIs" dxfId="64" priority="69" stopIfTrue="1" operator="equal">
      <formula>"M"</formula>
    </cfRule>
  </conditionalFormatting>
  <conditionalFormatting sqref="B61:BC61 B57:BC57 B47 B59:BC59 B55:BC55 B53:BC53 B51:BC51 B49:BC49 B45:BC45">
    <cfRule type="cellIs" dxfId="63" priority="64" stopIfTrue="1" operator="equal">
      <formula>"MB"</formula>
    </cfRule>
  </conditionalFormatting>
  <conditionalFormatting sqref="B61:BC61 B57:BC57 B47 B59:BC59 B55:BC55 B53:BC53 B51:BC51 B49:BC49 B45:BC45">
    <cfRule type="cellIs" dxfId="62" priority="57" stopIfTrue="1" operator="equal">
      <formula>"""MB"""</formula>
    </cfRule>
    <cfRule type="cellIs" dxfId="61" priority="58" stopIfTrue="1" operator="equal">
      <formula>"MM"</formula>
    </cfRule>
    <cfRule type="cellIs" dxfId="60" priority="59" stopIfTrue="1" operator="equal">
      <formula>"N"</formula>
    </cfRule>
    <cfRule type="cellIs" dxfId="59" priority="60" stopIfTrue="1" operator="equal">
      <formula>"B"</formula>
    </cfRule>
    <cfRule type="cellIs" dxfId="58" priority="61" stopIfTrue="1" operator="equal">
      <formula>"R"</formula>
    </cfRule>
    <cfRule type="cellIs" dxfId="57" priority="62" stopIfTrue="1" operator="equal">
      <formula>"M"</formula>
    </cfRule>
    <cfRule type="cellIs" dxfId="56" priority="63" stopIfTrue="1" operator="equal">
      <formula>"""MB"""</formula>
    </cfRule>
  </conditionalFormatting>
  <conditionalFormatting sqref="B61:BC61 B57:BC57 B47 B59:BC59 B55:BC55 B53:BC53 B51:BC51 B49:BC49 B45:BC45">
    <cfRule type="cellIs" dxfId="55" priority="53" stopIfTrue="1" operator="equal">
      <formula>"M"</formula>
    </cfRule>
    <cfRule type="cellIs" dxfId="54" priority="54" stopIfTrue="1" operator="equal">
      <formula>"R"</formula>
    </cfRule>
    <cfRule type="cellIs" dxfId="53" priority="55" stopIfTrue="1" operator="equal">
      <formula>"B"</formula>
    </cfRule>
    <cfRule type="cellIs" dxfId="52" priority="56" stopIfTrue="1" operator="equal">
      <formula>"N"</formula>
    </cfRule>
  </conditionalFormatting>
  <conditionalFormatting sqref="B61:BC61 B57:BC57 B47 B59:BC59 B55:BC55 B53:BC53 B51:BC51 B49:BC49 B45:BC45">
    <cfRule type="cellIs" dxfId="51" priority="51" stopIfTrue="1" operator="equal">
      <formula>"B"</formula>
    </cfRule>
    <cfRule type="cellIs" dxfId="50" priority="52" stopIfTrue="1" operator="equal">
      <formula>"M"</formula>
    </cfRule>
  </conditionalFormatting>
  <conditionalFormatting sqref="B61:BC61 B57:BC57 B47 B59:BC59 B55:BC55 B53:BC53 B51:BC51 B49:BC49 B45:BC45">
    <cfRule type="cellIs" dxfId="49" priority="50" stopIfTrue="1" operator="equal">
      <formula>"MM"</formula>
    </cfRule>
  </conditionalFormatting>
  <conditionalFormatting sqref="B61:BC61 B57:BC57 B47 B59:BC59 B55:BC55 B53:BC53 B51:BC51 B49:BC49 B45:BC45">
    <cfRule type="cellIs" dxfId="48" priority="47" stopIfTrue="1" operator="equal">
      <formula>"N"</formula>
    </cfRule>
    <cfRule type="cellIs" dxfId="47" priority="48" stopIfTrue="1" operator="equal">
      <formula>"B"</formula>
    </cfRule>
    <cfRule type="cellIs" dxfId="46" priority="49" stopIfTrue="1" operator="equal">
      <formula>"R"</formula>
    </cfRule>
  </conditionalFormatting>
  <conditionalFormatting sqref="BC44">
    <cfRule type="cellIs" dxfId="45" priority="42" stopIfTrue="1" operator="equal">
      <formula>"MM"</formula>
    </cfRule>
    <cfRule type="cellIs" dxfId="44" priority="43" stopIfTrue="1" operator="equal">
      <formula>"N"</formula>
    </cfRule>
    <cfRule type="cellIs" dxfId="43" priority="44" stopIfTrue="1" operator="equal">
      <formula>"B"</formula>
    </cfRule>
    <cfRule type="cellIs" dxfId="42" priority="45" stopIfTrue="1" operator="equal">
      <formula>"R"</formula>
    </cfRule>
    <cfRule type="cellIs" dxfId="41" priority="46" stopIfTrue="1" operator="equal">
      <formula>"M"</formula>
    </cfRule>
  </conditionalFormatting>
  <conditionalFormatting sqref="BC44">
    <cfRule type="cellIs" dxfId="40" priority="41" stopIfTrue="1" operator="equal">
      <formula>"MB"</formula>
    </cfRule>
  </conditionalFormatting>
  <conditionalFormatting sqref="BC44">
    <cfRule type="cellIs" dxfId="39" priority="34" stopIfTrue="1" operator="equal">
      <formula>"""MB"""</formula>
    </cfRule>
    <cfRule type="cellIs" dxfId="38" priority="35" stopIfTrue="1" operator="equal">
      <formula>"MM"</formula>
    </cfRule>
    <cfRule type="cellIs" dxfId="37" priority="36" stopIfTrue="1" operator="equal">
      <formula>"N"</formula>
    </cfRule>
    <cfRule type="cellIs" dxfId="36" priority="37" stopIfTrue="1" operator="equal">
      <formula>"B"</formula>
    </cfRule>
    <cfRule type="cellIs" dxfId="35" priority="38" stopIfTrue="1" operator="equal">
      <formula>"R"</formula>
    </cfRule>
    <cfRule type="cellIs" dxfId="34" priority="39" stopIfTrue="1" operator="equal">
      <formula>"M"</formula>
    </cfRule>
    <cfRule type="cellIs" dxfId="33" priority="40" stopIfTrue="1" operator="equal">
      <formula>"""MB"""</formula>
    </cfRule>
  </conditionalFormatting>
  <conditionalFormatting sqref="BC44">
    <cfRule type="cellIs" dxfId="32" priority="30" stopIfTrue="1" operator="equal">
      <formula>"M"</formula>
    </cfRule>
    <cfRule type="cellIs" dxfId="31" priority="31" stopIfTrue="1" operator="equal">
      <formula>"R"</formula>
    </cfRule>
    <cfRule type="cellIs" dxfId="30" priority="32" stopIfTrue="1" operator="equal">
      <formula>"B"</formula>
    </cfRule>
    <cfRule type="cellIs" dxfId="29" priority="33" stopIfTrue="1" operator="equal">
      <formula>"N"</formula>
    </cfRule>
  </conditionalFormatting>
  <conditionalFormatting sqref="BC44">
    <cfRule type="cellIs" dxfId="28" priority="28" stopIfTrue="1" operator="equal">
      <formula>"B"</formula>
    </cfRule>
    <cfRule type="cellIs" dxfId="27" priority="29" stopIfTrue="1" operator="equal">
      <formula>"M"</formula>
    </cfRule>
  </conditionalFormatting>
  <conditionalFormatting sqref="BC44">
    <cfRule type="cellIs" dxfId="26" priority="27" stopIfTrue="1" operator="equal">
      <formula>"MM"</formula>
    </cfRule>
  </conditionalFormatting>
  <conditionalFormatting sqref="BC44">
    <cfRule type="cellIs" dxfId="25" priority="24" stopIfTrue="1" operator="equal">
      <formula>"N"</formula>
    </cfRule>
    <cfRule type="cellIs" dxfId="24" priority="25" stopIfTrue="1" operator="equal">
      <formula>"B"</formula>
    </cfRule>
    <cfRule type="cellIs" dxfId="23" priority="26" stopIfTrue="1" operator="equal">
      <formula>"R"</formula>
    </cfRule>
  </conditionalFormatting>
  <conditionalFormatting sqref="C44">
    <cfRule type="cellIs" dxfId="22" priority="19" stopIfTrue="1" operator="equal">
      <formula>"MM"</formula>
    </cfRule>
    <cfRule type="cellIs" dxfId="21" priority="20" stopIfTrue="1" operator="equal">
      <formula>"N"</formula>
    </cfRule>
    <cfRule type="cellIs" dxfId="20" priority="21" stopIfTrue="1" operator="equal">
      <formula>"B"</formula>
    </cfRule>
    <cfRule type="cellIs" dxfId="19" priority="22" stopIfTrue="1" operator="equal">
      <formula>"R"</formula>
    </cfRule>
    <cfRule type="cellIs" dxfId="18" priority="23" stopIfTrue="1" operator="equal">
      <formula>"M"</formula>
    </cfRule>
  </conditionalFormatting>
  <conditionalFormatting sqref="C44">
    <cfRule type="cellIs" dxfId="17" priority="18" stopIfTrue="1" operator="equal">
      <formula>"MB"</formula>
    </cfRule>
  </conditionalFormatting>
  <conditionalFormatting sqref="C44">
    <cfRule type="cellIs" dxfId="16" priority="11" stopIfTrue="1" operator="equal">
      <formula>"""MB"""</formula>
    </cfRule>
    <cfRule type="cellIs" dxfId="15" priority="12" stopIfTrue="1" operator="equal">
      <formula>"MM"</formula>
    </cfRule>
    <cfRule type="cellIs" dxfId="14" priority="13" stopIfTrue="1" operator="equal">
      <formula>"N"</formula>
    </cfRule>
    <cfRule type="cellIs" dxfId="13" priority="14" stopIfTrue="1" operator="equal">
      <formula>"B"</formula>
    </cfRule>
    <cfRule type="cellIs" dxfId="12" priority="15" stopIfTrue="1" operator="equal">
      <formula>"R"</formula>
    </cfRule>
    <cfRule type="cellIs" dxfId="11" priority="16" stopIfTrue="1" operator="equal">
      <formula>"M"</formula>
    </cfRule>
    <cfRule type="cellIs" dxfId="10" priority="17" stopIfTrue="1" operator="equal">
      <formula>"""MB"""</formula>
    </cfRule>
  </conditionalFormatting>
  <conditionalFormatting sqref="C44">
    <cfRule type="cellIs" dxfId="9" priority="7" stopIfTrue="1" operator="equal">
      <formula>"M"</formula>
    </cfRule>
    <cfRule type="cellIs" dxfId="8" priority="8" stopIfTrue="1" operator="equal">
      <formula>"R"</formula>
    </cfRule>
    <cfRule type="cellIs" dxfId="7" priority="9" stopIfTrue="1" operator="equal">
      <formula>"B"</formula>
    </cfRule>
    <cfRule type="cellIs" dxfId="6" priority="10" stopIfTrue="1" operator="equal">
      <formula>"N"</formula>
    </cfRule>
  </conditionalFormatting>
  <conditionalFormatting sqref="C44">
    <cfRule type="cellIs" dxfId="5" priority="5" stopIfTrue="1" operator="equal">
      <formula>"B"</formula>
    </cfRule>
    <cfRule type="cellIs" dxfId="4" priority="6" stopIfTrue="1" operator="equal">
      <formula>"M"</formula>
    </cfRule>
  </conditionalFormatting>
  <conditionalFormatting sqref="C44">
    <cfRule type="cellIs" dxfId="3" priority="4" stopIfTrue="1" operator="equal">
      <formula>"MM"</formula>
    </cfRule>
  </conditionalFormatting>
  <conditionalFormatting sqref="C44">
    <cfRule type="cellIs" dxfId="2" priority="1" stopIfTrue="1" operator="equal">
      <formula>"N"</formula>
    </cfRule>
    <cfRule type="cellIs" dxfId="1" priority="2" stopIfTrue="1" operator="equal">
      <formula>"B"</formula>
    </cfRule>
    <cfRule type="cellIs" dxfId="0" priority="3" stopIfTrue="1" operator="equal">
      <formula>"R"</formula>
    </cfRule>
  </conditionalFormatting>
  <hyperlinks>
    <hyperlink ref="BE67" location="'TABLA DE CONTENIDO'!A1" display="VOLVER A TABLA DE CONTENIDO" xr:uid="{00000000-0004-0000-0800-000000000000}"/>
  </hyperlinks>
  <printOptions horizontalCentered="1"/>
  <pageMargins left="0.79000000000000015" right="0.79000000000000015" top="0.79000000000000015" bottom="0.79000000000000015" header="0" footer="0"/>
  <pageSetup scale="70" orientation="portrait" horizontalDpi="300" verticalDpi="300"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H31"/>
  <sheetViews>
    <sheetView workbookViewId="0">
      <selection activeCell="L284" sqref="L284"/>
    </sheetView>
  </sheetViews>
  <sheetFormatPr defaultColWidth="11.42578125" defaultRowHeight="12.75"/>
  <cols>
    <col min="1" max="1" width="25.7109375" customWidth="1"/>
    <col min="2" max="3" width="33.7109375" customWidth="1"/>
  </cols>
  <sheetData>
    <row r="1" spans="1:8" ht="23.25">
      <c r="A1" s="1228" t="s">
        <v>1</v>
      </c>
      <c r="B1" s="1228"/>
      <c r="C1" s="1228"/>
    </row>
    <row r="2" spans="1:8" ht="18">
      <c r="A2" s="1229" t="s">
        <v>84</v>
      </c>
      <c r="B2" s="1229"/>
      <c r="C2" s="1229"/>
    </row>
    <row r="3" spans="1:8">
      <c r="A3" s="74"/>
      <c r="B3" s="32"/>
      <c r="C3" s="1"/>
    </row>
    <row r="4" spans="1:8" ht="18">
      <c r="A4" s="1229" t="s">
        <v>306</v>
      </c>
      <c r="B4" s="1229"/>
      <c r="C4" s="1229"/>
    </row>
    <row r="5" spans="1:8" ht="11.25" customHeight="1">
      <c r="A5" s="277"/>
      <c r="B5" s="277"/>
      <c r="C5" s="277"/>
    </row>
    <row r="6" spans="1:8" ht="18">
      <c r="A6" s="1236" t="s">
        <v>307</v>
      </c>
      <c r="B6" s="1236"/>
      <c r="C6" s="1236"/>
    </row>
    <row r="7" spans="1:8" ht="12.75" customHeight="1">
      <c r="A7" s="75"/>
      <c r="B7" s="76"/>
      <c r="C7" s="1"/>
    </row>
    <row r="8" spans="1:8">
      <c r="A8" s="173" t="s">
        <v>130</v>
      </c>
      <c r="B8" s="310" t="s">
        <v>194</v>
      </c>
      <c r="C8" s="33"/>
    </row>
    <row r="9" spans="1:8">
      <c r="A9" s="173"/>
      <c r="B9" s="33"/>
    </row>
    <row r="10" spans="1:8">
      <c r="A10" s="92" t="s">
        <v>226</v>
      </c>
      <c r="B10" s="310" t="s">
        <v>303</v>
      </c>
    </row>
    <row r="11" spans="1:8" ht="13.5" thickBot="1">
      <c r="A11" s="50"/>
      <c r="B11" s="33"/>
    </row>
    <row r="12" spans="1:8">
      <c r="A12" s="157"/>
      <c r="B12" s="122"/>
      <c r="C12" s="157"/>
    </row>
    <row r="13" spans="1:8" ht="15">
      <c r="A13" s="412" t="s">
        <v>106</v>
      </c>
      <c r="B13" s="123" t="s">
        <v>308</v>
      </c>
      <c r="C13" s="158" t="s">
        <v>309</v>
      </c>
      <c r="G13" t="s">
        <v>310</v>
      </c>
    </row>
    <row r="14" spans="1:8" ht="13.5" thickBot="1">
      <c r="A14" s="311"/>
      <c r="B14" s="156"/>
      <c r="C14" s="311"/>
    </row>
    <row r="15" spans="1:8">
      <c r="A15" s="78"/>
      <c r="B15" s="78"/>
      <c r="C15" s="18"/>
      <c r="G15" s="1064">
        <f>+'ESTADO RED TEC'!K12</f>
        <v>0</v>
      </c>
      <c r="H15" s="1063">
        <f>+G15/G20</f>
        <v>0</v>
      </c>
    </row>
    <row r="16" spans="1:8">
      <c r="A16" s="80"/>
      <c r="B16" s="80"/>
      <c r="C16" s="19"/>
      <c r="G16" s="1064">
        <f>+'ESTADO RED TEC'!K13</f>
        <v>5.1369999999999996</v>
      </c>
      <c r="H16" s="1065">
        <f>+G16/G20</f>
        <v>9.3539458829527661E-2</v>
      </c>
    </row>
    <row r="17" spans="1:8">
      <c r="A17" s="555" t="s">
        <v>311</v>
      </c>
      <c r="B17" s="80"/>
      <c r="C17" s="19"/>
      <c r="G17" s="1064">
        <f>+'ESTADO RED TEC'!K14</f>
        <v>30.86999999999999</v>
      </c>
      <c r="H17" s="1066">
        <f>+G17/G20</f>
        <v>0.56211078334972131</v>
      </c>
    </row>
    <row r="18" spans="1:8">
      <c r="A18" s="555" t="s">
        <v>312</v>
      </c>
      <c r="B18" s="80"/>
      <c r="C18" s="19"/>
      <c r="G18" s="1064">
        <f>+'ESTADO RED TEC'!K15</f>
        <v>18.911000000000001</v>
      </c>
      <c r="H18" s="1067">
        <f>+G18/G20</f>
        <v>0.344349757820751</v>
      </c>
    </row>
    <row r="19" spans="1:8">
      <c r="A19" s="82"/>
      <c r="B19" s="80"/>
      <c r="C19" s="19"/>
      <c r="G19" s="1064">
        <f>+'ESTADO RED TEC'!K16</f>
        <v>0</v>
      </c>
      <c r="H19" s="1068">
        <f>+G19/G20</f>
        <v>0</v>
      </c>
    </row>
    <row r="20" spans="1:8">
      <c r="A20" s="80"/>
      <c r="B20" s="80"/>
      <c r="C20" s="19"/>
      <c r="G20">
        <f>SUM(G15:G19)</f>
        <v>54.917999999999992</v>
      </c>
      <c r="H20" s="558">
        <f>SUM(H15:H19)</f>
        <v>1</v>
      </c>
    </row>
    <row r="21" spans="1:8">
      <c r="A21" s="80"/>
      <c r="B21" s="80"/>
      <c r="C21" s="19"/>
    </row>
    <row r="22" spans="1:8">
      <c r="A22" s="80"/>
      <c r="B22" s="80"/>
      <c r="C22" s="19"/>
    </row>
    <row r="23" spans="1:8">
      <c r="A23" s="80"/>
      <c r="B23" s="80"/>
      <c r="C23" s="19"/>
    </row>
    <row r="24" spans="1:8" ht="13.5" thickBot="1">
      <c r="A24" s="83"/>
      <c r="B24" s="83"/>
      <c r="C24" s="21"/>
    </row>
    <row r="26" spans="1:8">
      <c r="A26" s="884" t="s">
        <v>179</v>
      </c>
      <c r="B26" s="60"/>
    </row>
    <row r="27" spans="1:8">
      <c r="A27" s="339" t="s">
        <v>292</v>
      </c>
      <c r="B27" s="60"/>
    </row>
    <row r="28" spans="1:8">
      <c r="A28" s="6" t="s">
        <v>171</v>
      </c>
    </row>
    <row r="29" spans="1:8">
      <c r="A29" s="6" t="s">
        <v>173</v>
      </c>
    </row>
    <row r="30" spans="1:8">
      <c r="A30" s="6" t="s">
        <v>174</v>
      </c>
    </row>
    <row r="31" spans="1:8">
      <c r="A31" s="73" t="s">
        <v>293</v>
      </c>
      <c r="C31" s="362" t="s">
        <v>126</v>
      </c>
    </row>
  </sheetData>
  <mergeCells count="4">
    <mergeCell ref="A1:C1"/>
    <mergeCell ref="A2:C2"/>
    <mergeCell ref="A4:C4"/>
    <mergeCell ref="A6:C6"/>
  </mergeCells>
  <phoneticPr fontId="5" type="noConversion"/>
  <hyperlinks>
    <hyperlink ref="C31" location="'TABLA DE CONTENIDO'!A1" display="VOLVER A TABLA DE CONTENIDO" xr:uid="{00000000-0004-0000-0900-000000000000}"/>
  </hyperlinks>
  <printOptions horizontalCentered="1" verticalCentered="1"/>
  <pageMargins left="0.47244094488188981" right="0.51181102362204722" top="0.78740157480314965" bottom="0.6692913385826772" header="0" footer="0"/>
  <pageSetup orientation="portrait" horizontalDpi="300" verticalDpi="300"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H114"/>
  <sheetViews>
    <sheetView topLeftCell="A49" zoomScaleNormal="100" zoomScaleSheetLayoutView="100" zoomScalePageLayoutView="125" workbookViewId="0">
      <selection activeCell="J56" sqref="J56"/>
    </sheetView>
  </sheetViews>
  <sheetFormatPr defaultColWidth="11.42578125" defaultRowHeight="12.75"/>
  <cols>
    <col min="1" max="1" width="11.42578125" style="467" customWidth="1"/>
    <col min="2" max="2" width="12.42578125" style="467" customWidth="1"/>
    <col min="3" max="3" width="12.5703125" style="467" bestFit="1" customWidth="1"/>
    <col min="4" max="4" width="17.7109375" style="467" customWidth="1"/>
    <col min="5" max="5" width="11.42578125" style="467"/>
    <col min="6" max="6" width="11.42578125" style="467" customWidth="1"/>
    <col min="7" max="7" width="12" style="467" customWidth="1"/>
    <col min="8" max="8" width="11.42578125" style="467" customWidth="1"/>
    <col min="9" max="16384" width="11.42578125" style="467"/>
  </cols>
  <sheetData>
    <row r="1" spans="1:8" ht="20.100000000000001" customHeight="1">
      <c r="A1" s="1241" t="s">
        <v>313</v>
      </c>
      <c r="B1" s="1241"/>
      <c r="C1" s="1241"/>
      <c r="D1" s="1241"/>
      <c r="E1" s="1241"/>
      <c r="F1" s="1241"/>
      <c r="G1" s="1241"/>
      <c r="H1" s="1241"/>
    </row>
    <row r="2" spans="1:8" ht="18">
      <c r="A2" s="1242" t="s">
        <v>181</v>
      </c>
      <c r="B2" s="1242"/>
      <c r="C2" s="1242"/>
      <c r="D2" s="1242"/>
      <c r="E2" s="1242"/>
      <c r="F2" s="1242"/>
      <c r="G2" s="1242"/>
      <c r="H2" s="1242"/>
    </row>
    <row r="3" spans="1:8" ht="12.75" customHeight="1"/>
    <row r="4" spans="1:8" ht="12.75" customHeight="1"/>
    <row r="5" spans="1:8" ht="12.75" customHeight="1"/>
    <row r="6" spans="1:8" ht="17.100000000000001" customHeight="1">
      <c r="A6" s="1242" t="s">
        <v>314</v>
      </c>
      <c r="B6" s="1242"/>
      <c r="C6" s="1242"/>
      <c r="D6" s="1242"/>
      <c r="E6" s="1242"/>
      <c r="F6" s="1242"/>
      <c r="G6" s="1242"/>
      <c r="H6" s="1242"/>
    </row>
    <row r="7" spans="1:8" ht="17.100000000000001" customHeight="1">
      <c r="A7" s="1309" t="s">
        <v>315</v>
      </c>
      <c r="B7" s="1309"/>
      <c r="C7" s="1309"/>
      <c r="D7" s="1309"/>
      <c r="E7" s="1309"/>
      <c r="F7" s="1309"/>
      <c r="G7" s="1309"/>
      <c r="H7" s="1309"/>
    </row>
    <row r="8" spans="1:8" ht="12.75" customHeight="1" thickBot="1">
      <c r="A8" s="468"/>
      <c r="B8" s="468"/>
      <c r="C8" s="468"/>
      <c r="D8" s="468"/>
      <c r="E8" s="468"/>
      <c r="F8" s="468"/>
      <c r="G8" s="468"/>
      <c r="H8" s="468"/>
    </row>
    <row r="9" spans="1:8" ht="15" customHeight="1">
      <c r="A9" s="834"/>
      <c r="B9" s="835"/>
      <c r="C9" s="835"/>
      <c r="D9" s="835"/>
      <c r="E9" s="835"/>
      <c r="F9" s="835"/>
      <c r="G9" s="835"/>
      <c r="H9" s="836"/>
    </row>
    <row r="10" spans="1:8" ht="15" customHeight="1">
      <c r="A10" s="489"/>
      <c r="H10" s="837"/>
    </row>
    <row r="11" spans="1:8" ht="15" customHeight="1">
      <c r="A11" s="489"/>
      <c r="H11" s="837"/>
    </row>
    <row r="12" spans="1:8" ht="15" customHeight="1">
      <c r="A12" s="489"/>
      <c r="H12" s="837"/>
    </row>
    <row r="13" spans="1:8" ht="15" customHeight="1">
      <c r="A13" s="489"/>
      <c r="H13" s="837"/>
    </row>
    <row r="14" spans="1:8" ht="15" customHeight="1">
      <c r="A14" s="1305" t="s">
        <v>316</v>
      </c>
      <c r="B14" s="1306"/>
      <c r="C14" s="1306"/>
      <c r="D14" s="1306"/>
      <c r="E14" s="1306"/>
      <c r="F14" s="1306"/>
      <c r="G14" s="1306"/>
      <c r="H14" s="1307"/>
    </row>
    <row r="15" spans="1:8" ht="15" customHeight="1">
      <c r="A15" s="1305" t="s">
        <v>317</v>
      </c>
      <c r="B15" s="1306"/>
      <c r="C15" s="1306"/>
      <c r="D15" s="1306"/>
      <c r="E15" s="1306"/>
      <c r="F15" s="1306"/>
      <c r="G15" s="1306"/>
      <c r="H15" s="1307"/>
    </row>
    <row r="16" spans="1:8" ht="15" customHeight="1">
      <c r="A16" s="489"/>
      <c r="H16" s="837"/>
    </row>
    <row r="17" spans="1:8" ht="15" customHeight="1">
      <c r="A17" s="489"/>
      <c r="H17" s="837"/>
    </row>
    <row r="18" spans="1:8" ht="15" customHeight="1">
      <c r="A18" s="489"/>
      <c r="H18" s="837"/>
    </row>
    <row r="19" spans="1:8" ht="15" customHeight="1">
      <c r="A19" s="489"/>
      <c r="H19" s="837"/>
    </row>
    <row r="20" spans="1:8" ht="15" customHeight="1">
      <c r="A20" s="489"/>
      <c r="H20" s="837"/>
    </row>
    <row r="21" spans="1:8" ht="15" customHeight="1">
      <c r="A21" s="489"/>
      <c r="H21" s="837"/>
    </row>
    <row r="22" spans="1:8" ht="15" customHeight="1">
      <c r="A22" s="489"/>
      <c r="H22" s="837"/>
    </row>
    <row r="23" spans="1:8" ht="15" customHeight="1">
      <c r="A23" s="489"/>
      <c r="H23" s="837"/>
    </row>
    <row r="24" spans="1:8" ht="15" customHeight="1">
      <c r="A24" s="489"/>
      <c r="H24" s="837"/>
    </row>
    <row r="25" spans="1:8" ht="15" customHeight="1">
      <c r="A25" s="489"/>
      <c r="H25" s="837"/>
    </row>
    <row r="26" spans="1:8" ht="15" customHeight="1">
      <c r="A26" s="489"/>
      <c r="H26" s="837"/>
    </row>
    <row r="27" spans="1:8" ht="15" customHeight="1">
      <c r="A27" s="489"/>
      <c r="H27" s="837"/>
    </row>
    <row r="28" spans="1:8" ht="15" customHeight="1">
      <c r="A28" s="489"/>
      <c r="H28" s="837"/>
    </row>
    <row r="29" spans="1:8" ht="15" customHeight="1">
      <c r="A29" s="489"/>
      <c r="H29" s="837"/>
    </row>
    <row r="30" spans="1:8" ht="15" customHeight="1">
      <c r="A30" s="489"/>
      <c r="H30" s="837"/>
    </row>
    <row r="31" spans="1:8" ht="15" customHeight="1">
      <c r="A31" s="489"/>
      <c r="H31" s="837"/>
    </row>
    <row r="32" spans="1:8" ht="15" customHeight="1">
      <c r="A32" s="838"/>
      <c r="H32" s="837"/>
    </row>
    <row r="33" spans="1:8" ht="15" customHeight="1">
      <c r="A33" s="839"/>
      <c r="H33" s="837"/>
    </row>
    <row r="34" spans="1:8" ht="15" customHeight="1">
      <c r="A34" s="489"/>
      <c r="H34" s="837"/>
    </row>
    <row r="35" spans="1:8" ht="15" customHeight="1" thickBot="1">
      <c r="A35" s="840"/>
      <c r="B35" s="553"/>
      <c r="C35" s="553"/>
      <c r="D35" s="553"/>
      <c r="E35" s="553"/>
      <c r="F35" s="553"/>
      <c r="G35" s="553"/>
      <c r="H35" s="841"/>
    </row>
    <row r="36" spans="1:8" ht="15.95" customHeight="1">
      <c r="F36" s="842" t="s">
        <v>179</v>
      </c>
      <c r="G36" s="843"/>
    </row>
    <row r="37" spans="1:8" ht="16.5" customHeight="1">
      <c r="F37" s="844" t="s">
        <v>230</v>
      </c>
      <c r="G37" s="845" t="s">
        <v>292</v>
      </c>
    </row>
    <row r="38" spans="1:8">
      <c r="F38" s="846" t="s">
        <v>172</v>
      </c>
      <c r="G38" s="847" t="s">
        <v>171</v>
      </c>
    </row>
    <row r="39" spans="1:8">
      <c r="F39" s="848" t="s">
        <v>176</v>
      </c>
      <c r="G39" s="847" t="s">
        <v>173</v>
      </c>
    </row>
    <row r="40" spans="1:8">
      <c r="F40" s="849" t="s">
        <v>170</v>
      </c>
      <c r="G40" s="847" t="s">
        <v>174</v>
      </c>
    </row>
    <row r="41" spans="1:8" ht="11.25" customHeight="1">
      <c r="F41" s="850" t="s">
        <v>234</v>
      </c>
      <c r="G41" s="847" t="s">
        <v>293</v>
      </c>
    </row>
    <row r="42" spans="1:8" s="854" customFormat="1" ht="12.75" customHeight="1">
      <c r="A42" s="851" t="s">
        <v>318</v>
      </c>
      <c r="B42" s="852" t="s">
        <v>319</v>
      </c>
      <c r="C42" s="853"/>
      <c r="D42" s="853"/>
      <c r="E42" s="853"/>
      <c r="F42" s="467"/>
      <c r="G42" s="467"/>
      <c r="H42" s="467"/>
    </row>
    <row r="43" spans="1:8" s="854" customFormat="1" ht="12.75" customHeight="1">
      <c r="A43" s="851"/>
      <c r="B43" s="852" t="s">
        <v>320</v>
      </c>
      <c r="C43" s="853"/>
      <c r="D43" s="853"/>
      <c r="E43" s="853"/>
      <c r="F43" s="467"/>
      <c r="G43" s="467"/>
      <c r="H43" s="467"/>
    </row>
    <row r="44" spans="1:8" s="854" customFormat="1" ht="12.75" customHeight="1">
      <c r="A44" s="851"/>
      <c r="B44" s="852"/>
      <c r="C44" s="853"/>
      <c r="D44" s="853"/>
      <c r="E44" s="853"/>
      <c r="F44" s="467"/>
      <c r="G44" s="467"/>
      <c r="H44" s="467"/>
    </row>
    <row r="45" spans="1:8" s="855" customFormat="1" ht="12.75" customHeight="1" thickBot="1">
      <c r="A45" s="1308" t="s">
        <v>321</v>
      </c>
      <c r="B45" s="1308"/>
      <c r="C45" s="1308"/>
      <c r="D45" s="1308"/>
      <c r="E45" s="1308"/>
      <c r="F45" s="1308"/>
      <c r="G45" s="1308"/>
    </row>
    <row r="46" spans="1:8" s="855" customFormat="1" ht="18" customHeight="1">
      <c r="A46" s="1498" t="s">
        <v>322</v>
      </c>
      <c r="B46" s="1499" t="s">
        <v>323</v>
      </c>
      <c r="C46" s="1500" t="s">
        <v>187</v>
      </c>
      <c r="D46" s="1499" t="s">
        <v>324</v>
      </c>
      <c r="E46" s="1501" t="s">
        <v>325</v>
      </c>
      <c r="F46" s="1501"/>
      <c r="G46" s="1502"/>
      <c r="H46" s="854"/>
    </row>
    <row r="47" spans="1:8" s="855" customFormat="1" ht="20.25" customHeight="1">
      <c r="A47" s="856">
        <v>1</v>
      </c>
      <c r="B47" s="857">
        <v>5601</v>
      </c>
      <c r="C47" s="859" t="s">
        <v>326</v>
      </c>
      <c r="D47" s="858" t="s">
        <v>327</v>
      </c>
      <c r="E47" s="1303" t="s">
        <v>328</v>
      </c>
      <c r="F47" s="1303" t="s">
        <v>329</v>
      </c>
      <c r="G47" s="1304"/>
      <c r="H47" s="467"/>
    </row>
    <row r="48" spans="1:8" s="855" customFormat="1" ht="27" customHeight="1">
      <c r="A48" s="856">
        <v>2</v>
      </c>
      <c r="B48" s="857">
        <v>5601</v>
      </c>
      <c r="C48" s="859" t="s">
        <v>330</v>
      </c>
      <c r="D48" s="858" t="s">
        <v>331</v>
      </c>
      <c r="E48" s="1303" t="s">
        <v>332</v>
      </c>
      <c r="F48" s="1303" t="s">
        <v>333</v>
      </c>
      <c r="G48" s="1304"/>
    </row>
    <row r="49" spans="1:8" s="855" customFormat="1" ht="28.5" customHeight="1">
      <c r="A49" s="856">
        <v>3</v>
      </c>
      <c r="B49" s="857">
        <v>5601</v>
      </c>
      <c r="C49" s="858" t="s">
        <v>330</v>
      </c>
      <c r="D49" s="858" t="s">
        <v>334</v>
      </c>
      <c r="E49" s="1303" t="s">
        <v>335</v>
      </c>
      <c r="F49" s="1303"/>
      <c r="G49" s="1304"/>
    </row>
    <row r="50" spans="1:8" s="855" customFormat="1" ht="28.5" customHeight="1">
      <c r="A50" s="856">
        <v>4</v>
      </c>
      <c r="B50" s="857">
        <v>5601</v>
      </c>
      <c r="C50" s="858" t="s">
        <v>330</v>
      </c>
      <c r="D50" s="858" t="s">
        <v>336</v>
      </c>
      <c r="E50" s="1310" t="s">
        <v>337</v>
      </c>
      <c r="F50" s="1311"/>
      <c r="G50" s="1312"/>
    </row>
    <row r="51" spans="1:8" s="855" customFormat="1" ht="39" customHeight="1">
      <c r="A51" s="856">
        <v>5</v>
      </c>
      <c r="B51" s="857">
        <v>5601</v>
      </c>
      <c r="C51" s="858" t="s">
        <v>330</v>
      </c>
      <c r="D51" s="858" t="s">
        <v>338</v>
      </c>
      <c r="E51" s="1310" t="s">
        <v>339</v>
      </c>
      <c r="F51" s="1311"/>
      <c r="G51" s="1312"/>
    </row>
    <row r="52" spans="1:8" s="855" customFormat="1" ht="36" customHeight="1">
      <c r="A52" s="856">
        <v>6</v>
      </c>
      <c r="B52" s="857">
        <v>5601</v>
      </c>
      <c r="C52" s="858" t="s">
        <v>340</v>
      </c>
      <c r="D52" s="858" t="s">
        <v>341</v>
      </c>
      <c r="E52" s="1303" t="s">
        <v>342</v>
      </c>
      <c r="F52" s="1303"/>
      <c r="G52" s="1304"/>
    </row>
    <row r="53" spans="1:8" s="855" customFormat="1" ht="36" customHeight="1">
      <c r="A53" s="856">
        <v>7</v>
      </c>
      <c r="B53" s="857">
        <v>5601</v>
      </c>
      <c r="C53" s="858" t="s">
        <v>343</v>
      </c>
      <c r="D53" s="858" t="s">
        <v>344</v>
      </c>
      <c r="E53" s="1310" t="s">
        <v>345</v>
      </c>
      <c r="F53" s="1311"/>
      <c r="G53" s="1312"/>
    </row>
    <row r="54" spans="1:8" s="855" customFormat="1" ht="26.1" customHeight="1">
      <c r="A54" s="856">
        <v>8</v>
      </c>
      <c r="B54" s="857">
        <v>5601</v>
      </c>
      <c r="C54" s="859" t="s">
        <v>343</v>
      </c>
      <c r="D54" s="858" t="s">
        <v>346</v>
      </c>
      <c r="E54" s="1303" t="s">
        <v>347</v>
      </c>
      <c r="F54" s="1303" t="s">
        <v>348</v>
      </c>
      <c r="G54" s="1304"/>
    </row>
    <row r="55" spans="1:8" s="855" customFormat="1" ht="26.1" customHeight="1">
      <c r="A55" s="856">
        <v>9</v>
      </c>
      <c r="B55" s="857">
        <v>5601</v>
      </c>
      <c r="C55" s="859" t="s">
        <v>349</v>
      </c>
      <c r="D55" s="858" t="s">
        <v>350</v>
      </c>
      <c r="E55" s="1310" t="s">
        <v>351</v>
      </c>
      <c r="F55" s="1311"/>
      <c r="G55" s="1312"/>
    </row>
    <row r="56" spans="1:8" s="855" customFormat="1" ht="27" customHeight="1">
      <c r="A56" s="856">
        <v>10</v>
      </c>
      <c r="B56" s="857">
        <v>5601</v>
      </c>
      <c r="C56" s="859" t="s">
        <v>349</v>
      </c>
      <c r="D56" s="858" t="s">
        <v>352</v>
      </c>
      <c r="E56" s="1303" t="s">
        <v>353</v>
      </c>
      <c r="F56" s="1303"/>
      <c r="G56" s="1304"/>
    </row>
    <row r="57" spans="1:8" s="855" customFormat="1" ht="38.25" customHeight="1">
      <c r="A57" s="856">
        <v>11</v>
      </c>
      <c r="B57" s="857">
        <v>5601</v>
      </c>
      <c r="C57" s="859" t="s">
        <v>354</v>
      </c>
      <c r="D57" s="858" t="s">
        <v>355</v>
      </c>
      <c r="E57" s="1303" t="s">
        <v>356</v>
      </c>
      <c r="F57" s="1303" t="s">
        <v>357</v>
      </c>
      <c r="G57" s="1304"/>
    </row>
    <row r="58" spans="1:8" s="855" customFormat="1" ht="38.25" customHeight="1">
      <c r="A58" s="856">
        <v>12</v>
      </c>
      <c r="B58" s="857">
        <v>5601</v>
      </c>
      <c r="C58" s="859" t="s">
        <v>354</v>
      </c>
      <c r="D58" s="858" t="s">
        <v>358</v>
      </c>
      <c r="E58" s="1310" t="s">
        <v>359</v>
      </c>
      <c r="F58" s="1311"/>
      <c r="G58" s="1312"/>
    </row>
    <row r="59" spans="1:8" s="855" customFormat="1" ht="38.25" customHeight="1">
      <c r="A59" s="856">
        <v>13</v>
      </c>
      <c r="B59" s="857">
        <v>5601</v>
      </c>
      <c r="C59" s="859" t="s">
        <v>354</v>
      </c>
      <c r="D59" s="858" t="s">
        <v>360</v>
      </c>
      <c r="E59" s="1310" t="s">
        <v>361</v>
      </c>
      <c r="F59" s="1311"/>
      <c r="G59" s="1312"/>
    </row>
    <row r="60" spans="1:8" s="855" customFormat="1" ht="52.5" customHeight="1">
      <c r="A60" s="856">
        <v>14</v>
      </c>
      <c r="B60" s="857">
        <v>5601</v>
      </c>
      <c r="C60" s="859" t="s">
        <v>354</v>
      </c>
      <c r="D60" s="858" t="s">
        <v>362</v>
      </c>
      <c r="E60" s="1303" t="s">
        <v>363</v>
      </c>
      <c r="F60" s="1303" t="s">
        <v>364</v>
      </c>
      <c r="G60" s="1304"/>
    </row>
    <row r="61" spans="1:8" s="855" customFormat="1" ht="50.25" customHeight="1">
      <c r="A61" s="856">
        <v>15</v>
      </c>
      <c r="B61" s="857">
        <v>5601</v>
      </c>
      <c r="C61" s="859" t="s">
        <v>354</v>
      </c>
      <c r="D61" s="858" t="s">
        <v>365</v>
      </c>
      <c r="E61" s="1303" t="s">
        <v>366</v>
      </c>
      <c r="F61" s="1303" t="s">
        <v>364</v>
      </c>
      <c r="G61" s="1304"/>
    </row>
    <row r="62" spans="1:8" s="855" customFormat="1" ht="28.5" customHeight="1" thickBot="1">
      <c r="A62" s="856">
        <v>16</v>
      </c>
      <c r="B62" s="860">
        <v>5601</v>
      </c>
      <c r="C62" s="861" t="s">
        <v>367</v>
      </c>
      <c r="D62" s="862" t="s">
        <v>368</v>
      </c>
      <c r="E62" s="1313" t="s">
        <v>347</v>
      </c>
      <c r="F62" s="1314" t="s">
        <v>348</v>
      </c>
      <c r="G62" s="1315"/>
      <c r="H62" s="491"/>
    </row>
    <row r="63" spans="1:8" s="855" customFormat="1" ht="12.75" customHeight="1">
      <c r="A63" s="863"/>
      <c r="B63" s="863"/>
      <c r="C63" s="864"/>
      <c r="D63" s="865"/>
      <c r="E63" s="866"/>
      <c r="F63" s="866"/>
      <c r="G63" s="866"/>
      <c r="H63" s="491"/>
    </row>
    <row r="64" spans="1:8" s="855" customFormat="1">
      <c r="B64" s="867"/>
      <c r="C64" s="863"/>
      <c r="D64" s="863"/>
      <c r="E64" s="1231" t="s">
        <v>369</v>
      </c>
      <c r="F64" s="1231"/>
      <c r="G64" s="1231"/>
      <c r="H64" s="1231"/>
    </row>
    <row r="65" spans="2:7" s="855" customFormat="1">
      <c r="B65" s="867"/>
      <c r="C65" s="863"/>
      <c r="D65" s="863"/>
      <c r="E65" s="868"/>
      <c r="F65" s="868"/>
      <c r="G65" s="868"/>
    </row>
    <row r="66" spans="2:7" s="855" customFormat="1">
      <c r="B66" s="867"/>
      <c r="C66" s="863"/>
      <c r="D66" s="863"/>
      <c r="E66" s="868"/>
      <c r="F66" s="868"/>
      <c r="G66" s="868"/>
    </row>
    <row r="67" spans="2:7" s="855" customFormat="1">
      <c r="B67" s="867"/>
      <c r="C67" s="863"/>
      <c r="D67" s="863"/>
      <c r="E67" s="868"/>
      <c r="F67" s="868"/>
      <c r="G67" s="868"/>
    </row>
    <row r="68" spans="2:7" s="855" customFormat="1">
      <c r="B68" s="867"/>
      <c r="C68" s="863"/>
      <c r="D68" s="863"/>
      <c r="E68" s="868"/>
      <c r="F68" s="868"/>
      <c r="G68" s="868"/>
    </row>
    <row r="69" spans="2:7" s="855" customFormat="1">
      <c r="B69" s="867"/>
      <c r="C69" s="863"/>
      <c r="D69" s="863"/>
      <c r="E69" s="868"/>
      <c r="F69" s="868"/>
      <c r="G69" s="868"/>
    </row>
    <row r="70" spans="2:7" s="855" customFormat="1">
      <c r="B70" s="867"/>
      <c r="C70" s="863"/>
      <c r="D70" s="863"/>
      <c r="E70" s="868"/>
      <c r="F70" s="868"/>
      <c r="G70" s="868"/>
    </row>
    <row r="71" spans="2:7" s="855" customFormat="1">
      <c r="B71" s="867"/>
      <c r="C71" s="863"/>
      <c r="D71" s="863"/>
      <c r="E71" s="868"/>
      <c r="F71" s="868"/>
      <c r="G71" s="868"/>
    </row>
    <row r="72" spans="2:7" s="855" customFormat="1">
      <c r="B72" s="867"/>
      <c r="C72" s="863"/>
      <c r="D72" s="863"/>
      <c r="E72" s="868"/>
      <c r="F72" s="868"/>
      <c r="G72" s="868"/>
    </row>
    <row r="73" spans="2:7" s="855" customFormat="1">
      <c r="B73" s="867"/>
      <c r="C73" s="863"/>
      <c r="D73" s="863"/>
      <c r="E73" s="868"/>
      <c r="F73" s="868"/>
      <c r="G73" s="868"/>
    </row>
    <row r="74" spans="2:7" s="855" customFormat="1">
      <c r="B74" s="867"/>
      <c r="C74" s="863"/>
      <c r="D74" s="863"/>
      <c r="E74" s="868"/>
      <c r="F74" s="868"/>
      <c r="G74" s="868"/>
    </row>
    <row r="75" spans="2:7" s="855" customFormat="1">
      <c r="B75" s="867"/>
      <c r="C75" s="863"/>
      <c r="D75" s="863"/>
      <c r="E75" s="868"/>
      <c r="F75" s="868"/>
      <c r="G75" s="868"/>
    </row>
    <row r="76" spans="2:7" s="855" customFormat="1">
      <c r="B76" s="867"/>
      <c r="C76" s="863"/>
      <c r="D76" s="863"/>
      <c r="E76" s="868"/>
      <c r="F76" s="868"/>
      <c r="G76" s="868"/>
    </row>
    <row r="77" spans="2:7" s="855" customFormat="1">
      <c r="B77" s="867"/>
      <c r="C77" s="863"/>
      <c r="D77" s="863"/>
      <c r="E77" s="868"/>
      <c r="F77" s="868"/>
      <c r="G77" s="868"/>
    </row>
    <row r="78" spans="2:7" s="855" customFormat="1">
      <c r="B78" s="867"/>
      <c r="C78" s="863"/>
      <c r="D78" s="863"/>
      <c r="E78" s="868"/>
      <c r="F78" s="868"/>
      <c r="G78" s="868"/>
    </row>
    <row r="79" spans="2:7" s="855" customFormat="1">
      <c r="B79" s="867"/>
      <c r="C79" s="863"/>
      <c r="D79" s="863"/>
      <c r="E79" s="868"/>
      <c r="F79" s="868"/>
      <c r="G79" s="868"/>
    </row>
    <row r="80" spans="2:7" s="855" customFormat="1">
      <c r="B80" s="867"/>
      <c r="C80" s="863"/>
      <c r="D80" s="863"/>
      <c r="E80" s="868"/>
      <c r="F80" s="868"/>
      <c r="G80" s="868"/>
    </row>
    <row r="81" spans="2:7" s="855" customFormat="1">
      <c r="B81" s="867"/>
      <c r="C81" s="863"/>
      <c r="D81" s="863"/>
      <c r="E81" s="868"/>
      <c r="F81" s="868"/>
      <c r="G81" s="868"/>
    </row>
    <row r="82" spans="2:7" s="855" customFormat="1">
      <c r="B82" s="867"/>
      <c r="C82" s="863"/>
      <c r="D82" s="863"/>
      <c r="E82" s="868"/>
      <c r="F82" s="868"/>
      <c r="G82" s="868"/>
    </row>
    <row r="83" spans="2:7" s="855" customFormat="1">
      <c r="B83" s="867"/>
      <c r="C83" s="863"/>
      <c r="D83" s="863"/>
      <c r="E83" s="868"/>
      <c r="F83" s="868"/>
      <c r="G83" s="868"/>
    </row>
    <row r="84" spans="2:7" s="855" customFormat="1">
      <c r="B84" s="867"/>
      <c r="C84" s="863"/>
      <c r="D84" s="863"/>
      <c r="E84" s="868"/>
      <c r="F84" s="868"/>
      <c r="G84" s="868"/>
    </row>
    <row r="85" spans="2:7" s="855" customFormat="1">
      <c r="B85" s="867"/>
      <c r="C85" s="863"/>
      <c r="D85" s="863"/>
      <c r="E85" s="868"/>
      <c r="F85" s="868"/>
      <c r="G85" s="868"/>
    </row>
    <row r="86" spans="2:7" s="855" customFormat="1">
      <c r="B86" s="867"/>
      <c r="C86" s="863"/>
      <c r="D86" s="863"/>
      <c r="E86" s="868"/>
      <c r="F86" s="868"/>
      <c r="G86" s="868"/>
    </row>
    <row r="87" spans="2:7" s="855" customFormat="1">
      <c r="B87" s="867"/>
      <c r="C87" s="863"/>
      <c r="D87" s="863"/>
      <c r="E87" s="868"/>
      <c r="F87" s="868"/>
      <c r="G87" s="868"/>
    </row>
    <row r="88" spans="2:7" s="855" customFormat="1">
      <c r="B88" s="867"/>
      <c r="C88" s="863"/>
      <c r="D88" s="863"/>
      <c r="E88" s="868"/>
      <c r="F88" s="868"/>
      <c r="G88" s="868"/>
    </row>
    <row r="89" spans="2:7" s="855" customFormat="1">
      <c r="B89" s="867"/>
      <c r="C89" s="863"/>
      <c r="D89" s="863"/>
      <c r="E89" s="868"/>
      <c r="F89" s="868"/>
      <c r="G89" s="868"/>
    </row>
    <row r="90" spans="2:7" s="855" customFormat="1">
      <c r="B90" s="867"/>
      <c r="C90" s="863"/>
      <c r="D90" s="863"/>
      <c r="E90" s="868"/>
      <c r="F90" s="868"/>
      <c r="G90" s="868"/>
    </row>
    <row r="91" spans="2:7" s="855" customFormat="1">
      <c r="B91" s="867"/>
      <c r="C91" s="863"/>
      <c r="D91" s="863"/>
      <c r="E91" s="868"/>
      <c r="F91" s="868"/>
      <c r="G91" s="868"/>
    </row>
    <row r="92" spans="2:7" s="855" customFormat="1">
      <c r="B92" s="867"/>
      <c r="C92" s="863"/>
      <c r="D92" s="863"/>
      <c r="E92" s="868"/>
      <c r="F92" s="868"/>
      <c r="G92" s="868"/>
    </row>
    <row r="93" spans="2:7" s="855" customFormat="1">
      <c r="B93" s="867"/>
      <c r="C93" s="863"/>
      <c r="D93" s="863"/>
      <c r="E93" s="868"/>
      <c r="F93" s="868"/>
      <c r="G93" s="868"/>
    </row>
    <row r="94" spans="2:7" s="855" customFormat="1">
      <c r="B94" s="867"/>
      <c r="C94" s="863"/>
      <c r="D94" s="863"/>
      <c r="E94" s="868"/>
      <c r="F94" s="868"/>
      <c r="G94" s="868"/>
    </row>
    <row r="95" spans="2:7" s="855" customFormat="1">
      <c r="B95" s="867"/>
      <c r="C95" s="863"/>
      <c r="D95" s="863"/>
      <c r="E95" s="868"/>
      <c r="F95" s="868"/>
      <c r="G95" s="868"/>
    </row>
    <row r="96" spans="2:7" s="855" customFormat="1">
      <c r="B96" s="867"/>
      <c r="C96" s="863"/>
      <c r="D96" s="863"/>
      <c r="E96" s="868"/>
      <c r="F96" s="868"/>
      <c r="G96" s="868"/>
    </row>
    <row r="97" spans="1:8" s="855" customFormat="1">
      <c r="B97" s="867"/>
      <c r="C97" s="863"/>
      <c r="D97" s="863"/>
      <c r="E97" s="868"/>
      <c r="F97" s="868"/>
      <c r="G97" s="868"/>
    </row>
    <row r="98" spans="1:8" s="855" customFormat="1">
      <c r="B98" s="867"/>
      <c r="C98" s="863"/>
      <c r="D98" s="863"/>
      <c r="E98" s="868"/>
      <c r="F98" s="868"/>
      <c r="G98" s="868"/>
    </row>
    <row r="99" spans="1:8" s="855" customFormat="1">
      <c r="B99" s="867"/>
      <c r="C99" s="863"/>
      <c r="D99" s="863"/>
      <c r="E99" s="868"/>
      <c r="F99" s="868"/>
      <c r="G99" s="868"/>
    </row>
    <row r="100" spans="1:8" s="855" customFormat="1">
      <c r="B100" s="867"/>
      <c r="C100" s="863"/>
      <c r="D100" s="863"/>
      <c r="E100" s="868"/>
      <c r="F100" s="868"/>
      <c r="G100" s="868"/>
    </row>
    <row r="101" spans="1:8" s="855" customFormat="1">
      <c r="B101" s="867"/>
      <c r="C101" s="863"/>
      <c r="D101" s="863"/>
      <c r="E101" s="868"/>
      <c r="F101" s="868"/>
      <c r="G101" s="868"/>
    </row>
    <row r="102" spans="1:8" s="855" customFormat="1">
      <c r="B102" s="867"/>
      <c r="C102" s="863"/>
      <c r="D102" s="863"/>
      <c r="E102" s="868"/>
      <c r="F102" s="868"/>
      <c r="G102" s="868"/>
    </row>
    <row r="103" spans="1:8" s="855" customFormat="1">
      <c r="B103" s="867"/>
      <c r="C103" s="863"/>
      <c r="D103" s="863"/>
      <c r="E103" s="868"/>
      <c r="F103" s="868"/>
      <c r="G103" s="868"/>
    </row>
    <row r="104" spans="1:8" s="855" customFormat="1">
      <c r="B104" s="867"/>
      <c r="C104" s="863"/>
      <c r="D104" s="863"/>
      <c r="E104" s="868"/>
      <c r="F104" s="868"/>
      <c r="G104" s="868"/>
    </row>
    <row r="105" spans="1:8" s="855" customFormat="1">
      <c r="B105" s="867"/>
      <c r="C105" s="863"/>
      <c r="D105" s="863"/>
      <c r="E105" s="868"/>
      <c r="F105" s="868"/>
      <c r="G105" s="868"/>
    </row>
    <row r="106" spans="1:8" s="855" customFormat="1">
      <c r="B106" s="867"/>
      <c r="C106" s="863"/>
      <c r="D106" s="863"/>
      <c r="E106" s="868"/>
      <c r="F106" s="868"/>
      <c r="G106" s="868"/>
    </row>
    <row r="107" spans="1:8" s="855" customFormat="1">
      <c r="B107" s="867"/>
      <c r="C107" s="863"/>
      <c r="D107" s="863"/>
      <c r="E107" s="868"/>
      <c r="F107" s="868"/>
      <c r="G107" s="868"/>
    </row>
    <row r="108" spans="1:8" s="855" customFormat="1">
      <c r="B108" s="867"/>
      <c r="C108" s="863"/>
      <c r="D108" s="863"/>
      <c r="E108" s="868"/>
      <c r="F108" s="868"/>
      <c r="G108" s="868"/>
    </row>
    <row r="109" spans="1:8" s="855" customFormat="1">
      <c r="B109" s="867"/>
      <c r="C109" s="863"/>
      <c r="D109" s="863"/>
      <c r="E109" s="868"/>
      <c r="F109" s="868"/>
      <c r="G109" s="868"/>
    </row>
    <row r="110" spans="1:8" s="855" customFormat="1">
      <c r="B110" s="867"/>
      <c r="C110" s="863"/>
      <c r="D110" s="863"/>
      <c r="E110" s="868"/>
      <c r="F110" s="868"/>
      <c r="G110" s="868"/>
    </row>
    <row r="111" spans="1:8">
      <c r="A111" s="855"/>
      <c r="B111" s="867"/>
      <c r="C111" s="863"/>
      <c r="D111" s="863"/>
      <c r="E111" s="868"/>
      <c r="F111" s="868"/>
      <c r="G111" s="868"/>
      <c r="H111" s="855"/>
    </row>
    <row r="112" spans="1:8">
      <c r="A112" s="855"/>
      <c r="B112" s="867"/>
      <c r="C112" s="863"/>
      <c r="D112" s="863"/>
      <c r="E112" s="868"/>
      <c r="F112" s="868"/>
      <c r="G112" s="868"/>
      <c r="H112" s="855"/>
    </row>
    <row r="113" spans="2:8">
      <c r="B113" s="867"/>
      <c r="C113" s="863"/>
      <c r="D113" s="863"/>
      <c r="E113" s="868"/>
      <c r="F113" s="868"/>
      <c r="G113" s="868"/>
    </row>
    <row r="114" spans="2:8">
      <c r="H114" s="869"/>
    </row>
  </sheetData>
  <mergeCells count="25">
    <mergeCell ref="E64:H64"/>
    <mergeCell ref="E49:G49"/>
    <mergeCell ref="E52:G52"/>
    <mergeCell ref="E54:G54"/>
    <mergeCell ref="E56:G56"/>
    <mergeCell ref="E57:G57"/>
    <mergeCell ref="E58:G58"/>
    <mergeCell ref="E59:G59"/>
    <mergeCell ref="E60:G60"/>
    <mergeCell ref="E62:G62"/>
    <mergeCell ref="E61:G61"/>
    <mergeCell ref="E50:G50"/>
    <mergeCell ref="E51:G51"/>
    <mergeCell ref="E53:G53"/>
    <mergeCell ref="E55:G55"/>
    <mergeCell ref="A1:H1"/>
    <mergeCell ref="A2:H2"/>
    <mergeCell ref="A6:H6"/>
    <mergeCell ref="A7:H7"/>
    <mergeCell ref="A14:H14"/>
    <mergeCell ref="E48:G48"/>
    <mergeCell ref="A15:H15"/>
    <mergeCell ref="A45:G45"/>
    <mergeCell ref="E46:G46"/>
    <mergeCell ref="E47:G47"/>
  </mergeCells>
  <hyperlinks>
    <hyperlink ref="E64" location="'TABLA DE CONTENIDO'!A1" display="VOLVER A LA TABLA DE CONTENIDO" xr:uid="{00000000-0004-0000-0A00-000000000000}"/>
    <hyperlink ref="E64:H64" location="'TABLA DE CONTENIDO'!A1" display="VOLVER A LA TABLA DE CONTENIDO" xr:uid="{00000000-0004-0000-0A00-000001000000}"/>
  </hyperlinks>
  <printOptions horizontalCentered="1"/>
  <pageMargins left="0.59" right="0.59" top="0.59" bottom="0.67" header="0.51" footer="0.51"/>
  <pageSetup orientation="portrait" horizontalDpi="720" verticalDpi="720"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A1:K44"/>
  <sheetViews>
    <sheetView topLeftCell="A16" workbookViewId="0">
      <selection activeCell="F10" sqref="F10"/>
    </sheetView>
  </sheetViews>
  <sheetFormatPr defaultColWidth="11.42578125" defaultRowHeight="12.75"/>
  <cols>
    <col min="1" max="1" width="26.85546875" customWidth="1"/>
    <col min="2" max="2" width="8" customWidth="1"/>
    <col min="3" max="3" width="9" customWidth="1"/>
    <col min="4" max="4" width="9.140625" customWidth="1"/>
    <col min="5" max="5" width="24.7109375" customWidth="1"/>
    <col min="6" max="6" width="19.5703125" customWidth="1"/>
    <col min="7" max="7" width="26.42578125" customWidth="1"/>
  </cols>
  <sheetData>
    <row r="1" spans="1:10" s="38" customFormat="1" ht="23.25">
      <c r="A1" s="1228" t="s">
        <v>1</v>
      </c>
      <c r="B1" s="1228"/>
      <c r="C1" s="1228"/>
      <c r="D1" s="1228"/>
      <c r="E1" s="1228"/>
      <c r="F1" s="1228"/>
      <c r="G1" s="1228"/>
    </row>
    <row r="2" spans="1:10" s="38" customFormat="1" ht="18">
      <c r="A2" s="1229" t="s">
        <v>84</v>
      </c>
      <c r="B2" s="1229"/>
      <c r="C2" s="1229"/>
      <c r="D2" s="1229"/>
      <c r="E2" s="1229"/>
      <c r="F2" s="1229"/>
      <c r="G2" s="1229"/>
    </row>
    <row r="3" spans="1:10" s="38" customFormat="1">
      <c r="A3" s="44"/>
      <c r="B3" s="44"/>
      <c r="C3" s="37"/>
      <c r="D3" s="37"/>
      <c r="E3" s="37"/>
      <c r="F3" s="37"/>
      <c r="G3" s="37"/>
    </row>
    <row r="4" spans="1:10" s="38" customFormat="1" ht="18">
      <c r="A4" s="1229" t="s">
        <v>370</v>
      </c>
      <c r="B4" s="1229"/>
      <c r="C4" s="1229"/>
      <c r="D4" s="1229"/>
      <c r="E4" s="1229"/>
      <c r="F4" s="1229"/>
      <c r="G4" s="1229"/>
    </row>
    <row r="5" spans="1:10" s="38" customFormat="1">
      <c r="A5" s="44"/>
      <c r="B5" s="44"/>
      <c r="C5" s="37"/>
      <c r="D5" s="37"/>
      <c r="E5" s="37"/>
      <c r="F5" s="37"/>
      <c r="G5" s="37"/>
    </row>
    <row r="6" spans="1:10" s="38" customFormat="1" ht="18">
      <c r="A6" s="1229" t="s">
        <v>371</v>
      </c>
      <c r="B6" s="1229"/>
      <c r="C6" s="1229"/>
      <c r="D6" s="1229"/>
      <c r="E6" s="1229"/>
      <c r="F6" s="1229"/>
      <c r="G6" s="1229"/>
    </row>
    <row r="7" spans="1:10" s="38" customFormat="1" ht="12" customHeight="1">
      <c r="A7" s="1431" t="s">
        <v>372</v>
      </c>
      <c r="B7" s="1431"/>
      <c r="C7" s="1431"/>
      <c r="D7" s="1431"/>
      <c r="E7" s="1431"/>
      <c r="F7" s="1431"/>
      <c r="G7" s="1431"/>
    </row>
    <row r="8" spans="1:10" s="38" customFormat="1" ht="12" customHeight="1">
      <c r="A8"/>
      <c r="B8" s="50"/>
    </row>
    <row r="9" spans="1:10" s="38" customFormat="1" ht="12" customHeight="1">
      <c r="A9" s="173" t="s">
        <v>130</v>
      </c>
      <c r="B9" s="310" t="s">
        <v>88</v>
      </c>
      <c r="C9" s="312"/>
      <c r="D9" s="312"/>
      <c r="E9" s="312"/>
      <c r="F9" s="92" t="s">
        <v>373</v>
      </c>
      <c r="G9" s="313"/>
    </row>
    <row r="10" spans="1:10" ht="13.5" thickBot="1"/>
    <row r="11" spans="1:10" s="24" customFormat="1" ht="41.25" customHeight="1" thickBot="1">
      <c r="A11" s="132" t="s">
        <v>106</v>
      </c>
      <c r="B11" s="127" t="s">
        <v>107</v>
      </c>
      <c r="C11" s="138" t="s">
        <v>374</v>
      </c>
      <c r="D11" s="127" t="s">
        <v>375</v>
      </c>
      <c r="E11" s="133" t="s">
        <v>376</v>
      </c>
      <c r="F11" s="133" t="s">
        <v>377</v>
      </c>
      <c r="G11" s="134" t="s">
        <v>113</v>
      </c>
    </row>
    <row r="12" spans="1:10" ht="51">
      <c r="A12" s="794" t="s">
        <v>299</v>
      </c>
      <c r="B12" s="795">
        <v>5601</v>
      </c>
      <c r="C12" s="871" t="s">
        <v>378</v>
      </c>
      <c r="D12" s="796"/>
      <c r="E12" s="797" t="s">
        <v>379</v>
      </c>
      <c r="F12" s="798">
        <f>+'CANT OBRA'!H607</f>
        <v>45360053</v>
      </c>
      <c r="G12" s="799"/>
      <c r="H12" s="9"/>
      <c r="J12" s="821"/>
    </row>
    <row r="13" spans="1:10" ht="38.25">
      <c r="A13" s="800" t="s">
        <v>299</v>
      </c>
      <c r="B13" s="801">
        <v>5601</v>
      </c>
      <c r="C13" s="815" t="s">
        <v>380</v>
      </c>
      <c r="D13" s="802"/>
      <c r="E13" s="803" t="s">
        <v>381</v>
      </c>
      <c r="F13" s="804">
        <f>+'CANT OBRA'!H623</f>
        <v>59110699</v>
      </c>
      <c r="G13" s="805"/>
      <c r="H13" s="9"/>
      <c r="J13" s="821"/>
    </row>
    <row r="14" spans="1:10" ht="38.25">
      <c r="A14" s="800" t="s">
        <v>299</v>
      </c>
      <c r="B14" s="801">
        <v>5601</v>
      </c>
      <c r="C14" s="815" t="s">
        <v>382</v>
      </c>
      <c r="D14" s="802"/>
      <c r="E14" s="803" t="s">
        <v>381</v>
      </c>
      <c r="F14" s="804">
        <f>+'CANT OBRA'!H639</f>
        <v>45137254</v>
      </c>
      <c r="G14" s="805"/>
      <c r="H14" s="9"/>
      <c r="J14" s="821"/>
    </row>
    <row r="15" spans="1:10" ht="51">
      <c r="A15" s="806" t="s">
        <v>299</v>
      </c>
      <c r="B15" s="807">
        <v>5601</v>
      </c>
      <c r="C15" s="820" t="s">
        <v>383</v>
      </c>
      <c r="D15" s="808"/>
      <c r="E15" s="809" t="s">
        <v>384</v>
      </c>
      <c r="F15" s="1076">
        <f>+'CANT OBRA'!H650</f>
        <v>9819791</v>
      </c>
      <c r="G15" s="810"/>
      <c r="H15" s="9"/>
      <c r="J15" s="821"/>
    </row>
    <row r="16" spans="1:10" ht="36.75" customHeight="1">
      <c r="A16" s="811" t="s">
        <v>299</v>
      </c>
      <c r="B16" s="811">
        <v>5601</v>
      </c>
      <c r="C16" s="872" t="s">
        <v>385</v>
      </c>
      <c r="D16" s="811"/>
      <c r="E16" s="812" t="s">
        <v>386</v>
      </c>
      <c r="F16" s="1075">
        <f>+'CANT OBRA'!H668</f>
        <v>53009483</v>
      </c>
      <c r="G16" s="813"/>
      <c r="H16" s="9"/>
    </row>
    <row r="17" spans="1:11" ht="38.25">
      <c r="A17" s="814" t="s">
        <v>299</v>
      </c>
      <c r="B17" s="811">
        <v>5601</v>
      </c>
      <c r="C17" s="872" t="s">
        <v>387</v>
      </c>
      <c r="D17" s="811"/>
      <c r="E17" s="812" t="s">
        <v>388</v>
      </c>
      <c r="F17" s="1075">
        <f>+'CANT OBRA'!H961</f>
        <v>2954856</v>
      </c>
      <c r="G17" s="813"/>
      <c r="H17" s="9"/>
    </row>
    <row r="18" spans="1:11" ht="38.25">
      <c r="A18" s="800" t="s">
        <v>299</v>
      </c>
      <c r="B18" s="801">
        <v>5601</v>
      </c>
      <c r="C18" s="815" t="s">
        <v>389</v>
      </c>
      <c r="D18" s="802"/>
      <c r="E18" s="816" t="s">
        <v>388</v>
      </c>
      <c r="F18" s="1075">
        <f>+'CANT OBRA'!H970</f>
        <v>2178500</v>
      </c>
      <c r="G18" s="805"/>
      <c r="H18" s="9"/>
      <c r="J18" s="821"/>
      <c r="K18" s="822"/>
    </row>
    <row r="19" spans="1:11" ht="38.25">
      <c r="A19" s="800" t="s">
        <v>299</v>
      </c>
      <c r="B19" s="801">
        <v>5601</v>
      </c>
      <c r="C19" s="815" t="s">
        <v>390</v>
      </c>
      <c r="D19" s="802"/>
      <c r="E19" s="803" t="s">
        <v>391</v>
      </c>
      <c r="F19" s="1075">
        <f>+'CANT OBRA'!H45</f>
        <v>115954828</v>
      </c>
      <c r="G19" s="805"/>
      <c r="H19" s="9"/>
      <c r="J19" s="821"/>
    </row>
    <row r="20" spans="1:11" ht="51">
      <c r="A20" s="800" t="s">
        <v>299</v>
      </c>
      <c r="B20" s="801">
        <v>5601</v>
      </c>
      <c r="C20" s="815" t="s">
        <v>392</v>
      </c>
      <c r="D20" s="802"/>
      <c r="E20" s="803" t="s">
        <v>393</v>
      </c>
      <c r="F20" s="1075">
        <f>+'CANT OBRA'!H675</f>
        <v>1027469</v>
      </c>
      <c r="G20" s="805"/>
      <c r="H20" s="9"/>
      <c r="J20" s="821"/>
    </row>
    <row r="21" spans="1:11" ht="51">
      <c r="A21" s="800" t="s">
        <v>299</v>
      </c>
      <c r="B21" s="801">
        <v>5601</v>
      </c>
      <c r="C21" s="815" t="s">
        <v>394</v>
      </c>
      <c r="D21" s="802"/>
      <c r="E21" s="803" t="s">
        <v>395</v>
      </c>
      <c r="F21" s="1075">
        <f>+'CANT OBRA'!H980</f>
        <v>28664712</v>
      </c>
      <c r="G21" s="805"/>
      <c r="H21" s="9"/>
      <c r="J21" s="821"/>
    </row>
    <row r="22" spans="1:11" ht="51">
      <c r="A22" s="800" t="s">
        <v>299</v>
      </c>
      <c r="B22" s="801">
        <v>5601</v>
      </c>
      <c r="C22" s="815" t="s">
        <v>396</v>
      </c>
      <c r="D22" s="802"/>
      <c r="E22" s="816" t="s">
        <v>379</v>
      </c>
      <c r="F22" s="1075">
        <f>+'CANT OBRA'!H691</f>
        <v>46333568</v>
      </c>
      <c r="G22" s="805"/>
      <c r="H22" s="9"/>
      <c r="J22" s="821"/>
    </row>
    <row r="23" spans="1:11" ht="63.75">
      <c r="A23" s="800" t="s">
        <v>299</v>
      </c>
      <c r="B23" s="801">
        <v>5601</v>
      </c>
      <c r="C23" s="815" t="s">
        <v>397</v>
      </c>
      <c r="D23" s="802"/>
      <c r="E23" s="816" t="s">
        <v>398</v>
      </c>
      <c r="F23" s="1075">
        <f>+'CANT OBRA'!H71</f>
        <v>60859889</v>
      </c>
      <c r="G23" s="805"/>
      <c r="H23" s="9"/>
      <c r="J23" s="821"/>
    </row>
    <row r="24" spans="1:11" ht="63.75">
      <c r="A24" s="800" t="s">
        <v>299</v>
      </c>
      <c r="B24" s="801">
        <v>5601</v>
      </c>
      <c r="C24" s="815" t="s">
        <v>399</v>
      </c>
      <c r="D24" s="802"/>
      <c r="E24" s="816" t="s">
        <v>400</v>
      </c>
      <c r="F24" s="1075">
        <f>+'CANT OBRA'!H703</f>
        <v>117061756</v>
      </c>
      <c r="G24" s="805"/>
      <c r="H24" s="9"/>
      <c r="J24" s="821"/>
    </row>
    <row r="25" spans="1:11" ht="38.25">
      <c r="A25" s="800" t="s">
        <v>299</v>
      </c>
      <c r="B25" s="801">
        <v>5601</v>
      </c>
      <c r="C25" s="815" t="s">
        <v>401</v>
      </c>
      <c r="D25" s="802"/>
      <c r="E25" s="803" t="s">
        <v>402</v>
      </c>
      <c r="F25" s="804">
        <f>+'CANT OBRA'!H714</f>
        <v>5749713</v>
      </c>
      <c r="G25" s="805"/>
      <c r="H25" s="9"/>
      <c r="J25" s="821"/>
    </row>
    <row r="26" spans="1:11" ht="38.25">
      <c r="A26" s="800" t="s">
        <v>299</v>
      </c>
      <c r="B26" s="801">
        <v>5602</v>
      </c>
      <c r="C26" s="815" t="s">
        <v>403</v>
      </c>
      <c r="D26" s="802"/>
      <c r="E26" s="816" t="s">
        <v>404</v>
      </c>
      <c r="F26" s="804">
        <f>+'CANT OBRA'!H730</f>
        <v>43915459</v>
      </c>
      <c r="G26" s="805"/>
      <c r="H26" s="9"/>
      <c r="J26" s="821"/>
    </row>
    <row r="27" spans="1:11" ht="25.5">
      <c r="A27" s="800" t="s">
        <v>299</v>
      </c>
      <c r="B27" s="801">
        <v>5601</v>
      </c>
      <c r="C27" s="815" t="s">
        <v>405</v>
      </c>
      <c r="D27" s="802"/>
      <c r="E27" s="803" t="s">
        <v>406</v>
      </c>
      <c r="F27" s="1075">
        <f>+'CANT OBRA'!H292</f>
        <v>258790772</v>
      </c>
      <c r="G27" s="805"/>
      <c r="H27" s="9"/>
      <c r="J27" s="821"/>
    </row>
    <row r="28" spans="1:11" ht="25.5">
      <c r="A28" s="800" t="s">
        <v>299</v>
      </c>
      <c r="B28" s="801">
        <v>5601</v>
      </c>
      <c r="C28" s="815" t="s">
        <v>407</v>
      </c>
      <c r="D28" s="802"/>
      <c r="E28" s="803" t="s">
        <v>406</v>
      </c>
      <c r="F28" s="804">
        <f>+'CANT OBRA'!H334</f>
        <v>28476266</v>
      </c>
      <c r="G28" s="805"/>
      <c r="H28" s="9"/>
      <c r="J28" s="821"/>
    </row>
    <row r="29" spans="1:11" ht="38.25">
      <c r="A29" s="800" t="s">
        <v>299</v>
      </c>
      <c r="B29" s="801">
        <v>5601</v>
      </c>
      <c r="C29" s="815" t="s">
        <v>350</v>
      </c>
      <c r="D29" s="817"/>
      <c r="E29" s="803" t="s">
        <v>408</v>
      </c>
      <c r="F29" s="804">
        <f>+'CANT OBRA'!H856</f>
        <v>110353229</v>
      </c>
      <c r="G29" s="805"/>
      <c r="H29" s="9"/>
      <c r="J29" s="821"/>
    </row>
    <row r="30" spans="1:11" ht="51">
      <c r="A30" s="800" t="s">
        <v>299</v>
      </c>
      <c r="B30" s="801">
        <v>5601</v>
      </c>
      <c r="C30" s="815" t="s">
        <v>409</v>
      </c>
      <c r="D30" s="817"/>
      <c r="E30" s="803" t="s">
        <v>410</v>
      </c>
      <c r="F30" s="804">
        <f>+'CANT OBRA'!H379</f>
        <v>7711694</v>
      </c>
      <c r="G30" s="805"/>
      <c r="H30" s="9"/>
      <c r="J30" s="821"/>
    </row>
    <row r="31" spans="1:11" ht="25.5">
      <c r="A31" s="800" t="s">
        <v>299</v>
      </c>
      <c r="B31" s="801">
        <v>5601</v>
      </c>
      <c r="C31" s="815" t="s">
        <v>411</v>
      </c>
      <c r="D31" s="802"/>
      <c r="E31" s="816" t="s">
        <v>406</v>
      </c>
      <c r="F31" s="804">
        <f>+'CANT OBRA'!H491</f>
        <v>16501116</v>
      </c>
      <c r="G31" s="805"/>
      <c r="H31" s="9"/>
      <c r="J31" s="821"/>
    </row>
    <row r="32" spans="1:11" ht="25.5">
      <c r="A32" s="800" t="s">
        <v>299</v>
      </c>
      <c r="B32" s="801">
        <v>5601</v>
      </c>
      <c r="C32" s="815" t="s">
        <v>412</v>
      </c>
      <c r="D32" s="802"/>
      <c r="E32" s="803" t="s">
        <v>413</v>
      </c>
      <c r="F32" s="804">
        <f>+'CANT OBRA'!H931</f>
        <v>15559213</v>
      </c>
      <c r="G32" s="805"/>
      <c r="H32" s="9"/>
    </row>
    <row r="33" spans="1:8" s="360" customFormat="1" ht="89.25">
      <c r="A33" s="800" t="s">
        <v>299</v>
      </c>
      <c r="B33" s="801">
        <v>5601</v>
      </c>
      <c r="C33" s="818" t="s">
        <v>414</v>
      </c>
      <c r="D33" s="817"/>
      <c r="E33" s="816" t="s">
        <v>415</v>
      </c>
      <c r="F33" s="1075">
        <f>+'CANT OBRA'!H1035</f>
        <v>195850993</v>
      </c>
      <c r="G33" s="805"/>
      <c r="H33" s="823"/>
    </row>
    <row r="34" spans="1:8" ht="25.5">
      <c r="A34" s="800" t="s">
        <v>299</v>
      </c>
      <c r="B34" s="801">
        <v>5601</v>
      </c>
      <c r="C34" s="815" t="s">
        <v>228</v>
      </c>
      <c r="D34" s="819" t="s">
        <v>416</v>
      </c>
      <c r="E34" s="803" t="s">
        <v>417</v>
      </c>
      <c r="F34" s="1075">
        <f>+'CANT OBRA'!H1047</f>
        <v>473123594</v>
      </c>
      <c r="G34" s="805"/>
      <c r="H34" s="9"/>
    </row>
    <row r="35" spans="1:8" ht="38.25">
      <c r="A35" s="800" t="s">
        <v>299</v>
      </c>
      <c r="B35" s="801">
        <v>5601</v>
      </c>
      <c r="C35" s="818" t="s">
        <v>118</v>
      </c>
      <c r="D35" s="815" t="s">
        <v>119</v>
      </c>
      <c r="E35" s="803" t="s">
        <v>418</v>
      </c>
      <c r="F35" s="1075">
        <f>+'CANT OBRA'!H1014</f>
        <v>150768053</v>
      </c>
      <c r="G35" s="805"/>
      <c r="H35" s="9"/>
    </row>
    <row r="36" spans="1:8" ht="38.25">
      <c r="A36" s="800" t="s">
        <v>299</v>
      </c>
      <c r="B36" s="801">
        <v>5601</v>
      </c>
      <c r="C36" s="818" t="s">
        <v>419</v>
      </c>
      <c r="D36" s="815" t="s">
        <v>420</v>
      </c>
      <c r="E36" s="816" t="s">
        <v>421</v>
      </c>
      <c r="F36" s="1075">
        <f>+'CANT OBRA'!H1005</f>
        <v>7779329008</v>
      </c>
      <c r="G36" s="805"/>
      <c r="H36" s="9"/>
    </row>
    <row r="37" spans="1:8" s="360" customFormat="1" ht="89.25" customHeight="1">
      <c r="A37" s="800" t="s">
        <v>299</v>
      </c>
      <c r="B37" s="801">
        <v>5601</v>
      </c>
      <c r="C37" s="818" t="s">
        <v>422</v>
      </c>
      <c r="D37" s="802"/>
      <c r="E37" s="803" t="s">
        <v>423</v>
      </c>
      <c r="F37" s="1075">
        <f>+'CANT OBRA'!H1029</f>
        <v>21054950220</v>
      </c>
      <c r="G37" s="805"/>
      <c r="H37" s="823"/>
    </row>
    <row r="38" spans="1:8" ht="38.25">
      <c r="A38" s="800" t="s">
        <v>299</v>
      </c>
      <c r="B38" s="801">
        <v>5601</v>
      </c>
      <c r="C38" s="820" t="s">
        <v>118</v>
      </c>
      <c r="D38" s="820" t="s">
        <v>119</v>
      </c>
      <c r="E38" s="809" t="s">
        <v>424</v>
      </c>
      <c r="F38" s="1075">
        <f>+'CANT OBRA'!H952</f>
        <v>5521881160</v>
      </c>
      <c r="G38" s="810"/>
      <c r="H38" s="9"/>
    </row>
    <row r="39" spans="1:8" ht="13.5" thickBot="1">
      <c r="A39" s="824"/>
      <c r="B39" s="825"/>
      <c r="C39" s="826"/>
      <c r="D39" s="826"/>
      <c r="E39" s="827" t="s">
        <v>175</v>
      </c>
      <c r="F39" s="1503">
        <f>SUM(F12:F38)</f>
        <v>36250433348</v>
      </c>
      <c r="G39" s="828"/>
    </row>
    <row r="41" spans="1:8" ht="25.5" customHeight="1">
      <c r="A41" s="1317" t="s">
        <v>425</v>
      </c>
      <c r="B41" s="1317"/>
      <c r="C41" s="1317"/>
      <c r="D41" s="1317"/>
      <c r="E41" s="1317"/>
      <c r="F41" s="1317"/>
      <c r="G41" s="1317"/>
    </row>
    <row r="42" spans="1:8">
      <c r="A42" s="63" t="s">
        <v>426</v>
      </c>
      <c r="F42" s="1316" t="s">
        <v>126</v>
      </c>
      <c r="G42" s="1316"/>
    </row>
    <row r="44" spans="1:8" ht="15">
      <c r="A44" s="54"/>
      <c r="B44" s="54"/>
      <c r="C44" s="25"/>
      <c r="D44" s="25"/>
    </row>
  </sheetData>
  <mergeCells count="7">
    <mergeCell ref="F42:G42"/>
    <mergeCell ref="A7:G7"/>
    <mergeCell ref="A1:G1"/>
    <mergeCell ref="A2:G2"/>
    <mergeCell ref="A4:G4"/>
    <mergeCell ref="A6:G6"/>
    <mergeCell ref="A41:G41"/>
  </mergeCells>
  <phoneticPr fontId="5" type="noConversion"/>
  <hyperlinks>
    <hyperlink ref="F42" location="'TABLA DE CONTENIDO'!A1" display="VOLVER A TABLA DE CONTENIDO" xr:uid="{00000000-0004-0000-0B00-000000000000}"/>
  </hyperlinks>
  <printOptions horizontalCentered="1" verticalCentered="1"/>
  <pageMargins left="0.70866141732283472" right="0.78740157480314965" top="0.78740157480314965" bottom="0.98425196850393704" header="0.51181102362204722" footer="0.51181102362204722"/>
  <pageSetup scale="11" orientation="landscape" horizontalDpi="120" verticalDpi="144"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H75"/>
  <sheetViews>
    <sheetView topLeftCell="A50" workbookViewId="0">
      <selection activeCell="F14" sqref="F14"/>
    </sheetView>
  </sheetViews>
  <sheetFormatPr defaultColWidth="11.42578125" defaultRowHeight="12.75"/>
  <cols>
    <col min="1" max="1" width="21" customWidth="1"/>
    <col min="5" max="5" width="30.5703125" customWidth="1"/>
    <col min="6" max="6" width="23" customWidth="1"/>
    <col min="7" max="7" width="18.7109375" customWidth="1"/>
  </cols>
  <sheetData>
    <row r="1" spans="1:7" ht="23.25">
      <c r="A1" s="1228" t="s">
        <v>1</v>
      </c>
      <c r="B1" s="1228"/>
      <c r="C1" s="1228"/>
      <c r="D1" s="1228"/>
      <c r="E1" s="1228"/>
      <c r="F1" s="1228"/>
      <c r="G1" s="1228"/>
    </row>
    <row r="2" spans="1:7" ht="18">
      <c r="A2" s="1229" t="s">
        <v>84</v>
      </c>
      <c r="B2" s="1229"/>
      <c r="C2" s="1229"/>
      <c r="D2" s="1229"/>
      <c r="E2" s="1229"/>
      <c r="F2" s="1229"/>
      <c r="G2" s="1229"/>
    </row>
    <row r="3" spans="1:7">
      <c r="A3" s="44"/>
      <c r="B3" s="44"/>
      <c r="C3" s="37"/>
      <c r="D3" s="37"/>
      <c r="E3" s="37"/>
      <c r="F3" s="37"/>
      <c r="G3" s="37"/>
    </row>
    <row r="4" spans="1:7" ht="18">
      <c r="A4" s="1229" t="s">
        <v>427</v>
      </c>
      <c r="B4" s="1229"/>
      <c r="C4" s="1229"/>
      <c r="D4" s="1229"/>
      <c r="E4" s="1229"/>
      <c r="F4" s="1229"/>
      <c r="G4" s="1229"/>
    </row>
    <row r="5" spans="1:7">
      <c r="A5" s="44"/>
      <c r="B5" s="44"/>
      <c r="C5" s="37"/>
      <c r="D5" s="37"/>
      <c r="E5" s="37"/>
      <c r="F5" s="37"/>
      <c r="G5" s="37"/>
    </row>
    <row r="6" spans="1:7" ht="18">
      <c r="A6" s="1229" t="s">
        <v>428</v>
      </c>
      <c r="B6" s="1229"/>
      <c r="C6" s="1229"/>
      <c r="D6" s="1229"/>
      <c r="E6" s="1229"/>
      <c r="F6" s="1229"/>
      <c r="G6" s="1229"/>
    </row>
    <row r="7" spans="1:7">
      <c r="A7" s="1431" t="s">
        <v>372</v>
      </c>
      <c r="B7" s="1431"/>
      <c r="C7" s="1431"/>
      <c r="D7" s="1431"/>
      <c r="E7" s="1431"/>
      <c r="F7" s="1431"/>
      <c r="G7" s="1431"/>
    </row>
    <row r="8" spans="1:7">
      <c r="A8" s="44"/>
      <c r="B8" s="44"/>
      <c r="C8" s="37"/>
      <c r="D8" s="37"/>
      <c r="E8" s="37"/>
      <c r="F8" s="37"/>
      <c r="G8" s="37"/>
    </row>
    <row r="9" spans="1:7">
      <c r="B9" s="50"/>
      <c r="C9" s="38"/>
      <c r="D9" s="38"/>
      <c r="E9" s="38"/>
      <c r="F9" s="38"/>
      <c r="G9" s="38"/>
    </row>
    <row r="10" spans="1:7">
      <c r="A10" s="175" t="s">
        <v>429</v>
      </c>
      <c r="B10" s="50"/>
      <c r="C10" s="312" t="s">
        <v>88</v>
      </c>
      <c r="D10" s="312"/>
      <c r="E10" s="312"/>
      <c r="F10" s="92" t="s">
        <v>160</v>
      </c>
      <c r="G10" s="313" t="s">
        <v>430</v>
      </c>
    </row>
    <row r="11" spans="1:7" ht="13.5" thickBot="1"/>
    <row r="12" spans="1:7" ht="26.25" thickBot="1">
      <c r="A12" s="132" t="s">
        <v>106</v>
      </c>
      <c r="B12" s="127" t="s">
        <v>107</v>
      </c>
      <c r="C12" s="127" t="s">
        <v>374</v>
      </c>
      <c r="D12" s="127" t="s">
        <v>375</v>
      </c>
      <c r="E12" s="133" t="s">
        <v>376</v>
      </c>
      <c r="F12" s="133" t="s">
        <v>377</v>
      </c>
      <c r="G12" s="134" t="s">
        <v>113</v>
      </c>
    </row>
    <row r="13" spans="1:7" ht="38.25">
      <c r="A13" s="814" t="s">
        <v>299</v>
      </c>
      <c r="B13" s="811">
        <v>5601</v>
      </c>
      <c r="C13" s="872" t="s">
        <v>431</v>
      </c>
      <c r="D13" s="811"/>
      <c r="E13" s="812" t="s">
        <v>432</v>
      </c>
      <c r="F13" s="1504">
        <f>+'CANT OBRA'!H19</f>
        <v>55240515</v>
      </c>
      <c r="G13" s="954"/>
    </row>
    <row r="14" spans="1:7" ht="51">
      <c r="A14" s="814" t="s">
        <v>299</v>
      </c>
      <c r="B14" s="811">
        <v>5601</v>
      </c>
      <c r="C14" s="819" t="s">
        <v>433</v>
      </c>
      <c r="D14" s="811"/>
      <c r="E14" s="812" t="s">
        <v>434</v>
      </c>
      <c r="F14" s="1504">
        <f>+'CANT OBRA'!H32</f>
        <v>56300482</v>
      </c>
      <c r="G14" s="954"/>
    </row>
    <row r="15" spans="1:7" ht="38.25">
      <c r="A15" s="814" t="s">
        <v>299</v>
      </c>
      <c r="B15" s="811">
        <v>5601</v>
      </c>
      <c r="C15" s="872" t="s">
        <v>435</v>
      </c>
      <c r="D15" s="811"/>
      <c r="E15" s="812" t="s">
        <v>436</v>
      </c>
      <c r="F15" s="1504">
        <f>+'CANT OBRA'!H83</f>
        <v>49048492</v>
      </c>
      <c r="G15" s="954"/>
    </row>
    <row r="16" spans="1:7" ht="63.75">
      <c r="A16" s="814" t="s">
        <v>299</v>
      </c>
      <c r="B16" s="811">
        <v>5601</v>
      </c>
      <c r="C16" s="872" t="s">
        <v>437</v>
      </c>
      <c r="D16" s="811" t="s">
        <v>438</v>
      </c>
      <c r="E16" s="812" t="s">
        <v>439</v>
      </c>
      <c r="F16" s="1504">
        <f>+'CANT OBRA'!H96</f>
        <v>44093403</v>
      </c>
      <c r="G16" s="954"/>
    </row>
    <row r="17" spans="1:8" ht="38.25">
      <c r="A17" s="814" t="s">
        <v>299</v>
      </c>
      <c r="B17" s="811">
        <v>5601</v>
      </c>
      <c r="C17" s="1505" t="s">
        <v>440</v>
      </c>
      <c r="D17" s="811"/>
      <c r="E17" s="812" t="s">
        <v>441</v>
      </c>
      <c r="F17" s="1504">
        <f>+'CANT OBRA'!H110</f>
        <v>203580850</v>
      </c>
      <c r="G17" s="954"/>
    </row>
    <row r="18" spans="1:8" ht="38.25">
      <c r="A18" s="814" t="s">
        <v>299</v>
      </c>
      <c r="B18" s="811">
        <v>5601</v>
      </c>
      <c r="C18" s="872" t="s">
        <v>442</v>
      </c>
      <c r="D18" s="811"/>
      <c r="E18" s="812" t="s">
        <v>443</v>
      </c>
      <c r="F18" s="1504">
        <f>+'CANT OBRA'!H125</f>
        <v>118527925</v>
      </c>
      <c r="G18" s="954"/>
    </row>
    <row r="19" spans="1:8" ht="39.75" customHeight="1">
      <c r="A19" s="814" t="s">
        <v>299</v>
      </c>
      <c r="B19" s="811">
        <v>5601</v>
      </c>
      <c r="C19" s="872" t="s">
        <v>444</v>
      </c>
      <c r="D19" s="819"/>
      <c r="E19" s="955" t="s">
        <v>445</v>
      </c>
      <c r="F19" s="1504">
        <f>+'CANT OBRA'!H137</f>
        <v>131978879</v>
      </c>
      <c r="G19" s="954"/>
    </row>
    <row r="20" spans="1:8" ht="51">
      <c r="A20" s="814" t="s">
        <v>299</v>
      </c>
      <c r="B20" s="811">
        <v>5601</v>
      </c>
      <c r="C20" s="872" t="s">
        <v>327</v>
      </c>
      <c r="D20" s="811"/>
      <c r="E20" s="955" t="s">
        <v>446</v>
      </c>
      <c r="F20" s="1504">
        <f>+'CANT OBRA'!H155</f>
        <v>597717994</v>
      </c>
      <c r="G20" s="954"/>
    </row>
    <row r="21" spans="1:8" ht="25.5">
      <c r="A21" s="814" t="s">
        <v>299</v>
      </c>
      <c r="B21" s="811">
        <v>5601</v>
      </c>
      <c r="C21" s="872" t="s">
        <v>447</v>
      </c>
      <c r="D21" s="811"/>
      <c r="E21" s="812" t="s">
        <v>413</v>
      </c>
      <c r="F21" s="1504">
        <f>+'CANT OBRA'!H995</f>
        <v>29133767</v>
      </c>
      <c r="G21" s="954"/>
    </row>
    <row r="22" spans="1:8" ht="25.5">
      <c r="A22" s="814" t="s">
        <v>299</v>
      </c>
      <c r="B22" s="811">
        <v>5601</v>
      </c>
      <c r="C22" s="872" t="s">
        <v>448</v>
      </c>
      <c r="D22" s="815"/>
      <c r="E22" s="812" t="s">
        <v>406</v>
      </c>
      <c r="F22" s="1504">
        <f>+'CANT OBRA'!H168</f>
        <v>104311505</v>
      </c>
      <c r="G22" s="954"/>
      <c r="H22" s="956"/>
    </row>
    <row r="23" spans="1:8" ht="38.25">
      <c r="A23" s="814" t="str">
        <f>+A22</f>
        <v>LA UNIÓN - SONSÓN</v>
      </c>
      <c r="B23" s="811">
        <v>5601</v>
      </c>
      <c r="C23" s="872" t="s">
        <v>449</v>
      </c>
      <c r="D23" s="815"/>
      <c r="E23" s="957" t="s">
        <v>450</v>
      </c>
      <c r="F23" s="1504">
        <f>+'CANT OBRA'!H179</f>
        <v>47323131</v>
      </c>
      <c r="G23" s="954"/>
      <c r="H23" s="956"/>
    </row>
    <row r="24" spans="1:8" ht="25.5">
      <c r="A24" s="814" t="str">
        <f>+A23</f>
        <v>LA UNIÓN - SONSÓN</v>
      </c>
      <c r="B24" s="811">
        <f>+B23</f>
        <v>5601</v>
      </c>
      <c r="C24" s="872" t="s">
        <v>451</v>
      </c>
      <c r="D24" s="815"/>
      <c r="E24" s="812" t="s">
        <v>452</v>
      </c>
      <c r="F24" s="1504">
        <f>+'CANT OBRA'!H191</f>
        <v>41083880</v>
      </c>
      <c r="G24" s="954"/>
      <c r="H24" s="956"/>
    </row>
    <row r="25" spans="1:8" ht="25.5">
      <c r="A25" s="814" t="str">
        <f>+A24</f>
        <v>LA UNIÓN - SONSÓN</v>
      </c>
      <c r="B25" s="811">
        <v>5601</v>
      </c>
      <c r="C25" s="872" t="s">
        <v>453</v>
      </c>
      <c r="D25" s="815"/>
      <c r="E25" s="812" t="s">
        <v>454</v>
      </c>
      <c r="F25" s="1504">
        <f>+'CANT OBRA'!H200</f>
        <v>4360043</v>
      </c>
      <c r="G25" s="954"/>
      <c r="H25" s="956"/>
    </row>
    <row r="26" spans="1:8" ht="25.5">
      <c r="A26" s="814" t="str">
        <f>+A25</f>
        <v>LA UNIÓN - SONSÓN</v>
      </c>
      <c r="B26" s="811">
        <v>5601</v>
      </c>
      <c r="C26" s="872" t="s">
        <v>455</v>
      </c>
      <c r="D26" s="815"/>
      <c r="E26" s="812" t="s">
        <v>456</v>
      </c>
      <c r="F26" s="1504">
        <f>+'CANT OBRA'!H210</f>
        <v>21512503</v>
      </c>
      <c r="G26" s="954"/>
      <c r="H26" s="956"/>
    </row>
    <row r="27" spans="1:8" ht="38.25">
      <c r="A27" s="814" t="s">
        <v>299</v>
      </c>
      <c r="B27" s="811">
        <v>5601</v>
      </c>
      <c r="C27" s="819" t="s">
        <v>457</v>
      </c>
      <c r="D27" s="811"/>
      <c r="E27" s="812" t="s">
        <v>458</v>
      </c>
      <c r="F27" s="1504">
        <f>+'CANT OBRA'!H225</f>
        <v>152982791</v>
      </c>
      <c r="G27" s="954"/>
    </row>
    <row r="28" spans="1:8" ht="25.5">
      <c r="A28" s="814" t="s">
        <v>299</v>
      </c>
      <c r="B28" s="811">
        <v>5601</v>
      </c>
      <c r="C28" s="872" t="s">
        <v>459</v>
      </c>
      <c r="D28" s="811"/>
      <c r="E28" s="812" t="s">
        <v>406</v>
      </c>
      <c r="F28" s="1504">
        <f>+'CANT OBRA'!H240</f>
        <v>60151701</v>
      </c>
      <c r="G28" s="954"/>
    </row>
    <row r="29" spans="1:8" ht="38.25">
      <c r="A29" s="814" t="s">
        <v>299</v>
      </c>
      <c r="B29" s="811">
        <v>5601</v>
      </c>
      <c r="C29" s="872" t="s">
        <v>460</v>
      </c>
      <c r="D29" s="811"/>
      <c r="E29" s="812" t="s">
        <v>461</v>
      </c>
      <c r="F29" s="1504">
        <f>+'CANT OBRA'!H748</f>
        <v>167734941</v>
      </c>
      <c r="G29" s="954"/>
    </row>
    <row r="30" spans="1:8" ht="51">
      <c r="A30" s="814" t="s">
        <v>299</v>
      </c>
      <c r="B30" s="811">
        <v>5601</v>
      </c>
      <c r="C30" s="872" t="s">
        <v>462</v>
      </c>
      <c r="D30" s="811"/>
      <c r="E30" s="957" t="s">
        <v>463</v>
      </c>
      <c r="F30" s="1504">
        <f>+'CANT OBRA'!H252</f>
        <v>24549309</v>
      </c>
      <c r="G30" s="954"/>
    </row>
    <row r="31" spans="1:8" ht="38.25">
      <c r="A31" s="814" t="s">
        <v>299</v>
      </c>
      <c r="B31" s="811">
        <v>5601</v>
      </c>
      <c r="C31" s="872" t="s">
        <v>464</v>
      </c>
      <c r="D31" s="811"/>
      <c r="E31" s="957" t="s">
        <v>465</v>
      </c>
      <c r="F31" s="1504">
        <f>+'CANT OBRA'!H761</f>
        <v>77289577</v>
      </c>
      <c r="G31" s="954"/>
    </row>
    <row r="32" spans="1:8" ht="38.25">
      <c r="A32" s="814" t="s">
        <v>299</v>
      </c>
      <c r="B32" s="811">
        <v>5601</v>
      </c>
      <c r="C32" s="872" t="s">
        <v>466</v>
      </c>
      <c r="D32" s="811"/>
      <c r="E32" s="957" t="s">
        <v>467</v>
      </c>
      <c r="F32" s="1504">
        <f>+'CANT OBRA'!H775</f>
        <v>79145468</v>
      </c>
      <c r="G32" s="954"/>
    </row>
    <row r="33" spans="1:7" ht="25.5">
      <c r="A33" s="814" t="s">
        <v>299</v>
      </c>
      <c r="B33" s="811">
        <v>5601</v>
      </c>
      <c r="C33" s="872" t="s">
        <v>331</v>
      </c>
      <c r="D33" s="811"/>
      <c r="E33" s="957" t="s">
        <v>468</v>
      </c>
      <c r="F33" s="1504">
        <f>+'CANT OBRA'!H262</f>
        <v>68033655</v>
      </c>
      <c r="G33" s="954"/>
    </row>
    <row r="34" spans="1:7" ht="38.25">
      <c r="A34" s="814" t="s">
        <v>299</v>
      </c>
      <c r="B34" s="811">
        <v>5601</v>
      </c>
      <c r="C34" s="872" t="s">
        <v>469</v>
      </c>
      <c r="D34" s="811"/>
      <c r="E34" s="812" t="s">
        <v>470</v>
      </c>
      <c r="F34" s="1504">
        <f>+'CANT OBRA'!H270</f>
        <v>131669917</v>
      </c>
      <c r="G34" s="954"/>
    </row>
    <row r="35" spans="1:7" ht="38.25">
      <c r="A35" s="814" t="s">
        <v>299</v>
      </c>
      <c r="B35" s="811">
        <v>5601</v>
      </c>
      <c r="C35" s="872" t="s">
        <v>471</v>
      </c>
      <c r="D35" s="811"/>
      <c r="E35" s="812" t="s">
        <v>461</v>
      </c>
      <c r="F35" s="1504">
        <f>+'CANT OBRA'!H793</f>
        <v>179454255</v>
      </c>
      <c r="G35" s="954"/>
    </row>
    <row r="36" spans="1:7" ht="38.25">
      <c r="A36" s="814" t="s">
        <v>299</v>
      </c>
      <c r="B36" s="811">
        <v>5601</v>
      </c>
      <c r="C36" s="872" t="s">
        <v>472</v>
      </c>
      <c r="D36" s="811"/>
      <c r="E36" s="812" t="s">
        <v>473</v>
      </c>
      <c r="F36" s="1504">
        <f>+'CANT OBRA'!H521</f>
        <v>135604379</v>
      </c>
      <c r="G36" s="954"/>
    </row>
    <row r="37" spans="1:7" ht="76.5">
      <c r="A37" s="814" t="s">
        <v>299</v>
      </c>
      <c r="B37" s="811">
        <v>5601</v>
      </c>
      <c r="C37" s="872" t="s">
        <v>334</v>
      </c>
      <c r="D37" s="811"/>
      <c r="E37" s="957" t="s">
        <v>474</v>
      </c>
      <c r="F37" s="1504">
        <f>+'CANT OBRA'!H539</f>
        <v>293484310</v>
      </c>
      <c r="G37" s="954"/>
    </row>
    <row r="38" spans="1:7" ht="25.5">
      <c r="A38" s="814" t="s">
        <v>299</v>
      </c>
      <c r="B38" s="811">
        <v>5601</v>
      </c>
      <c r="C38" s="872" t="s">
        <v>336</v>
      </c>
      <c r="D38" s="811"/>
      <c r="E38" s="957" t="s">
        <v>475</v>
      </c>
      <c r="F38" s="1504">
        <f>+'CANT OBRA'!H549</f>
        <v>206899906</v>
      </c>
      <c r="G38" s="954"/>
    </row>
    <row r="39" spans="1:7" ht="38.25">
      <c r="A39" s="814" t="s">
        <v>299</v>
      </c>
      <c r="B39" s="811">
        <v>5601</v>
      </c>
      <c r="C39" s="872" t="s">
        <v>338</v>
      </c>
      <c r="D39" s="811"/>
      <c r="E39" s="957" t="s">
        <v>476</v>
      </c>
      <c r="F39" s="1504">
        <f>+'CANT OBRA'!H560</f>
        <v>32005071</v>
      </c>
      <c r="G39" s="954"/>
    </row>
    <row r="40" spans="1:7" ht="51">
      <c r="A40" s="814" t="s">
        <v>299</v>
      </c>
      <c r="B40" s="811">
        <v>5601</v>
      </c>
      <c r="C40" s="872" t="s">
        <v>477</v>
      </c>
      <c r="D40" s="811"/>
      <c r="E40" s="812" t="s">
        <v>478</v>
      </c>
      <c r="F40" s="1504">
        <f>+'CANT OBRA'!H308</f>
        <v>571875901</v>
      </c>
      <c r="G40" s="954"/>
    </row>
    <row r="41" spans="1:7" ht="38.25">
      <c r="A41" s="814" t="s">
        <v>299</v>
      </c>
      <c r="B41" s="811">
        <v>5601</v>
      </c>
      <c r="C41" s="872" t="s">
        <v>344</v>
      </c>
      <c r="D41" s="811"/>
      <c r="E41" s="812" t="s">
        <v>479</v>
      </c>
      <c r="F41" s="1504">
        <f>+'CANT OBRA'!H572</f>
        <v>88483546</v>
      </c>
      <c r="G41" s="954"/>
    </row>
    <row r="42" spans="1:7" ht="38.25">
      <c r="A42" s="814" t="s">
        <v>299</v>
      </c>
      <c r="B42" s="811">
        <v>5601</v>
      </c>
      <c r="C42" s="872" t="s">
        <v>346</v>
      </c>
      <c r="D42" s="811"/>
      <c r="E42" s="957" t="s">
        <v>480</v>
      </c>
      <c r="F42" s="1504">
        <f>+'CANT OBRA'!H588</f>
        <v>350643379</v>
      </c>
      <c r="G42" s="954"/>
    </row>
    <row r="43" spans="1:7" ht="51">
      <c r="A43" s="814" t="s">
        <v>299</v>
      </c>
      <c r="B43" s="811">
        <v>5601</v>
      </c>
      <c r="C43" s="872" t="s">
        <v>481</v>
      </c>
      <c r="D43" s="811"/>
      <c r="E43" s="812" t="s">
        <v>482</v>
      </c>
      <c r="F43" s="1504">
        <f>+'CANT OBRA'!H836</f>
        <v>339320298</v>
      </c>
      <c r="G43" s="954"/>
    </row>
    <row r="44" spans="1:7" ht="51">
      <c r="A44" s="814" t="s">
        <v>299</v>
      </c>
      <c r="B44" s="811">
        <v>5601</v>
      </c>
      <c r="C44" s="1505" t="s">
        <v>483</v>
      </c>
      <c r="D44" s="811"/>
      <c r="E44" s="957" t="s">
        <v>400</v>
      </c>
      <c r="F44" s="1504">
        <f>+'CANT OBRA'!H807</f>
        <v>183704085</v>
      </c>
      <c r="G44" s="954"/>
    </row>
    <row r="45" spans="1:7" ht="76.5">
      <c r="A45" s="814" t="s">
        <v>299</v>
      </c>
      <c r="B45" s="811">
        <v>5601</v>
      </c>
      <c r="C45" s="872" t="s">
        <v>484</v>
      </c>
      <c r="D45" s="811"/>
      <c r="E45" s="812" t="s">
        <v>485</v>
      </c>
      <c r="F45" s="1504">
        <f>+'CANT OBRA'!H820</f>
        <v>57888024</v>
      </c>
      <c r="G45" s="954"/>
    </row>
    <row r="46" spans="1:7" ht="51">
      <c r="A46" s="814" t="s">
        <v>299</v>
      </c>
      <c r="B46" s="811">
        <v>5601</v>
      </c>
      <c r="C46" s="872" t="s">
        <v>486</v>
      </c>
      <c r="D46" s="811"/>
      <c r="E46" s="957" t="s">
        <v>487</v>
      </c>
      <c r="F46" s="1504">
        <f>+'CANT OBRA'!H401</f>
        <v>1588097203</v>
      </c>
      <c r="G46" s="954"/>
    </row>
    <row r="47" spans="1:7" ht="51">
      <c r="A47" s="814" t="s">
        <v>299</v>
      </c>
      <c r="B47" s="811">
        <v>5601</v>
      </c>
      <c r="C47" s="1505" t="s">
        <v>488</v>
      </c>
      <c r="D47" s="811"/>
      <c r="E47" s="957" t="s">
        <v>489</v>
      </c>
      <c r="F47" s="1504">
        <f>+'CANT OBRA'!H874</f>
        <v>430221952</v>
      </c>
      <c r="G47" s="954"/>
    </row>
    <row r="48" spans="1:7" ht="51">
      <c r="A48" s="814" t="s">
        <v>299</v>
      </c>
      <c r="B48" s="811">
        <v>5601</v>
      </c>
      <c r="C48" s="872" t="s">
        <v>490</v>
      </c>
      <c r="D48" s="811"/>
      <c r="E48" s="957" t="s">
        <v>491</v>
      </c>
      <c r="F48" s="1504">
        <f>+'CANT OBRA'!H321</f>
        <v>88018497</v>
      </c>
      <c r="G48" s="954"/>
    </row>
    <row r="49" spans="1:7" ht="63.75">
      <c r="A49" s="814" t="s">
        <v>299</v>
      </c>
      <c r="B49" s="811">
        <v>5601</v>
      </c>
      <c r="C49" s="1505" t="s">
        <v>492</v>
      </c>
      <c r="D49" s="811"/>
      <c r="E49" s="957" t="s">
        <v>493</v>
      </c>
      <c r="F49" s="1504">
        <f>+'CANT OBRA'!H345</f>
        <v>132355150</v>
      </c>
      <c r="G49" s="954"/>
    </row>
    <row r="50" spans="1:7" ht="38.25">
      <c r="A50" s="814" t="s">
        <v>299</v>
      </c>
      <c r="B50" s="811">
        <v>5601</v>
      </c>
      <c r="C50" s="872" t="s">
        <v>358</v>
      </c>
      <c r="D50" s="811"/>
      <c r="E50" s="957" t="s">
        <v>494</v>
      </c>
      <c r="F50" s="1504">
        <f>+'CANT OBRA'!H414</f>
        <v>398786941</v>
      </c>
      <c r="G50" s="954"/>
    </row>
    <row r="51" spans="1:7" ht="63.75">
      <c r="A51" s="814" t="s">
        <v>299</v>
      </c>
      <c r="B51" s="811">
        <v>5601</v>
      </c>
      <c r="C51" s="872" t="s">
        <v>495</v>
      </c>
      <c r="D51" s="811"/>
      <c r="E51" s="812" t="s">
        <v>496</v>
      </c>
      <c r="F51" s="1504">
        <f>+'CANT OBRA'!H355</f>
        <v>11979057</v>
      </c>
      <c r="G51" s="954"/>
    </row>
    <row r="52" spans="1:7" ht="38.25">
      <c r="A52" s="814" t="s">
        <v>299</v>
      </c>
      <c r="B52" s="811">
        <v>5601</v>
      </c>
      <c r="C52" s="872" t="s">
        <v>360</v>
      </c>
      <c r="D52" s="6"/>
      <c r="E52" s="957" t="s">
        <v>467</v>
      </c>
      <c r="F52" s="1504">
        <f>+'CANT OBRA'!H367</f>
        <v>137579467</v>
      </c>
      <c r="G52" s="954"/>
    </row>
    <row r="53" spans="1:7" ht="63.75">
      <c r="A53" s="814" t="s">
        <v>299</v>
      </c>
      <c r="B53" s="811">
        <v>5601</v>
      </c>
      <c r="C53" s="1505" t="s">
        <v>497</v>
      </c>
      <c r="D53" s="811"/>
      <c r="E53" s="957" t="s">
        <v>498</v>
      </c>
      <c r="F53" s="1504">
        <f>+'CANT OBRA'!H429</f>
        <v>273292484</v>
      </c>
      <c r="G53" s="954"/>
    </row>
    <row r="54" spans="1:7" ht="25.5">
      <c r="A54" s="814" t="s">
        <v>299</v>
      </c>
      <c r="B54" s="811">
        <v>5601</v>
      </c>
      <c r="C54" s="876" t="s">
        <v>499</v>
      </c>
      <c r="D54" s="815" t="s">
        <v>500</v>
      </c>
      <c r="E54" s="958" t="s">
        <v>501</v>
      </c>
      <c r="F54" s="1075">
        <f>+'CANT OBRA'!H447</f>
        <v>495335433</v>
      </c>
      <c r="G54" s="875"/>
    </row>
    <row r="55" spans="1:7" ht="25.5">
      <c r="A55" s="814" t="s">
        <v>299</v>
      </c>
      <c r="B55" s="811">
        <v>5601</v>
      </c>
      <c r="C55" s="876" t="s">
        <v>502</v>
      </c>
      <c r="D55" s="6"/>
      <c r="E55" s="958" t="s">
        <v>408</v>
      </c>
      <c r="F55" s="1075">
        <f>+'CANT OBRA'!H918</f>
        <v>62992065</v>
      </c>
      <c r="G55" s="875"/>
    </row>
    <row r="56" spans="1:7" ht="63.75">
      <c r="A56" s="814" t="s">
        <v>299</v>
      </c>
      <c r="B56" s="811">
        <v>5601</v>
      </c>
      <c r="C56" s="873" t="s">
        <v>503</v>
      </c>
      <c r="D56" s="811"/>
      <c r="E56" s="874" t="s">
        <v>504</v>
      </c>
      <c r="F56" s="1075">
        <f>+'CANT OBRA'!H465</f>
        <v>735923346</v>
      </c>
      <c r="G56" s="875"/>
    </row>
    <row r="57" spans="1:7" ht="51">
      <c r="A57" s="814" t="s">
        <v>299</v>
      </c>
      <c r="B57" s="811">
        <v>5601</v>
      </c>
      <c r="C57" s="873" t="s">
        <v>368</v>
      </c>
      <c r="D57" s="877"/>
      <c r="E57" s="958" t="s">
        <v>505</v>
      </c>
      <c r="F57" s="1075">
        <f>+'CANT OBRA'!H480</f>
        <v>245492176</v>
      </c>
      <c r="G57" s="875"/>
    </row>
    <row r="58" spans="1:7" ht="38.25">
      <c r="A58" s="811" t="s">
        <v>299</v>
      </c>
      <c r="B58" s="811">
        <v>5601</v>
      </c>
      <c r="C58" s="872" t="s">
        <v>118</v>
      </c>
      <c r="D58" s="811" t="s">
        <v>119</v>
      </c>
      <c r="E58" s="812" t="s">
        <v>506</v>
      </c>
      <c r="F58" s="1075">
        <f>+'CANT OBRA'!H514</f>
        <v>3932984309</v>
      </c>
      <c r="G58" s="875"/>
    </row>
    <row r="59" spans="1:7">
      <c r="A59" s="87"/>
      <c r="B59" s="6"/>
      <c r="C59" s="6"/>
      <c r="D59" s="6"/>
      <c r="E59" s="6"/>
      <c r="F59" s="6"/>
      <c r="G59" s="23"/>
    </row>
    <row r="60" spans="1:7" hidden="1">
      <c r="A60" s="87"/>
      <c r="B60" s="6"/>
      <c r="C60" s="22"/>
      <c r="D60" s="22"/>
      <c r="E60" s="6"/>
      <c r="F60" s="31"/>
      <c r="G60" s="23"/>
    </row>
    <row r="61" spans="1:7" ht="28.5" hidden="1" customHeight="1">
      <c r="A61" s="87"/>
      <c r="B61" s="6"/>
      <c r="C61" s="22"/>
      <c r="D61" s="22"/>
      <c r="E61" s="6"/>
      <c r="F61" s="6"/>
      <c r="G61" s="23"/>
    </row>
    <row r="62" spans="1:7" hidden="1">
      <c r="A62" s="87"/>
      <c r="B62" s="6"/>
      <c r="C62" s="22"/>
      <c r="D62" s="22"/>
      <c r="E62" s="6"/>
      <c r="F62" s="31"/>
      <c r="G62" s="23"/>
    </row>
    <row r="63" spans="1:7" hidden="1">
      <c r="A63" s="87"/>
      <c r="B63" s="6"/>
      <c r="C63" s="22"/>
      <c r="D63" s="22"/>
      <c r="E63" s="6"/>
      <c r="F63" s="6"/>
      <c r="G63" s="23"/>
    </row>
    <row r="64" spans="1:7" hidden="1">
      <c r="A64" s="87"/>
      <c r="B64" s="6"/>
      <c r="C64" s="22"/>
      <c r="D64" s="22"/>
      <c r="E64" s="6"/>
      <c r="F64" s="31"/>
      <c r="G64" s="23"/>
    </row>
    <row r="65" spans="1:7" hidden="1">
      <c r="A65" s="87"/>
      <c r="B65" s="6"/>
      <c r="C65" s="22"/>
      <c r="D65" s="22"/>
      <c r="E65" s="6"/>
      <c r="F65" s="6"/>
      <c r="G65" s="23"/>
    </row>
    <row r="66" spans="1:7" hidden="1">
      <c r="A66" s="87"/>
      <c r="B66" s="6"/>
      <c r="C66" s="22"/>
      <c r="D66" s="22"/>
      <c r="E66" s="30"/>
      <c r="F66" s="31"/>
      <c r="G66" s="135"/>
    </row>
    <row r="67" spans="1:7" ht="39.75" hidden="1" customHeight="1">
      <c r="A67" s="87"/>
      <c r="B67" s="6"/>
      <c r="C67" s="6"/>
      <c r="D67" s="6"/>
      <c r="E67" s="6"/>
      <c r="F67" s="6"/>
      <c r="G67" s="23"/>
    </row>
    <row r="68" spans="1:7" ht="28.5" hidden="1" customHeight="1">
      <c r="A68" s="87"/>
      <c r="B68" s="6"/>
      <c r="C68" s="6"/>
      <c r="D68" s="6"/>
      <c r="E68" s="6"/>
      <c r="F68" s="6"/>
      <c r="G68" s="23"/>
    </row>
    <row r="69" spans="1:7" hidden="1">
      <c r="A69" s="87"/>
      <c r="B69" s="6"/>
      <c r="C69" s="6"/>
      <c r="D69" s="6"/>
      <c r="E69" s="6"/>
      <c r="F69" s="6"/>
      <c r="G69" s="23"/>
    </row>
    <row r="70" spans="1:7" hidden="1">
      <c r="A70" s="87"/>
      <c r="B70" s="6"/>
      <c r="C70" s="6"/>
      <c r="D70" s="6"/>
      <c r="E70" s="6"/>
      <c r="F70" s="6"/>
      <c r="G70" s="23"/>
    </row>
    <row r="71" spans="1:7" hidden="1">
      <c r="A71" s="87"/>
      <c r="B71" s="6"/>
      <c r="C71" s="6"/>
      <c r="D71" s="6"/>
      <c r="E71" s="6"/>
      <c r="F71" s="6"/>
      <c r="G71" s="23"/>
    </row>
    <row r="72" spans="1:7" ht="13.5" thickBot="1">
      <c r="A72" s="136"/>
      <c r="B72" s="131"/>
      <c r="C72" s="131"/>
      <c r="D72" s="131"/>
      <c r="E72" s="131"/>
      <c r="F72" s="131"/>
      <c r="G72" s="104"/>
    </row>
    <row r="74" spans="1:7">
      <c r="A74" s="1317" t="s">
        <v>425</v>
      </c>
      <c r="B74" s="1317"/>
      <c r="C74" s="1317"/>
      <c r="D74" s="1317"/>
      <c r="E74" s="1317"/>
      <c r="F74" s="1317"/>
      <c r="G74" s="1317"/>
    </row>
    <row r="75" spans="1:7">
      <c r="A75" s="63" t="s">
        <v>426</v>
      </c>
      <c r="F75" s="1231" t="s">
        <v>126</v>
      </c>
      <c r="G75" s="1231"/>
    </row>
  </sheetData>
  <mergeCells count="7">
    <mergeCell ref="F75:G75"/>
    <mergeCell ref="A7:G7"/>
    <mergeCell ref="A1:G1"/>
    <mergeCell ref="A2:G2"/>
    <mergeCell ref="A4:G4"/>
    <mergeCell ref="A6:G6"/>
    <mergeCell ref="A74:G74"/>
  </mergeCells>
  <phoneticPr fontId="5" type="noConversion"/>
  <hyperlinks>
    <hyperlink ref="F75" location="'TABLA DE CONTENIDO'!A1" display="'TABLA DE CONTENIDO'!A1" xr:uid="{00000000-0004-0000-0C00-000000000000}"/>
    <hyperlink ref="F75:G75" location="'TABLA DE CONTENIDO'!A1" display="VOLVER A TABLA DE CONTENIDO" xr:uid="{00000000-0004-0000-0C00-000001000000}"/>
  </hyperlinks>
  <printOptions horizontalCentered="1" verticalCentered="1"/>
  <pageMargins left="0.59055118110236227" right="0.70866141732283472" top="0.78740157480314965" bottom="0.98425196850393704" header="0" footer="0"/>
  <pageSetup scale="10" orientation="landscape" horizontalDpi="300" verticalDpi="300"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R1204"/>
  <sheetViews>
    <sheetView topLeftCell="A1149" zoomScale="70" zoomScaleNormal="70" workbookViewId="0">
      <selection activeCell="A990" sqref="A990"/>
    </sheetView>
  </sheetViews>
  <sheetFormatPr defaultColWidth="11.42578125" defaultRowHeight="12.75"/>
  <cols>
    <col min="1" max="1" width="11.5703125" customWidth="1"/>
    <col min="2" max="2" width="12.7109375" customWidth="1"/>
    <col min="3" max="3" width="13" customWidth="1"/>
    <col min="4" max="4" width="44" customWidth="1"/>
    <col min="5" max="5" width="12.140625" customWidth="1"/>
    <col min="6" max="6" width="14.7109375" customWidth="1"/>
    <col min="7" max="7" width="28" customWidth="1"/>
    <col min="8" max="9" width="18.42578125" customWidth="1"/>
  </cols>
  <sheetData>
    <row r="1" spans="1:15" s="33" customFormat="1" ht="23.25">
      <c r="A1" s="1228" t="s">
        <v>1</v>
      </c>
      <c r="B1" s="1228"/>
      <c r="C1" s="1228"/>
      <c r="D1" s="1228"/>
      <c r="E1" s="1228"/>
      <c r="F1" s="1228"/>
      <c r="G1" s="1228"/>
      <c r="H1" s="1228"/>
    </row>
    <row r="2" spans="1:15" s="33" customFormat="1" ht="18">
      <c r="A2" s="1229" t="s">
        <v>84</v>
      </c>
      <c r="B2" s="1229"/>
      <c r="C2" s="1229"/>
      <c r="D2" s="1229"/>
      <c r="E2" s="1229"/>
      <c r="F2" s="1229"/>
      <c r="G2" s="1229"/>
      <c r="H2" s="1229"/>
    </row>
    <row r="3" spans="1:15" s="33" customFormat="1" ht="18">
      <c r="A3" s="1229" t="s">
        <v>507</v>
      </c>
      <c r="B3" s="1229"/>
      <c r="C3" s="1229"/>
      <c r="D3" s="1229"/>
      <c r="E3" s="1229"/>
      <c r="F3" s="1229"/>
      <c r="G3" s="1229"/>
      <c r="H3" s="1229"/>
      <c r="I3" s="277"/>
      <c r="J3" s="32"/>
      <c r="K3" s="32"/>
      <c r="L3" s="32"/>
      <c r="M3" s="32"/>
      <c r="N3" s="32"/>
      <c r="O3" s="32"/>
    </row>
    <row r="4" spans="1:15" s="33" customFormat="1">
      <c r="A4" s="49"/>
      <c r="B4" s="49"/>
      <c r="C4" s="49"/>
      <c r="D4" s="32"/>
      <c r="E4" s="1"/>
      <c r="F4" s="32"/>
      <c r="G4" s="32"/>
      <c r="H4" s="32"/>
    </row>
    <row r="5" spans="1:15" s="33" customFormat="1" ht="15.75">
      <c r="A5" s="1333" t="s">
        <v>508</v>
      </c>
      <c r="B5" s="1333"/>
      <c r="C5" s="1333"/>
      <c r="D5" s="1333"/>
      <c r="E5" s="1333"/>
      <c r="F5" s="1333"/>
      <c r="G5" s="1333"/>
      <c r="H5" s="1333"/>
    </row>
    <row r="6" spans="1:15" s="33" customFormat="1" ht="15.75">
      <c r="A6" s="1318" t="s">
        <v>509</v>
      </c>
      <c r="B6" s="1318"/>
      <c r="C6" s="1318"/>
      <c r="D6" s="1318"/>
      <c r="E6" s="1318"/>
      <c r="F6" s="1318"/>
      <c r="G6" s="1318"/>
      <c r="H6" s="1318"/>
    </row>
    <row r="7" spans="1:15" s="33" customFormat="1" ht="18" customHeight="1">
      <c r="A7" s="175" t="s">
        <v>130</v>
      </c>
      <c r="B7" s="50"/>
      <c r="C7" s="50"/>
      <c r="D7" s="3" t="s">
        <v>88</v>
      </c>
      <c r="G7" s="92" t="s">
        <v>160</v>
      </c>
      <c r="H7" s="310" t="s">
        <v>161</v>
      </c>
    </row>
    <row r="8" spans="1:15" s="33" customFormat="1" ht="18" customHeight="1">
      <c r="A8" s="175" t="s">
        <v>510</v>
      </c>
      <c r="B8" s="50"/>
      <c r="C8" s="313" t="s">
        <v>511</v>
      </c>
      <c r="D8" s="3"/>
      <c r="E8" s="340" t="s">
        <v>512</v>
      </c>
      <c r="F8" s="314">
        <v>5601</v>
      </c>
      <c r="G8" s="313"/>
      <c r="H8" s="310"/>
    </row>
    <row r="9" spans="1:15" s="33" customFormat="1" ht="15" customHeight="1" thickBot="1">
      <c r="A9" s="50"/>
      <c r="B9" s="50"/>
      <c r="C9" s="50"/>
      <c r="D9" s="50"/>
      <c r="E9" s="155"/>
      <c r="F9" s="155"/>
      <c r="G9" s="50"/>
    </row>
    <row r="10" spans="1:15" ht="17.25" customHeight="1" thickBot="1">
      <c r="A10" s="1321" t="s">
        <v>513</v>
      </c>
      <c r="B10" s="1334" t="s">
        <v>514</v>
      </c>
      <c r="C10" s="1335"/>
    </row>
    <row r="11" spans="1:15" s="24" customFormat="1" ht="29.25" customHeight="1" thickBot="1">
      <c r="A11" s="1322"/>
      <c r="B11" s="154" t="s">
        <v>515</v>
      </c>
      <c r="C11" s="154" t="s">
        <v>516</v>
      </c>
      <c r="D11" s="127" t="s">
        <v>18</v>
      </c>
      <c r="E11" s="127" t="s">
        <v>517</v>
      </c>
      <c r="F11" s="127" t="s">
        <v>518</v>
      </c>
      <c r="G11" s="133" t="s">
        <v>519</v>
      </c>
      <c r="H11" s="143" t="s">
        <v>520</v>
      </c>
    </row>
    <row r="12" spans="1:15" ht="16.5" customHeight="1"/>
    <row r="13" spans="1:15" s="565" customFormat="1">
      <c r="A13" s="559" t="s">
        <v>521</v>
      </c>
      <c r="B13" s="560"/>
      <c r="C13" s="560"/>
      <c r="D13" s="561"/>
      <c r="E13" s="562"/>
      <c r="F13" s="563"/>
      <c r="G13" s="564"/>
      <c r="H13" s="1506"/>
    </row>
    <row r="14" spans="1:15" s="565" customFormat="1">
      <c r="A14" s="559"/>
      <c r="B14" s="560"/>
      <c r="C14" s="560"/>
      <c r="D14" s="561"/>
      <c r="E14" s="562"/>
      <c r="F14" s="563"/>
      <c r="G14" s="564"/>
      <c r="H14" s="1506"/>
    </row>
    <row r="15" spans="1:15" s="565" customFormat="1" ht="13.5" thickBot="1">
      <c r="A15" s="566"/>
      <c r="B15" s="567"/>
      <c r="C15" s="566" t="s">
        <v>522</v>
      </c>
      <c r="D15" s="566"/>
      <c r="E15" s="567"/>
      <c r="F15" s="566"/>
      <c r="G15" s="568"/>
      <c r="H15" s="569"/>
      <c r="J15" s="570"/>
    </row>
    <row r="16" spans="1:15" s="565" customFormat="1" ht="15" customHeight="1" thickTop="1" thickBot="1">
      <c r="A16" s="571" t="s">
        <v>523</v>
      </c>
      <c r="B16" s="571" t="str">
        <f>MID(A16,1,3)&amp;"-"&amp;13</f>
        <v>623-13</v>
      </c>
      <c r="C16" s="572"/>
      <c r="D16" s="1087" t="str">
        <f>VLOOKUP(A16,[33]ÍNDICE!$C$6:$N$380,5,FALSE)</f>
        <v>ANCLAJE TIPO _____ (ROCA)</v>
      </c>
      <c r="E16" s="1088" t="str">
        <f>VLOOKUP(A16,[33]ÍNDICE!$C$6:$N$380,2,FALSE)</f>
        <v>m</v>
      </c>
      <c r="F16" s="1089">
        <v>105</v>
      </c>
      <c r="G16" s="1090">
        <f>VLOOKUP(A16,[33]ÍNDICE!$C$6:$N$380,12,FALSE)</f>
        <v>522283.45369059901</v>
      </c>
      <c r="H16" s="573">
        <f>F16*G16</f>
        <v>54839762.637512892</v>
      </c>
    </row>
    <row r="17" spans="1:8" s="565" customFormat="1" ht="15" customHeight="1" thickTop="1">
      <c r="A17" s="574"/>
      <c r="B17" s="574"/>
      <c r="C17" s="574"/>
      <c r="D17" s="575"/>
      <c r="E17" s="562"/>
      <c r="G17" s="576" t="s">
        <v>524</v>
      </c>
      <c r="H17" s="1507">
        <f>SUM(H16:H16)</f>
        <v>54839762.637512892</v>
      </c>
    </row>
    <row r="18" spans="1:8" s="565" customFormat="1" ht="15" customHeight="1">
      <c r="A18" s="577"/>
      <c r="B18" s="577"/>
      <c r="C18" s="577"/>
      <c r="D18" s="578"/>
      <c r="E18" s="562"/>
      <c r="G18" s="579" t="s">
        <v>525</v>
      </c>
      <c r="H18" s="1508">
        <f>ROUND((+H17*0.05*0.19)/(1+0.3),0)</f>
        <v>400752</v>
      </c>
    </row>
    <row r="19" spans="1:8" s="565" customFormat="1" ht="15" customHeight="1" thickBot="1">
      <c r="A19" s="561"/>
      <c r="B19" s="560"/>
      <c r="C19" s="560"/>
      <c r="D19" s="561"/>
      <c r="E19" s="562"/>
      <c r="F19" s="563"/>
      <c r="G19" s="579" t="s">
        <v>526</v>
      </c>
      <c r="H19" s="1509">
        <f>+ROUND(H17+H18,0)</f>
        <v>55240515</v>
      </c>
    </row>
    <row r="20" spans="1:8" s="565" customFormat="1" ht="15" customHeight="1" thickTop="1">
      <c r="A20" s="561"/>
      <c r="B20" s="560"/>
      <c r="C20" s="560"/>
      <c r="D20" s="561"/>
      <c r="E20" s="562"/>
      <c r="F20" s="563"/>
      <c r="G20" s="579"/>
      <c r="H20" s="1510"/>
    </row>
    <row r="21" spans="1:8" s="565" customFormat="1" ht="13.5" thickBot="1">
      <c r="A21" s="566"/>
      <c r="B21" s="567"/>
      <c r="C21" s="566" t="s">
        <v>527</v>
      </c>
      <c r="D21" s="566"/>
      <c r="E21" s="567"/>
      <c r="F21" s="566"/>
      <c r="G21" s="616"/>
      <c r="H21" s="569"/>
    </row>
    <row r="22" spans="1:8" s="565" customFormat="1" ht="15" customHeight="1" thickTop="1">
      <c r="A22" s="571" t="s">
        <v>528</v>
      </c>
      <c r="B22" s="571" t="str">
        <f t="shared" ref="B22:B29" si="0">MID(A22,1,3)&amp;"-"&amp;13</f>
        <v>600-13</v>
      </c>
      <c r="C22" s="595"/>
      <c r="D22" s="1091" t="str">
        <f>VLOOKUP(A22,[33]ÍNDICE!$C$6:$N$380,5,FALSE)</f>
        <v>EXCAVACIONES VARIAS SIN CLASIFICAR</v>
      </c>
      <c r="E22" s="581" t="str">
        <f>VLOOKUP(A22,[33]ÍNDICE!$C$6:$N$380,2,FALSE)</f>
        <v>m3</v>
      </c>
      <c r="F22" s="596">
        <f>6*2*3</f>
        <v>36</v>
      </c>
      <c r="G22" s="1092">
        <f>VLOOKUP(A22,[33]ÍNDICE!$C$6:$N$380,12,FALSE)</f>
        <v>58828.261120639472</v>
      </c>
      <c r="H22" s="597">
        <f t="shared" ref="H22:H29" si="1">F22*G22</f>
        <v>2117817.4003430209</v>
      </c>
    </row>
    <row r="23" spans="1:8" s="565" customFormat="1" ht="15" customHeight="1">
      <c r="A23" s="571" t="s">
        <v>529</v>
      </c>
      <c r="B23" s="571" t="str">
        <f t="shared" si="0"/>
        <v>600-13</v>
      </c>
      <c r="C23" s="571"/>
      <c r="D23" s="1091" t="str">
        <f>VLOOKUP(A23,[33]ÍNDICE!$C$6:$N$380,5,FALSE)</f>
        <v>EXCAVACIONES VARIAS EN MATERIAL COMÚN BAJO AGUA</v>
      </c>
      <c r="E23" s="581" t="str">
        <f>VLOOKUP(A23,[33]ÍNDICE!$C$6:$N$380,2,FALSE)</f>
        <v>m3</v>
      </c>
      <c r="F23" s="586">
        <v>12</v>
      </c>
      <c r="G23" s="1092">
        <f>VLOOKUP(A23,[33]ÍNDICE!$C$6:$N$380,12,FALSE)</f>
        <v>59036.507942085271</v>
      </c>
      <c r="H23" s="583">
        <f t="shared" si="1"/>
        <v>708438.09530502325</v>
      </c>
    </row>
    <row r="24" spans="1:8" s="565" customFormat="1" ht="15" customHeight="1">
      <c r="A24" s="572" t="s">
        <v>530</v>
      </c>
      <c r="B24" s="572" t="str">
        <f t="shared" si="0"/>
        <v>610-13</v>
      </c>
      <c r="C24" s="572"/>
      <c r="D24" s="1091" t="str">
        <f>VLOOKUP(A24,[33]ÍNDICE!$C$6:$N$380,5,FALSE)</f>
        <v>RELLENO PARA ESTRUCTURAS CON SUELO (analizado sin preparación de la superficie base del relleno)</v>
      </c>
      <c r="E24" s="581" t="str">
        <f>VLOOKUP(A24,[33]ÍNDICE!$C$6:$N$380,2,FALSE)</f>
        <v>m3</v>
      </c>
      <c r="F24" s="584">
        <v>5</v>
      </c>
      <c r="G24" s="1092">
        <f>VLOOKUP(A24,[33]ÍNDICE!$C$6:$N$380,12,FALSE)</f>
        <v>162354.11090657322</v>
      </c>
      <c r="H24" s="573">
        <f t="shared" si="1"/>
        <v>811770.55453286611</v>
      </c>
    </row>
    <row r="25" spans="1:8" s="565" customFormat="1" ht="15.75" customHeight="1">
      <c r="A25" s="571" t="s">
        <v>531</v>
      </c>
      <c r="B25" s="571" t="str">
        <f t="shared" si="0"/>
        <v>630-13</v>
      </c>
      <c r="C25" s="571"/>
      <c r="D25" s="1091" t="str">
        <f>VLOOKUP(A25,[33]ÍNDICE!$C$6:$N$380,5,FALSE)</f>
        <v>CONCRETO SIMPLE RESISTENCIA 17 MPa - MEZCLA IN SITU</v>
      </c>
      <c r="E25" s="581" t="str">
        <f>VLOOKUP(A25,[33]ÍNDICE!$C$6:$N$380,2,FALSE)</f>
        <v>m3</v>
      </c>
      <c r="F25" s="586">
        <f>8*4*0.1</f>
        <v>3.2</v>
      </c>
      <c r="G25" s="1092">
        <f>VLOOKUP(A25,[33]ÍNDICE!$C$6:$N$380,12,FALSE)</f>
        <v>994779.33062365581</v>
      </c>
      <c r="H25" s="583">
        <f t="shared" si="1"/>
        <v>3183293.8579956987</v>
      </c>
    </row>
    <row r="26" spans="1:8" s="565" customFormat="1" ht="15" customHeight="1">
      <c r="A26" s="571" t="s">
        <v>532</v>
      </c>
      <c r="B26" s="571" t="str">
        <f t="shared" si="0"/>
        <v>630-13</v>
      </c>
      <c r="C26" s="571"/>
      <c r="D26" s="1091" t="str">
        <f>VLOOKUP(A26,[33]ÍNDICE!$C$6:$N$380,5,FALSE)</f>
        <v>CONCRETO CICLÓPEO RESISTENCIA 14MPa (G)</v>
      </c>
      <c r="E26" s="581" t="str">
        <f>VLOOKUP(A26,[33]ÍNDICE!$C$6:$N$380,2,FALSE)</f>
        <v>m3</v>
      </c>
      <c r="F26" s="586">
        <v>2</v>
      </c>
      <c r="G26" s="1092">
        <f>VLOOKUP(A26,[33]ÍNDICE!$C$6:$N$380,12,FALSE)</f>
        <v>680494.66759275761</v>
      </c>
      <c r="H26" s="583">
        <f t="shared" si="1"/>
        <v>1360989.3351855152</v>
      </c>
    </row>
    <row r="27" spans="1:8" s="565" customFormat="1" ht="15" customHeight="1">
      <c r="A27" s="571" t="s">
        <v>533</v>
      </c>
      <c r="B27" s="571" t="str">
        <f t="shared" si="0"/>
        <v>630-13</v>
      </c>
      <c r="C27" s="571"/>
      <c r="D27" s="1091" t="str">
        <f>VLOOKUP(A27,[33]ÍNDICE!$C$6:$N$380,5,FALSE)</f>
        <v>BOLSACRETO CONCRETO 210 MPA</v>
      </c>
      <c r="E27" s="581" t="str">
        <f>VLOOKUP(A27,[33]ÍNDICE!$C$6:$N$380,2,FALSE)</f>
        <v>m3</v>
      </c>
      <c r="F27" s="586">
        <v>30</v>
      </c>
      <c r="G27" s="1092">
        <f>VLOOKUP(A27,[33]ÍNDICE!$C$6:$N$380,12,FALSE)</f>
        <v>858421.77896308829</v>
      </c>
      <c r="H27" s="583">
        <f t="shared" si="1"/>
        <v>25752653.368892647</v>
      </c>
    </row>
    <row r="28" spans="1:8" s="565" customFormat="1" ht="15" customHeight="1">
      <c r="A28" s="571" t="s">
        <v>534</v>
      </c>
      <c r="B28" s="571" t="str">
        <f t="shared" si="0"/>
        <v>673-13</v>
      </c>
      <c r="C28" s="571"/>
      <c r="D28" s="1091" t="str">
        <f>VLOOKUP(A28,[33]ÍNDICE!$C$6:$N$380,5,FALSE)</f>
        <v xml:space="preserve">GEOTEXTIL TIPO TEJIDO CON RESISTENCIA A LA TENSIÓN GRAB MÍNIMA DE 1400 N </v>
      </c>
      <c r="E28" s="581" t="str">
        <f>VLOOKUP(A28,[33]ÍNDICE!$C$6:$N$380,2,FALSE)</f>
        <v>m2</v>
      </c>
      <c r="F28" s="585">
        <f>7*3*1.1</f>
        <v>23.1</v>
      </c>
      <c r="G28" s="1092">
        <f>VLOOKUP(A28,[33]ÍNDICE!$C$6:$N$380,12,FALSE)</f>
        <v>12861.24633460756</v>
      </c>
      <c r="H28" s="583">
        <f t="shared" si="1"/>
        <v>297094.79032943468</v>
      </c>
    </row>
    <row r="29" spans="1:8" s="565" customFormat="1" ht="42.75" customHeight="1" thickBot="1">
      <c r="A29" s="571" t="s">
        <v>535</v>
      </c>
      <c r="B29" s="571" t="str">
        <f t="shared" si="0"/>
        <v>681-13</v>
      </c>
      <c r="C29" s="571"/>
      <c r="D29" s="619" t="str">
        <f>VLOOKUP(A29,[33]ÍNDICE!$C$6:$N$380,5,FALSE)</f>
        <v>GAVIONES DE MALLA DE ALAMBRE DE ACERO ENTRELAZADO CLASE 1; RECUBRIMIENTO DE ZINC (GALVANIZADO)</v>
      </c>
      <c r="E29" s="581" t="str">
        <f>VLOOKUP(A29,[33]ÍNDICE!$C$6:$N$380,2,FALSE)</f>
        <v>m3</v>
      </c>
      <c r="F29" s="603">
        <v>36</v>
      </c>
      <c r="G29" s="1093">
        <f>VLOOKUP(A29,[33]ÍNDICE!$C$6:$N$380,12,FALSE)</f>
        <v>601666.19528525032</v>
      </c>
      <c r="H29" s="606">
        <f t="shared" si="1"/>
        <v>21659983.030269012</v>
      </c>
    </row>
    <row r="30" spans="1:8" s="565" customFormat="1" ht="15" customHeight="1" thickTop="1">
      <c r="A30" s="574"/>
      <c r="B30" s="574"/>
      <c r="C30" s="574"/>
      <c r="D30" s="575"/>
      <c r="E30" s="589"/>
      <c r="G30" s="579" t="s">
        <v>524</v>
      </c>
      <c r="H30" s="1511">
        <f>SUM(H22:H29)</f>
        <v>55892040.432853214</v>
      </c>
    </row>
    <row r="31" spans="1:8" s="565" customFormat="1" ht="15" customHeight="1">
      <c r="A31" s="577"/>
      <c r="B31" s="577"/>
      <c r="C31" s="577"/>
      <c r="D31" s="578"/>
      <c r="E31" s="562"/>
      <c r="G31" s="579" t="s">
        <v>525</v>
      </c>
      <c r="H31" s="1508">
        <f>SUM(H30:H30)*0.05*0.19/1.3</f>
        <v>408441.83393238892</v>
      </c>
    </row>
    <row r="32" spans="1:8" s="565" customFormat="1" ht="15" customHeight="1" thickBot="1">
      <c r="A32" s="561"/>
      <c r="B32" s="560"/>
      <c r="C32" s="560"/>
      <c r="D32" s="561"/>
      <c r="E32" s="562"/>
      <c r="G32" s="579" t="s">
        <v>526</v>
      </c>
      <c r="H32" s="1509">
        <f>+ROUND(H30+H31,0)</f>
        <v>56300482</v>
      </c>
    </row>
    <row r="33" spans="1:10" s="565" customFormat="1" ht="15" customHeight="1" thickTop="1">
      <c r="A33" s="561"/>
      <c r="B33" s="560"/>
      <c r="C33" s="560"/>
      <c r="D33" s="561"/>
      <c r="E33" s="562"/>
      <c r="F33" s="563"/>
      <c r="G33" s="579"/>
      <c r="H33" s="1506"/>
    </row>
    <row r="34" spans="1:10" s="565" customFormat="1" ht="15" customHeight="1">
      <c r="A34" s="561"/>
      <c r="B34" s="560"/>
      <c r="C34" s="560"/>
      <c r="D34" s="561"/>
      <c r="E34" s="562"/>
      <c r="F34" s="563"/>
      <c r="G34" s="579"/>
      <c r="H34" s="1506"/>
    </row>
    <row r="35" spans="1:10" s="565" customFormat="1" ht="15" customHeight="1" thickBot="1">
      <c r="A35" s="566"/>
      <c r="B35" s="567"/>
      <c r="C35" s="566" t="s">
        <v>536</v>
      </c>
      <c r="D35" s="566"/>
      <c r="E35" s="567"/>
      <c r="F35" s="566"/>
      <c r="G35" s="616"/>
      <c r="H35" s="569"/>
    </row>
    <row r="36" spans="1:10" s="565" customFormat="1" ht="15" customHeight="1" thickTop="1">
      <c r="A36" s="655" t="s">
        <v>528</v>
      </c>
      <c r="B36" s="571" t="str">
        <f t="shared" ref="B36:B42" si="2">MID(A36,1,3)&amp;"-"&amp;13</f>
        <v>600-13</v>
      </c>
      <c r="C36" s="595"/>
      <c r="D36" s="1091" t="str">
        <f>VLOOKUP(A36,[33]ÍNDICE!$C$6:$N$380,5,FALSE)</f>
        <v>EXCAVACIONES VARIAS SIN CLASIFICAR</v>
      </c>
      <c r="E36" s="581" t="str">
        <f>VLOOKUP(A36,[33]ÍNDICE!$C$6:$N$380,2,FALSE)</f>
        <v>m3</v>
      </c>
      <c r="F36" s="596">
        <f>20*2*3</f>
        <v>120</v>
      </c>
      <c r="G36" s="1092">
        <f>VLOOKUP(A36,[33]ÍNDICE!$C$6:$N$380,12,FALSE)</f>
        <v>58828.261120639472</v>
      </c>
      <c r="H36" s="597">
        <f t="shared" ref="H36:H42" si="3">F36*G36</f>
        <v>7059391.3344767364</v>
      </c>
    </row>
    <row r="37" spans="1:10" s="565" customFormat="1" ht="15" customHeight="1">
      <c r="A37" s="655" t="s">
        <v>529</v>
      </c>
      <c r="B37" s="571" t="str">
        <f t="shared" si="2"/>
        <v>600-13</v>
      </c>
      <c r="C37" s="571"/>
      <c r="D37" s="1091" t="str">
        <f>VLOOKUP(A37,[33]ÍNDICE!$C$6:$N$380,5,FALSE)</f>
        <v>EXCAVACIONES VARIAS EN MATERIAL COMÚN BAJO AGUA</v>
      </c>
      <c r="E37" s="581" t="str">
        <f>VLOOKUP(A37,[33]ÍNDICE!$C$6:$N$380,2,FALSE)</f>
        <v>m3</v>
      </c>
      <c r="F37" s="586">
        <f>0.7*F36</f>
        <v>84</v>
      </c>
      <c r="G37" s="1092">
        <f>VLOOKUP(A37,[33]ÍNDICE!$C$6:$N$380,12,FALSE)</f>
        <v>59036.507942085271</v>
      </c>
      <c r="H37" s="583">
        <f t="shared" si="3"/>
        <v>4959066.6671351623</v>
      </c>
    </row>
    <row r="38" spans="1:10" s="565" customFormat="1" ht="15" customHeight="1">
      <c r="A38" s="655" t="s">
        <v>530</v>
      </c>
      <c r="B38" s="571" t="str">
        <f>MID(A38,1,3)&amp;"-"&amp;13</f>
        <v>610-13</v>
      </c>
      <c r="C38" s="571"/>
      <c r="D38" s="1091" t="str">
        <f>VLOOKUP(A38,[33]ÍNDICE!$C$6:$N$380,5,FALSE)</f>
        <v>RELLENO PARA ESTRUCTURAS CON SUELO (analizado sin preparación de la superficie base del relleno)</v>
      </c>
      <c r="E38" s="581" t="str">
        <f>VLOOKUP(A38,[33]ÍNDICE!$C$6:$N$380,2,FALSE)</f>
        <v>m3</v>
      </c>
      <c r="F38" s="586">
        <f>0.75*F36</f>
        <v>90</v>
      </c>
      <c r="G38" s="1092">
        <f>VLOOKUP(A38,[33]ÍNDICE!$C$6:$N$380,12,FALSE)</f>
        <v>162354.11090657322</v>
      </c>
      <c r="H38" s="583">
        <f t="shared" si="3"/>
        <v>14611869.98159159</v>
      </c>
    </row>
    <row r="39" spans="1:10" s="565" customFormat="1" ht="15" customHeight="1">
      <c r="A39" s="1213" t="s">
        <v>537</v>
      </c>
      <c r="B39" s="609" t="str">
        <f>MID(A39,1,3)&amp;"-"&amp;13</f>
        <v>630-13</v>
      </c>
      <c r="C39" s="609"/>
      <c r="D39" s="1091" t="str">
        <f>VLOOKUP(A39,[33]ÍNDICE!$C$6:$N$380,5,FALSE)</f>
        <v>CONCRETO REFORZADO RESISTENCIA 21MPa (D) - MEZCLA IN SITU</v>
      </c>
      <c r="E39" s="581" t="str">
        <f>VLOOKUP(A39,[33]ÍNDICE!$C$6:$N$380,2,FALSE)</f>
        <v>m3</v>
      </c>
      <c r="F39" s="610">
        <f>20*4*0.1</f>
        <v>8</v>
      </c>
      <c r="G39" s="1092">
        <f>VLOOKUP(A39,[33]ÍNDICE!$C$6:$N$380,12,FALSE)</f>
        <v>1243512.4574943627</v>
      </c>
      <c r="H39" s="611">
        <f t="shared" si="3"/>
        <v>9948099.6599549018</v>
      </c>
    </row>
    <row r="40" spans="1:10" s="565" customFormat="1" ht="15" customHeight="1">
      <c r="A40" s="655" t="s">
        <v>532</v>
      </c>
      <c r="B40" s="571" t="str">
        <f>MID(A40,1,3)&amp;"-"&amp;13</f>
        <v>630-13</v>
      </c>
      <c r="C40" s="571"/>
      <c r="D40" s="1091" t="str">
        <f>VLOOKUP(A40,[33]ÍNDICE!$C$6:$N$380,5,FALSE)</f>
        <v>CONCRETO CICLÓPEO RESISTENCIA 14MPa (G)</v>
      </c>
      <c r="E40" s="581" t="str">
        <f>VLOOKUP(A40,[33]ÍNDICE!$C$6:$N$380,2,FALSE)</f>
        <v>m3</v>
      </c>
      <c r="F40" s="586">
        <v>8</v>
      </c>
      <c r="G40" s="1092">
        <f>VLOOKUP(A40,[33]ÍNDICE!$C$6:$N$380,12,FALSE)</f>
        <v>680494.66759275761</v>
      </c>
      <c r="H40" s="583">
        <f t="shared" si="3"/>
        <v>5443957.3407420609</v>
      </c>
    </row>
    <row r="41" spans="1:10" s="565" customFormat="1" ht="15" customHeight="1">
      <c r="A41" s="655" t="s">
        <v>534</v>
      </c>
      <c r="B41" s="571" t="str">
        <f>MID(A41,1,3)&amp;"-"&amp;13</f>
        <v>673-13</v>
      </c>
      <c r="C41" s="571"/>
      <c r="D41" s="1091" t="str">
        <f>VLOOKUP(A41,[33]ÍNDICE!$C$6:$N$380,5,FALSE)</f>
        <v xml:space="preserve">GEOTEXTIL TIPO TEJIDO CON RESISTENCIA A LA TENSIÓN GRAB MÍNIMA DE 1400 N </v>
      </c>
      <c r="E41" s="581" t="str">
        <f>VLOOKUP(A41,[33]ÍNDICE!$C$6:$N$380,2,FALSE)</f>
        <v>m2</v>
      </c>
      <c r="F41" s="585">
        <f>21*3*1.1</f>
        <v>69.300000000000011</v>
      </c>
      <c r="G41" s="1092">
        <f>VLOOKUP(A41,[33]ÍNDICE!$C$6:$N$380,12,FALSE)</f>
        <v>12861.24633460756</v>
      </c>
      <c r="H41" s="583">
        <f t="shared" si="3"/>
        <v>891284.37098830403</v>
      </c>
    </row>
    <row r="42" spans="1:10" s="565" customFormat="1" ht="26.1" customHeight="1" thickBot="1">
      <c r="A42" s="655" t="s">
        <v>535</v>
      </c>
      <c r="B42" s="571" t="str">
        <f t="shared" si="2"/>
        <v>681-13</v>
      </c>
      <c r="C42" s="571"/>
      <c r="D42" s="1091" t="str">
        <f>VLOOKUP(A42,[33]ÍNDICE!$C$6:$N$380,5,FALSE)</f>
        <v>GAVIONES DE MALLA DE ALAMBRE DE ACERO ENTRELAZADO CLASE 1; RECUBRIMIENTO DE ZINC (GALVANIZADO)</v>
      </c>
      <c r="E42" s="581" t="str">
        <f>VLOOKUP(A42,[33]ÍNDICE!$C$6:$N$380,2,FALSE)</f>
        <v>m3</v>
      </c>
      <c r="F42" s="603">
        <f>20*3*(2/3)*3</f>
        <v>120</v>
      </c>
      <c r="G42" s="648">
        <f>VLOOKUP(A42,[33]ÍNDICE!$C$6:$N$380,12,FALSE)</f>
        <v>601666.19528525032</v>
      </c>
      <c r="H42" s="583">
        <f t="shared" si="3"/>
        <v>72199943.434230044</v>
      </c>
    </row>
    <row r="43" spans="1:10" s="565" customFormat="1" ht="15" customHeight="1" thickTop="1">
      <c r="A43" s="574"/>
      <c r="B43" s="574"/>
      <c r="C43" s="574"/>
      <c r="D43" s="575"/>
      <c r="E43" s="589"/>
      <c r="G43" s="576" t="s">
        <v>524</v>
      </c>
      <c r="H43" s="1507">
        <f>SUM(H36:H42)</f>
        <v>115113612.7891188</v>
      </c>
    </row>
    <row r="44" spans="1:10" s="565" customFormat="1" ht="15" customHeight="1">
      <c r="A44" s="577"/>
      <c r="B44" s="577"/>
      <c r="C44" s="577"/>
      <c r="D44" s="578"/>
      <c r="E44" s="562"/>
      <c r="G44" s="579" t="s">
        <v>525</v>
      </c>
      <c r="H44" s="1508">
        <f>SUM(H43:H43)*0.05*0.19/1.3</f>
        <v>841214.8626897143</v>
      </c>
    </row>
    <row r="45" spans="1:10" s="565" customFormat="1" ht="15" customHeight="1" thickBot="1">
      <c r="A45" s="561"/>
      <c r="B45" s="560"/>
      <c r="C45" s="560"/>
      <c r="D45" s="561"/>
      <c r="E45" s="562"/>
      <c r="G45" s="579" t="s">
        <v>526</v>
      </c>
      <c r="H45" s="1509">
        <f>+ROUND(H43+H44,0)</f>
        <v>115954828</v>
      </c>
    </row>
    <row r="46" spans="1:10" s="565" customFormat="1" ht="15" customHeight="1" thickTop="1">
      <c r="A46" s="561"/>
      <c r="B46" s="560"/>
      <c r="C46" s="560"/>
      <c r="D46" s="561"/>
      <c r="E46" s="562"/>
      <c r="F46" s="580"/>
      <c r="G46" s="580"/>
      <c r="H46" s="1506"/>
    </row>
    <row r="47" spans="1:10" s="565" customFormat="1" ht="15" customHeight="1">
      <c r="A47" s="561"/>
      <c r="B47" s="560"/>
      <c r="C47" s="560"/>
      <c r="D47" s="561"/>
      <c r="E47" s="562"/>
      <c r="F47" s="580"/>
      <c r="G47" s="580"/>
      <c r="H47" s="1506"/>
      <c r="J47" s="570"/>
    </row>
    <row r="48" spans="1:10" s="565" customFormat="1" ht="13.5" thickBot="1">
      <c r="A48" s="566"/>
      <c r="B48" s="567"/>
      <c r="C48" s="566" t="s">
        <v>538</v>
      </c>
      <c r="D48" s="566"/>
      <c r="E48" s="567"/>
      <c r="F48" s="566"/>
      <c r="G48" s="591"/>
      <c r="H48" s="569"/>
      <c r="I48" s="570"/>
    </row>
    <row r="49" spans="1:10" s="565" customFormat="1" ht="15" customHeight="1" thickTop="1">
      <c r="A49" s="1214" t="s">
        <v>528</v>
      </c>
      <c r="B49" s="572" t="str">
        <f t="shared" ref="B49:B55" si="4">MID(A49,1,3)&amp;"-"&amp;13</f>
        <v>600-13</v>
      </c>
      <c r="C49" s="572"/>
      <c r="D49" s="619" t="str">
        <f>VLOOKUP(A49,[33]ÍNDICE!$C$6:$N$380,5,FALSE)</f>
        <v>EXCAVACIONES VARIAS SIN CLASIFICAR</v>
      </c>
      <c r="E49" s="581" t="str">
        <f>VLOOKUP(A49,[33]ÍNDICE!$C$6:$N$380,2,FALSE)</f>
        <v>m3</v>
      </c>
      <c r="F49" s="592">
        <v>128</v>
      </c>
      <c r="G49" s="1092">
        <f>VLOOKUP(A49,[33]ÍNDICE!$C$6:$N$380,12,FALSE)</f>
        <v>58828.261120639472</v>
      </c>
      <c r="H49" s="573">
        <f t="shared" ref="H49:H55" si="5">F49*G49</f>
        <v>7530017.4234418524</v>
      </c>
    </row>
    <row r="50" spans="1:10" s="565" customFormat="1" ht="15" customHeight="1">
      <c r="A50" s="1214" t="s">
        <v>530</v>
      </c>
      <c r="B50" s="572" t="str">
        <f t="shared" si="4"/>
        <v>610-13</v>
      </c>
      <c r="C50" s="571"/>
      <c r="D50" s="619" t="str">
        <f>VLOOKUP(A50,[33]ÍNDICE!$C$6:$N$380,5,FALSE)</f>
        <v>RELLENO PARA ESTRUCTURAS CON SUELO (analizado sin preparación de la superficie base del relleno)</v>
      </c>
      <c r="E50" s="581" t="str">
        <f>VLOOKUP(A50,[33]ÍNDICE!$C$6:$N$380,2,FALSE)</f>
        <v>m3</v>
      </c>
      <c r="F50" s="585">
        <v>87</v>
      </c>
      <c r="G50" s="1092">
        <f>VLOOKUP(A50,[33]ÍNDICE!$C$6:$N$380,12,FALSE)</f>
        <v>162354.11090657322</v>
      </c>
      <c r="H50" s="583">
        <f t="shared" si="5"/>
        <v>14124807.648871871</v>
      </c>
    </row>
    <row r="51" spans="1:10" s="565" customFormat="1" ht="24">
      <c r="A51" s="1214" t="s">
        <v>537</v>
      </c>
      <c r="B51" s="572" t="str">
        <f t="shared" si="4"/>
        <v>630-13</v>
      </c>
      <c r="C51" s="571"/>
      <c r="D51" s="619" t="str">
        <f>VLOOKUP(A51,[33]ÍNDICE!$C$6:$N$380,5,FALSE)</f>
        <v>CONCRETO REFORZADO RESISTENCIA 21MPa (D) - MEZCLA IN SITU</v>
      </c>
      <c r="E51" s="581" t="str">
        <f>VLOOKUP(A51,[33]ÍNDICE!$C$6:$N$380,2,FALSE)</f>
        <v>m3</v>
      </c>
      <c r="F51" s="586">
        <v>10</v>
      </c>
      <c r="G51" s="1092">
        <f>VLOOKUP(A51,[33]ÍNDICE!$C$6:$N$380,12,FALSE)</f>
        <v>1243512.4574943627</v>
      </c>
      <c r="H51" s="583">
        <f t="shared" si="5"/>
        <v>12435124.574943628</v>
      </c>
    </row>
    <row r="52" spans="1:10" s="565" customFormat="1" ht="24">
      <c r="A52" s="1214" t="s">
        <v>539</v>
      </c>
      <c r="B52" s="572" t="str">
        <f t="shared" si="4"/>
        <v>630-13</v>
      </c>
      <c r="C52" s="587" t="s">
        <v>540</v>
      </c>
      <c r="D52" s="619" t="str">
        <f>VLOOKUP(A52,[33]ÍNDICE!$C$6:$N$380,5,FALSE)</f>
        <v>CONCRETO LIVIANO RESISTENCIA 14MPa (F) - MEZCLA IN SITU</v>
      </c>
      <c r="E52" s="581" t="str">
        <f>VLOOKUP(A52,[33]ÍNDICE!$C$6:$N$380,2,FALSE)</f>
        <v>m3</v>
      </c>
      <c r="F52" s="585">
        <v>2</v>
      </c>
      <c r="G52" s="1092">
        <f>VLOOKUP(A52,[33]ÍNDICE!$C$6:$N$380,12,FALSE)</f>
        <v>894326.16342625197</v>
      </c>
      <c r="H52" s="583">
        <f t="shared" si="5"/>
        <v>1788652.3268525039</v>
      </c>
    </row>
    <row r="53" spans="1:10" s="565" customFormat="1" ht="15" customHeight="1">
      <c r="A53" s="1214" t="s">
        <v>541</v>
      </c>
      <c r="B53" s="572" t="str">
        <f t="shared" si="4"/>
        <v>640-13</v>
      </c>
      <c r="C53" s="571"/>
      <c r="D53" s="619" t="str">
        <f>VLOOKUP(A53,[33]ÍNDICE!$C$6:$N$380,5,FALSE)</f>
        <v>ACERO DE REFUERZO Fy 4200 MPa</v>
      </c>
      <c r="E53" s="581" t="str">
        <f>VLOOKUP(A53,[33]ÍNDICE!$C$6:$N$380,2,FALSE)</f>
        <v>kg</v>
      </c>
      <c r="F53" s="565">
        <v>293</v>
      </c>
      <c r="G53" s="1092">
        <f>VLOOKUP(A53,[33]ÍNDICE!$C$6:$N$380,12,FALSE)</f>
        <v>7547.7371417119648</v>
      </c>
      <c r="H53" s="583">
        <f t="shared" si="5"/>
        <v>2211486.9825216057</v>
      </c>
      <c r="J53" s="588"/>
    </row>
    <row r="54" spans="1:10" s="565" customFormat="1" ht="15" customHeight="1">
      <c r="A54" s="1214" t="s">
        <v>534</v>
      </c>
      <c r="B54" s="572" t="str">
        <f t="shared" si="4"/>
        <v>673-13</v>
      </c>
      <c r="C54" s="571"/>
      <c r="D54" s="619" t="str">
        <f>VLOOKUP(A54,[33]ÍNDICE!$C$6:$N$380,5,FALSE)</f>
        <v xml:space="preserve">GEOTEXTIL TIPO TEJIDO CON RESISTENCIA A LA TENSIÓN GRAB MÍNIMA DE 1400 N </v>
      </c>
      <c r="E54" s="581" t="str">
        <f>VLOOKUP(A54,[33]ÍNDICE!$C$6:$N$380,2,FALSE)</f>
        <v>m2</v>
      </c>
      <c r="F54" s="585">
        <v>158</v>
      </c>
      <c r="G54" s="1092">
        <f>VLOOKUP(A54,[33]ÍNDICE!$C$6:$N$380,12,FALSE)</f>
        <v>12861.24633460756</v>
      </c>
      <c r="H54" s="583">
        <f t="shared" si="5"/>
        <v>2032076.9208679944</v>
      </c>
    </row>
    <row r="55" spans="1:10" s="565" customFormat="1" ht="38.25" customHeight="1" thickBot="1">
      <c r="A55" s="1214" t="s">
        <v>542</v>
      </c>
      <c r="B55" s="572" t="str">
        <f t="shared" si="4"/>
        <v>681-13</v>
      </c>
      <c r="C55" s="571"/>
      <c r="D55" s="619" t="str">
        <f>VLOOKUP(A55,[33]ÍNDICE!$C$6:$N$380,5,FALSE)</f>
        <v>GAVIONES DE MALLA DE ALAMBRE DE ACERO ENTRELAZADO  CLASE 3; RECUBRIMIENTO DE ZINC (GALVANIZADO) Y PVC</v>
      </c>
      <c r="E55" s="581" t="str">
        <f>VLOOKUP(A55,[33]ÍNDICE!$C$6:$N$380,2,FALSE)</f>
        <v>m3</v>
      </c>
      <c r="F55" s="593">
        <v>80</v>
      </c>
      <c r="G55" s="1092">
        <f>VLOOKUP(A55,[33]ÍNDICE!$C$6:$N$380,12,FALSE)</f>
        <v>575872.24869869393</v>
      </c>
      <c r="H55" s="583">
        <f t="shared" si="5"/>
        <v>46069779.895895511</v>
      </c>
    </row>
    <row r="56" spans="1:10" s="565" customFormat="1" ht="15" customHeight="1" thickTop="1">
      <c r="A56" s="574"/>
      <c r="B56" s="574"/>
      <c r="C56" s="574"/>
      <c r="D56" s="575"/>
      <c r="E56" s="589"/>
      <c r="G56" s="576" t="s">
        <v>524</v>
      </c>
      <c r="H56" s="1507">
        <f>SUM(H49:H55)</f>
        <v>86191945.773394972</v>
      </c>
    </row>
    <row r="57" spans="1:10" s="565" customFormat="1" ht="15" customHeight="1">
      <c r="A57" s="577"/>
      <c r="B57" s="577"/>
      <c r="C57" s="577"/>
      <c r="D57" s="578"/>
      <c r="E57" s="562"/>
      <c r="G57" s="579" t="s">
        <v>525</v>
      </c>
      <c r="H57" s="1508">
        <f>ROUND((+H56*0.05*0.19)/(1+0.3),0)</f>
        <v>629864</v>
      </c>
    </row>
    <row r="58" spans="1:10" s="565" customFormat="1" ht="15" customHeight="1" thickBot="1">
      <c r="A58" s="561"/>
      <c r="B58" s="560"/>
      <c r="C58" s="560"/>
      <c r="D58" s="561"/>
      <c r="E58" s="562"/>
      <c r="G58" s="579" t="s">
        <v>526</v>
      </c>
      <c r="H58" s="1509">
        <f>+ROUND(H56+H57,0)</f>
        <v>86821810</v>
      </c>
      <c r="I58" s="570"/>
    </row>
    <row r="59" spans="1:10" s="565" customFormat="1" ht="15" customHeight="1" thickTop="1">
      <c r="A59" s="561"/>
      <c r="B59" s="560"/>
      <c r="C59" s="560"/>
      <c r="D59" s="561"/>
      <c r="E59" s="562"/>
      <c r="G59" s="579"/>
      <c r="H59" s="1510"/>
      <c r="I59" s="570"/>
    </row>
    <row r="60" spans="1:10" s="565" customFormat="1" ht="15" customHeight="1">
      <c r="A60" s="561"/>
      <c r="B60" s="560"/>
      <c r="C60" s="560"/>
      <c r="D60" s="561"/>
      <c r="E60" s="562"/>
      <c r="G60" s="579"/>
      <c r="H60" s="1506"/>
      <c r="I60" s="570"/>
    </row>
    <row r="61" spans="1:10" s="565" customFormat="1" ht="12.75" customHeight="1">
      <c r="A61" s="561"/>
      <c r="B61" s="560"/>
      <c r="C61" s="560"/>
      <c r="D61" s="561"/>
      <c r="E61" s="562"/>
      <c r="F61" s="563"/>
      <c r="G61" s="564"/>
      <c r="H61" s="1506"/>
    </row>
    <row r="62" spans="1:10" s="565" customFormat="1" ht="12.75" customHeight="1">
      <c r="A62" s="561"/>
      <c r="B62" s="560"/>
      <c r="C62" s="560"/>
      <c r="D62" s="561"/>
      <c r="E62" s="562"/>
      <c r="F62" s="563"/>
      <c r="G62" s="564"/>
      <c r="H62" s="1506"/>
    </row>
    <row r="63" spans="1:10" s="565" customFormat="1" ht="15" customHeight="1" thickBot="1">
      <c r="A63" s="566"/>
      <c r="B63" s="567"/>
      <c r="C63" s="566" t="s">
        <v>543</v>
      </c>
      <c r="D63" s="566"/>
      <c r="E63" s="567"/>
      <c r="F63" s="566"/>
      <c r="G63" s="616"/>
      <c r="H63" s="569"/>
    </row>
    <row r="64" spans="1:10" s="565" customFormat="1" ht="15" customHeight="1" thickTop="1">
      <c r="A64" s="655" t="s">
        <v>528</v>
      </c>
      <c r="B64" s="571" t="str">
        <f>MID(A64,1,3)&amp;"-"&amp;13</f>
        <v>600-13</v>
      </c>
      <c r="C64" s="571"/>
      <c r="D64" s="619" t="str">
        <f>VLOOKUP(A64,[33]ÍNDICE!$C$6:$N$380,5,FALSE)</f>
        <v>EXCAVACIONES VARIAS SIN CLASIFICAR</v>
      </c>
      <c r="E64" s="581" t="str">
        <f>VLOOKUP(A64,[33]ÍNDICE!$C$6:$N$380,2,FALSE)</f>
        <v>m3</v>
      </c>
      <c r="F64" s="585">
        <f>15*2*3.5</f>
        <v>105</v>
      </c>
      <c r="G64" s="1092">
        <f>VLOOKUP(A64,[33]ÍNDICE!$C$6:$N$380,12,FALSE)</f>
        <v>58828.261120639472</v>
      </c>
      <c r="H64" s="583">
        <f>F64*G64</f>
        <v>6176967.4176671449</v>
      </c>
    </row>
    <row r="65" spans="1:9" s="565" customFormat="1" ht="15" customHeight="1">
      <c r="A65" s="1215" t="s">
        <v>530</v>
      </c>
      <c r="B65" s="650" t="str">
        <f>MID(A65,1,3)&amp;"-"&amp;13</f>
        <v>610-13</v>
      </c>
      <c r="C65" s="650"/>
      <c r="D65" s="619" t="str">
        <f>VLOOKUP(A65,[33]ÍNDICE!$C$6:$N$380,5,FALSE)</f>
        <v>RELLENO PARA ESTRUCTURAS CON SUELO (analizado sin preparación de la superficie base del relleno)</v>
      </c>
      <c r="E65" s="581" t="str">
        <f>VLOOKUP(A65,[33]ÍNDICE!$C$6:$N$380,2,FALSE)</f>
        <v>m3</v>
      </c>
      <c r="F65" s="1094">
        <f>15*0.5*3.5</f>
        <v>26.25</v>
      </c>
      <c r="G65" s="1092">
        <f>VLOOKUP(A65,[33]ÍNDICE!$C$6:$N$380,12,FALSE)</f>
        <v>162354.11090657322</v>
      </c>
      <c r="H65" s="573">
        <f>F65*G65</f>
        <v>4261795.4112975467</v>
      </c>
    </row>
    <row r="66" spans="1:9" s="565" customFormat="1" ht="15" customHeight="1">
      <c r="A66" s="655" t="s">
        <v>532</v>
      </c>
      <c r="B66" s="571" t="str">
        <f>MID(A66,1,3)&amp;"-"&amp;13</f>
        <v>630-13</v>
      </c>
      <c r="C66" s="571"/>
      <c r="D66" s="619" t="str">
        <f>VLOOKUP(A66,[33]ÍNDICE!$C$6:$N$380,5,FALSE)</f>
        <v>CONCRETO CICLÓPEO RESISTENCIA 14MPa (G)</v>
      </c>
      <c r="E66" s="581" t="str">
        <f>VLOOKUP(A66,[33]ÍNDICE!$C$6:$N$380,2,FALSE)</f>
        <v>m3</v>
      </c>
      <c r="F66" s="598">
        <v>6</v>
      </c>
      <c r="G66" s="1092">
        <f>VLOOKUP(A66,[33]ÍNDICE!$C$6:$N$380,12,FALSE)</f>
        <v>680494.66759275761</v>
      </c>
      <c r="H66" s="583">
        <f>F66*G66</f>
        <v>4082968.0055565457</v>
      </c>
    </row>
    <row r="67" spans="1:9" s="565" customFormat="1" ht="15" customHeight="1">
      <c r="A67" s="655" t="s">
        <v>534</v>
      </c>
      <c r="B67" s="571" t="str">
        <f>MID(A67,1,3)&amp;"-"&amp;13</f>
        <v>673-13</v>
      </c>
      <c r="C67" s="571"/>
      <c r="D67" s="619" t="str">
        <f>VLOOKUP(A67,[33]ÍNDICE!$C$6:$N$380,5,FALSE)</f>
        <v xml:space="preserve">GEOTEXTIL TIPO TEJIDO CON RESISTENCIA A LA TENSIÓN GRAB MÍNIMA DE 1400 N </v>
      </c>
      <c r="E67" s="581" t="str">
        <f>VLOOKUP(A67,[33]ÍNDICE!$C$6:$N$380,2,FALSE)</f>
        <v>m2</v>
      </c>
      <c r="F67" s="585">
        <f>15*4</f>
        <v>60</v>
      </c>
      <c r="G67" s="1092">
        <f>VLOOKUP(A67,[33]ÍNDICE!$C$6:$N$380,12,FALSE)</f>
        <v>12861.24633460756</v>
      </c>
      <c r="H67" s="583">
        <f>F67*G67</f>
        <v>771674.78007645358</v>
      </c>
    </row>
    <row r="68" spans="1:9" s="565" customFormat="1" ht="25.5" customHeight="1" thickBot="1">
      <c r="A68" s="1216" t="s">
        <v>535</v>
      </c>
      <c r="B68" s="602" t="str">
        <f>MID(A68,1,3)&amp;"-"&amp;13</f>
        <v>681-13</v>
      </c>
      <c r="C68" s="602"/>
      <c r="D68" s="1095" t="str">
        <f>VLOOKUP(A68,[33]ÍNDICE!$C$6:$N$380,5,FALSE)</f>
        <v>GAVIONES DE MALLA DE ALAMBRE DE ACERO ENTRELAZADO CLASE 1; RECUBRIMIENTO DE ZINC (GALVANIZADO)</v>
      </c>
      <c r="E68" s="1096" t="str">
        <f>VLOOKUP(A68,[33]ÍNDICE!$C$6:$N$380,2,FALSE)</f>
        <v>m3</v>
      </c>
      <c r="F68" s="1097">
        <f>15*5</f>
        <v>75</v>
      </c>
      <c r="G68" s="1098">
        <f>VLOOKUP(A68,[33]ÍNDICE!$C$6:$N$380,12,FALSE)</f>
        <v>601666.19528525032</v>
      </c>
      <c r="H68" s="1099">
        <f>F68*G68</f>
        <v>45124964.646393776</v>
      </c>
    </row>
    <row r="69" spans="1:9" s="565" customFormat="1" ht="15" customHeight="1" thickTop="1">
      <c r="A69" s="577"/>
      <c r="B69" s="577"/>
      <c r="C69" s="577"/>
      <c r="D69" s="607"/>
      <c r="E69" s="562"/>
      <c r="G69" s="601" t="s">
        <v>524</v>
      </c>
      <c r="H69" s="1511">
        <f>SUM(H64:H68)</f>
        <v>60418370.260991469</v>
      </c>
    </row>
    <row r="70" spans="1:9" s="565" customFormat="1" ht="15" customHeight="1">
      <c r="A70" s="577"/>
      <c r="B70" s="577"/>
      <c r="C70" s="577"/>
      <c r="D70" s="578"/>
      <c r="E70" s="562"/>
      <c r="G70" s="601" t="s">
        <v>525</v>
      </c>
      <c r="H70" s="1508">
        <f>SUM(H69:H69)*0.05*0.19/1.3</f>
        <v>441518.85959955305</v>
      </c>
    </row>
    <row r="71" spans="1:9" s="565" customFormat="1" ht="15" customHeight="1" thickBot="1">
      <c r="A71" s="561"/>
      <c r="B71" s="560"/>
      <c r="C71" s="560"/>
      <c r="D71" s="561"/>
      <c r="E71" s="562"/>
      <c r="G71" s="601" t="s">
        <v>526</v>
      </c>
      <c r="H71" s="1509">
        <f>+ROUND(H69+H70,0)</f>
        <v>60859889</v>
      </c>
    </row>
    <row r="72" spans="1:9" s="565" customFormat="1" ht="12.75" customHeight="1" thickTop="1">
      <c r="A72" s="561"/>
      <c r="B72" s="560"/>
      <c r="C72" s="560"/>
      <c r="D72" s="561"/>
      <c r="E72" s="562"/>
      <c r="F72" s="563"/>
      <c r="G72" s="564"/>
      <c r="H72" s="1506"/>
    </row>
    <row r="73" spans="1:9" s="565" customFormat="1" ht="12.75" customHeight="1">
      <c r="A73" s="561"/>
      <c r="B73" s="560"/>
      <c r="C73" s="560"/>
      <c r="D73" s="561"/>
      <c r="E73" s="562"/>
      <c r="F73" s="563"/>
      <c r="G73" s="564"/>
      <c r="H73" s="1506"/>
    </row>
    <row r="74" spans="1:9" s="565" customFormat="1" ht="13.5" customHeight="1" thickBot="1">
      <c r="A74" s="566"/>
      <c r="B74" s="567"/>
      <c r="C74" s="566" t="s">
        <v>544</v>
      </c>
      <c r="D74" s="566"/>
      <c r="E74" s="567"/>
      <c r="F74" s="566"/>
      <c r="G74" s="594"/>
      <c r="H74" s="569"/>
      <c r="I74" s="1512"/>
    </row>
    <row r="75" spans="1:9" s="565" customFormat="1" ht="12.75" customHeight="1" thickTop="1">
      <c r="A75" s="1217" t="s">
        <v>528</v>
      </c>
      <c r="B75" s="595" t="str">
        <f t="shared" ref="B75:B80" si="6">MID(A75,1,3)&amp;"-"&amp;13</f>
        <v>600-13</v>
      </c>
      <c r="C75" s="595"/>
      <c r="D75" s="619" t="str">
        <f>VLOOKUP(A75,[33]ÍNDICE!$C$6:$N$380,5,FALSE)</f>
        <v>EXCAVACIONES VARIAS SIN CLASIFICAR</v>
      </c>
      <c r="E75" s="581" t="str">
        <f>VLOOKUP(A75,[33]ÍNDICE!$C$6:$N$380,2,FALSE)</f>
        <v>m3</v>
      </c>
      <c r="F75" s="596">
        <v>30</v>
      </c>
      <c r="G75" s="1092">
        <f>VLOOKUP(A75,[33]ÍNDICE!$C$6:$N$380,12,FALSE)</f>
        <v>58828.261120639472</v>
      </c>
      <c r="H75" s="597">
        <f t="shared" ref="H75:H80" si="7">F75*G75</f>
        <v>1764847.8336191841</v>
      </c>
    </row>
    <row r="76" spans="1:9" s="565" customFormat="1" ht="15" customHeight="1">
      <c r="A76" s="1214" t="s">
        <v>530</v>
      </c>
      <c r="B76" s="572" t="str">
        <f t="shared" si="6"/>
        <v>610-13</v>
      </c>
      <c r="C76" s="572"/>
      <c r="D76" s="619" t="str">
        <f>VLOOKUP(A76,[33]ÍNDICE!$C$6:$N$380,5,FALSE)</f>
        <v>RELLENO PARA ESTRUCTURAS CON SUELO (analizado sin preparación de la superficie base del relleno)</v>
      </c>
      <c r="E76" s="581" t="str">
        <f>VLOOKUP(A76,[33]ÍNDICE!$C$6:$N$380,2,FALSE)</f>
        <v>m3</v>
      </c>
      <c r="F76" s="584">
        <v>42</v>
      </c>
      <c r="G76" s="1092">
        <f>VLOOKUP(A76,[33]ÍNDICE!$C$6:$N$380,12,FALSE)</f>
        <v>162354.11090657322</v>
      </c>
      <c r="H76" s="583">
        <f t="shared" si="7"/>
        <v>6818872.6580760749</v>
      </c>
    </row>
    <row r="77" spans="1:9" s="565" customFormat="1" ht="12.75" customHeight="1">
      <c r="A77" s="655" t="s">
        <v>539</v>
      </c>
      <c r="B77" s="571" t="str">
        <f t="shared" si="6"/>
        <v>630-13</v>
      </c>
      <c r="C77" s="571"/>
      <c r="D77" s="619" t="str">
        <f>VLOOKUP(A77,[33]ÍNDICE!$C$6:$N$380,5,FALSE)</f>
        <v>CONCRETO LIVIANO RESISTENCIA 14MPa (F) - MEZCLA IN SITU</v>
      </c>
      <c r="E77" s="581" t="str">
        <f>VLOOKUP(A77,[33]ÍNDICE!$C$6:$N$380,2,FALSE)</f>
        <v>m3</v>
      </c>
      <c r="F77" s="586">
        <v>2</v>
      </c>
      <c r="G77" s="1092">
        <f>VLOOKUP(A77,[33]ÍNDICE!$C$6:$N$380,12,FALSE)</f>
        <v>894326.16342625197</v>
      </c>
      <c r="H77" s="583">
        <f t="shared" si="7"/>
        <v>1788652.3268525039</v>
      </c>
    </row>
    <row r="78" spans="1:9" s="565" customFormat="1" ht="24.75" customHeight="1">
      <c r="A78" s="655" t="s">
        <v>545</v>
      </c>
      <c r="B78" s="571" t="str">
        <f t="shared" si="6"/>
        <v>671-13</v>
      </c>
      <c r="C78" s="571"/>
      <c r="D78" s="619" t="str">
        <f>VLOOKUP(A78,[33]ÍNDICE!$C$6:$N$380,5,FALSE)</f>
        <v>CUNETA DE CONCRETO VACIADA IN SITU; INCLUYE LA CONFORMACIÓN DE LA SUPERFICIE DE APOYO</v>
      </c>
      <c r="E78" s="581" t="str">
        <f>VLOOKUP(A78,[33]ÍNDICE!$C$6:$N$380,2,FALSE)</f>
        <v>m3</v>
      </c>
      <c r="F78" s="598">
        <v>5</v>
      </c>
      <c r="G78" s="1092">
        <f>VLOOKUP(A78,[33]ÍNDICE!$C$6:$N$380,12,FALSE)</f>
        <v>1106254.0341245155</v>
      </c>
      <c r="H78" s="583">
        <f t="shared" si="7"/>
        <v>5531270.1706225779</v>
      </c>
    </row>
    <row r="79" spans="1:9" s="565" customFormat="1" ht="15" customHeight="1">
      <c r="A79" s="655" t="s">
        <v>534</v>
      </c>
      <c r="B79" s="571" t="str">
        <f t="shared" si="6"/>
        <v>673-13</v>
      </c>
      <c r="C79" s="571"/>
      <c r="D79" s="619" t="str">
        <f>VLOOKUP(A79,[33]ÍNDICE!$C$6:$N$380,5,FALSE)</f>
        <v xml:space="preserve">GEOTEXTIL TIPO TEJIDO CON RESISTENCIA A LA TENSIÓN GRAB MÍNIMA DE 1400 N </v>
      </c>
      <c r="E79" s="581" t="str">
        <f>VLOOKUP(A79,[33]ÍNDICE!$C$6:$N$380,2,FALSE)</f>
        <v>m2</v>
      </c>
      <c r="F79" s="585">
        <v>42</v>
      </c>
      <c r="G79" s="1092">
        <f>VLOOKUP(A79,[33]ÍNDICE!$C$6:$N$380,12,FALSE)</f>
        <v>12861.24633460756</v>
      </c>
      <c r="H79" s="583">
        <f t="shared" si="7"/>
        <v>540172.34605351754</v>
      </c>
    </row>
    <row r="80" spans="1:9" s="565" customFormat="1" ht="35.25" customHeight="1" thickBot="1">
      <c r="A80" s="655" t="s">
        <v>542</v>
      </c>
      <c r="B80" s="571" t="str">
        <f t="shared" si="6"/>
        <v>681-13</v>
      </c>
      <c r="C80" s="571"/>
      <c r="D80" s="619" t="str">
        <f>VLOOKUP(A80,[33]ÍNDICE!$C$6:$N$380,5,FALSE)</f>
        <v>GAVIONES DE MALLA DE ALAMBRE DE ACERO ENTRELAZADO  CLASE 3; RECUBRIMIENTO DE ZINC (GALVANIZADO) Y PVC</v>
      </c>
      <c r="E80" s="581" t="str">
        <f>VLOOKUP(A80,[33]ÍNDICE!$C$6:$N$380,2,FALSE)</f>
        <v>m3</v>
      </c>
      <c r="F80" s="585">
        <v>56</v>
      </c>
      <c r="G80" s="1092">
        <f>VLOOKUP(A80,[33]ÍNDICE!$C$6:$N$380,12,FALSE)</f>
        <v>575872.24869869393</v>
      </c>
      <c r="H80" s="583">
        <f t="shared" si="7"/>
        <v>32248845.927126862</v>
      </c>
    </row>
    <row r="81" spans="1:9" s="565" customFormat="1" ht="15" customHeight="1" thickTop="1">
      <c r="A81" s="574"/>
      <c r="B81" s="574"/>
      <c r="C81" s="574"/>
      <c r="D81" s="575"/>
      <c r="E81" s="589"/>
      <c r="F81" s="599"/>
      <c r="G81" s="600" t="s">
        <v>524</v>
      </c>
      <c r="H81" s="1507">
        <f>SUM(H75:H80)</f>
        <v>48692661.262350723</v>
      </c>
    </row>
    <row r="82" spans="1:9" s="565" customFormat="1" ht="15" customHeight="1">
      <c r="A82" s="577"/>
      <c r="B82" s="577"/>
      <c r="C82" s="577"/>
      <c r="D82" s="578"/>
      <c r="E82" s="562"/>
      <c r="G82" s="601" t="s">
        <v>525</v>
      </c>
      <c r="H82" s="1508">
        <f>ROUND((+H81*0.05*0.19)/(1+0.3),0)</f>
        <v>355831</v>
      </c>
    </row>
    <row r="83" spans="1:9" s="565" customFormat="1" ht="15" customHeight="1" thickBot="1">
      <c r="A83" s="561"/>
      <c r="B83" s="560"/>
      <c r="C83" s="560"/>
      <c r="D83" s="561"/>
      <c r="E83" s="562"/>
      <c r="G83" s="601" t="s">
        <v>526</v>
      </c>
      <c r="H83" s="1509">
        <f>+ROUND(H81+H82,0)</f>
        <v>49048492</v>
      </c>
      <c r="I83" s="1512"/>
    </row>
    <row r="84" spans="1:9" s="565" customFormat="1" ht="12.75" customHeight="1" thickTop="1">
      <c r="A84" s="561"/>
      <c r="B84" s="560"/>
      <c r="C84" s="560"/>
      <c r="D84" s="561"/>
      <c r="E84" s="562"/>
      <c r="F84" s="563"/>
      <c r="G84" s="564"/>
      <c r="H84" s="1506"/>
    </row>
    <row r="85" spans="1:9" s="565" customFormat="1" ht="15" customHeight="1">
      <c r="A85" s="561"/>
      <c r="B85" s="560"/>
      <c r="C85" s="560"/>
      <c r="D85" s="561"/>
      <c r="E85" s="562"/>
      <c r="G85" s="579"/>
      <c r="H85" s="1506"/>
      <c r="I85" s="570"/>
    </row>
    <row r="86" spans="1:9" s="565" customFormat="1" ht="13.5" customHeight="1" thickBot="1">
      <c r="A86" s="566"/>
      <c r="B86" s="604"/>
      <c r="C86" s="605" t="s">
        <v>546</v>
      </c>
      <c r="D86" s="605"/>
      <c r="E86" s="605"/>
      <c r="F86" s="605"/>
      <c r="G86" s="605"/>
      <c r="H86" s="605"/>
    </row>
    <row r="87" spans="1:9" s="565" customFormat="1" ht="15" customHeight="1" thickTop="1">
      <c r="A87" s="655" t="s">
        <v>528</v>
      </c>
      <c r="B87" s="571" t="str">
        <f t="shared" ref="B87:B93" si="8">MID(A87,1,3)&amp;"-"&amp;13</f>
        <v>600-13</v>
      </c>
      <c r="C87" s="571"/>
      <c r="D87" s="619" t="str">
        <f>VLOOKUP(A87,[33]ÍNDICE!$C$6:$N$380,5,FALSE)</f>
        <v>EXCAVACIONES VARIAS SIN CLASIFICAR</v>
      </c>
      <c r="E87" s="581" t="str">
        <f>VLOOKUP(A87,[33]ÍNDICE!$C$6:$N$380,2,FALSE)</f>
        <v>m3</v>
      </c>
      <c r="F87" s="585">
        <f>20*0.7*1.5</f>
        <v>21</v>
      </c>
      <c r="G87" s="1092">
        <f>VLOOKUP(A87,[33]ÍNDICE!$C$6:$N$380,12,FALSE)</f>
        <v>58828.261120639472</v>
      </c>
      <c r="H87" s="583">
        <f t="shared" ref="H87:H93" si="9">F87*G87</f>
        <v>1235393.483533429</v>
      </c>
    </row>
    <row r="88" spans="1:9" s="565" customFormat="1" ht="15" customHeight="1">
      <c r="A88" s="1214" t="s">
        <v>530</v>
      </c>
      <c r="B88" s="572" t="str">
        <f>MID(A88,1,3)&amp;"-"&amp;13</f>
        <v>610-13</v>
      </c>
      <c r="C88" s="572"/>
      <c r="D88" s="619" t="str">
        <f>VLOOKUP(A88,[33]ÍNDICE!$C$6:$N$380,5,FALSE)</f>
        <v>RELLENO PARA ESTRUCTURAS CON SUELO (analizado sin preparación de la superficie base del relleno)</v>
      </c>
      <c r="E88" s="581" t="str">
        <f>VLOOKUP(A88,[33]ÍNDICE!$C$6:$N$380,2,FALSE)</f>
        <v>m3</v>
      </c>
      <c r="F88" s="584">
        <v>15</v>
      </c>
      <c r="G88" s="1092">
        <f>VLOOKUP(A88,[33]ÍNDICE!$C$6:$N$380,12,FALSE)</f>
        <v>162354.11090657322</v>
      </c>
      <c r="H88" s="573">
        <f>F88*G88</f>
        <v>2435311.6635985984</v>
      </c>
    </row>
    <row r="89" spans="1:9" s="565" customFormat="1" ht="15" customHeight="1">
      <c r="A89" s="655" t="s">
        <v>531</v>
      </c>
      <c r="B89" s="571" t="str">
        <f t="shared" si="8"/>
        <v>630-13</v>
      </c>
      <c r="C89" s="571"/>
      <c r="D89" s="619" t="str">
        <f>VLOOKUP(A89,[33]ÍNDICE!$C$6:$N$380,5,FALSE)</f>
        <v>CONCRETO SIMPLE RESISTENCIA 17 MPa - MEZCLA IN SITU</v>
      </c>
      <c r="E89" s="581" t="str">
        <f>VLOOKUP(A89,[33]ÍNDICE!$C$6:$N$380,2,FALSE)</f>
        <v>m3</v>
      </c>
      <c r="F89" s="586">
        <v>22</v>
      </c>
      <c r="G89" s="1092">
        <f>VLOOKUP(A89,[33]ÍNDICE!$C$6:$N$380,12,FALSE)</f>
        <v>994779.33062365581</v>
      </c>
      <c r="H89" s="583">
        <f t="shared" si="9"/>
        <v>21885145.273720428</v>
      </c>
    </row>
    <row r="90" spans="1:9" s="565" customFormat="1" ht="15" customHeight="1">
      <c r="A90" s="655" t="s">
        <v>532</v>
      </c>
      <c r="B90" s="571" t="str">
        <f t="shared" si="8"/>
        <v>630-13</v>
      </c>
      <c r="C90" s="571"/>
      <c r="D90" s="619" t="str">
        <f>VLOOKUP(A90,[33]ÍNDICE!$C$6:$N$380,5,FALSE)</f>
        <v>CONCRETO CICLÓPEO RESISTENCIA 14MPa (G)</v>
      </c>
      <c r="E90" s="581" t="str">
        <f>VLOOKUP(A90,[33]ÍNDICE!$C$6:$N$380,2,FALSE)</f>
        <v>m3</v>
      </c>
      <c r="F90" s="598">
        <v>5</v>
      </c>
      <c r="G90" s="1092">
        <f>VLOOKUP(A90,[33]ÍNDICE!$C$6:$N$380,12,FALSE)</f>
        <v>680494.66759275761</v>
      </c>
      <c r="H90" s="583">
        <f t="shared" si="9"/>
        <v>3402473.3379637878</v>
      </c>
    </row>
    <row r="91" spans="1:9" s="565" customFormat="1" ht="15" customHeight="1">
      <c r="A91" s="655" t="s">
        <v>541</v>
      </c>
      <c r="B91" s="571" t="str">
        <f t="shared" si="8"/>
        <v>640-13</v>
      </c>
      <c r="C91" s="571"/>
      <c r="D91" s="619" t="str">
        <f>VLOOKUP(A91,[33]ÍNDICE!$C$6:$N$380,5,FALSE)</f>
        <v>ACERO DE REFUERZO Fy 4200 MPa</v>
      </c>
      <c r="E91" s="581" t="str">
        <f>VLOOKUP(A91,[33]ÍNDICE!$C$6:$N$380,2,FALSE)</f>
        <v>kg</v>
      </c>
      <c r="F91" s="585">
        <f>F89*105*0.5</f>
        <v>1155</v>
      </c>
      <c r="G91" s="1092">
        <f>VLOOKUP(A91,[33]ÍNDICE!$C$6:$N$380,12,FALSE)</f>
        <v>7547.7371417119648</v>
      </c>
      <c r="H91" s="583">
        <f t="shared" si="9"/>
        <v>8717636.3986773193</v>
      </c>
    </row>
    <row r="92" spans="1:9" s="565" customFormat="1" ht="15" customHeight="1">
      <c r="A92" s="1214" t="s">
        <v>534</v>
      </c>
      <c r="B92" s="572" t="str">
        <f>MID(A92,1,3)&amp;"-"&amp;13</f>
        <v>673-13</v>
      </c>
      <c r="C92" s="572"/>
      <c r="D92" s="619" t="str">
        <f>VLOOKUP(A92,[33]ÍNDICE!$C$6:$N$380,5,FALSE)</f>
        <v xml:space="preserve">GEOTEXTIL TIPO TEJIDO CON RESISTENCIA A LA TENSIÓN GRAB MÍNIMA DE 1400 N </v>
      </c>
      <c r="E92" s="581" t="str">
        <f>VLOOKUP(A92,[33]ÍNDICE!$C$6:$N$380,2,FALSE)</f>
        <v>m2</v>
      </c>
      <c r="F92" s="1100">
        <v>40</v>
      </c>
      <c r="G92" s="1092">
        <f>VLOOKUP(A92,[33]ÍNDICE!$C$6:$N$380,12,FALSE)</f>
        <v>12861.24633460756</v>
      </c>
      <c r="H92" s="573">
        <f>F92*G92</f>
        <v>514449.85338430241</v>
      </c>
    </row>
    <row r="93" spans="1:9" s="565" customFormat="1" ht="15" customHeight="1" thickBot="1">
      <c r="A93" s="1216" t="s">
        <v>547</v>
      </c>
      <c r="B93" s="602" t="str">
        <f t="shared" si="8"/>
        <v>673-13</v>
      </c>
      <c r="C93" s="602"/>
      <c r="D93" s="630" t="str">
        <f>VLOOKUP(A93,[33]ÍNDICE!$C$6:$N$380,5,FALSE)</f>
        <v>MATERIAL GRANULAR DRENANTE</v>
      </c>
      <c r="E93" s="829" t="str">
        <f>VLOOKUP(A93,[33]ÍNDICE!$C$6:$N$380,2,FALSE)</f>
        <v>m3</v>
      </c>
      <c r="F93" s="593">
        <f>20*0.5*1.5</f>
        <v>15</v>
      </c>
      <c r="G93" s="1093">
        <f>VLOOKUP(A93,[33]ÍNDICE!$C$6:$N$380,12,FALSE)</f>
        <v>372207.28893037047</v>
      </c>
      <c r="H93" s="606">
        <f t="shared" si="9"/>
        <v>5583109.3339555571</v>
      </c>
    </row>
    <row r="94" spans="1:9" s="565" customFormat="1" ht="15" customHeight="1" thickTop="1">
      <c r="A94" s="577"/>
      <c r="B94" s="577"/>
      <c r="C94" s="577"/>
      <c r="D94" s="607"/>
      <c r="E94" s="562"/>
      <c r="G94" s="579" t="s">
        <v>524</v>
      </c>
      <c r="H94" s="1511">
        <f>SUM(H87:H93)</f>
        <v>43773519.344833419</v>
      </c>
    </row>
    <row r="95" spans="1:9" s="565" customFormat="1" ht="15" customHeight="1">
      <c r="A95" s="577"/>
      <c r="B95" s="577"/>
      <c r="C95" s="577"/>
      <c r="D95" s="578"/>
      <c r="E95" s="562"/>
      <c r="G95" s="579" t="s">
        <v>525</v>
      </c>
      <c r="H95" s="1508">
        <f>SUM(H94:H94)*0.05*0.19/1.3</f>
        <v>319883.41059685964</v>
      </c>
    </row>
    <row r="96" spans="1:9" s="565" customFormat="1" ht="15" customHeight="1" thickBot="1">
      <c r="A96" s="561"/>
      <c r="B96" s="560"/>
      <c r="C96" s="560"/>
      <c r="D96" s="561"/>
      <c r="E96" s="562"/>
      <c r="G96" s="579" t="s">
        <v>526</v>
      </c>
      <c r="H96" s="1509">
        <f>+ROUND(H94+H95,0)</f>
        <v>44093403</v>
      </c>
    </row>
    <row r="97" spans="1:10" s="565" customFormat="1" ht="15" customHeight="1" thickTop="1">
      <c r="A97" s="561"/>
      <c r="B97" s="560"/>
      <c r="C97" s="560"/>
      <c r="D97" s="561"/>
      <c r="E97" s="562"/>
      <c r="G97" s="579"/>
      <c r="H97" s="1510"/>
    </row>
    <row r="98" spans="1:10" s="565" customFormat="1" ht="13.5" thickBot="1">
      <c r="A98" s="566"/>
      <c r="B98" s="567"/>
      <c r="C98" s="566" t="s">
        <v>548</v>
      </c>
      <c r="D98" s="566"/>
      <c r="E98" s="567"/>
      <c r="F98" s="566"/>
      <c r="G98" s="568"/>
      <c r="H98" s="569"/>
      <c r="I98" s="570"/>
    </row>
    <row r="99" spans="1:10" s="565" customFormat="1" ht="15" customHeight="1" thickTop="1">
      <c r="A99" s="1217" t="s">
        <v>549</v>
      </c>
      <c r="B99" s="595" t="str">
        <f t="shared" ref="B99:B107" si="10">MID(A99,1,3)&amp;"-"&amp;13</f>
        <v>201-13</v>
      </c>
      <c r="C99" s="595"/>
      <c r="D99" s="619" t="str">
        <f>VLOOKUP(A99,[33]ÍNDICE!$C$6:$N$380,5,FALSE)</f>
        <v>DEMOLICIÓN DE ESTRUCTURAS</v>
      </c>
      <c r="E99" s="581" t="str">
        <f>VLOOKUP(A99,[33]ÍNDICE!$C$6:$N$380,2,FALSE)</f>
        <v>m3</v>
      </c>
      <c r="F99" s="608">
        <v>7</v>
      </c>
      <c r="G99" s="1092">
        <f>VLOOKUP(A99,[33]ÍNDICE!$C$6:$N$380,12,FALSE)</f>
        <v>217760.49497573468</v>
      </c>
      <c r="H99" s="597">
        <f t="shared" ref="H99:H107" si="11">F99*G99</f>
        <v>1524323.4648301427</v>
      </c>
    </row>
    <row r="100" spans="1:10" s="565" customFormat="1" ht="15" customHeight="1">
      <c r="A100" s="1213" t="s">
        <v>550</v>
      </c>
      <c r="B100" s="609" t="str">
        <f t="shared" si="10"/>
        <v>330-13</v>
      </c>
      <c r="C100" s="1074"/>
      <c r="D100" s="619" t="str">
        <f>VLOOKUP(A100,[33]ÍNDICE!$C$6:$N$380,5,FALSE)</f>
        <v>BASE GRANULAR CLASE A GRADACION FINA</v>
      </c>
      <c r="E100" s="581" t="str">
        <f>VLOOKUP(A100,[33]ÍNDICE!$C$6:$N$380,2,FALSE)</f>
        <v>m3</v>
      </c>
      <c r="F100" s="610">
        <v>10</v>
      </c>
      <c r="G100" s="1092">
        <f>VLOOKUP(A100,[33]ÍNDICE!$C$6:$N$380,12,FALSE)</f>
        <v>476364.66746335832</v>
      </c>
      <c r="H100" s="611">
        <f t="shared" si="11"/>
        <v>4763646.6746335831</v>
      </c>
    </row>
    <row r="101" spans="1:10" s="565" customFormat="1" ht="15" customHeight="1">
      <c r="A101" s="655" t="s">
        <v>528</v>
      </c>
      <c r="B101" s="571" t="str">
        <f t="shared" si="10"/>
        <v>600-13</v>
      </c>
      <c r="C101" s="609"/>
      <c r="D101" s="619" t="str">
        <f>VLOOKUP(A101,[33]ÍNDICE!$C$6:$N$380,5,FALSE)</f>
        <v>EXCAVACIONES VARIAS SIN CLASIFICAR</v>
      </c>
      <c r="E101" s="581" t="str">
        <f>VLOOKUP(A101,[33]ÍNDICE!$C$6:$N$380,2,FALSE)</f>
        <v>m3</v>
      </c>
      <c r="F101" s="612">
        <f>35*3.5*2</f>
        <v>245</v>
      </c>
      <c r="G101" s="1092">
        <f>VLOOKUP(A101,[33]ÍNDICE!$C$6:$N$380,12,FALSE)</f>
        <v>58828.261120639472</v>
      </c>
      <c r="H101" s="611">
        <f t="shared" si="11"/>
        <v>14412923.974556671</v>
      </c>
    </row>
    <row r="102" spans="1:10" s="565" customFormat="1" ht="15" customHeight="1">
      <c r="A102" s="655" t="s">
        <v>530</v>
      </c>
      <c r="B102" s="571" t="str">
        <f t="shared" si="10"/>
        <v>610-13</v>
      </c>
      <c r="C102" s="571"/>
      <c r="D102" s="619" t="str">
        <f>VLOOKUP(A102,[33]ÍNDICE!$C$6:$N$380,5,FALSE)</f>
        <v>RELLENO PARA ESTRUCTURAS CON SUELO (analizado sin preparación de la superficie base del relleno)</v>
      </c>
      <c r="E102" s="581" t="str">
        <f>VLOOKUP(A102,[33]ÍNDICE!$C$6:$N$380,2,FALSE)</f>
        <v>m3</v>
      </c>
      <c r="F102" s="584">
        <v>207</v>
      </c>
      <c r="G102" s="1092">
        <f>VLOOKUP(A102,[33]ÍNDICE!$C$6:$N$380,12,FALSE)</f>
        <v>162354.11090657322</v>
      </c>
      <c r="H102" s="583">
        <f t="shared" si="11"/>
        <v>33607300.957660653</v>
      </c>
    </row>
    <row r="103" spans="1:10" s="565" customFormat="1" ht="15" customHeight="1">
      <c r="A103" s="655" t="s">
        <v>537</v>
      </c>
      <c r="B103" s="571" t="str">
        <f t="shared" si="10"/>
        <v>630-13</v>
      </c>
      <c r="C103" s="571"/>
      <c r="D103" s="619" t="str">
        <f>VLOOKUP(A103,[33]ÍNDICE!$C$6:$N$380,5,FALSE)</f>
        <v>CONCRETO REFORZADO RESISTENCIA 21MPa (D) - MEZCLA IN SITU</v>
      </c>
      <c r="E103" s="581" t="str">
        <f>VLOOKUP(A103,[33]ÍNDICE!$C$6:$N$380,2,FALSE)</f>
        <v>m3</v>
      </c>
      <c r="F103" s="586">
        <v>83</v>
      </c>
      <c r="G103" s="1092">
        <f>VLOOKUP(A103,[33]ÍNDICE!$C$6:$N$380,12,FALSE)</f>
        <v>1243512.4574943627</v>
      </c>
      <c r="H103" s="583">
        <f t="shared" si="11"/>
        <v>103211533.9720321</v>
      </c>
      <c r="J103" s="588"/>
    </row>
    <row r="104" spans="1:10" s="565" customFormat="1" ht="15" customHeight="1">
      <c r="A104" s="655" t="s">
        <v>541</v>
      </c>
      <c r="B104" s="571" t="str">
        <f t="shared" si="10"/>
        <v>640-13</v>
      </c>
      <c r="C104" s="571"/>
      <c r="D104" s="619" t="str">
        <f>VLOOKUP(A104,[33]ÍNDICE!$C$6:$N$380,5,FALSE)</f>
        <v>ACERO DE REFUERZO Fy 4200 MPa</v>
      </c>
      <c r="E104" s="581" t="str">
        <f>VLOOKUP(A104,[33]ÍNDICE!$C$6:$N$380,2,FALSE)</f>
        <v>kg</v>
      </c>
      <c r="F104" s="585">
        <v>3475</v>
      </c>
      <c r="G104" s="1092">
        <f>VLOOKUP(A104,[33]ÍNDICE!$C$6:$N$380,12,FALSE)</f>
        <v>7547.7371417119648</v>
      </c>
      <c r="H104" s="583">
        <f t="shared" si="11"/>
        <v>26228386.567449078</v>
      </c>
    </row>
    <row r="105" spans="1:10" s="565" customFormat="1" ht="26.1" customHeight="1">
      <c r="A105" s="655" t="s">
        <v>545</v>
      </c>
      <c r="B105" s="571" t="str">
        <f t="shared" si="10"/>
        <v>671-13</v>
      </c>
      <c r="C105" s="571"/>
      <c r="D105" s="619" t="str">
        <f>VLOOKUP(A105,[33]ÍNDICE!$C$6:$N$380,5,FALSE)</f>
        <v>CUNETA DE CONCRETO VACIADA IN SITU; INCLUYE LA CONFORMACIÓN DE LA SUPERFICIE DE APOYO</v>
      </c>
      <c r="E105" s="581" t="str">
        <f>VLOOKUP(A105,[33]ÍNDICE!$C$6:$N$380,2,FALSE)</f>
        <v>m3</v>
      </c>
      <c r="F105" s="586">
        <v>5</v>
      </c>
      <c r="G105" s="648">
        <f>VLOOKUP(A105,[33]ÍNDICE!$C$6:$N$380,12,FALSE)</f>
        <v>1106254.0341245155</v>
      </c>
      <c r="H105" s="583">
        <f t="shared" si="11"/>
        <v>5531270.1706225779</v>
      </c>
    </row>
    <row r="106" spans="1:10" s="565" customFormat="1" ht="15" customHeight="1">
      <c r="A106" s="655" t="s">
        <v>534</v>
      </c>
      <c r="B106" s="571" t="str">
        <f t="shared" si="10"/>
        <v>673-13</v>
      </c>
      <c r="C106" s="571"/>
      <c r="D106" s="619" t="str">
        <f>VLOOKUP(A106,[33]ÍNDICE!$C$6:$N$380,5,FALSE)</f>
        <v xml:space="preserve">GEOTEXTIL TIPO TEJIDO CON RESISTENCIA A LA TENSIÓN GRAB MÍNIMA DE 1400 N </v>
      </c>
      <c r="E106" s="581" t="str">
        <f>VLOOKUP(A106,[33]ÍNDICE!$C$6:$N$380,2,FALSE)</f>
        <v>m2</v>
      </c>
      <c r="F106" s="585">
        <v>100</v>
      </c>
      <c r="G106" s="1092">
        <f>VLOOKUP(A106,[33]ÍNDICE!$C$6:$N$380,12,FALSE)</f>
        <v>12861.24633460756</v>
      </c>
      <c r="H106" s="583">
        <f t="shared" si="11"/>
        <v>1286124.6334607559</v>
      </c>
    </row>
    <row r="107" spans="1:10" s="565" customFormat="1" ht="15" customHeight="1" thickBot="1">
      <c r="A107" s="655" t="s">
        <v>547</v>
      </c>
      <c r="B107" s="571" t="str">
        <f t="shared" si="10"/>
        <v>673-13</v>
      </c>
      <c r="C107" s="571"/>
      <c r="D107" s="619" t="str">
        <f>VLOOKUP(A107,[33]ÍNDICE!$C$6:$N$380,5,FALSE)</f>
        <v>MATERIAL GRANULAR DRENANTE</v>
      </c>
      <c r="E107" s="581" t="str">
        <f>VLOOKUP(A107,[33]ÍNDICE!$C$6:$N$380,2,FALSE)</f>
        <v>m3</v>
      </c>
      <c r="F107" s="586">
        <v>31</v>
      </c>
      <c r="G107" s="1092">
        <f>VLOOKUP(A107,[33]ÍNDICE!$C$6:$N$380,12,FALSE)</f>
        <v>372207.28893037047</v>
      </c>
      <c r="H107" s="583">
        <f t="shared" si="11"/>
        <v>11538425.956841484</v>
      </c>
    </row>
    <row r="108" spans="1:10" s="565" customFormat="1" ht="15" customHeight="1" thickTop="1">
      <c r="A108" s="574"/>
      <c r="B108" s="574"/>
      <c r="C108" s="574"/>
      <c r="D108" s="575"/>
      <c r="E108" s="589"/>
      <c r="F108" s="590"/>
      <c r="G108" s="600" t="s">
        <v>524</v>
      </c>
      <c r="H108" s="1507">
        <f>SUM(H99:H107)</f>
        <v>202103936.37208706</v>
      </c>
    </row>
    <row r="109" spans="1:10" s="565" customFormat="1" ht="15" customHeight="1">
      <c r="A109" s="577"/>
      <c r="B109" s="577"/>
      <c r="C109" s="577"/>
      <c r="D109" s="578"/>
      <c r="E109" s="562"/>
      <c r="F109" s="580"/>
      <c r="G109" s="601" t="s">
        <v>525</v>
      </c>
      <c r="H109" s="1508">
        <f>SUM(H108:H108)*0.05*0.19/1.3</f>
        <v>1476913.3811806361</v>
      </c>
    </row>
    <row r="110" spans="1:10" s="565" customFormat="1" ht="15" customHeight="1" thickBot="1">
      <c r="A110" s="561"/>
      <c r="B110" s="560"/>
      <c r="C110" s="560"/>
      <c r="D110" s="561"/>
      <c r="E110" s="562"/>
      <c r="F110" s="580"/>
      <c r="G110" s="601" t="s">
        <v>526</v>
      </c>
      <c r="H110" s="1509">
        <f>+ROUND(H108+H109,0)</f>
        <v>203580850</v>
      </c>
      <c r="I110" s="570"/>
    </row>
    <row r="111" spans="1:10" s="565" customFormat="1" ht="15" customHeight="1" thickTop="1">
      <c r="A111" s="561"/>
      <c r="B111" s="560"/>
      <c r="C111" s="560"/>
      <c r="D111" s="561"/>
      <c r="E111" s="562"/>
      <c r="F111" s="580"/>
      <c r="G111" s="579"/>
      <c r="H111" s="1510"/>
      <c r="I111" s="570"/>
    </row>
    <row r="112" spans="1:10" s="565" customFormat="1" ht="15" customHeight="1">
      <c r="A112" s="561"/>
      <c r="B112" s="560"/>
      <c r="C112" s="560"/>
      <c r="D112" s="561"/>
      <c r="E112" s="562"/>
      <c r="G112" s="579"/>
      <c r="H112" s="1506"/>
    </row>
    <row r="113" spans="1:10" s="565" customFormat="1" ht="13.5" thickBot="1">
      <c r="A113" s="566"/>
      <c r="B113" s="567"/>
      <c r="C113" s="566" t="s">
        <v>551</v>
      </c>
      <c r="D113" s="566"/>
      <c r="E113" s="567"/>
      <c r="F113" s="566"/>
      <c r="G113" s="568"/>
      <c r="H113" s="569"/>
      <c r="I113" s="570"/>
    </row>
    <row r="114" spans="1:10" s="565" customFormat="1" ht="15" customHeight="1" thickTop="1">
      <c r="A114" s="655" t="s">
        <v>549</v>
      </c>
      <c r="B114" s="571" t="str">
        <f t="shared" ref="B114:B122" si="12">MID(A114,1,3)&amp;"-"&amp;13</f>
        <v>201-13</v>
      </c>
      <c r="C114" s="571"/>
      <c r="D114" s="619" t="str">
        <f>VLOOKUP(A114,[33]ÍNDICE!$C$6:$N$380,5,FALSE)</f>
        <v>DEMOLICIÓN DE ESTRUCTURAS</v>
      </c>
      <c r="E114" s="581" t="str">
        <f>VLOOKUP(A114,[33]ÍNDICE!$C$6:$N$380,2,FALSE)</f>
        <v>m3</v>
      </c>
      <c r="F114" s="582">
        <v>4</v>
      </c>
      <c r="G114" s="648">
        <f>VLOOKUP(A114,[33]ÍNDICE!$C$6:$N$380,12,FALSE)</f>
        <v>217760.49497573468</v>
      </c>
      <c r="H114" s="583">
        <f t="shared" ref="H114:H122" si="13">F114*G114</f>
        <v>871041.97990293871</v>
      </c>
    </row>
    <row r="115" spans="1:10" s="565" customFormat="1" ht="15" customHeight="1">
      <c r="A115" s="655" t="s">
        <v>550</v>
      </c>
      <c r="B115" s="571" t="str">
        <f t="shared" si="12"/>
        <v>330-13</v>
      </c>
      <c r="C115" s="614"/>
      <c r="D115" s="619" t="str">
        <f>VLOOKUP(A115,[33]ÍNDICE!$C$6:$N$380,5,FALSE)</f>
        <v>BASE GRANULAR CLASE A GRADACION FINA</v>
      </c>
      <c r="E115" s="581" t="str">
        <f>VLOOKUP(A115,[33]ÍNDICE!$C$6:$N$380,2,FALSE)</f>
        <v>m3</v>
      </c>
      <c r="F115" s="586">
        <f>20*1*0.4</f>
        <v>8</v>
      </c>
      <c r="G115" s="648">
        <f>VLOOKUP(A115,[33]ÍNDICE!$C$6:$N$380,12,FALSE)</f>
        <v>476364.66746335832</v>
      </c>
      <c r="H115" s="583">
        <f t="shared" si="13"/>
        <v>3810917.3397068665</v>
      </c>
    </row>
    <row r="116" spans="1:10" s="565" customFormat="1" ht="15" customHeight="1">
      <c r="A116" s="655" t="s">
        <v>528</v>
      </c>
      <c r="B116" s="571" t="str">
        <f t="shared" si="12"/>
        <v>600-13</v>
      </c>
      <c r="C116" s="571"/>
      <c r="D116" s="619" t="str">
        <f>VLOOKUP(A116,[33]ÍNDICE!$C$6:$N$380,5,FALSE)</f>
        <v>EXCAVACIONES VARIAS SIN CLASIFICAR</v>
      </c>
      <c r="E116" s="581" t="str">
        <f>VLOOKUP(A116,[33]ÍNDICE!$C$6:$N$380,2,FALSE)</f>
        <v>m3</v>
      </c>
      <c r="F116" s="585">
        <f>20*3.5*2</f>
        <v>140</v>
      </c>
      <c r="G116" s="648">
        <f>VLOOKUP(A116,[33]ÍNDICE!$C$6:$N$380,12,FALSE)</f>
        <v>58828.261120639472</v>
      </c>
      <c r="H116" s="583">
        <f t="shared" si="13"/>
        <v>8235956.5568895265</v>
      </c>
    </row>
    <row r="117" spans="1:10" s="565" customFormat="1" ht="15" customHeight="1">
      <c r="A117" s="655" t="s">
        <v>530</v>
      </c>
      <c r="B117" s="571" t="str">
        <f t="shared" si="12"/>
        <v>610-13</v>
      </c>
      <c r="C117" s="571"/>
      <c r="D117" s="619" t="str">
        <f>VLOOKUP(A117,[33]ÍNDICE!$C$6:$N$380,5,FALSE)</f>
        <v>RELLENO PARA ESTRUCTURAS CON SUELO (analizado sin preparación de la superficie base del relleno)</v>
      </c>
      <c r="E117" s="581" t="str">
        <f>VLOOKUP(A117,[33]ÍNDICE!$C$6:$N$380,2,FALSE)</f>
        <v>m3</v>
      </c>
      <c r="F117" s="584">
        <v>119</v>
      </c>
      <c r="G117" s="648">
        <f>VLOOKUP(A117,[33]ÍNDICE!$C$6:$N$380,12,FALSE)</f>
        <v>162354.11090657322</v>
      </c>
      <c r="H117" s="583">
        <f t="shared" si="13"/>
        <v>19320139.197882213</v>
      </c>
    </row>
    <row r="118" spans="1:10" s="565" customFormat="1" ht="15" customHeight="1">
      <c r="A118" s="655" t="s">
        <v>537</v>
      </c>
      <c r="B118" s="571" t="str">
        <f t="shared" si="12"/>
        <v>630-13</v>
      </c>
      <c r="C118" s="571"/>
      <c r="D118" s="619" t="str">
        <f>VLOOKUP(A118,[33]ÍNDICE!$C$6:$N$380,5,FALSE)</f>
        <v>CONCRETO REFORZADO RESISTENCIA 21MPa (D) - MEZCLA IN SITU</v>
      </c>
      <c r="E118" s="581" t="str">
        <f>VLOOKUP(A118,[33]ÍNDICE!$C$6:$N$380,2,FALSE)</f>
        <v>m3</v>
      </c>
      <c r="F118" s="586">
        <v>48</v>
      </c>
      <c r="G118" s="648">
        <f>VLOOKUP(A118,[33]ÍNDICE!$C$6:$N$380,12,FALSE)</f>
        <v>1243512.4574943627</v>
      </c>
      <c r="H118" s="583">
        <f t="shared" si="13"/>
        <v>59688597.959729411</v>
      </c>
      <c r="J118" s="588"/>
    </row>
    <row r="119" spans="1:10" s="565" customFormat="1" ht="15" customHeight="1">
      <c r="A119" s="655" t="s">
        <v>541</v>
      </c>
      <c r="B119" s="571" t="str">
        <f t="shared" si="12"/>
        <v>640-13</v>
      </c>
      <c r="C119" s="571"/>
      <c r="D119" s="619" t="str">
        <f>VLOOKUP(A119,[33]ÍNDICE!$C$6:$N$380,5,FALSE)</f>
        <v>ACERO DE REFUERZO Fy 4200 MPa</v>
      </c>
      <c r="E119" s="581" t="str">
        <f>VLOOKUP(A119,[33]ÍNDICE!$C$6:$N$380,2,FALSE)</f>
        <v>kg</v>
      </c>
      <c r="F119" s="585">
        <v>1986</v>
      </c>
      <c r="G119" s="648">
        <f>VLOOKUP(A119,[33]ÍNDICE!$C$6:$N$380,12,FALSE)</f>
        <v>7547.7371417119648</v>
      </c>
      <c r="H119" s="583">
        <f t="shared" si="13"/>
        <v>14989805.963439962</v>
      </c>
    </row>
    <row r="120" spans="1:10" s="565" customFormat="1" ht="26.1" customHeight="1">
      <c r="A120" s="655" t="s">
        <v>545</v>
      </c>
      <c r="B120" s="571" t="str">
        <f t="shared" si="12"/>
        <v>671-13</v>
      </c>
      <c r="C120" s="571"/>
      <c r="D120" s="619" t="str">
        <f>VLOOKUP(A120,[33]ÍNDICE!$C$6:$N$380,5,FALSE)</f>
        <v>CUNETA DE CONCRETO VACIADA IN SITU; INCLUYE LA CONFORMACIÓN DE LA SUPERFICIE DE APOYO</v>
      </c>
      <c r="E120" s="581" t="str">
        <f>VLOOKUP(A120,[33]ÍNDICE!$C$6:$N$380,2,FALSE)</f>
        <v>m3</v>
      </c>
      <c r="F120" s="586">
        <v>3</v>
      </c>
      <c r="G120" s="648">
        <f>VLOOKUP(A120,[33]ÍNDICE!$C$6:$N$380,12,FALSE)</f>
        <v>1106254.0341245155</v>
      </c>
      <c r="H120" s="583">
        <f t="shared" si="13"/>
        <v>3318762.1023735465</v>
      </c>
    </row>
    <row r="121" spans="1:10" s="565" customFormat="1" ht="15" customHeight="1">
      <c r="A121" s="655" t="s">
        <v>534</v>
      </c>
      <c r="B121" s="571" t="str">
        <f t="shared" si="12"/>
        <v>673-13</v>
      </c>
      <c r="C121" s="571"/>
      <c r="D121" s="619" t="str">
        <f>VLOOKUP(A121,[33]ÍNDICE!$C$6:$N$380,5,FALSE)</f>
        <v xml:space="preserve">GEOTEXTIL TIPO TEJIDO CON RESISTENCIA A LA TENSIÓN GRAB MÍNIMA DE 1400 N </v>
      </c>
      <c r="E121" s="581" t="str">
        <f>VLOOKUP(A121,[33]ÍNDICE!$C$6:$N$380,2,FALSE)</f>
        <v>m2</v>
      </c>
      <c r="F121" s="585">
        <f>2.85*20</f>
        <v>57</v>
      </c>
      <c r="G121" s="648">
        <f>VLOOKUP(A121,[33]ÍNDICE!$C$6:$N$380,12,FALSE)</f>
        <v>12861.24633460756</v>
      </c>
      <c r="H121" s="583">
        <f t="shared" si="13"/>
        <v>733091.04107263091</v>
      </c>
    </row>
    <row r="122" spans="1:10" s="565" customFormat="1" ht="15" customHeight="1" thickBot="1">
      <c r="A122" s="655" t="s">
        <v>547</v>
      </c>
      <c r="B122" s="571" t="str">
        <f t="shared" si="12"/>
        <v>673-13</v>
      </c>
      <c r="C122" s="571"/>
      <c r="D122" s="619" t="str">
        <f>VLOOKUP(A122,[33]ÍNDICE!$C$6:$N$380,5,FALSE)</f>
        <v>MATERIAL GRANULAR DRENANTE</v>
      </c>
      <c r="E122" s="581" t="str">
        <f>VLOOKUP(A122,[33]ÍNDICE!$C$6:$N$380,2,FALSE)</f>
        <v>m3</v>
      </c>
      <c r="F122" s="586">
        <v>18</v>
      </c>
      <c r="G122" s="648">
        <f>VLOOKUP(A122,[33]ÍNDICE!$C$6:$N$380,12,FALSE)</f>
        <v>372207.28893037047</v>
      </c>
      <c r="H122" s="583">
        <f t="shared" si="13"/>
        <v>6699731.2007466685</v>
      </c>
    </row>
    <row r="123" spans="1:10" s="565" customFormat="1" ht="15" customHeight="1" thickTop="1">
      <c r="A123" s="574"/>
      <c r="B123" s="574"/>
      <c r="C123" s="574"/>
      <c r="D123" s="575"/>
      <c r="E123" s="589"/>
      <c r="F123" s="590"/>
      <c r="G123" s="600" t="s">
        <v>524</v>
      </c>
      <c r="H123" s="1507">
        <f>SUM(H114:H122)</f>
        <v>117668043.34174377</v>
      </c>
      <c r="J123" s="615"/>
    </row>
    <row r="124" spans="1:10" s="565" customFormat="1" ht="15" customHeight="1">
      <c r="A124" s="577"/>
      <c r="B124" s="577"/>
      <c r="C124" s="577"/>
      <c r="D124" s="578"/>
      <c r="E124" s="562"/>
      <c r="F124" s="580"/>
      <c r="G124" s="601" t="s">
        <v>525</v>
      </c>
      <c r="H124" s="1508">
        <f>SUM(H123:H123)*0.05*0.19/1.3</f>
        <v>859881.85518966604</v>
      </c>
    </row>
    <row r="125" spans="1:10" s="565" customFormat="1" ht="15" customHeight="1" thickBot="1">
      <c r="A125" s="561"/>
      <c r="B125" s="560"/>
      <c r="C125" s="560"/>
      <c r="D125" s="561"/>
      <c r="E125" s="562"/>
      <c r="F125" s="580"/>
      <c r="G125" s="601" t="s">
        <v>526</v>
      </c>
      <c r="H125" s="1509">
        <f>+ROUND(H123+H124,0)</f>
        <v>118527925</v>
      </c>
      <c r="I125" s="570"/>
    </row>
    <row r="126" spans="1:10" s="565" customFormat="1" ht="15" customHeight="1" thickTop="1">
      <c r="A126" s="561"/>
      <c r="B126" s="560"/>
      <c r="C126" s="560"/>
      <c r="D126" s="561"/>
      <c r="E126" s="562"/>
      <c r="F126" s="563"/>
      <c r="G126" s="564"/>
      <c r="H126" s="1506"/>
    </row>
    <row r="127" spans="1:10" s="565" customFormat="1" ht="13.5" customHeight="1" thickBot="1">
      <c r="A127" s="566"/>
      <c r="B127" s="567"/>
      <c r="C127" s="605" t="s">
        <v>552</v>
      </c>
      <c r="D127" s="945"/>
      <c r="E127" s="945"/>
      <c r="F127" s="945"/>
      <c r="G127" s="945"/>
      <c r="H127" s="945"/>
      <c r="I127" s="570"/>
    </row>
    <row r="128" spans="1:10" s="565" customFormat="1" ht="15" customHeight="1" thickTop="1">
      <c r="A128" s="655" t="s">
        <v>528</v>
      </c>
      <c r="B128" s="571" t="str">
        <f t="shared" ref="B128:B134" si="14">MID(A128,1,3)&amp;"-"&amp;13</f>
        <v>600-13</v>
      </c>
      <c r="C128" s="595"/>
      <c r="D128" s="619" t="str">
        <f>VLOOKUP(A128,[33]ÍNDICE!$C$6:$N$380,5,FALSE)</f>
        <v>EXCAVACIONES VARIAS SIN CLASIFICAR</v>
      </c>
      <c r="E128" s="581" t="str">
        <f>VLOOKUP(A128,[33]ÍNDICE!$C$6:$N$380,2,FALSE)</f>
        <v>m3</v>
      </c>
      <c r="F128" s="596">
        <f>60*0.5+50</f>
        <v>80</v>
      </c>
      <c r="G128" s="648">
        <f>VLOOKUP(A128,[33]ÍNDICE!$C$6:$N$380,12,FALSE)</f>
        <v>58828.261120639472</v>
      </c>
      <c r="H128" s="597">
        <f t="shared" ref="H128:H134" si="15">F128*G128</f>
        <v>4706260.8896511579</v>
      </c>
    </row>
    <row r="129" spans="1:10" s="565" customFormat="1" ht="15" customHeight="1">
      <c r="A129" s="655" t="s">
        <v>530</v>
      </c>
      <c r="B129" s="571" t="str">
        <f>MID(A129,1,3)&amp;"-"&amp;13</f>
        <v>610-13</v>
      </c>
      <c r="C129" s="571"/>
      <c r="D129" s="619" t="str">
        <f>VLOOKUP(A129,[33]ÍNDICE!$C$6:$N$380,5,FALSE)</f>
        <v>RELLENO PARA ESTRUCTURAS CON SUELO (analizado sin preparación de la superficie base del relleno)</v>
      </c>
      <c r="E129" s="581" t="str">
        <f>VLOOKUP(A129,[33]ÍNDICE!$C$6:$N$380,2,FALSE)</f>
        <v>m3</v>
      </c>
      <c r="F129" s="584">
        <f>30*0.4</f>
        <v>12</v>
      </c>
      <c r="G129" s="648">
        <f>VLOOKUP(A129,[33]ÍNDICE!$C$6:$N$380,12,FALSE)</f>
        <v>162354.11090657322</v>
      </c>
      <c r="H129" s="583">
        <f>F129*G129</f>
        <v>1948249.3308788785</v>
      </c>
    </row>
    <row r="130" spans="1:10" s="565" customFormat="1" ht="15" customHeight="1">
      <c r="A130" s="655" t="s">
        <v>531</v>
      </c>
      <c r="B130" s="571" t="str">
        <f t="shared" si="14"/>
        <v>630-13</v>
      </c>
      <c r="C130" s="571"/>
      <c r="D130" s="619" t="str">
        <f>VLOOKUP(A130,[33]ÍNDICE!$C$6:$N$380,5,FALSE)</f>
        <v>CONCRETO SIMPLE RESISTENCIA 17 MPa - MEZCLA IN SITU</v>
      </c>
      <c r="E130" s="581" t="str">
        <f>VLOOKUP(A130,[33]ÍNDICE!$C$6:$N$380,2,FALSE)</f>
        <v>m3</v>
      </c>
      <c r="F130" s="586">
        <f>60*0.55</f>
        <v>33</v>
      </c>
      <c r="G130" s="648">
        <f>VLOOKUP(A130,[33]ÍNDICE!$C$6:$N$380,12,FALSE)</f>
        <v>994779.33062365581</v>
      </c>
      <c r="H130" s="583">
        <f t="shared" si="15"/>
        <v>32827717.910580643</v>
      </c>
    </row>
    <row r="131" spans="1:10" s="565" customFormat="1" ht="15" customHeight="1">
      <c r="A131" s="655" t="s">
        <v>532</v>
      </c>
      <c r="B131" s="571" t="str">
        <f t="shared" si="14"/>
        <v>630-13</v>
      </c>
      <c r="C131" s="571"/>
      <c r="D131" s="619" t="str">
        <f>VLOOKUP(A131,[33]ÍNDICE!$C$6:$N$380,5,FALSE)</f>
        <v>CONCRETO CICLÓPEO RESISTENCIA 14MPa (G)</v>
      </c>
      <c r="E131" s="581" t="str">
        <f>VLOOKUP(A131,[33]ÍNDICE!$C$6:$N$380,2,FALSE)</f>
        <v>m3</v>
      </c>
      <c r="F131" s="598">
        <v>15</v>
      </c>
      <c r="G131" s="648">
        <f>VLOOKUP(A131,[33]ÍNDICE!$C$6:$N$380,12,FALSE)</f>
        <v>680494.66759275761</v>
      </c>
      <c r="H131" s="583">
        <f t="shared" si="15"/>
        <v>10207420.013891364</v>
      </c>
    </row>
    <row r="132" spans="1:10" s="565" customFormat="1" ht="12.95" customHeight="1">
      <c r="A132" s="655" t="s">
        <v>541</v>
      </c>
      <c r="B132" s="571" t="str">
        <f t="shared" si="14"/>
        <v>640-13</v>
      </c>
      <c r="C132" s="571"/>
      <c r="D132" s="619" t="str">
        <f>VLOOKUP(A132,[33]ÍNDICE!$C$6:$N$380,5,FALSE)</f>
        <v>ACERO DE REFUERZO Fy 4200 MPa</v>
      </c>
      <c r="E132" s="581" t="str">
        <f>VLOOKUP(A132,[33]ÍNDICE!$C$6:$N$380,2,FALSE)</f>
        <v>kg</v>
      </c>
      <c r="F132" s="585">
        <f>F130*105</f>
        <v>3465</v>
      </c>
      <c r="G132" s="648">
        <f>VLOOKUP(A132,[33]ÍNDICE!$C$6:$N$380,12,FALSE)</f>
        <v>7547.7371417119648</v>
      </c>
      <c r="H132" s="583">
        <f t="shared" si="15"/>
        <v>26152909.196031958</v>
      </c>
    </row>
    <row r="133" spans="1:10" s="565" customFormat="1" ht="15" customHeight="1">
      <c r="A133" s="655" t="s">
        <v>534</v>
      </c>
      <c r="B133" s="571" t="str">
        <f>MID(A133,1,3)&amp;"-"&amp;13</f>
        <v>673-13</v>
      </c>
      <c r="C133" s="571"/>
      <c r="D133" s="619" t="str">
        <f>VLOOKUP(A133,[33]ÍNDICE!$C$6:$N$380,5,FALSE)</f>
        <v xml:space="preserve">GEOTEXTIL TIPO TEJIDO CON RESISTENCIA A LA TENSIÓN GRAB MÍNIMA DE 1400 N </v>
      </c>
      <c r="E133" s="581" t="str">
        <f>VLOOKUP(A133,[33]ÍNDICE!$C$6:$N$380,2,FALSE)</f>
        <v>m2</v>
      </c>
      <c r="F133" s="585">
        <v>80</v>
      </c>
      <c r="G133" s="648">
        <f>VLOOKUP(A133,[33]ÍNDICE!$C$6:$N$380,12,FALSE)</f>
        <v>12861.24633460756</v>
      </c>
      <c r="H133" s="583">
        <f>F133*G133</f>
        <v>1028899.7067686048</v>
      </c>
    </row>
    <row r="134" spans="1:10" s="565" customFormat="1" ht="26.1" customHeight="1" thickBot="1">
      <c r="A134" s="655" t="s">
        <v>535</v>
      </c>
      <c r="B134" s="571" t="str">
        <f t="shared" si="14"/>
        <v>681-13</v>
      </c>
      <c r="C134" s="571"/>
      <c r="D134" s="619" t="str">
        <f>VLOOKUP(A134,[33]ÍNDICE!$C$6:$N$380,5,FALSE)</f>
        <v>GAVIONES DE MALLA DE ALAMBRE DE ACERO ENTRELAZADO CLASE 1; RECUBRIMIENTO DE ZINC (GALVANIZADO)</v>
      </c>
      <c r="E134" s="581" t="str">
        <f>VLOOKUP(A134,[33]ÍNDICE!$C$6:$N$380,2,FALSE)</f>
        <v>m3</v>
      </c>
      <c r="F134" s="585">
        <f>30*3</f>
        <v>90</v>
      </c>
      <c r="G134" s="648">
        <f>VLOOKUP(A134,[33]ÍNDICE!$C$6:$N$380,12,FALSE)</f>
        <v>601666.19528525032</v>
      </c>
      <c r="H134" s="583">
        <f t="shared" si="15"/>
        <v>54149957.57567253</v>
      </c>
    </row>
    <row r="135" spans="1:10" s="565" customFormat="1" ht="15" customHeight="1" thickTop="1">
      <c r="A135" s="574"/>
      <c r="B135" s="574"/>
      <c r="C135" s="574"/>
      <c r="D135" s="575"/>
      <c r="E135" s="589"/>
      <c r="F135" s="590"/>
      <c r="G135" s="600" t="s">
        <v>524</v>
      </c>
      <c r="H135" s="1507">
        <f>SUM(H128:H134)</f>
        <v>131021414.62347513</v>
      </c>
    </row>
    <row r="136" spans="1:10" s="565" customFormat="1" ht="15" customHeight="1">
      <c r="A136" s="577"/>
      <c r="B136" s="577"/>
      <c r="C136" s="577"/>
      <c r="D136" s="578"/>
      <c r="E136" s="562"/>
      <c r="F136" s="580"/>
      <c r="G136" s="601" t="s">
        <v>525</v>
      </c>
      <c r="H136" s="1508">
        <f>SUM(H135:H135)*0.05*0.19/1.3</f>
        <v>957464.18378693366</v>
      </c>
    </row>
    <row r="137" spans="1:10" s="565" customFormat="1" ht="15" customHeight="1" thickBot="1">
      <c r="A137" s="561"/>
      <c r="B137" s="560"/>
      <c r="C137" s="560"/>
      <c r="D137" s="561"/>
      <c r="E137" s="562"/>
      <c r="F137" s="580"/>
      <c r="G137" s="601" t="s">
        <v>526</v>
      </c>
      <c r="H137" s="1509">
        <f>+ROUND(H135+H136,0)</f>
        <v>131978879</v>
      </c>
      <c r="I137" s="570"/>
    </row>
    <row r="138" spans="1:10" s="565" customFormat="1" ht="15" customHeight="1" thickTop="1" thickBot="1">
      <c r="A138" s="561"/>
      <c r="B138" s="560"/>
      <c r="C138" s="560"/>
      <c r="D138" s="561"/>
      <c r="E138" s="562"/>
      <c r="G138" s="579"/>
      <c r="H138" s="1506"/>
    </row>
    <row r="139" spans="1:10" s="565" customFormat="1" ht="15" customHeight="1" thickTop="1">
      <c r="A139" s="561"/>
      <c r="B139" s="560"/>
      <c r="C139" s="560"/>
      <c r="D139" s="561"/>
      <c r="E139" s="562"/>
      <c r="G139" s="579"/>
      <c r="H139" s="1510"/>
      <c r="I139" s="570"/>
    </row>
    <row r="140" spans="1:10" s="565" customFormat="1" ht="13.5" customHeight="1" thickBot="1">
      <c r="A140" s="566"/>
      <c r="B140" s="567"/>
      <c r="C140" s="566" t="s">
        <v>553</v>
      </c>
      <c r="D140" s="566"/>
      <c r="E140" s="567"/>
      <c r="F140" s="566"/>
      <c r="G140" s="568"/>
      <c r="H140" s="569"/>
      <c r="I140" s="570"/>
    </row>
    <row r="141" spans="1:10" s="565" customFormat="1" ht="15" customHeight="1" thickTop="1">
      <c r="A141" s="655" t="s">
        <v>549</v>
      </c>
      <c r="B141" s="571" t="str">
        <f>MID(A141,1,3)&amp;"-"&amp;13</f>
        <v>201-13</v>
      </c>
      <c r="C141" s="572"/>
      <c r="D141" s="619" t="str">
        <f>VLOOKUP(A141,[33]ÍNDICE!$C$6:$N$380,5,FALSE)</f>
        <v>DEMOLICIÓN DE ESTRUCTURAS</v>
      </c>
      <c r="E141" s="581" t="str">
        <f>VLOOKUP(A141,[33]ÍNDICE!$C$6:$N$380,2,FALSE)</f>
        <v>m3</v>
      </c>
      <c r="F141" s="592">
        <f>10</f>
        <v>10</v>
      </c>
      <c r="G141" s="648">
        <f>VLOOKUP(A141,[33]ÍNDICE!$C$6:$N$380,12,FALSE)</f>
        <v>217760.49497573468</v>
      </c>
      <c r="H141" s="573">
        <f>F141*G141</f>
        <v>2177604.9497573469</v>
      </c>
    </row>
    <row r="142" spans="1:10" s="565" customFormat="1" ht="15" customHeight="1">
      <c r="A142" s="655" t="s">
        <v>550</v>
      </c>
      <c r="B142" s="571" t="str">
        <f>MID(A142,1,3)&amp;"-"&amp;13</f>
        <v>330-13</v>
      </c>
      <c r="C142" s="614"/>
      <c r="D142" s="619" t="str">
        <f>VLOOKUP(A142,[33]ÍNDICE!$C$6:$N$380,5,FALSE)</f>
        <v>BASE GRANULAR CLASE A GRADACION FINA</v>
      </c>
      <c r="E142" s="581" t="str">
        <f>VLOOKUP(A142,[33]ÍNDICE!$C$6:$N$380,2,FALSE)</f>
        <v>m3</v>
      </c>
      <c r="F142" s="586">
        <f>20*0.5*3</f>
        <v>30</v>
      </c>
      <c r="G142" s="648">
        <f>VLOOKUP(A142,[33]ÍNDICE!$C$6:$N$380,12,FALSE)</f>
        <v>476364.66746335832</v>
      </c>
      <c r="H142" s="583">
        <f>F142*G142</f>
        <v>14290940.023900749</v>
      </c>
    </row>
    <row r="143" spans="1:10" s="565" customFormat="1" ht="26.1" customHeight="1">
      <c r="A143" s="655" t="s">
        <v>554</v>
      </c>
      <c r="B143" s="571" t="str">
        <f>MID(A143,1,3)&amp;"-"&amp;13</f>
        <v>450-13</v>
      </c>
      <c r="C143" s="614"/>
      <c r="D143" s="619" t="str">
        <f>VLOOKUP(A143,[33]ÍNDICE!$C$6:$N$380,5,FALSE)</f>
        <v xml:space="preserve">MEZCLA DENSA EN CALIENTE TIPO MDC‐19 - COMPRA DE MEZCLA </v>
      </c>
      <c r="E143" s="581" t="str">
        <f>VLOOKUP(A143,[33]ÍNDICE!$C$6:$N$380,2,FALSE)</f>
        <v>m3</v>
      </c>
      <c r="F143" s="618">
        <f>20*3*0.15</f>
        <v>9</v>
      </c>
      <c r="G143" s="648">
        <f>VLOOKUP(A143,[33]ÍNDICE!$C$6:$N$380,12,FALSE)</f>
        <v>1677232.0782508166</v>
      </c>
      <c r="H143" s="583">
        <f>F143*G143</f>
        <v>15095088.704257349</v>
      </c>
    </row>
    <row r="144" spans="1:10" s="565" customFormat="1" ht="15" customHeight="1">
      <c r="A144" s="655" t="s">
        <v>528</v>
      </c>
      <c r="B144" s="571" t="str">
        <f t="shared" ref="B144:B152" si="16">MID(A144,1,3)&amp;"-"&amp;13</f>
        <v>600-13</v>
      </c>
      <c r="C144" s="571"/>
      <c r="D144" s="619" t="str">
        <f>VLOOKUP(A144,[33]ÍNDICE!$C$6:$N$380,5,FALSE)</f>
        <v>EXCAVACIONES VARIAS SIN CLASIFICAR</v>
      </c>
      <c r="E144" s="581" t="str">
        <f>VLOOKUP(A144,[33]ÍNDICE!$C$6:$N$380,2,FALSE)</f>
        <v>m3</v>
      </c>
      <c r="F144" s="585">
        <f>20*5.1*3.3</f>
        <v>336.59999999999997</v>
      </c>
      <c r="G144" s="648">
        <f>VLOOKUP(A144,[33]ÍNDICE!$C$6:$N$380,12,FALSE)</f>
        <v>58828.261120639472</v>
      </c>
      <c r="H144" s="583">
        <f t="shared" ref="H144:H152" si="17">F144*G144</f>
        <v>19801592.693207245</v>
      </c>
      <c r="J144" s="565" t="s">
        <v>555</v>
      </c>
    </row>
    <row r="145" spans="1:10" s="565" customFormat="1" ht="15" customHeight="1">
      <c r="A145" s="655" t="s">
        <v>530</v>
      </c>
      <c r="B145" s="571" t="str">
        <f>MID(A145,1,3)&amp;"-"&amp;13</f>
        <v>610-13</v>
      </c>
      <c r="C145" s="571"/>
      <c r="D145" s="619" t="str">
        <f>VLOOKUP(A145,[33]ÍNDICE!$C$6:$N$380,5,FALSE)</f>
        <v>RELLENO PARA ESTRUCTURAS CON SUELO (analizado sin preparación de la superficie base del relleno)</v>
      </c>
      <c r="E145" s="581" t="str">
        <f>VLOOKUP(A145,[33]ÍNDICE!$C$6:$N$380,2,FALSE)</f>
        <v>m3</v>
      </c>
      <c r="F145" s="586">
        <f>19.67*20</f>
        <v>393.40000000000003</v>
      </c>
      <c r="G145" s="648">
        <f>VLOOKUP(A145,[33]ÍNDICE!$C$6:$N$380,12,FALSE)</f>
        <v>162354.11090657322</v>
      </c>
      <c r="H145" s="583">
        <f>F145*G145</f>
        <v>63870107.23064591</v>
      </c>
    </row>
    <row r="146" spans="1:10" s="565" customFormat="1" ht="15" customHeight="1">
      <c r="A146" s="655" t="s">
        <v>537</v>
      </c>
      <c r="B146" s="571" t="str">
        <f t="shared" si="16"/>
        <v>630-13</v>
      </c>
      <c r="C146" s="571"/>
      <c r="D146" s="619" t="str">
        <f>VLOOKUP(A146,[33]ÍNDICE!$C$6:$N$380,5,FALSE)</f>
        <v>CONCRETO REFORZADO RESISTENCIA 21MPa (D) - MEZCLA IN SITU</v>
      </c>
      <c r="E146" s="581" t="str">
        <f>VLOOKUP(A146,[33]ÍNDICE!$C$6:$N$380,2,FALSE)</f>
        <v>m3</v>
      </c>
      <c r="F146" s="565">
        <f>3.94*20</f>
        <v>78.8</v>
      </c>
      <c r="G146" s="648">
        <f>VLOOKUP(A146,[33]ÍNDICE!$C$6:$N$380,12,FALSE)</f>
        <v>1243512.4574943627</v>
      </c>
      <c r="H146" s="583">
        <f t="shared" si="17"/>
        <v>97988781.650555775</v>
      </c>
      <c r="J146" s="588"/>
    </row>
    <row r="147" spans="1:10" s="565" customFormat="1" ht="15" customHeight="1">
      <c r="A147" s="655" t="s">
        <v>533</v>
      </c>
      <c r="B147" s="571" t="s">
        <v>541</v>
      </c>
      <c r="C147" s="571"/>
      <c r="D147" s="619" t="str">
        <f>VLOOKUP(A147,[33]ÍNDICE!$C$6:$N$380,5,FALSE)</f>
        <v>BOLSACRETO CONCRETO 210 MPA</v>
      </c>
      <c r="E147" s="581" t="str">
        <f>VLOOKUP(A147,[33]ÍNDICE!$C$6:$N$380,2,FALSE)</f>
        <v>m3</v>
      </c>
      <c r="F147" s="565">
        <v>240</v>
      </c>
      <c r="G147" s="648">
        <f>VLOOKUP(A147,[33]ÍNDICE!$C$6:$N$380,12,FALSE)</f>
        <v>858421.77896308829</v>
      </c>
      <c r="H147" s="583">
        <f>+F147*G147</f>
        <v>206021226.95114118</v>
      </c>
      <c r="J147" s="588"/>
    </row>
    <row r="148" spans="1:10" s="565" customFormat="1" ht="15" customHeight="1">
      <c r="A148" s="655" t="s">
        <v>541</v>
      </c>
      <c r="B148" s="571" t="str">
        <f t="shared" si="16"/>
        <v>640-13</v>
      </c>
      <c r="C148" s="571"/>
      <c r="D148" s="619" t="str">
        <f>VLOOKUP(A148,[33]ÍNDICE!$C$6:$N$380,5,FALSE)</f>
        <v>ACERO DE REFUERZO Fy 4200 MPa</v>
      </c>
      <c r="E148" s="581" t="str">
        <f>VLOOKUP(A148,[33]ÍNDICE!$C$6:$N$380,2,FALSE)</f>
        <v>kg</v>
      </c>
      <c r="F148" s="585">
        <f>757*20</f>
        <v>15140</v>
      </c>
      <c r="G148" s="648">
        <f>VLOOKUP(A148,[33]ÍNDICE!$C$6:$N$380,12,FALSE)</f>
        <v>7547.7371417119648</v>
      </c>
      <c r="H148" s="583">
        <f t="shared" si="17"/>
        <v>114272740.32551914</v>
      </c>
    </row>
    <row r="149" spans="1:10" s="565" customFormat="1" ht="26.1" customHeight="1">
      <c r="A149" s="655" t="s">
        <v>545</v>
      </c>
      <c r="B149" s="571" t="str">
        <f>MID(A149,1,3)&amp;"-"&amp;13</f>
        <v>671-13</v>
      </c>
      <c r="C149" s="571"/>
      <c r="D149" s="619" t="str">
        <f>VLOOKUP(A149,[33]ÍNDICE!$C$6:$N$380,5,FALSE)</f>
        <v>CUNETA DE CONCRETO VACIADA IN SITU; INCLUYE LA CONFORMACIÓN DE LA SUPERFICIE DE APOYO</v>
      </c>
      <c r="E149" s="581" t="str">
        <f>VLOOKUP(A149,[33]ÍNDICE!$C$6:$N$380,2,FALSE)</f>
        <v>m3</v>
      </c>
      <c r="F149" s="586">
        <f>20*0.138</f>
        <v>2.7600000000000002</v>
      </c>
      <c r="G149" s="648">
        <f>VLOOKUP(A149,[33]ÍNDICE!$C$6:$N$380,12,FALSE)</f>
        <v>1106254.0341245155</v>
      </c>
      <c r="H149" s="583">
        <f>F149*G149</f>
        <v>3053261.1341836629</v>
      </c>
    </row>
    <row r="150" spans="1:10" s="565" customFormat="1" ht="15" customHeight="1">
      <c r="A150" s="655" t="s">
        <v>534</v>
      </c>
      <c r="B150" s="571" t="str">
        <f>MID(A150,1,3)&amp;"-"&amp;13</f>
        <v>673-13</v>
      </c>
      <c r="C150" s="571"/>
      <c r="D150" s="619" t="str">
        <f>VLOOKUP(A150,[33]ÍNDICE!$C$6:$N$380,5,FALSE)</f>
        <v xml:space="preserve">GEOTEXTIL TIPO TEJIDO CON RESISTENCIA A LA TENSIÓN GRAB MÍNIMA DE 1400 N </v>
      </c>
      <c r="E150" s="581" t="str">
        <f>VLOOKUP(A150,[33]ÍNDICE!$C$6:$N$380,2,FALSE)</f>
        <v>m2</v>
      </c>
      <c r="F150" s="585">
        <f>5.9*20</f>
        <v>118</v>
      </c>
      <c r="G150" s="648">
        <f>VLOOKUP(A150,[33]ÍNDICE!$C$6:$N$380,12,FALSE)</f>
        <v>12861.24633460756</v>
      </c>
      <c r="H150" s="583">
        <f>F150*G150</f>
        <v>1517627.0674836922</v>
      </c>
    </row>
    <row r="151" spans="1:10" s="565" customFormat="1" ht="15" customHeight="1">
      <c r="A151" s="655" t="s">
        <v>547</v>
      </c>
      <c r="B151" s="571" t="str">
        <f>MID(A151,1,3)&amp;"-"&amp;13</f>
        <v>673-13</v>
      </c>
      <c r="C151" s="571"/>
      <c r="D151" s="619" t="str">
        <f>VLOOKUP(A151,[33]ÍNDICE!$C$6:$N$380,5,FALSE)</f>
        <v>MATERIAL GRANULAR DRENANTE</v>
      </c>
      <c r="E151" s="581" t="str">
        <f>VLOOKUP(A151,[33]ÍNDICE!$C$6:$N$380,2,FALSE)</f>
        <v>m3</v>
      </c>
      <c r="F151" s="586">
        <f>20*1.77</f>
        <v>35.4</v>
      </c>
      <c r="G151" s="648">
        <f>VLOOKUP(A151,[33]ÍNDICE!$C$6:$N$380,12,FALSE)</f>
        <v>372207.28893037047</v>
      </c>
      <c r="H151" s="583">
        <f>F151*G151</f>
        <v>13176138.028135113</v>
      </c>
    </row>
    <row r="152" spans="1:10" s="565" customFormat="1" ht="26.1" customHeight="1" thickBot="1">
      <c r="A152" s="655" t="s">
        <v>535</v>
      </c>
      <c r="B152" s="571" t="str">
        <f t="shared" si="16"/>
        <v>681-13</v>
      </c>
      <c r="C152" s="571"/>
      <c r="D152" s="619" t="str">
        <f>VLOOKUP(A152,[33]ÍNDICE!$C$6:$N$380,5,FALSE)</f>
        <v>GAVIONES DE MALLA DE ALAMBRE DE ACERO ENTRELAZADO CLASE 1; RECUBRIMIENTO DE ZINC (GALVANIZADO)</v>
      </c>
      <c r="E152" s="581" t="str">
        <f>VLOOKUP(A152,[33]ÍNDICE!$C$6:$N$380,2,FALSE)</f>
        <v>m3</v>
      </c>
      <c r="F152" s="585">
        <v>70</v>
      </c>
      <c r="G152" s="648">
        <f>VLOOKUP(A152,[33]ÍNDICE!$C$6:$N$380,12,FALSE)</f>
        <v>601666.19528525032</v>
      </c>
      <c r="H152" s="583">
        <f t="shared" si="17"/>
        <v>42116633.669967525</v>
      </c>
    </row>
    <row r="153" spans="1:10" s="565" customFormat="1" ht="15" customHeight="1" thickTop="1">
      <c r="A153" s="574"/>
      <c r="B153" s="574"/>
      <c r="C153" s="574"/>
      <c r="D153" s="575"/>
      <c r="E153" s="589"/>
      <c r="F153" s="590"/>
      <c r="G153" s="600" t="s">
        <v>524</v>
      </c>
      <c r="H153" s="1507">
        <f>SUM(H141:H152)</f>
        <v>593381742.42875469</v>
      </c>
    </row>
    <row r="154" spans="1:10" s="565" customFormat="1" ht="15" customHeight="1">
      <c r="A154" s="577"/>
      <c r="B154" s="577"/>
      <c r="C154" s="577"/>
      <c r="D154" s="578"/>
      <c r="E154" s="562"/>
      <c r="F154" s="580"/>
      <c r="G154" s="601" t="s">
        <v>525</v>
      </c>
      <c r="H154" s="1508">
        <f>SUM(H153:H153)*0.05*0.19/1.3</f>
        <v>4336251.194671669</v>
      </c>
    </row>
    <row r="155" spans="1:10" s="565" customFormat="1" ht="15" customHeight="1" thickBot="1">
      <c r="A155" s="561"/>
      <c r="B155" s="560"/>
      <c r="C155" s="560"/>
      <c r="D155" s="561"/>
      <c r="E155" s="562"/>
      <c r="F155" s="580"/>
      <c r="G155" s="601" t="s">
        <v>526</v>
      </c>
      <c r="H155" s="1509">
        <f>+ROUND(H153+H154,0)</f>
        <v>597717994</v>
      </c>
      <c r="I155" s="570"/>
    </row>
    <row r="156" spans="1:10" s="565" customFormat="1" ht="15" customHeight="1" thickTop="1">
      <c r="A156" s="561"/>
      <c r="B156" s="560"/>
      <c r="C156" s="560"/>
      <c r="D156" s="561"/>
      <c r="E156" s="562"/>
      <c r="F156" s="563"/>
      <c r="G156" s="564"/>
      <c r="H156" s="1506"/>
    </row>
    <row r="157" spans="1:10" s="565" customFormat="1" ht="13.5" customHeight="1" thickBot="1">
      <c r="A157" s="566"/>
      <c r="B157" s="567"/>
      <c r="C157" s="566" t="s">
        <v>556</v>
      </c>
      <c r="D157" s="566"/>
      <c r="E157" s="567"/>
      <c r="F157" s="566"/>
      <c r="G157" s="568"/>
      <c r="H157" s="569"/>
      <c r="I157" s="570"/>
    </row>
    <row r="158" spans="1:10" s="565" customFormat="1" ht="15" customHeight="1" thickTop="1">
      <c r="A158" s="1214" t="s">
        <v>549</v>
      </c>
      <c r="B158" s="572" t="str">
        <f>MID(A158,1,3)&amp;"-"&amp;13</f>
        <v>201-13</v>
      </c>
      <c r="C158" s="572"/>
      <c r="D158" s="619" t="str">
        <f>VLOOKUP(A158,[33]ÍNDICE!$C$6:$N$380,5,FALSE)</f>
        <v>DEMOLICIÓN DE ESTRUCTURAS</v>
      </c>
      <c r="E158" s="581" t="str">
        <f>VLOOKUP(A158,[33]ÍNDICE!$C$6:$N$380,2,FALSE)</f>
        <v>m3</v>
      </c>
      <c r="F158" s="592">
        <v>1</v>
      </c>
      <c r="G158" s="648">
        <f>VLOOKUP(A158,[33]ÍNDICE!$C$6:$N$380,12,FALSE)</f>
        <v>217760.49497573468</v>
      </c>
      <c r="H158" s="573">
        <f>F158*G158</f>
        <v>217760.49497573468</v>
      </c>
    </row>
    <row r="159" spans="1:10" s="565" customFormat="1" ht="15" customHeight="1">
      <c r="A159" s="655" t="s">
        <v>528</v>
      </c>
      <c r="B159" s="571" t="str">
        <f t="shared" ref="B159:B165" si="18">MID(A159,1,3)&amp;"-"&amp;13</f>
        <v>600-13</v>
      </c>
      <c r="C159" s="571"/>
      <c r="D159" s="619" t="str">
        <f>VLOOKUP(A159,[33]ÍNDICE!$C$6:$N$380,5,FALSE)</f>
        <v>EXCAVACIONES VARIAS SIN CLASIFICAR</v>
      </c>
      <c r="E159" s="581" t="str">
        <f>VLOOKUP(A159,[33]ÍNDICE!$C$6:$N$380,2,FALSE)</f>
        <v>m3</v>
      </c>
      <c r="F159" s="585">
        <v>12</v>
      </c>
      <c r="G159" s="648">
        <f>VLOOKUP(A159,[33]ÍNDICE!$C$6:$N$380,12,FALSE)</f>
        <v>58828.261120639472</v>
      </c>
      <c r="H159" s="583">
        <f t="shared" ref="H159:H165" si="19">F159*G159</f>
        <v>705939.13344767364</v>
      </c>
    </row>
    <row r="160" spans="1:10" s="565" customFormat="1" ht="15" customHeight="1">
      <c r="A160" s="655" t="s">
        <v>530</v>
      </c>
      <c r="B160" s="571" t="str">
        <f>MID(A160,1,3)&amp;"-"&amp;13</f>
        <v>610-13</v>
      </c>
      <c r="C160" s="571"/>
      <c r="D160" s="619" t="str">
        <f>VLOOKUP(A160,[33]ÍNDICE!$C$6:$N$380,5,FALSE)</f>
        <v>RELLENO PARA ESTRUCTURAS CON SUELO (analizado sin preparación de la superficie base del relleno)</v>
      </c>
      <c r="E160" s="581" t="str">
        <f>VLOOKUP(A160,[33]ÍNDICE!$C$6:$N$380,2,FALSE)</f>
        <v>m3</v>
      </c>
      <c r="F160" s="586">
        <f>+F159*0.6</f>
        <v>7.1999999999999993</v>
      </c>
      <c r="G160" s="648">
        <f>VLOOKUP(A160,[33]ÍNDICE!$C$6:$N$380,12,FALSE)</f>
        <v>162354.11090657322</v>
      </c>
      <c r="H160" s="583">
        <f>F160*G160</f>
        <v>1168949.5985273269</v>
      </c>
    </row>
    <row r="161" spans="1:9" s="565" customFormat="1" ht="15" customHeight="1">
      <c r="A161" s="655" t="s">
        <v>531</v>
      </c>
      <c r="B161" s="571" t="str">
        <f t="shared" si="18"/>
        <v>630-13</v>
      </c>
      <c r="C161" s="571"/>
      <c r="D161" s="619" t="str">
        <f>VLOOKUP(A161,[33]ÍNDICE!$C$6:$N$380,5,FALSE)</f>
        <v>CONCRETO SIMPLE RESISTENCIA 17 MPa - MEZCLA IN SITU</v>
      </c>
      <c r="E161" s="581" t="str">
        <f>VLOOKUP(A161,[33]ÍNDICE!$C$6:$N$380,2,FALSE)</f>
        <v>m3</v>
      </c>
      <c r="F161" s="586">
        <v>4</v>
      </c>
      <c r="G161" s="648">
        <f>VLOOKUP(A161,[33]ÍNDICE!$C$6:$N$380,12,FALSE)</f>
        <v>994779.33062365581</v>
      </c>
      <c r="H161" s="583">
        <f t="shared" si="19"/>
        <v>3979117.3224946233</v>
      </c>
    </row>
    <row r="162" spans="1:9" s="565" customFormat="1" ht="15" customHeight="1">
      <c r="A162" s="655" t="s">
        <v>532</v>
      </c>
      <c r="B162" s="571" t="str">
        <f t="shared" si="18"/>
        <v>630-13</v>
      </c>
      <c r="C162" s="571"/>
      <c r="D162" s="619" t="str">
        <f>VLOOKUP(A162,[33]ÍNDICE!$C$6:$N$380,5,FALSE)</f>
        <v>CONCRETO CICLÓPEO RESISTENCIA 14MPa (G)</v>
      </c>
      <c r="E162" s="581" t="str">
        <f>VLOOKUP(A162,[33]ÍNDICE!$C$6:$N$380,2,FALSE)</f>
        <v>m3</v>
      </c>
      <c r="F162" s="598">
        <v>4</v>
      </c>
      <c r="G162" s="648">
        <f>VLOOKUP(A162,[33]ÍNDICE!$C$6:$N$380,12,FALSE)</f>
        <v>680494.66759275761</v>
      </c>
      <c r="H162" s="583">
        <f t="shared" si="19"/>
        <v>2721978.6703710305</v>
      </c>
    </row>
    <row r="163" spans="1:9" s="565" customFormat="1" ht="26.1" customHeight="1">
      <c r="A163" s="655" t="s">
        <v>545</v>
      </c>
      <c r="B163" s="571" t="str">
        <f>MID(A163,1,3)&amp;"-"&amp;13</f>
        <v>671-13</v>
      </c>
      <c r="C163" s="571"/>
      <c r="D163" s="619" t="str">
        <f>VLOOKUP(A163,[33]ÍNDICE!$C$6:$N$380,5,FALSE)</f>
        <v>CUNETA DE CONCRETO VACIADA IN SITU; INCLUYE LA CONFORMACIÓN DE LA SUPERFICIE DE APOYO</v>
      </c>
      <c r="E163" s="581" t="str">
        <f>VLOOKUP(A163,[33]ÍNDICE!$C$6:$N$380,2,FALSE)</f>
        <v>m3</v>
      </c>
      <c r="F163" s="586">
        <f>25*0.138</f>
        <v>3.45</v>
      </c>
      <c r="G163" s="648">
        <f>VLOOKUP(A163,[33]ÍNDICE!$C$6:$N$380,12,FALSE)</f>
        <v>1106254.0341245155</v>
      </c>
      <c r="H163" s="583">
        <f>F163*G163</f>
        <v>3816576.4177295784</v>
      </c>
    </row>
    <row r="164" spans="1:9" s="565" customFormat="1" ht="15" customHeight="1">
      <c r="A164" s="1213" t="s">
        <v>534</v>
      </c>
      <c r="B164" s="609" t="str">
        <f>MID(A164,1,3)&amp;"-"&amp;13</f>
        <v>673-13</v>
      </c>
      <c r="C164" s="609"/>
      <c r="D164" s="619" t="str">
        <f>VLOOKUP(A164,[33]ÍNDICE!$C$6:$N$380,5,FALSE)</f>
        <v xml:space="preserve">GEOTEXTIL TIPO TEJIDO CON RESISTENCIA A LA TENSIÓN GRAB MÍNIMA DE 1400 N </v>
      </c>
      <c r="E164" s="581" t="str">
        <f>VLOOKUP(A164,[33]ÍNDICE!$C$6:$N$380,2,FALSE)</f>
        <v>m2</v>
      </c>
      <c r="F164" s="612">
        <f>(25+2)*2</f>
        <v>54</v>
      </c>
      <c r="G164" s="648">
        <f>VLOOKUP(A164,[33]ÍNDICE!$C$6:$N$380,12,FALSE)</f>
        <v>12861.24633460756</v>
      </c>
      <c r="H164" s="611">
        <f>F164*G164</f>
        <v>694507.30206880823</v>
      </c>
    </row>
    <row r="165" spans="1:9" s="565" customFormat="1" ht="26.1" customHeight="1" thickBot="1">
      <c r="A165" s="655" t="s">
        <v>535</v>
      </c>
      <c r="B165" s="571" t="str">
        <f t="shared" si="18"/>
        <v>681-13</v>
      </c>
      <c r="C165" s="571"/>
      <c r="D165" s="619" t="str">
        <f>VLOOKUP(A165,[33]ÍNDICE!$C$6:$N$380,5,FALSE)</f>
        <v>GAVIONES DE MALLA DE ALAMBRE DE ACERO ENTRELAZADO CLASE 1; RECUBRIMIENTO DE ZINC (GALVANIZADO)</v>
      </c>
      <c r="E165" s="581" t="str">
        <f>VLOOKUP(A165,[33]ÍNDICE!$C$6:$N$380,2,FALSE)</f>
        <v>m3</v>
      </c>
      <c r="F165" s="585">
        <f>25*6</f>
        <v>150</v>
      </c>
      <c r="G165" s="648">
        <f>VLOOKUP(A165,[33]ÍNDICE!$C$6:$N$380,12,FALSE)</f>
        <v>601666.19528525032</v>
      </c>
      <c r="H165" s="583">
        <f t="shared" si="19"/>
        <v>90249929.292787552</v>
      </c>
    </row>
    <row r="166" spans="1:9" s="565" customFormat="1" ht="15" customHeight="1" thickTop="1">
      <c r="A166" s="574"/>
      <c r="B166" s="574"/>
      <c r="C166" s="574"/>
      <c r="D166" s="575"/>
      <c r="E166" s="589"/>
      <c r="F166" s="590"/>
      <c r="G166" s="600" t="s">
        <v>524</v>
      </c>
      <c r="H166" s="1507">
        <f>SUM(H158:H165)</f>
        <v>103554758.23240232</v>
      </c>
    </row>
    <row r="167" spans="1:9" s="565" customFormat="1" ht="15" customHeight="1">
      <c r="A167" s="577"/>
      <c r="B167" s="577"/>
      <c r="C167" s="577"/>
      <c r="D167" s="578"/>
      <c r="E167" s="562"/>
      <c r="F167" s="580"/>
      <c r="G167" s="601" t="s">
        <v>525</v>
      </c>
      <c r="H167" s="1508">
        <f>SUM(H166:H166)*0.05*0.19/1.3</f>
        <v>756746.31015986321</v>
      </c>
    </row>
    <row r="168" spans="1:9" s="565" customFormat="1" ht="15" customHeight="1" thickBot="1">
      <c r="A168" s="561"/>
      <c r="B168" s="560"/>
      <c r="C168" s="560"/>
      <c r="D168" s="561"/>
      <c r="E168" s="562"/>
      <c r="F168" s="580"/>
      <c r="G168" s="601" t="s">
        <v>526</v>
      </c>
      <c r="H168" s="1509">
        <f>+ROUND(H166+H167,0)</f>
        <v>104311505</v>
      </c>
      <c r="I168" s="570"/>
    </row>
    <row r="169" spans="1:9" s="565" customFormat="1" ht="15" customHeight="1" thickTop="1">
      <c r="A169" s="561"/>
      <c r="B169" s="560"/>
      <c r="C169" s="560"/>
      <c r="D169" s="561"/>
      <c r="E169" s="562"/>
      <c r="F169" s="580"/>
      <c r="G169" s="579"/>
      <c r="H169" s="1510"/>
      <c r="I169" s="570"/>
    </row>
    <row r="170" spans="1:9" s="565" customFormat="1" ht="13.5" customHeight="1" thickBot="1">
      <c r="A170" s="566"/>
      <c r="B170" s="604"/>
      <c r="C170" s="605" t="s">
        <v>557</v>
      </c>
      <c r="D170" s="605"/>
      <c r="E170" s="605"/>
      <c r="F170" s="605"/>
      <c r="G170" s="605"/>
      <c r="H170" s="605"/>
    </row>
    <row r="171" spans="1:9" s="565" customFormat="1" ht="13.5" thickTop="1">
      <c r="A171" s="655" t="s">
        <v>549</v>
      </c>
      <c r="B171" s="571" t="str">
        <f t="shared" ref="B171:B176" si="20">MID(A171,1,3)&amp;"-"&amp;13</f>
        <v>201-13</v>
      </c>
      <c r="C171" s="571"/>
      <c r="D171" s="619" t="str">
        <f>VLOOKUP(A171,[33]ÍNDICE!$C$6:$N$380,5,FALSE)</f>
        <v>DEMOLICIÓN DE ESTRUCTURAS</v>
      </c>
      <c r="E171" s="581" t="str">
        <f>VLOOKUP(A171,[33]ÍNDICE!$C$6:$N$380,2,FALSE)</f>
        <v>m3</v>
      </c>
      <c r="F171" s="585">
        <v>5</v>
      </c>
      <c r="G171" s="1092">
        <f>VLOOKUP(A171,[33]ÍNDICE!$C$6:$N$380,12,FALSE)</f>
        <v>217760.49497573468</v>
      </c>
      <c r="H171" s="583">
        <f t="shared" ref="H171:H176" si="21">F171*G171</f>
        <v>1088802.4748786734</v>
      </c>
    </row>
    <row r="172" spans="1:9" s="565" customFormat="1" ht="15" customHeight="1">
      <c r="A172" s="1214" t="s">
        <v>530</v>
      </c>
      <c r="B172" s="572" t="str">
        <f t="shared" si="20"/>
        <v>610-13</v>
      </c>
      <c r="C172" s="572"/>
      <c r="D172" s="619" t="str">
        <f>VLOOKUP(A172,[33]ÍNDICE!$C$6:$N$380,5,FALSE)</f>
        <v>RELLENO PARA ESTRUCTURAS CON SUELO (analizado sin preparación de la superficie base del relleno)</v>
      </c>
      <c r="E172" s="581" t="str">
        <f>VLOOKUP(A172,[33]ÍNDICE!$C$6:$N$380,2,FALSE)</f>
        <v>m3</v>
      </c>
      <c r="F172" s="584">
        <v>20</v>
      </c>
      <c r="G172" s="1092">
        <f>VLOOKUP(A172,[33]ÍNDICE!$C$6:$N$380,12,FALSE)</f>
        <v>162354.11090657322</v>
      </c>
      <c r="H172" s="573">
        <f t="shared" si="21"/>
        <v>3247082.2181314644</v>
      </c>
    </row>
    <row r="173" spans="1:9" s="565" customFormat="1" ht="15" customHeight="1">
      <c r="A173" s="655" t="s">
        <v>539</v>
      </c>
      <c r="B173" s="571" t="str">
        <f t="shared" si="20"/>
        <v>630-13</v>
      </c>
      <c r="C173" s="571"/>
      <c r="D173" s="619" t="str">
        <f>VLOOKUP(A173,[33]ÍNDICE!$C$6:$N$380,5,FALSE)</f>
        <v>CONCRETO LIVIANO RESISTENCIA 14MPa (F) - MEZCLA IN SITU</v>
      </c>
      <c r="E173" s="581" t="str">
        <f>VLOOKUP(A173,[33]ÍNDICE!$C$6:$N$380,2,FALSE)</f>
        <v>m3</v>
      </c>
      <c r="F173" s="586">
        <v>2</v>
      </c>
      <c r="G173" s="1092">
        <f>VLOOKUP(A173,[33]ÍNDICE!$C$6:$N$380,12,FALSE)</f>
        <v>894326.16342625197</v>
      </c>
      <c r="H173" s="583">
        <f t="shared" si="21"/>
        <v>1788652.3268525039</v>
      </c>
    </row>
    <row r="174" spans="1:9" s="565" customFormat="1" ht="36">
      <c r="A174" s="655" t="s">
        <v>545</v>
      </c>
      <c r="B174" s="571" t="str">
        <f t="shared" si="20"/>
        <v>671-13</v>
      </c>
      <c r="C174" s="571"/>
      <c r="D174" s="619" t="str">
        <f>VLOOKUP(A174,[33]ÍNDICE!$C$6:$N$380,5,FALSE)</f>
        <v>CUNETA DE CONCRETO VACIADA IN SITU; INCLUYE LA CONFORMACIÓN DE LA SUPERFICIE DE APOYO</v>
      </c>
      <c r="E174" s="581" t="str">
        <f>VLOOKUP(A174,[33]ÍNDICE!$C$6:$N$380,2,FALSE)</f>
        <v>m3</v>
      </c>
      <c r="F174" s="598">
        <v>5</v>
      </c>
      <c r="G174" s="1092">
        <f>VLOOKUP(A174,[33]ÍNDICE!$C$6:$N$380,12,FALSE)</f>
        <v>1106254.0341245155</v>
      </c>
      <c r="H174" s="583">
        <f t="shared" si="21"/>
        <v>5531270.1706225779</v>
      </c>
    </row>
    <row r="175" spans="1:9" s="565" customFormat="1" ht="15" customHeight="1">
      <c r="A175" s="655" t="s">
        <v>534</v>
      </c>
      <c r="B175" s="571" t="str">
        <f t="shared" si="20"/>
        <v>673-13</v>
      </c>
      <c r="C175" s="571"/>
      <c r="D175" s="619" t="str">
        <f>VLOOKUP(A175,[33]ÍNDICE!$C$6:$N$380,5,FALSE)</f>
        <v xml:space="preserve">GEOTEXTIL TIPO TEJIDO CON RESISTENCIA A LA TENSIÓN GRAB MÍNIMA DE 1400 N </v>
      </c>
      <c r="E175" s="581" t="str">
        <f>VLOOKUP(A175,[33]ÍNDICE!$C$6:$N$380,2,FALSE)</f>
        <v>m2</v>
      </c>
      <c r="F175" s="585">
        <v>60</v>
      </c>
      <c r="G175" s="1092">
        <f>VLOOKUP(A175,[33]ÍNDICE!$C$6:$N$380,12,FALSE)</f>
        <v>12861.24633460756</v>
      </c>
      <c r="H175" s="583">
        <f t="shared" si="21"/>
        <v>771674.78007645358</v>
      </c>
    </row>
    <row r="176" spans="1:9" s="565" customFormat="1" ht="36.75" thickBot="1">
      <c r="A176" s="1216" t="s">
        <v>542</v>
      </c>
      <c r="B176" s="602" t="str">
        <f t="shared" si="20"/>
        <v>681-13</v>
      </c>
      <c r="C176" s="602"/>
      <c r="D176" s="630" t="str">
        <f>VLOOKUP(A176,[33]ÍNDICE!$C$6:$N$380,5,FALSE)</f>
        <v>GAVIONES DE MALLA DE ALAMBRE DE ACERO ENTRELAZADO  CLASE 3; RECUBRIMIENTO DE ZINC (GALVANIZADO) Y PVC</v>
      </c>
      <c r="E176" s="829" t="str">
        <f>VLOOKUP(A176,[33]ÍNDICE!$C$6:$N$380,2,FALSE)</f>
        <v>m3</v>
      </c>
      <c r="F176" s="603">
        <v>60</v>
      </c>
      <c r="G176" s="1093">
        <f>VLOOKUP(A176,[33]ÍNDICE!$C$6:$N$380,12,FALSE)</f>
        <v>575872.24869869393</v>
      </c>
      <c r="H176" s="606">
        <f t="shared" si="21"/>
        <v>34552334.921921633</v>
      </c>
    </row>
    <row r="177" spans="1:10" s="565" customFormat="1" ht="15" customHeight="1" thickTop="1">
      <c r="A177" s="577"/>
      <c r="B177" s="577"/>
      <c r="C177" s="577"/>
      <c r="D177" s="607"/>
      <c r="E177" s="562"/>
      <c r="G177" s="579" t="s">
        <v>524</v>
      </c>
      <c r="H177" s="1511">
        <f>SUM(H171:H176)</f>
        <v>46979816.892483309</v>
      </c>
    </row>
    <row r="178" spans="1:10" s="565" customFormat="1" ht="15" customHeight="1">
      <c r="A178" s="577"/>
      <c r="B178" s="577"/>
      <c r="C178" s="577"/>
      <c r="D178" s="578"/>
      <c r="E178" s="562"/>
      <c r="G178" s="579" t="s">
        <v>525</v>
      </c>
      <c r="H178" s="1508">
        <f>ROUND((+H177*0.05*0.19)/(1+0.3),0)</f>
        <v>343314</v>
      </c>
    </row>
    <row r="179" spans="1:10" s="565" customFormat="1" ht="15" customHeight="1" thickBot="1">
      <c r="A179" s="561"/>
      <c r="B179" s="560"/>
      <c r="C179" s="560"/>
      <c r="D179" s="561"/>
      <c r="E179" s="562"/>
      <c r="G179" s="579" t="s">
        <v>526</v>
      </c>
      <c r="H179" s="1509">
        <f>+ROUND(H177+H178,0)</f>
        <v>47323131</v>
      </c>
    </row>
    <row r="180" spans="1:10" s="565" customFormat="1" ht="15" customHeight="1" thickTop="1">
      <c r="A180" s="561"/>
      <c r="B180" s="560"/>
      <c r="C180" s="560"/>
      <c r="D180" s="561"/>
      <c r="E180" s="562"/>
      <c r="G180" s="579"/>
      <c r="H180" s="1510"/>
    </row>
    <row r="181" spans="1:10" s="565" customFormat="1" ht="13.5" thickBot="1">
      <c r="A181" s="566"/>
      <c r="B181" s="567"/>
      <c r="C181" s="566" t="s">
        <v>558</v>
      </c>
      <c r="D181" s="566"/>
      <c r="E181" s="567"/>
      <c r="F181" s="566"/>
      <c r="G181" s="568"/>
      <c r="H181" s="569"/>
      <c r="I181" s="570"/>
    </row>
    <row r="182" spans="1:10" s="565" customFormat="1" ht="15" customHeight="1" thickTop="1">
      <c r="A182" s="1217" t="s">
        <v>528</v>
      </c>
      <c r="B182" s="595" t="str">
        <f>MID(A182,1,3)&amp;"-"&amp;13</f>
        <v>600-13</v>
      </c>
      <c r="C182" s="595"/>
      <c r="D182" s="619" t="str">
        <f>VLOOKUP(A182,[33]ÍNDICE!$C$6:$N$380,5,FALSE)</f>
        <v>EXCAVACIONES VARIAS SIN CLASIFICAR</v>
      </c>
      <c r="E182" s="581" t="str">
        <f>VLOOKUP(A182,[33]ÍNDICE!$C$6:$N$380,2,FALSE)</f>
        <v>m3</v>
      </c>
      <c r="F182" s="608">
        <v>20</v>
      </c>
      <c r="G182" s="1092">
        <f>VLOOKUP(A182,[33]ÍNDICE!$C$6:$N$380,12,FALSE)</f>
        <v>58828.261120639472</v>
      </c>
      <c r="H182" s="597">
        <f>F182*G182</f>
        <v>1176565.2224127895</v>
      </c>
    </row>
    <row r="183" spans="1:10" s="565" customFormat="1" ht="15" customHeight="1">
      <c r="A183" s="1213" t="s">
        <v>530</v>
      </c>
      <c r="B183" s="609" t="str">
        <f t="shared" ref="B183:B188" si="22">MID(A183,1,3)&amp;"-"&amp;13</f>
        <v>610-13</v>
      </c>
      <c r="C183" s="1074"/>
      <c r="D183" s="619" t="str">
        <f>VLOOKUP(A183,[33]ÍNDICE!$C$6:$N$380,5,FALSE)</f>
        <v>RELLENO PARA ESTRUCTURAS CON SUELO (analizado sin preparación de la superficie base del relleno)</v>
      </c>
      <c r="E183" s="581" t="str">
        <f>VLOOKUP(A183,[33]ÍNDICE!$C$6:$N$380,2,FALSE)</f>
        <v>m3</v>
      </c>
      <c r="F183" s="610">
        <v>26</v>
      </c>
      <c r="G183" s="1092">
        <f>VLOOKUP(A183,[33]ÍNDICE!$C$6:$N$380,12,FALSE)</f>
        <v>162354.11090657322</v>
      </c>
      <c r="H183" s="611">
        <f t="shared" ref="H183:H188" si="23">F183*G183</f>
        <v>4221206.8835709039</v>
      </c>
    </row>
    <row r="184" spans="1:10" s="565" customFormat="1" ht="15" customHeight="1">
      <c r="A184" s="655" t="s">
        <v>537</v>
      </c>
      <c r="B184" s="571" t="str">
        <f t="shared" si="22"/>
        <v>630-13</v>
      </c>
      <c r="C184" s="609"/>
      <c r="D184" s="619" t="str">
        <f>VLOOKUP(A184,[33]ÍNDICE!$C$6:$N$380,5,FALSE)</f>
        <v>CONCRETO REFORZADO RESISTENCIA 21MPa (D) - MEZCLA IN SITU</v>
      </c>
      <c r="E184" s="581" t="str">
        <f>VLOOKUP(A184,[33]ÍNDICE!$C$6:$N$380,2,FALSE)</f>
        <v>m3</v>
      </c>
      <c r="F184" s="612">
        <v>12</v>
      </c>
      <c r="G184" s="1092">
        <f>VLOOKUP(A184,[33]ÍNDICE!$C$6:$N$380,12,FALSE)</f>
        <v>1243512.4574943627</v>
      </c>
      <c r="H184" s="611">
        <f t="shared" si="23"/>
        <v>14922149.489932353</v>
      </c>
    </row>
    <row r="185" spans="1:10" s="565" customFormat="1" ht="15" customHeight="1">
      <c r="A185" s="655" t="s">
        <v>539</v>
      </c>
      <c r="B185" s="571" t="str">
        <f t="shared" si="22"/>
        <v>630-13</v>
      </c>
      <c r="C185" s="571"/>
      <c r="D185" s="619" t="str">
        <f>VLOOKUP(A185,[33]ÍNDICE!$C$6:$N$380,5,FALSE)</f>
        <v>CONCRETO LIVIANO RESISTENCIA 14MPa (F) - MEZCLA IN SITU</v>
      </c>
      <c r="E185" s="581" t="str">
        <f>VLOOKUP(A185,[33]ÍNDICE!$C$6:$N$380,2,FALSE)</f>
        <v>m3</v>
      </c>
      <c r="F185" s="584">
        <v>1</v>
      </c>
      <c r="G185" s="1092">
        <f>VLOOKUP(A185,[33]ÍNDICE!$C$6:$N$380,12,FALSE)</f>
        <v>894326.16342625197</v>
      </c>
      <c r="H185" s="583">
        <f t="shared" si="23"/>
        <v>894326.16342625197</v>
      </c>
    </row>
    <row r="186" spans="1:10" s="565" customFormat="1" ht="15" customHeight="1">
      <c r="A186" s="655" t="s">
        <v>534</v>
      </c>
      <c r="B186" s="571" t="str">
        <f t="shared" si="22"/>
        <v>673-13</v>
      </c>
      <c r="C186" s="571"/>
      <c r="D186" s="619" t="str">
        <f>VLOOKUP(A186,[33]ÍNDICE!$C$6:$N$380,5,FALSE)</f>
        <v xml:space="preserve">GEOTEXTIL TIPO TEJIDO CON RESISTENCIA A LA TENSIÓN GRAB MÍNIMA DE 1400 N </v>
      </c>
      <c r="E186" s="581" t="str">
        <f>VLOOKUP(A186,[33]ÍNDICE!$C$6:$N$380,2,FALSE)</f>
        <v>m2</v>
      </c>
      <c r="F186" s="586">
        <v>30</v>
      </c>
      <c r="G186" s="1092">
        <f>VLOOKUP(A186,[33]ÍNDICE!$C$6:$N$380,12,FALSE)</f>
        <v>12861.24633460756</v>
      </c>
      <c r="H186" s="583">
        <f t="shared" si="23"/>
        <v>385837.39003822679</v>
      </c>
      <c r="J186" s="588"/>
    </row>
    <row r="187" spans="1:10" s="565" customFormat="1" ht="15" customHeight="1">
      <c r="A187" s="655" t="s">
        <v>541</v>
      </c>
      <c r="B187" s="571" t="str">
        <f t="shared" si="22"/>
        <v>640-13</v>
      </c>
      <c r="C187" s="571"/>
      <c r="D187" s="619" t="str">
        <f>VLOOKUP(A187,[33]ÍNDICE!$C$6:$N$380,5,FALSE)</f>
        <v>ACERO DE REFUERZO Fy 4200 MPa</v>
      </c>
      <c r="E187" s="581" t="str">
        <f>VLOOKUP(A187,[33]ÍNDICE!$C$6:$N$380,2,FALSE)</f>
        <v>kg</v>
      </c>
      <c r="F187" s="585">
        <v>253</v>
      </c>
      <c r="G187" s="1092">
        <f>VLOOKUP(A187,[33]ÍNDICE!$C$6:$N$380,12,FALSE)</f>
        <v>7547.7371417119648</v>
      </c>
      <c r="H187" s="583">
        <f t="shared" si="23"/>
        <v>1909577.4968531271</v>
      </c>
    </row>
    <row r="188" spans="1:10" s="565" customFormat="1" ht="26.1" customHeight="1" thickBot="1">
      <c r="A188" s="655" t="s">
        <v>542</v>
      </c>
      <c r="B188" s="571" t="str">
        <f t="shared" si="22"/>
        <v>681-13</v>
      </c>
      <c r="C188" s="571"/>
      <c r="D188" s="619" t="str">
        <f>VLOOKUP(A188,[33]ÍNDICE!$C$6:$N$380,5,FALSE)</f>
        <v>GAVIONES DE MALLA DE ALAMBRE DE ACERO ENTRELAZADO  CLASE 3; RECUBRIMIENTO DE ZINC (GALVANIZADO) Y PVC</v>
      </c>
      <c r="E188" s="581" t="str">
        <f>VLOOKUP(A188,[33]ÍNDICE!$C$6:$N$380,2,FALSE)</f>
        <v>m3</v>
      </c>
      <c r="F188" s="586">
        <v>30</v>
      </c>
      <c r="G188" s="1092">
        <f>VLOOKUP(A188,[33]ÍNDICE!$C$6:$N$380,12,FALSE)</f>
        <v>575872.24869869393</v>
      </c>
      <c r="H188" s="583">
        <f t="shared" si="23"/>
        <v>17276167.460960817</v>
      </c>
    </row>
    <row r="189" spans="1:10" s="565" customFormat="1" ht="15" customHeight="1" thickTop="1">
      <c r="A189" s="574"/>
      <c r="B189" s="574"/>
      <c r="C189" s="574"/>
      <c r="D189" s="575"/>
      <c r="E189" s="589"/>
      <c r="F189" s="590"/>
      <c r="G189" s="600" t="s">
        <v>524</v>
      </c>
      <c r="H189" s="1507">
        <f>SUM(H182:H188)</f>
        <v>40785830.107194468</v>
      </c>
    </row>
    <row r="190" spans="1:10" s="565" customFormat="1" ht="15" customHeight="1">
      <c r="A190" s="577"/>
      <c r="B190" s="577"/>
      <c r="C190" s="577"/>
      <c r="D190" s="578"/>
      <c r="E190" s="562"/>
      <c r="F190" s="580"/>
      <c r="G190" s="601" t="s">
        <v>525</v>
      </c>
      <c r="H190" s="1508">
        <f>ROUND((+H189*0.05*0.19)/(1+0.3),0)</f>
        <v>298050</v>
      </c>
    </row>
    <row r="191" spans="1:10" s="565" customFormat="1" ht="15" customHeight="1" thickBot="1">
      <c r="A191" s="561"/>
      <c r="B191" s="560"/>
      <c r="C191" s="560"/>
      <c r="D191" s="561"/>
      <c r="E191" s="562"/>
      <c r="F191" s="580"/>
      <c r="G191" s="601" t="s">
        <v>526</v>
      </c>
      <c r="H191" s="1509">
        <f>+ROUND(H189+H190,0)</f>
        <v>41083880</v>
      </c>
      <c r="I191" s="570"/>
    </row>
    <row r="192" spans="1:10" s="565" customFormat="1" ht="15" customHeight="1" thickTop="1">
      <c r="A192" s="561"/>
      <c r="B192" s="560"/>
      <c r="C192" s="560"/>
      <c r="D192" s="561"/>
      <c r="E192" s="562"/>
      <c r="F192" s="580"/>
      <c r="G192" s="579"/>
      <c r="H192" s="1510"/>
      <c r="I192" s="570"/>
    </row>
    <row r="193" spans="1:10" s="565" customFormat="1" ht="15" customHeight="1">
      <c r="A193" s="561"/>
      <c r="B193" s="560"/>
      <c r="C193" s="560"/>
      <c r="D193" s="561"/>
      <c r="E193" s="562"/>
      <c r="G193" s="579"/>
      <c r="H193" s="1506"/>
    </row>
    <row r="194" spans="1:10" s="565" customFormat="1" ht="13.5" thickBot="1">
      <c r="A194" s="566"/>
      <c r="B194" s="567"/>
      <c r="C194" s="566" t="s">
        <v>559</v>
      </c>
      <c r="D194" s="566"/>
      <c r="E194" s="567"/>
      <c r="F194" s="566"/>
      <c r="G194" s="568"/>
      <c r="H194" s="569"/>
      <c r="I194" s="570"/>
    </row>
    <row r="195" spans="1:10" s="565" customFormat="1" ht="13.5" thickTop="1">
      <c r="A195" s="655" t="s">
        <v>549</v>
      </c>
      <c r="B195" s="571" t="str">
        <f>MID(A195,1,3)&amp;"-"&amp;13</f>
        <v>201-13</v>
      </c>
      <c r="C195" s="571"/>
      <c r="D195" s="619" t="str">
        <f>VLOOKUP(A195,[33]ÍNDICE!$C$6:$N$380,5,FALSE)</f>
        <v>DEMOLICIÓN DE ESTRUCTURAS</v>
      </c>
      <c r="E195" s="581" t="str">
        <f>VLOOKUP(A195,[33]ÍNDICE!$C$6:$N$380,2,FALSE)</f>
        <v>m3</v>
      </c>
      <c r="F195" s="582">
        <v>2</v>
      </c>
      <c r="G195" s="648">
        <f>VLOOKUP(A195,[33]ÍNDICE!$C$6:$N$380,12,FALSE)</f>
        <v>217760.49497573468</v>
      </c>
      <c r="H195" s="583">
        <f>F195*G195</f>
        <v>435520.98995146935</v>
      </c>
    </row>
    <row r="196" spans="1:10" s="565" customFormat="1" ht="15" customHeight="1">
      <c r="A196" s="655" t="s">
        <v>530</v>
      </c>
      <c r="B196" s="571" t="str">
        <f>MID(A196,1,3)&amp;"-"&amp;13</f>
        <v>610-13</v>
      </c>
      <c r="C196" s="614"/>
      <c r="D196" s="619" t="str">
        <f>VLOOKUP(A196,[33]ÍNDICE!$C$6:$N$380,5,FALSE)</f>
        <v>RELLENO PARA ESTRUCTURAS CON SUELO (analizado sin preparación de la superficie base del relleno)</v>
      </c>
      <c r="E196" s="581" t="str">
        <f>VLOOKUP(A196,[33]ÍNDICE!$C$6:$N$380,2,FALSE)</f>
        <v>m3</v>
      </c>
      <c r="F196" s="586">
        <v>1</v>
      </c>
      <c r="G196" s="648">
        <f>VLOOKUP(A196,[33]ÍNDICE!$C$6:$N$380,12,FALSE)</f>
        <v>162354.11090657322</v>
      </c>
      <c r="H196" s="583">
        <f>F196*G196</f>
        <v>162354.11090657322</v>
      </c>
    </row>
    <row r="197" spans="1:10" s="565" customFormat="1" ht="15" customHeight="1" thickBot="1">
      <c r="A197" s="655" t="s">
        <v>537</v>
      </c>
      <c r="B197" s="571" t="str">
        <f>MID(A197,1,3)&amp;"-"&amp;13</f>
        <v>630-13</v>
      </c>
      <c r="C197" s="571"/>
      <c r="D197" s="619" t="str">
        <f>VLOOKUP(A197,[33]ÍNDICE!$C$6:$N$380,5,FALSE)</f>
        <v>CONCRETO REFORZADO RESISTENCIA 21MPa (D) - MEZCLA IN SITU</v>
      </c>
      <c r="E197" s="581" t="str">
        <f>VLOOKUP(A197,[33]ÍNDICE!$C$6:$N$380,2,FALSE)</f>
        <v>m3</v>
      </c>
      <c r="F197" s="585">
        <v>3</v>
      </c>
      <c r="G197" s="648">
        <f>VLOOKUP(A197,[33]ÍNDICE!$C$6:$N$380,12,FALSE)</f>
        <v>1243512.4574943627</v>
      </c>
      <c r="H197" s="583">
        <f>F197*G197</f>
        <v>3730537.3724830882</v>
      </c>
    </row>
    <row r="198" spans="1:10" s="565" customFormat="1" ht="15" customHeight="1" thickTop="1">
      <c r="A198" s="574"/>
      <c r="B198" s="574"/>
      <c r="C198" s="574"/>
      <c r="D198" s="575"/>
      <c r="E198" s="589"/>
      <c r="F198" s="590"/>
      <c r="G198" s="600" t="s">
        <v>524</v>
      </c>
      <c r="H198" s="1507">
        <f>SUM(H195:H197)</f>
        <v>4328412.4733411307</v>
      </c>
      <c r="J198" s="615"/>
    </row>
    <row r="199" spans="1:10" s="565" customFormat="1" ht="15" customHeight="1">
      <c r="A199" s="577"/>
      <c r="B199" s="577"/>
      <c r="C199" s="577"/>
      <c r="D199" s="578"/>
      <c r="E199" s="562"/>
      <c r="F199" s="580"/>
      <c r="G199" s="601" t="s">
        <v>525</v>
      </c>
      <c r="H199" s="1508">
        <f>ROUND((+H198*0.05*0.19)/(1+0.3),0)</f>
        <v>31631</v>
      </c>
    </row>
    <row r="200" spans="1:10" s="565" customFormat="1" ht="15" customHeight="1" thickBot="1">
      <c r="A200" s="561"/>
      <c r="B200" s="560"/>
      <c r="C200" s="560"/>
      <c r="D200" s="561"/>
      <c r="E200" s="562"/>
      <c r="F200" s="580"/>
      <c r="G200" s="601" t="s">
        <v>526</v>
      </c>
      <c r="H200" s="1509">
        <f>+ROUND(H198+H199,0)</f>
        <v>4360043</v>
      </c>
      <c r="I200" s="570"/>
    </row>
    <row r="201" spans="1:10" s="565" customFormat="1" ht="15" customHeight="1" thickTop="1">
      <c r="A201" s="561"/>
      <c r="B201" s="560"/>
      <c r="C201" s="560"/>
      <c r="D201" s="561"/>
      <c r="E201" s="562"/>
      <c r="F201" s="580"/>
      <c r="G201" s="579"/>
      <c r="H201" s="1510"/>
      <c r="I201" s="570"/>
    </row>
    <row r="202" spans="1:10" s="565" customFormat="1" ht="13.5" thickBot="1">
      <c r="A202" s="566"/>
      <c r="B202" s="567"/>
      <c r="C202" s="566" t="s">
        <v>560</v>
      </c>
      <c r="D202" s="566"/>
      <c r="E202" s="567"/>
      <c r="F202" s="566"/>
      <c r="G202" s="616"/>
      <c r="H202" s="569"/>
      <c r="I202" s="570"/>
    </row>
    <row r="203" spans="1:10" s="565" customFormat="1" ht="15" customHeight="1" thickTop="1">
      <c r="A203" s="655" t="s">
        <v>528</v>
      </c>
      <c r="B203" s="571" t="str">
        <f>MID(A203,1,3)&amp;"-"&amp;13</f>
        <v>600-13</v>
      </c>
      <c r="C203" s="571"/>
      <c r="D203" s="619" t="str">
        <f>VLOOKUP(A203,[33]ÍNDICE!$C$6:$N$380,5,FALSE)</f>
        <v>EXCAVACIONES VARIAS SIN CLASIFICAR</v>
      </c>
      <c r="E203" s="581" t="str">
        <f>VLOOKUP(A203,[33]ÍNDICE!$C$6:$N$380,2,FALSE)</f>
        <v>m3</v>
      </c>
      <c r="F203" s="582">
        <v>20</v>
      </c>
      <c r="G203" s="648">
        <f>VLOOKUP(A203,[33]ÍNDICE!$C$6:$N$380,12,FALSE)</f>
        <v>58828.261120639472</v>
      </c>
      <c r="H203" s="583">
        <f>F203*G203</f>
        <v>1176565.2224127895</v>
      </c>
    </row>
    <row r="204" spans="1:10" s="565" customFormat="1" ht="15" customHeight="1">
      <c r="A204" s="655" t="s">
        <v>530</v>
      </c>
      <c r="B204" s="571" t="str">
        <f>MID(A204,1,3)&amp;"-"&amp;13</f>
        <v>610-13</v>
      </c>
      <c r="C204" s="1101"/>
      <c r="D204" s="619" t="str">
        <f>VLOOKUP(A204,[33]ÍNDICE!$C$6:$N$380,5,FALSE)</f>
        <v>RELLENO PARA ESTRUCTURAS CON SUELO (analizado sin preparación de la superficie base del relleno)</v>
      </c>
      <c r="E204" s="581" t="str">
        <f>VLOOKUP(A204,[33]ÍNDICE!$C$6:$N$380,2,FALSE)</f>
        <v>m3</v>
      </c>
      <c r="F204" s="584">
        <v>10</v>
      </c>
      <c r="G204" s="648">
        <f>VLOOKUP(A204,[33]ÍNDICE!$C$6:$N$380,12,FALSE)</f>
        <v>162354.11090657322</v>
      </c>
      <c r="H204" s="583">
        <f>F204*G204</f>
        <v>1623541.1090657322</v>
      </c>
    </row>
    <row r="205" spans="1:10" s="565" customFormat="1" ht="15" customHeight="1">
      <c r="A205" s="655" t="s">
        <v>539</v>
      </c>
      <c r="B205" s="571" t="str">
        <f>MID(A205,1,3)&amp;"-"&amp;13</f>
        <v>630-13</v>
      </c>
      <c r="C205" s="571"/>
      <c r="D205" s="619" t="str">
        <f>VLOOKUP(A205,[33]ÍNDICE!$C$6:$N$380,5,FALSE)</f>
        <v>CONCRETO LIVIANO RESISTENCIA 14MPa (F) - MEZCLA IN SITU</v>
      </c>
      <c r="E205" s="581" t="str">
        <f>VLOOKUP(A205,[33]ÍNDICE!$C$6:$N$380,2,FALSE)</f>
        <v>m3</v>
      </c>
      <c r="F205" s="585">
        <v>1</v>
      </c>
      <c r="G205" s="648">
        <f>VLOOKUP(A205,[33]ÍNDICE!$C$6:$N$380,12,FALSE)</f>
        <v>894326.16342625197</v>
      </c>
      <c r="H205" s="583">
        <f>F205*G205</f>
        <v>894326.16342625197</v>
      </c>
    </row>
    <row r="206" spans="1:10" s="565" customFormat="1" ht="15" customHeight="1">
      <c r="A206" s="655" t="s">
        <v>534</v>
      </c>
      <c r="B206" s="571" t="str">
        <f>MID(A206,1,3)&amp;"-"&amp;13</f>
        <v>673-13</v>
      </c>
      <c r="C206" s="571"/>
      <c r="D206" s="619" t="str">
        <f>VLOOKUP(A206,[33]ÍNDICE!$C$6:$N$380,5,FALSE)</f>
        <v xml:space="preserve">GEOTEXTIL TIPO TEJIDO CON RESISTENCIA A LA TENSIÓN GRAB MÍNIMA DE 1400 N </v>
      </c>
      <c r="E206" s="581" t="str">
        <f>VLOOKUP(A206,[33]ÍNDICE!$C$6:$N$380,2,FALSE)</f>
        <v>m2</v>
      </c>
      <c r="F206" s="586">
        <v>30</v>
      </c>
      <c r="G206" s="648">
        <f>VLOOKUP(A206,[33]ÍNDICE!$C$6:$N$380,12,FALSE)</f>
        <v>12861.24633460756</v>
      </c>
      <c r="H206" s="583">
        <f>F206*G206</f>
        <v>385837.39003822679</v>
      </c>
    </row>
    <row r="207" spans="1:10" s="565" customFormat="1" ht="36.75" thickBot="1">
      <c r="A207" s="655" t="s">
        <v>542</v>
      </c>
      <c r="B207" s="571" t="str">
        <f>MID(A207,1,3)&amp;"-"&amp;13</f>
        <v>681-13</v>
      </c>
      <c r="C207" s="571"/>
      <c r="D207" s="619" t="str">
        <f>VLOOKUP(A207,[33]ÍNDICE!$C$6:$N$380,5,FALSE)</f>
        <v>GAVIONES DE MALLA DE ALAMBRE DE ACERO ENTRELAZADO  CLASE 3; RECUBRIMIENTO DE ZINC (GALVANIZADO) Y PVC</v>
      </c>
      <c r="E207" s="581" t="str">
        <f>VLOOKUP(A207,[33]ÍNDICE!$C$6:$N$380,2,FALSE)</f>
        <v>m3</v>
      </c>
      <c r="F207" s="593">
        <v>30</v>
      </c>
      <c r="G207" s="648">
        <f>VLOOKUP(A207,[33]ÍNDICE!$C$6:$N$380,12,FALSE)</f>
        <v>575872.24869869393</v>
      </c>
      <c r="H207" s="583">
        <f>F207*G207</f>
        <v>17276167.460960817</v>
      </c>
      <c r="J207" s="588"/>
    </row>
    <row r="208" spans="1:10" s="565" customFormat="1" ht="15" customHeight="1" thickTop="1">
      <c r="A208" s="574"/>
      <c r="B208" s="574"/>
      <c r="C208" s="574"/>
      <c r="D208" s="575"/>
      <c r="E208" s="589"/>
      <c r="G208" s="576" t="s">
        <v>524</v>
      </c>
      <c r="H208" s="1507">
        <f>SUM(H203:H207)</f>
        <v>21356437.345903818</v>
      </c>
    </row>
    <row r="209" spans="1:10" s="565" customFormat="1" ht="15" customHeight="1">
      <c r="A209" s="577"/>
      <c r="B209" s="577"/>
      <c r="C209" s="577"/>
      <c r="D209" s="578"/>
      <c r="E209" s="562"/>
      <c r="G209" s="579" t="s">
        <v>525</v>
      </c>
      <c r="H209" s="1508">
        <f>ROUND((+H208*0.05*0.19)/(1+0.3),0)</f>
        <v>156066</v>
      </c>
    </row>
    <row r="210" spans="1:10" s="565" customFormat="1" ht="15" customHeight="1" thickBot="1">
      <c r="A210" s="561"/>
      <c r="B210" s="560"/>
      <c r="C210" s="560"/>
      <c r="D210" s="561"/>
      <c r="E210" s="562"/>
      <c r="G210" s="579" t="s">
        <v>526</v>
      </c>
      <c r="H210" s="1509">
        <f>+ROUND(H208+H209,0)</f>
        <v>21512503</v>
      </c>
      <c r="I210" s="570"/>
    </row>
    <row r="211" spans="1:10" s="565" customFormat="1" ht="15" customHeight="1" thickTop="1">
      <c r="A211" s="561"/>
      <c r="B211" s="560"/>
      <c r="C211" s="560"/>
      <c r="D211" s="561"/>
      <c r="E211" s="562"/>
      <c r="F211" s="563"/>
      <c r="G211" s="564"/>
      <c r="H211" s="1506"/>
    </row>
    <row r="212" spans="1:10" s="565" customFormat="1" ht="13.5" thickBot="1">
      <c r="A212" s="566"/>
      <c r="B212" s="567"/>
      <c r="C212" s="566" t="s">
        <v>561</v>
      </c>
      <c r="D212" s="566"/>
      <c r="E212" s="567"/>
      <c r="F212" s="566"/>
      <c r="G212" s="616"/>
      <c r="H212" s="569"/>
      <c r="I212" s="570"/>
    </row>
    <row r="213" spans="1:10" s="565" customFormat="1" ht="15" customHeight="1" thickTop="1">
      <c r="A213" s="655" t="s">
        <v>549</v>
      </c>
      <c r="B213" s="571" t="str">
        <f>MID(A213,1,3)&amp;"-"&amp;13</f>
        <v>201-13</v>
      </c>
      <c r="C213" s="571"/>
      <c r="D213" s="619" t="str">
        <f>VLOOKUP(A213,[33]ÍNDICE!$C$6:$N$380,5,FALSE)</f>
        <v>DEMOLICIÓN DE ESTRUCTURAS</v>
      </c>
      <c r="E213" s="581" t="str">
        <f>VLOOKUP(A213,[33]ÍNDICE!$C$6:$N$380,2,FALSE)</f>
        <v>m3</v>
      </c>
      <c r="F213" s="582">
        <v>5</v>
      </c>
      <c r="G213" s="648">
        <f>VLOOKUP(A213,[33]ÍNDICE!$C$6:$N$380,12,FALSE)</f>
        <v>217760.49497573468</v>
      </c>
      <c r="H213" s="583">
        <f>F213*G213</f>
        <v>1088802.4748786734</v>
      </c>
    </row>
    <row r="214" spans="1:10" s="565" customFormat="1" ht="15" customHeight="1">
      <c r="A214" s="655" t="s">
        <v>550</v>
      </c>
      <c r="B214" s="571" t="str">
        <f>MID(A214,1,3)&amp;"-"&amp;13</f>
        <v>330-13</v>
      </c>
      <c r="C214" s="1101"/>
      <c r="D214" s="619" t="str">
        <f>VLOOKUP(A214,[33]ÍNDICE!$C$6:$N$380,5,FALSE)</f>
        <v>BASE GRANULAR CLASE A GRADACION FINA</v>
      </c>
      <c r="E214" s="581" t="str">
        <f>VLOOKUP(A214,[33]ÍNDICE!$C$6:$N$380,2,FALSE)</f>
        <v>m3</v>
      </c>
      <c r="F214" s="584">
        <v>10</v>
      </c>
      <c r="G214" s="648">
        <f>VLOOKUP(A214,[33]ÍNDICE!$C$6:$N$380,12,FALSE)</f>
        <v>476364.66746335832</v>
      </c>
      <c r="H214" s="573">
        <f>F214*G214</f>
        <v>4763646.6746335831</v>
      </c>
    </row>
    <row r="215" spans="1:10" s="565" customFormat="1" ht="15" customHeight="1">
      <c r="A215" s="655" t="s">
        <v>528</v>
      </c>
      <c r="B215" s="571" t="str">
        <f t="shared" ref="B215:B222" si="24">MID(A215,1,3)&amp;"-"&amp;13</f>
        <v>600-13</v>
      </c>
      <c r="C215" s="571"/>
      <c r="D215" s="619" t="str">
        <f>VLOOKUP(A215,[33]ÍNDICE!$C$6:$N$380,5,FALSE)</f>
        <v>EXCAVACIONES VARIAS SIN CLASIFICAR</v>
      </c>
      <c r="E215" s="581" t="str">
        <f>VLOOKUP(A215,[33]ÍNDICE!$C$6:$N$380,2,FALSE)</f>
        <v>m3</v>
      </c>
      <c r="F215" s="585">
        <f>25*3.5*2</f>
        <v>175</v>
      </c>
      <c r="G215" s="648">
        <f>VLOOKUP(A215,[33]ÍNDICE!$C$6:$N$380,12,FALSE)</f>
        <v>58828.261120639472</v>
      </c>
      <c r="H215" s="583">
        <f t="shared" ref="H215:H222" si="25">F215*G215</f>
        <v>10294945.696111908</v>
      </c>
    </row>
    <row r="216" spans="1:10" s="565" customFormat="1" ht="15" customHeight="1">
      <c r="A216" s="655" t="s">
        <v>530</v>
      </c>
      <c r="B216" s="571" t="str">
        <f>MID(A216,1,3)&amp;"-"&amp;13</f>
        <v>610-13</v>
      </c>
      <c r="C216" s="571"/>
      <c r="D216" s="619" t="str">
        <f>VLOOKUP(A216,[33]ÍNDICE!$C$6:$N$380,5,FALSE)</f>
        <v>RELLENO PARA ESTRUCTURAS CON SUELO (analizado sin preparación de la superficie base del relleno)</v>
      </c>
      <c r="E216" s="581" t="str">
        <f>VLOOKUP(A216,[33]ÍNDICE!$C$6:$N$380,2,FALSE)</f>
        <v>m3</v>
      </c>
      <c r="F216" s="586">
        <v>148</v>
      </c>
      <c r="G216" s="648">
        <f>VLOOKUP(A216,[33]ÍNDICE!$C$6:$N$380,12,FALSE)</f>
        <v>162354.11090657322</v>
      </c>
      <c r="H216" s="583">
        <f>F216*G216</f>
        <v>24028408.414172836</v>
      </c>
    </row>
    <row r="217" spans="1:10" s="565" customFormat="1" ht="15" customHeight="1">
      <c r="A217" s="655" t="s">
        <v>537</v>
      </c>
      <c r="B217" s="571" t="str">
        <f t="shared" si="24"/>
        <v>630-13</v>
      </c>
      <c r="C217" s="571"/>
      <c r="D217" s="619" t="str">
        <f>VLOOKUP(A217,[33]ÍNDICE!$C$6:$N$380,5,FALSE)</f>
        <v>CONCRETO REFORZADO RESISTENCIA 21MPa (D) - MEZCLA IN SITU</v>
      </c>
      <c r="E217" s="581" t="str">
        <f>VLOOKUP(A217,[33]ÍNDICE!$C$6:$N$380,2,FALSE)</f>
        <v>m3</v>
      </c>
      <c r="F217" s="586">
        <v>60</v>
      </c>
      <c r="G217" s="648">
        <f>VLOOKUP(A217,[33]ÍNDICE!$C$6:$N$380,12,FALSE)</f>
        <v>1243512.4574943627</v>
      </c>
      <c r="H217" s="583">
        <f t="shared" si="25"/>
        <v>74610747.449661762</v>
      </c>
      <c r="J217" s="588"/>
    </row>
    <row r="218" spans="1:10" s="565" customFormat="1" ht="15" customHeight="1">
      <c r="A218" s="655" t="s">
        <v>541</v>
      </c>
      <c r="B218" s="571" t="str">
        <f t="shared" si="24"/>
        <v>640-13</v>
      </c>
      <c r="C218" s="571"/>
      <c r="D218" s="619" t="str">
        <f>VLOOKUP(A218,[33]ÍNDICE!$C$6:$N$380,5,FALSE)</f>
        <v>ACERO DE REFUERZO Fy 4200 MPa</v>
      </c>
      <c r="E218" s="581" t="str">
        <f>VLOOKUP(A218,[33]ÍNDICE!$C$6:$N$380,2,FALSE)</f>
        <v>kg</v>
      </c>
      <c r="F218" s="585">
        <v>2482</v>
      </c>
      <c r="G218" s="648">
        <f>VLOOKUP(A218,[33]ÍNDICE!$C$6:$N$380,12,FALSE)</f>
        <v>7547.7371417119648</v>
      </c>
      <c r="H218" s="583">
        <f t="shared" si="25"/>
        <v>18733483.585729096</v>
      </c>
    </row>
    <row r="219" spans="1:10" s="565" customFormat="1" ht="26.1" customHeight="1">
      <c r="A219" s="655" t="s">
        <v>545</v>
      </c>
      <c r="B219" s="571" t="str">
        <f>MID(A219,1,3)&amp;"-"&amp;13</f>
        <v>671-13</v>
      </c>
      <c r="C219" s="571"/>
      <c r="D219" s="619" t="str">
        <f>VLOOKUP(A219,[33]ÍNDICE!$C$6:$N$380,5,FALSE)</f>
        <v>CUNETA DE CONCRETO VACIADA IN SITU; INCLUYE LA CONFORMACIÓN DE LA SUPERFICIE DE APOYO</v>
      </c>
      <c r="E219" s="581" t="str">
        <f>VLOOKUP(A219,[33]ÍNDICE!$C$6:$N$380,2,FALSE)</f>
        <v>m3</v>
      </c>
      <c r="F219" s="586">
        <v>4</v>
      </c>
      <c r="G219" s="648">
        <f>VLOOKUP(A219,[33]ÍNDICE!$C$6:$N$380,12,FALSE)</f>
        <v>1106254.0341245155</v>
      </c>
      <c r="H219" s="583">
        <f>F219*G219</f>
        <v>4425016.1364980619</v>
      </c>
    </row>
    <row r="220" spans="1:10" s="565" customFormat="1" ht="15" customHeight="1">
      <c r="A220" s="655" t="s">
        <v>534</v>
      </c>
      <c r="B220" s="571" t="str">
        <f>MID(A220,1,3)&amp;"-"&amp;13</f>
        <v>673-13</v>
      </c>
      <c r="C220" s="609"/>
      <c r="D220" s="619" t="str">
        <f>VLOOKUP(A220,[33]ÍNDICE!$C$6:$N$380,5,FALSE)</f>
        <v xml:space="preserve">GEOTEXTIL TIPO TEJIDO CON RESISTENCIA A LA TENSIÓN GRAB MÍNIMA DE 1400 N </v>
      </c>
      <c r="E220" s="581" t="str">
        <f>VLOOKUP(A220,[33]ÍNDICE!$C$6:$N$380,2,FALSE)</f>
        <v>m2</v>
      </c>
      <c r="F220" s="612">
        <v>72</v>
      </c>
      <c r="G220" s="648">
        <f>VLOOKUP(A220,[33]ÍNDICE!$C$6:$N$380,12,FALSE)</f>
        <v>12861.24633460756</v>
      </c>
      <c r="H220" s="611">
        <f>F220*G220</f>
        <v>926009.73609174439</v>
      </c>
    </row>
    <row r="221" spans="1:10" s="565" customFormat="1" ht="15" customHeight="1">
      <c r="A221" s="655" t="s">
        <v>547</v>
      </c>
      <c r="B221" s="571" t="str">
        <f>MID(A221,1,3)&amp;"-"&amp;13</f>
        <v>673-13</v>
      </c>
      <c r="C221" s="571"/>
      <c r="D221" s="619" t="str">
        <f>VLOOKUP(A221,[33]ÍNDICE!$C$6:$N$380,5,FALSE)</f>
        <v>MATERIAL GRANULAR DRENANTE</v>
      </c>
      <c r="E221" s="581" t="str">
        <f>VLOOKUP(A221,[33]ÍNDICE!$C$6:$N$380,2,FALSE)</f>
        <v>m3</v>
      </c>
      <c r="F221" s="586">
        <f>0.88*25</f>
        <v>22</v>
      </c>
      <c r="G221" s="648">
        <f>VLOOKUP(A221,[33]ÍNDICE!$C$6:$N$380,12,FALSE)</f>
        <v>372207.28893037047</v>
      </c>
      <c r="H221" s="583">
        <f>F221*G221</f>
        <v>8188560.3564681504</v>
      </c>
    </row>
    <row r="222" spans="1:10" s="565" customFormat="1" ht="26.1" customHeight="1" thickBot="1">
      <c r="A222" s="655" t="s">
        <v>535</v>
      </c>
      <c r="B222" s="571" t="str">
        <f t="shared" si="24"/>
        <v>681-13</v>
      </c>
      <c r="C222" s="571"/>
      <c r="D222" s="619" t="str">
        <f>VLOOKUP(A222,[33]ÍNDICE!$C$6:$N$380,5,FALSE)</f>
        <v>GAVIONES DE MALLA DE ALAMBRE DE ACERO ENTRELAZADO CLASE 1; RECUBRIMIENTO DE ZINC (GALVANIZADO)</v>
      </c>
      <c r="E222" s="581" t="str">
        <f>VLOOKUP(A222,[33]ÍNDICE!$C$6:$N$380,2,FALSE)</f>
        <v>m3</v>
      </c>
      <c r="F222" s="603">
        <v>8</v>
      </c>
      <c r="G222" s="648">
        <f>VLOOKUP(A222,[33]ÍNDICE!$C$6:$N$380,12,FALSE)</f>
        <v>601666.19528525032</v>
      </c>
      <c r="H222" s="583">
        <f t="shared" si="25"/>
        <v>4813329.5622820025</v>
      </c>
    </row>
    <row r="223" spans="1:10" s="565" customFormat="1" ht="15" customHeight="1" thickTop="1">
      <c r="A223" s="574"/>
      <c r="B223" s="574"/>
      <c r="C223" s="574"/>
      <c r="D223" s="575"/>
      <c r="E223" s="589"/>
      <c r="G223" s="576" t="s">
        <v>524</v>
      </c>
      <c r="H223" s="1507">
        <f>SUM(H213:H222)</f>
        <v>151872950.08652779</v>
      </c>
    </row>
    <row r="224" spans="1:10" s="565" customFormat="1" ht="15" customHeight="1">
      <c r="A224" s="577"/>
      <c r="B224" s="577"/>
      <c r="C224" s="577"/>
      <c r="D224" s="578"/>
      <c r="E224" s="562"/>
      <c r="G224" s="579" t="s">
        <v>525</v>
      </c>
      <c r="H224" s="1508">
        <f>SUM(H223:H223)*0.05*0.19/1.3</f>
        <v>1109840.7890938569</v>
      </c>
    </row>
    <row r="225" spans="1:9" s="565" customFormat="1" ht="15" customHeight="1" thickBot="1">
      <c r="A225" s="561"/>
      <c r="B225" s="560"/>
      <c r="C225" s="560"/>
      <c r="D225" s="561"/>
      <c r="E225" s="562"/>
      <c r="G225" s="579" t="s">
        <v>526</v>
      </c>
      <c r="H225" s="1509">
        <f>+ROUND(H223+H224,0)</f>
        <v>152982791</v>
      </c>
      <c r="I225" s="570"/>
    </row>
    <row r="226" spans="1:9" s="565" customFormat="1" ht="15" customHeight="1" thickTop="1">
      <c r="A226" s="561"/>
      <c r="B226" s="560"/>
      <c r="C226" s="560"/>
      <c r="D226" s="561"/>
      <c r="E226" s="562"/>
      <c r="G226" s="579"/>
      <c r="H226" s="1510"/>
      <c r="I226" s="570"/>
    </row>
    <row r="227" spans="1:9" s="565" customFormat="1" ht="12.75" customHeight="1">
      <c r="A227" s="561"/>
      <c r="B227" s="560"/>
      <c r="C227" s="560"/>
      <c r="D227" s="561"/>
      <c r="E227" s="562"/>
      <c r="F227" s="563"/>
      <c r="G227" s="564"/>
      <c r="H227" s="1506"/>
    </row>
    <row r="228" spans="1:9" s="565" customFormat="1" ht="13.5" thickBot="1">
      <c r="A228" s="566"/>
      <c r="B228" s="567"/>
      <c r="C228" s="566" t="s">
        <v>562</v>
      </c>
      <c r="D228" s="566"/>
      <c r="E228" s="567"/>
      <c r="F228" s="566"/>
      <c r="G228" s="616"/>
      <c r="H228" s="569"/>
    </row>
    <row r="229" spans="1:9" s="565" customFormat="1" ht="15" customHeight="1" thickTop="1">
      <c r="A229" s="655" t="s">
        <v>549</v>
      </c>
      <c r="B229" s="571" t="str">
        <f>MID(A229,1,3)&amp;"-"&amp;13</f>
        <v>201-13</v>
      </c>
      <c r="C229" s="572"/>
      <c r="D229" s="619" t="str">
        <f>VLOOKUP(A229,[33]ÍNDICE!$C$6:$N$380,5,FALSE)</f>
        <v>DEMOLICIÓN DE ESTRUCTURAS</v>
      </c>
      <c r="E229" s="581" t="str">
        <f>VLOOKUP(A229,[33]ÍNDICE!$C$6:$N$380,2,FALSE)</f>
        <v>m3</v>
      </c>
      <c r="F229" s="592">
        <v>5</v>
      </c>
      <c r="G229" s="648">
        <f>VLOOKUP(A229,[33]ÍNDICE!$C$6:$N$380,12,FALSE)</f>
        <v>217760.49497573468</v>
      </c>
      <c r="H229" s="573">
        <f>F229*G229</f>
        <v>1088802.4748786734</v>
      </c>
    </row>
    <row r="230" spans="1:9" s="565" customFormat="1" ht="15" customHeight="1">
      <c r="A230" s="655" t="s">
        <v>528</v>
      </c>
      <c r="B230" s="571" t="str">
        <f t="shared" ref="B230:B237" si="26">MID(A230,1,3)&amp;"-"&amp;13</f>
        <v>600-13</v>
      </c>
      <c r="C230" s="571"/>
      <c r="D230" s="619" t="str">
        <f>VLOOKUP(A230,[33]ÍNDICE!$C$6:$N$380,5,FALSE)</f>
        <v>EXCAVACIONES VARIAS SIN CLASIFICAR</v>
      </c>
      <c r="E230" s="581" t="str">
        <f>VLOOKUP(A230,[33]ÍNDICE!$C$6:$N$380,2,FALSE)</f>
        <v>m3</v>
      </c>
      <c r="F230" s="585">
        <f>8*2*3</f>
        <v>48</v>
      </c>
      <c r="G230" s="648">
        <f>VLOOKUP(A230,[33]ÍNDICE!$C$6:$N$380,12,FALSE)</f>
        <v>58828.261120639472</v>
      </c>
      <c r="H230" s="583">
        <f t="shared" ref="H230:H237" si="27">F230*G230</f>
        <v>2823756.5337906945</v>
      </c>
    </row>
    <row r="231" spans="1:9" s="565" customFormat="1" ht="15" customHeight="1">
      <c r="A231" s="655" t="s">
        <v>530</v>
      </c>
      <c r="B231" s="571" t="str">
        <f>MID(A231,1,3)&amp;"-"&amp;13</f>
        <v>610-13</v>
      </c>
      <c r="C231" s="571"/>
      <c r="D231" s="619" t="str">
        <f>VLOOKUP(A231,[33]ÍNDICE!$C$6:$N$380,5,FALSE)</f>
        <v>RELLENO PARA ESTRUCTURAS CON SUELO (analizado sin preparación de la superficie base del relleno)</v>
      </c>
      <c r="E231" s="581" t="str">
        <f>VLOOKUP(A231,[33]ÍNDICE!$C$6:$N$380,2,FALSE)</f>
        <v>m3</v>
      </c>
      <c r="F231" s="586">
        <v>29</v>
      </c>
      <c r="G231" s="648">
        <f>VLOOKUP(A231,[33]ÍNDICE!$C$6:$N$380,12,FALSE)</f>
        <v>162354.11090657322</v>
      </c>
      <c r="H231" s="583">
        <f>F231*G231</f>
        <v>4708269.2162906229</v>
      </c>
    </row>
    <row r="232" spans="1:9" s="565" customFormat="1" ht="15" customHeight="1">
      <c r="A232" s="655" t="s">
        <v>531</v>
      </c>
      <c r="B232" s="571" t="str">
        <f t="shared" si="26"/>
        <v>630-13</v>
      </c>
      <c r="C232" s="571"/>
      <c r="D232" s="619" t="str">
        <f>VLOOKUP(A232,[33]ÍNDICE!$C$6:$N$380,5,FALSE)</f>
        <v>CONCRETO SIMPLE RESISTENCIA 17 MPa - MEZCLA IN SITU</v>
      </c>
      <c r="E232" s="581" t="str">
        <f>VLOOKUP(A232,[33]ÍNDICE!$C$6:$N$380,2,FALSE)</f>
        <v>m3</v>
      </c>
      <c r="F232" s="586">
        <v>8</v>
      </c>
      <c r="G232" s="648">
        <f>VLOOKUP(A232,[33]ÍNDICE!$C$6:$N$380,12,FALSE)</f>
        <v>994779.33062365581</v>
      </c>
      <c r="H232" s="583">
        <f t="shared" si="27"/>
        <v>7958234.6449892465</v>
      </c>
    </row>
    <row r="233" spans="1:9" s="565" customFormat="1" ht="15" customHeight="1">
      <c r="A233" s="655" t="s">
        <v>532</v>
      </c>
      <c r="B233" s="571" t="str">
        <f t="shared" si="26"/>
        <v>630-13</v>
      </c>
      <c r="C233" s="571"/>
      <c r="D233" s="619" t="str">
        <f>VLOOKUP(A233,[33]ÍNDICE!$C$6:$N$380,5,FALSE)</f>
        <v>CONCRETO CICLÓPEO RESISTENCIA 14MPa (G)</v>
      </c>
      <c r="E233" s="581" t="str">
        <f>VLOOKUP(A233,[33]ÍNDICE!$C$6:$N$380,2,FALSE)</f>
        <v>m3</v>
      </c>
      <c r="F233" s="598">
        <v>6</v>
      </c>
      <c r="G233" s="648">
        <f>VLOOKUP(A233,[33]ÍNDICE!$C$6:$N$380,12,FALSE)</f>
        <v>680494.66759275761</v>
      </c>
      <c r="H233" s="583">
        <f t="shared" si="27"/>
        <v>4082968.0055565457</v>
      </c>
    </row>
    <row r="234" spans="1:9" s="565" customFormat="1" ht="15" customHeight="1">
      <c r="A234" s="655" t="s">
        <v>541</v>
      </c>
      <c r="B234" s="571" t="str">
        <f t="shared" si="26"/>
        <v>640-13</v>
      </c>
      <c r="C234" s="571"/>
      <c r="D234" s="619" t="str">
        <f>VLOOKUP(A234,[33]ÍNDICE!$C$6:$N$380,5,FALSE)</f>
        <v>ACERO DE REFUERZO Fy 4200 MPa</v>
      </c>
      <c r="E234" s="581" t="str">
        <f>VLOOKUP(A234,[33]ÍNDICE!$C$6:$N$380,2,FALSE)</f>
        <v>kg</v>
      </c>
      <c r="F234" s="585">
        <f>F232*105</f>
        <v>840</v>
      </c>
      <c r="G234" s="648">
        <f>VLOOKUP(A234,[33]ÍNDICE!$C$6:$N$380,12,FALSE)</f>
        <v>7547.7371417119648</v>
      </c>
      <c r="H234" s="583">
        <f t="shared" si="27"/>
        <v>6340099.1990380501</v>
      </c>
    </row>
    <row r="235" spans="1:9" s="565" customFormat="1" ht="26.1" customHeight="1">
      <c r="A235" s="655" t="s">
        <v>545</v>
      </c>
      <c r="B235" s="571" t="str">
        <f>MID(A235,1,3)&amp;"-"&amp;13</f>
        <v>671-13</v>
      </c>
      <c r="C235" s="571"/>
      <c r="D235" s="619" t="str">
        <f>VLOOKUP(A235,[33]ÍNDICE!$C$6:$N$380,5,FALSE)</f>
        <v>CUNETA DE CONCRETO VACIADA IN SITU; INCLUYE LA CONFORMACIÓN DE LA SUPERFICIE DE APOYO</v>
      </c>
      <c r="E235" s="581" t="str">
        <f>VLOOKUP(A235,[33]ÍNDICE!$C$6:$N$380,2,FALSE)</f>
        <v>m3</v>
      </c>
      <c r="F235" s="586">
        <v>3</v>
      </c>
      <c r="G235" s="648">
        <f>VLOOKUP(A235,[33]ÍNDICE!$C$6:$N$380,12,FALSE)</f>
        <v>1106254.0341245155</v>
      </c>
      <c r="H235" s="583">
        <f>F235*G235</f>
        <v>3318762.1023735465</v>
      </c>
    </row>
    <row r="236" spans="1:9" s="565" customFormat="1" ht="15" customHeight="1">
      <c r="A236" s="655" t="s">
        <v>534</v>
      </c>
      <c r="B236" s="571" t="str">
        <f>MID(A236,1,3)&amp;"-"&amp;13</f>
        <v>673-13</v>
      </c>
      <c r="C236" s="609"/>
      <c r="D236" s="619" t="str">
        <f>VLOOKUP(A236,[33]ÍNDICE!$C$6:$N$380,5,FALSE)</f>
        <v xml:space="preserve">GEOTEXTIL TIPO TEJIDO CON RESISTENCIA A LA TENSIÓN GRAB MÍNIMA DE 1400 N </v>
      </c>
      <c r="E236" s="581" t="str">
        <f>VLOOKUP(A236,[33]ÍNDICE!$C$6:$N$380,2,FALSE)</f>
        <v>m2</v>
      </c>
      <c r="F236" s="612">
        <f>(8+2)*4</f>
        <v>40</v>
      </c>
      <c r="G236" s="648">
        <f>VLOOKUP(A236,[33]ÍNDICE!$C$6:$N$380,12,FALSE)</f>
        <v>12861.24633460756</v>
      </c>
      <c r="H236" s="611">
        <f>F236*G236</f>
        <v>514449.85338430241</v>
      </c>
    </row>
    <row r="237" spans="1:9" s="565" customFormat="1" ht="26.1" customHeight="1" thickBot="1">
      <c r="A237" s="655" t="s">
        <v>535</v>
      </c>
      <c r="B237" s="571" t="str">
        <f t="shared" si="26"/>
        <v>681-13</v>
      </c>
      <c r="C237" s="571"/>
      <c r="D237" s="619" t="str">
        <f>VLOOKUP(A237,[33]ÍNDICE!$C$6:$N$380,5,FALSE)</f>
        <v>GAVIONES DE MALLA DE ALAMBRE DE ACERO ENTRELAZADO CLASE 1; RECUBRIMIENTO DE ZINC (GALVANIZADO)</v>
      </c>
      <c r="E237" s="581" t="str">
        <f>VLOOKUP(A237,[33]ÍNDICE!$C$6:$N$380,2,FALSE)</f>
        <v>m3</v>
      </c>
      <c r="F237" s="603">
        <f>8*3*(2/3)*3</f>
        <v>48</v>
      </c>
      <c r="G237" s="648">
        <f>VLOOKUP(A237,[33]ÍNDICE!$C$6:$N$380,12,FALSE)</f>
        <v>601666.19528525032</v>
      </c>
      <c r="H237" s="583">
        <f t="shared" si="27"/>
        <v>28879977.373692013</v>
      </c>
    </row>
    <row r="238" spans="1:9" s="565" customFormat="1" ht="15" customHeight="1" thickTop="1">
      <c r="A238" s="574"/>
      <c r="B238" s="574"/>
      <c r="C238" s="574"/>
      <c r="D238" s="575"/>
      <c r="E238" s="589"/>
      <c r="G238" s="576" t="s">
        <v>524</v>
      </c>
      <c r="H238" s="1507">
        <f>SUM(H229:H237)</f>
        <v>59715319.403993696</v>
      </c>
    </row>
    <row r="239" spans="1:9" s="565" customFormat="1" ht="15" customHeight="1">
      <c r="A239" s="577"/>
      <c r="B239" s="577"/>
      <c r="C239" s="577"/>
      <c r="D239" s="578"/>
      <c r="E239" s="562"/>
      <c r="G239" s="579" t="s">
        <v>525</v>
      </c>
      <c r="H239" s="1508">
        <f>SUM(H238:H238)*0.05*0.19/1.3</f>
        <v>436381.18025995395</v>
      </c>
    </row>
    <row r="240" spans="1:9" s="565" customFormat="1" ht="15" customHeight="1" thickBot="1">
      <c r="A240" s="561"/>
      <c r="B240" s="560"/>
      <c r="C240" s="560"/>
      <c r="D240" s="561"/>
      <c r="E240" s="562"/>
      <c r="G240" s="579" t="s">
        <v>526</v>
      </c>
      <c r="H240" s="1509">
        <f>+ROUND(H238+H239,0)</f>
        <v>60151701</v>
      </c>
    </row>
    <row r="241" spans="1:8" s="565" customFormat="1" ht="15" customHeight="1" thickTop="1">
      <c r="A241" s="561"/>
      <c r="B241" s="560"/>
      <c r="C241" s="560"/>
      <c r="D241" s="561"/>
      <c r="E241" s="562"/>
      <c r="G241" s="579"/>
      <c r="H241" s="1510"/>
    </row>
    <row r="242" spans="1:8" s="565" customFormat="1" ht="13.5" thickBot="1">
      <c r="A242" s="566"/>
      <c r="B242" s="567"/>
      <c r="C242" s="566" t="s">
        <v>563</v>
      </c>
      <c r="D242" s="566"/>
      <c r="E242" s="567"/>
      <c r="F242" s="566"/>
      <c r="G242" s="616"/>
      <c r="H242" s="569"/>
    </row>
    <row r="243" spans="1:8" s="565" customFormat="1" ht="15" customHeight="1" thickTop="1">
      <c r="A243" s="655" t="s">
        <v>528</v>
      </c>
      <c r="B243" s="571" t="str">
        <f t="shared" ref="B243:B249" si="28">MID(A243,1,3)&amp;"-"&amp;13</f>
        <v>600-13</v>
      </c>
      <c r="C243" s="572"/>
      <c r="D243" s="619" t="str">
        <f>VLOOKUP(A243,[33]ÍNDICE!$C$6:$N$380,5,FALSE)</f>
        <v>EXCAVACIONES VARIAS SIN CLASIFICAR</v>
      </c>
      <c r="E243" s="581" t="str">
        <f>VLOOKUP(A243,[33]ÍNDICE!$C$6:$N$380,2,FALSE)</f>
        <v>m3</v>
      </c>
      <c r="F243" s="592">
        <v>8</v>
      </c>
      <c r="G243" s="648">
        <f>VLOOKUP(A243,[33]ÍNDICE!$C$6:$N$380,12,FALSE)</f>
        <v>58828.261120639472</v>
      </c>
      <c r="H243" s="573">
        <f t="shared" ref="H243:H249" si="29">F243*G243</f>
        <v>470626.08896511578</v>
      </c>
    </row>
    <row r="244" spans="1:8" s="565" customFormat="1" ht="15" customHeight="1">
      <c r="A244" s="655" t="s">
        <v>530</v>
      </c>
      <c r="B244" s="571" t="str">
        <f t="shared" si="28"/>
        <v>610-13</v>
      </c>
      <c r="C244" s="571"/>
      <c r="D244" s="619" t="str">
        <f>VLOOKUP(A244,[33]ÍNDICE!$C$6:$N$380,5,FALSE)</f>
        <v>RELLENO PARA ESTRUCTURAS CON SUELO (analizado sin preparación de la superficie base del relleno)</v>
      </c>
      <c r="E244" s="581" t="str">
        <f>VLOOKUP(A244,[33]ÍNDICE!$C$6:$N$380,2,FALSE)</f>
        <v>m3</v>
      </c>
      <c r="F244" s="585">
        <v>13</v>
      </c>
      <c r="G244" s="648">
        <f>VLOOKUP(A244,[33]ÍNDICE!$C$6:$N$380,12,FALSE)</f>
        <v>162354.11090657322</v>
      </c>
      <c r="H244" s="573">
        <f t="shared" si="29"/>
        <v>2110603.441785452</v>
      </c>
    </row>
    <row r="245" spans="1:8" s="565" customFormat="1" ht="15" customHeight="1">
      <c r="A245" s="655" t="s">
        <v>537</v>
      </c>
      <c r="B245" s="571" t="str">
        <f t="shared" si="28"/>
        <v>630-13</v>
      </c>
      <c r="C245" s="571"/>
      <c r="D245" s="619" t="str">
        <f>VLOOKUP(A245,[33]ÍNDICE!$C$6:$N$380,5,FALSE)</f>
        <v>CONCRETO REFORZADO RESISTENCIA 21MPa (D) - MEZCLA IN SITU</v>
      </c>
      <c r="E245" s="581" t="str">
        <f>VLOOKUP(A245,[33]ÍNDICE!$C$6:$N$380,2,FALSE)</f>
        <v>m3</v>
      </c>
      <c r="F245" s="586">
        <v>9</v>
      </c>
      <c r="G245" s="648">
        <f>VLOOKUP(A245,[33]ÍNDICE!$C$6:$N$380,12,FALSE)</f>
        <v>1243512.4574943627</v>
      </c>
      <c r="H245" s="573">
        <f t="shared" si="29"/>
        <v>11191612.117449265</v>
      </c>
    </row>
    <row r="246" spans="1:8" s="565" customFormat="1" ht="15" customHeight="1">
      <c r="A246" s="655" t="s">
        <v>539</v>
      </c>
      <c r="B246" s="571" t="str">
        <f t="shared" si="28"/>
        <v>630-13</v>
      </c>
      <c r="C246" s="571"/>
      <c r="D246" s="619" t="str">
        <f>VLOOKUP(A246,[33]ÍNDICE!$C$6:$N$380,5,FALSE)</f>
        <v>CONCRETO LIVIANO RESISTENCIA 14MPa (F) - MEZCLA IN SITU</v>
      </c>
      <c r="E246" s="581" t="str">
        <f>VLOOKUP(A246,[33]ÍNDICE!$C$6:$N$380,2,FALSE)</f>
        <v>m3</v>
      </c>
      <c r="F246" s="586">
        <v>2</v>
      </c>
      <c r="G246" s="648">
        <f>VLOOKUP(A246,[33]ÍNDICE!$C$6:$N$380,12,FALSE)</f>
        <v>894326.16342625197</v>
      </c>
      <c r="H246" s="573">
        <f t="shared" si="29"/>
        <v>1788652.3268525039</v>
      </c>
    </row>
    <row r="247" spans="1:8" s="565" customFormat="1" ht="15" customHeight="1">
      <c r="A247" s="655" t="s">
        <v>541</v>
      </c>
      <c r="B247" s="571" t="str">
        <f t="shared" si="28"/>
        <v>640-13</v>
      </c>
      <c r="C247" s="571"/>
      <c r="D247" s="619" t="str">
        <f>VLOOKUP(A247,[33]ÍNDICE!$C$6:$N$380,5,FALSE)</f>
        <v>ACERO DE REFUERZO Fy 4200 MPa</v>
      </c>
      <c r="E247" s="581" t="str">
        <f>VLOOKUP(A247,[33]ÍNDICE!$C$6:$N$380,2,FALSE)</f>
        <v>kg</v>
      </c>
      <c r="F247" s="598">
        <v>238</v>
      </c>
      <c r="G247" s="648">
        <f>VLOOKUP(A247,[33]ÍNDICE!$C$6:$N$380,12,FALSE)</f>
        <v>7547.7371417119648</v>
      </c>
      <c r="H247" s="573">
        <f t="shared" si="29"/>
        <v>1796361.4397274477</v>
      </c>
    </row>
    <row r="248" spans="1:8" s="565" customFormat="1" ht="15" customHeight="1">
      <c r="A248" s="655" t="s">
        <v>534</v>
      </c>
      <c r="B248" s="571" t="str">
        <f t="shared" si="28"/>
        <v>673-13</v>
      </c>
      <c r="C248" s="571"/>
      <c r="D248" s="619" t="str">
        <f>VLOOKUP(A248,[33]ÍNDICE!$C$6:$N$380,5,FALSE)</f>
        <v xml:space="preserve">GEOTEXTIL TIPO TEJIDO CON RESISTENCIA A LA TENSIÓN GRAB MÍNIMA DE 1400 N </v>
      </c>
      <c r="E248" s="581" t="str">
        <f>VLOOKUP(A248,[33]ÍNDICE!$C$6:$N$380,2,FALSE)</f>
        <v>m2</v>
      </c>
      <c r="F248" s="585">
        <v>8</v>
      </c>
      <c r="G248" s="648">
        <f>VLOOKUP(A248,[33]ÍNDICE!$C$6:$N$380,12,FALSE)</f>
        <v>12861.24633460756</v>
      </c>
      <c r="H248" s="573">
        <f t="shared" si="29"/>
        <v>102889.97067686048</v>
      </c>
    </row>
    <row r="249" spans="1:8" s="565" customFormat="1" ht="26.1" customHeight="1" thickBot="1">
      <c r="A249" s="655" t="s">
        <v>542</v>
      </c>
      <c r="B249" s="571" t="str">
        <f t="shared" si="28"/>
        <v>681-13</v>
      </c>
      <c r="C249" s="571"/>
      <c r="D249" s="619" t="str">
        <f>VLOOKUP(A249,[33]ÍNDICE!$C$6:$N$380,5,FALSE)</f>
        <v>GAVIONES DE MALLA DE ALAMBRE DE ACERO ENTRELAZADO  CLASE 3; RECUBRIMIENTO DE ZINC (GALVANIZADO) Y PVC</v>
      </c>
      <c r="E249" s="581" t="str">
        <f>VLOOKUP(A249,[33]ÍNDICE!$C$6:$N$380,2,FALSE)</f>
        <v>m3</v>
      </c>
      <c r="F249" s="593">
        <v>12</v>
      </c>
      <c r="G249" s="648">
        <f>VLOOKUP(A249,[33]ÍNDICE!$C$6:$N$380,12,FALSE)</f>
        <v>575872.24869869393</v>
      </c>
      <c r="H249" s="573">
        <f t="shared" si="29"/>
        <v>6910466.9843843272</v>
      </c>
    </row>
    <row r="250" spans="1:8" s="565" customFormat="1" ht="15" customHeight="1" thickTop="1">
      <c r="A250" s="574"/>
      <c r="B250" s="574"/>
      <c r="C250" s="574"/>
      <c r="D250" s="575"/>
      <c r="E250" s="589"/>
      <c r="G250" s="576" t="s">
        <v>524</v>
      </c>
      <c r="H250" s="1507">
        <f>SUM(H243:H249)</f>
        <v>24371212.369840972</v>
      </c>
    </row>
    <row r="251" spans="1:8" s="565" customFormat="1" ht="15" customHeight="1">
      <c r="A251" s="577"/>
      <c r="B251" s="577"/>
      <c r="C251" s="577"/>
      <c r="D251" s="578"/>
      <c r="E251" s="562"/>
      <c r="G251" s="579" t="s">
        <v>525</v>
      </c>
      <c r="H251" s="1508">
        <f>ROUND((+H250*0.05*0.19)/(1+0.3),0)</f>
        <v>178097</v>
      </c>
    </row>
    <row r="252" spans="1:8" s="565" customFormat="1" ht="15" customHeight="1" thickBot="1">
      <c r="A252" s="561"/>
      <c r="B252" s="560"/>
      <c r="C252" s="560"/>
      <c r="D252" s="561"/>
      <c r="E252" s="562"/>
      <c r="G252" s="579" t="s">
        <v>526</v>
      </c>
      <c r="H252" s="1509">
        <f>+ROUND(H250+H251,0)</f>
        <v>24549309</v>
      </c>
    </row>
    <row r="253" spans="1:8" s="565" customFormat="1" ht="15" customHeight="1" thickTop="1">
      <c r="A253" s="561"/>
      <c r="B253" s="560"/>
      <c r="C253" s="560"/>
      <c r="D253" s="561"/>
      <c r="E253" s="562"/>
      <c r="G253" s="579"/>
      <c r="H253" s="1510"/>
    </row>
    <row r="254" spans="1:8" s="565" customFormat="1" ht="13.5" thickBot="1">
      <c r="A254" s="566"/>
      <c r="B254" s="567"/>
      <c r="C254" s="566" t="s">
        <v>564</v>
      </c>
      <c r="D254" s="566"/>
      <c r="E254" s="567"/>
      <c r="F254" s="566"/>
      <c r="G254" s="616"/>
      <c r="H254" s="569"/>
    </row>
    <row r="255" spans="1:8" s="565" customFormat="1" ht="15" customHeight="1" thickTop="1">
      <c r="A255" s="655" t="s">
        <v>528</v>
      </c>
      <c r="B255" s="571" t="str">
        <f>MID(A255,1,3)&amp;"-"&amp;13</f>
        <v>600-13</v>
      </c>
      <c r="C255" s="572"/>
      <c r="D255" s="619" t="str">
        <f>VLOOKUP(A255,[33]ÍNDICE!$C$6:$N$380,5,FALSE)</f>
        <v>EXCAVACIONES VARIAS SIN CLASIFICAR</v>
      </c>
      <c r="E255" s="581" t="str">
        <f>VLOOKUP(A255,[33]ÍNDICE!$C$6:$N$380,2,FALSE)</f>
        <v>m3</v>
      </c>
      <c r="F255" s="592">
        <v>7</v>
      </c>
      <c r="G255" s="648">
        <f>VLOOKUP(A255,[33]ÍNDICE!$C$6:$N$380,12,FALSE)</f>
        <v>58828.261120639472</v>
      </c>
      <c r="H255" s="573">
        <f>F255*G255</f>
        <v>411797.82784447633</v>
      </c>
    </row>
    <row r="256" spans="1:8" s="565" customFormat="1" ht="15" customHeight="1">
      <c r="A256" s="655" t="s">
        <v>530</v>
      </c>
      <c r="B256" s="571" t="str">
        <f>MID(A256,1,3)&amp;"-"&amp;13</f>
        <v>610-13</v>
      </c>
      <c r="C256" s="571"/>
      <c r="D256" s="619" t="str">
        <f>VLOOKUP(A256,[33]ÍNDICE!$C$6:$N$380,5,FALSE)</f>
        <v>RELLENO PARA ESTRUCTURAS CON SUELO (analizado sin preparación de la superficie base del relleno)</v>
      </c>
      <c r="E256" s="581" t="str">
        <f>VLOOKUP(A256,[33]ÍNDICE!$C$6:$N$380,2,FALSE)</f>
        <v>m3</v>
      </c>
      <c r="F256" s="584">
        <v>23</v>
      </c>
      <c r="G256" s="648">
        <f>VLOOKUP(A256,[33]ÍNDICE!$C$6:$N$380,12,FALSE)</f>
        <v>162354.11090657322</v>
      </c>
      <c r="H256" s="573">
        <f>F256*G256</f>
        <v>3734144.5508511839</v>
      </c>
    </row>
    <row r="257" spans="1:8" s="565" customFormat="1" ht="15" customHeight="1">
      <c r="A257" s="655" t="s">
        <v>537</v>
      </c>
      <c r="B257" s="571" t="str">
        <f>MID(A257,1,3)&amp;"-"&amp;13</f>
        <v>630-13</v>
      </c>
      <c r="C257" s="571"/>
      <c r="D257" s="619" t="str">
        <f>VLOOKUP(A257,[33]ÍNDICE!$C$6:$N$380,5,FALSE)</f>
        <v>CONCRETO REFORZADO RESISTENCIA 21MPa (D) - MEZCLA IN SITU</v>
      </c>
      <c r="E257" s="581" t="str">
        <f>VLOOKUP(A257,[33]ÍNDICE!$C$6:$N$380,2,FALSE)</f>
        <v>m3</v>
      </c>
      <c r="F257" s="586">
        <v>15</v>
      </c>
      <c r="G257" s="648">
        <f>VLOOKUP(A257,[33]ÍNDICE!$C$6:$N$380,12,FALSE)</f>
        <v>1243512.4574943627</v>
      </c>
      <c r="H257" s="573">
        <f>F257*G257</f>
        <v>18652686.86241544</v>
      </c>
    </row>
    <row r="258" spans="1:8" s="565" customFormat="1" ht="15" customHeight="1">
      <c r="A258" s="655" t="s">
        <v>531</v>
      </c>
      <c r="B258" s="571" t="str">
        <f>MID(A258,1,3)&amp;"-"&amp;13</f>
        <v>630-13</v>
      </c>
      <c r="C258" s="571"/>
      <c r="D258" s="619" t="str">
        <f>VLOOKUP(A258,[33]ÍNDICE!$C$6:$N$380,5,FALSE)</f>
        <v>CONCRETO SIMPLE RESISTENCIA 17 MPa - MEZCLA IN SITU</v>
      </c>
      <c r="E258" s="581" t="str">
        <f>VLOOKUP(A258,[33]ÍNDICE!$C$6:$N$380,2,FALSE)</f>
        <v>m3</v>
      </c>
      <c r="F258" s="598">
        <v>1</v>
      </c>
      <c r="G258" s="648">
        <f>VLOOKUP(A258,[33]ÍNDICE!$C$6:$N$380,12,FALSE)</f>
        <v>994779.33062365581</v>
      </c>
      <c r="H258" s="573">
        <f>F258*G258</f>
        <v>994779.33062365581</v>
      </c>
    </row>
    <row r="259" spans="1:8" s="565" customFormat="1" ht="15" customHeight="1" thickBot="1">
      <c r="A259" s="655" t="s">
        <v>541</v>
      </c>
      <c r="B259" s="571" t="str">
        <f>MID(A259,1,3)&amp;"-"&amp;13</f>
        <v>640-13</v>
      </c>
      <c r="C259" s="571"/>
      <c r="D259" s="619" t="str">
        <f>VLOOKUP(A259,[33]ÍNDICE!$C$6:$N$380,5,FALSE)</f>
        <v>ACERO DE REFUERZO Fy 4200 MPa</v>
      </c>
      <c r="E259" s="581" t="str">
        <f>VLOOKUP(A259,[33]ÍNDICE!$C$6:$N$380,2,FALSE)</f>
        <v>kg</v>
      </c>
      <c r="F259" s="585">
        <v>5796</v>
      </c>
      <c r="G259" s="648">
        <f>VLOOKUP(A259,[33]ÍNDICE!$C$6:$N$380,12,FALSE)</f>
        <v>7547.7371417119648</v>
      </c>
      <c r="H259" s="573">
        <f>F259*G259</f>
        <v>43746684.47336255</v>
      </c>
    </row>
    <row r="260" spans="1:8" s="565" customFormat="1" ht="15" customHeight="1" thickTop="1">
      <c r="A260" s="574"/>
      <c r="B260" s="574"/>
      <c r="C260" s="574"/>
      <c r="D260" s="575"/>
      <c r="E260" s="589"/>
      <c r="F260" s="590"/>
      <c r="G260" s="576" t="s">
        <v>524</v>
      </c>
      <c r="H260" s="1507">
        <f>SUM(H255:H259)</f>
        <v>67540093.045097306</v>
      </c>
    </row>
    <row r="261" spans="1:8" s="565" customFormat="1" ht="15" customHeight="1">
      <c r="A261" s="577"/>
      <c r="B261" s="577"/>
      <c r="C261" s="577"/>
      <c r="D261" s="578"/>
      <c r="E261" s="562"/>
      <c r="F261" s="580"/>
      <c r="G261" s="579" t="s">
        <v>525</v>
      </c>
      <c r="H261" s="1508">
        <f>ROUND((+H260*0.05*0.19)/(1+0.3),0)</f>
        <v>493562</v>
      </c>
    </row>
    <row r="262" spans="1:8" s="565" customFormat="1" ht="15" customHeight="1" thickBot="1">
      <c r="A262" s="561"/>
      <c r="B262" s="560"/>
      <c r="C262" s="560"/>
      <c r="D262" s="561"/>
      <c r="E262" s="562"/>
      <c r="F262" s="580"/>
      <c r="G262" s="580" t="s">
        <v>526</v>
      </c>
      <c r="H262" s="1509">
        <f>+ROUND(H260+H261,0)</f>
        <v>68033655</v>
      </c>
    </row>
    <row r="263" spans="1:8" s="565" customFormat="1" ht="15" customHeight="1" thickTop="1">
      <c r="A263" s="561"/>
      <c r="B263" s="560"/>
      <c r="C263" s="560"/>
      <c r="D263" s="561"/>
      <c r="E263" s="562"/>
      <c r="F263" s="563"/>
      <c r="G263" s="617"/>
      <c r="H263" s="1506"/>
    </row>
    <row r="264" spans="1:8" s="565" customFormat="1" ht="13.5" thickBot="1">
      <c r="A264" s="566"/>
      <c r="B264" s="567"/>
      <c r="C264" s="566" t="s">
        <v>565</v>
      </c>
      <c r="D264" s="566"/>
      <c r="E264" s="567"/>
      <c r="F264" s="566"/>
      <c r="G264" s="616"/>
      <c r="H264" s="569"/>
    </row>
    <row r="265" spans="1:8" s="565" customFormat="1" ht="15" customHeight="1" thickTop="1">
      <c r="A265" s="655" t="s">
        <v>528</v>
      </c>
      <c r="B265" s="571" t="str">
        <f>MID(A265,1,3)&amp;"-"&amp;13</f>
        <v>600-13</v>
      </c>
      <c r="C265" s="595"/>
      <c r="D265" s="619" t="str">
        <f>VLOOKUP(A265,[33]ÍNDICE!$C$6:$N$380,5,FALSE)</f>
        <v>EXCAVACIONES VARIAS SIN CLASIFICAR</v>
      </c>
      <c r="E265" s="581" t="str">
        <f>VLOOKUP(A265,[33]ÍNDICE!$C$6:$N$380,2,FALSE)</f>
        <v>m3</v>
      </c>
      <c r="F265" s="596">
        <f>20*2*1.5</f>
        <v>60</v>
      </c>
      <c r="G265" s="648">
        <f>VLOOKUP(A265,[33]ÍNDICE!$C$6:$N$380,12,FALSE)</f>
        <v>58828.261120639472</v>
      </c>
      <c r="H265" s="597">
        <f>F265*G265</f>
        <v>3529695.6672383682</v>
      </c>
    </row>
    <row r="266" spans="1:8" s="565" customFormat="1" ht="15" customHeight="1">
      <c r="A266" s="655" t="s">
        <v>529</v>
      </c>
      <c r="B266" s="571" t="str">
        <f>MID(A266,1,3)&amp;"-"&amp;13</f>
        <v>600-13</v>
      </c>
      <c r="C266" s="571"/>
      <c r="D266" s="619" t="str">
        <f>VLOOKUP(A266,[33]ÍNDICE!$C$6:$N$380,5,FALSE)</f>
        <v>EXCAVACIONES VARIAS EN MATERIAL COMÚN BAJO AGUA</v>
      </c>
      <c r="E266" s="581" t="str">
        <f>VLOOKUP(A266,[33]ÍNDICE!$C$6:$N$380,2,FALSE)</f>
        <v>m3</v>
      </c>
      <c r="F266" s="586">
        <f>F265*0.8</f>
        <v>48</v>
      </c>
      <c r="G266" s="648">
        <f>VLOOKUP(A266,[33]ÍNDICE!$C$6:$N$380,12,FALSE)</f>
        <v>59036.507942085271</v>
      </c>
      <c r="H266" s="583">
        <f>F266*G266</f>
        <v>2833752.381220093</v>
      </c>
    </row>
    <row r="267" spans="1:8" s="565" customFormat="1" ht="29.25" customHeight="1" thickBot="1">
      <c r="A267" s="655" t="s">
        <v>537</v>
      </c>
      <c r="B267" s="571" t="str">
        <f>MID(A267,1,3)&amp;"-"&amp;13</f>
        <v>630-13</v>
      </c>
      <c r="C267" s="571"/>
      <c r="D267" s="619" t="str">
        <f>VLOOKUP(A267,[33]ÍNDICE!$C$6:$N$380,5,FALSE)</f>
        <v>CONCRETO REFORZADO RESISTENCIA 21MPa (D) - MEZCLA IN SITU</v>
      </c>
      <c r="E267" s="581" t="str">
        <f>VLOOKUP(A267,[33]ÍNDICE!$C$6:$N$380,2,FALSE)</f>
        <v>m3</v>
      </c>
      <c r="F267" s="618">
        <f>20*5</f>
        <v>100</v>
      </c>
      <c r="G267" s="648">
        <f>VLOOKUP(A267,[33]ÍNDICE!$C$6:$N$380,12,FALSE)</f>
        <v>1243512.4574943627</v>
      </c>
      <c r="H267" s="583">
        <f>F267*G267</f>
        <v>124351245.74943627</v>
      </c>
    </row>
    <row r="268" spans="1:8" s="565" customFormat="1" ht="15" customHeight="1" thickTop="1">
      <c r="A268" s="574"/>
      <c r="B268" s="574"/>
      <c r="C268" s="574"/>
      <c r="D268" s="575"/>
      <c r="E268" s="589"/>
      <c r="F268" s="590"/>
      <c r="G268" s="576" t="s">
        <v>524</v>
      </c>
      <c r="H268" s="1507">
        <f>SUM(H265:H267)</f>
        <v>130714693.79789473</v>
      </c>
    </row>
    <row r="269" spans="1:8" s="565" customFormat="1" ht="15" customHeight="1">
      <c r="A269" s="577"/>
      <c r="B269" s="577"/>
      <c r="C269" s="577"/>
      <c r="D269" s="578"/>
      <c r="E269" s="562"/>
      <c r="F269" s="580"/>
      <c r="G269" s="579" t="s">
        <v>525</v>
      </c>
      <c r="H269" s="1508">
        <f>SUM(H268:H268)*0.05*0.19/1.3</f>
        <v>955222.76236923062</v>
      </c>
    </row>
    <row r="270" spans="1:8" s="565" customFormat="1" ht="15" customHeight="1" thickBot="1">
      <c r="A270" s="561"/>
      <c r="B270" s="560"/>
      <c r="C270" s="560"/>
      <c r="D270" s="561"/>
      <c r="E270" s="562"/>
      <c r="F270" s="580"/>
      <c r="G270" s="579" t="s">
        <v>526</v>
      </c>
      <c r="H270" s="1509">
        <f>+ROUND(H268+H269,0)</f>
        <v>131669917</v>
      </c>
    </row>
    <row r="271" spans="1:8" s="565" customFormat="1" ht="15" customHeight="1" thickTop="1">
      <c r="A271" s="561"/>
      <c r="B271" s="560"/>
      <c r="C271" s="560"/>
      <c r="D271" s="561"/>
      <c r="E271" s="562"/>
      <c r="F271" s="580"/>
      <c r="G271" s="579"/>
      <c r="H271" s="1510"/>
    </row>
    <row r="272" spans="1:8" s="565" customFormat="1" ht="13.5" thickBot="1">
      <c r="A272" s="566"/>
      <c r="B272" s="567"/>
      <c r="C272" s="566" t="s">
        <v>566</v>
      </c>
      <c r="D272" s="566"/>
      <c r="E272" s="567"/>
      <c r="F272" s="566"/>
      <c r="G272" s="616"/>
      <c r="H272" s="569"/>
    </row>
    <row r="273" spans="1:9" s="565" customFormat="1" ht="15" customHeight="1" thickTop="1" thickBot="1">
      <c r="A273" s="655" t="s">
        <v>528</v>
      </c>
      <c r="B273" s="571" t="str">
        <f>MID(A273,1,3)&amp;"-"&amp;13</f>
        <v>600-13</v>
      </c>
      <c r="C273" s="595"/>
      <c r="D273" s="619" t="str">
        <f>VLOOKUP(A273,[33]ÍNDICE!$C$6:$N$380,5,FALSE)</f>
        <v>EXCAVACIONES VARIAS SIN CLASIFICAR</v>
      </c>
      <c r="E273" s="581" t="str">
        <f>VLOOKUP(A273,[33]ÍNDICE!$C$6:$N$380,2,FALSE)</f>
        <v>m3</v>
      </c>
      <c r="F273" s="596">
        <v>36</v>
      </c>
      <c r="G273" s="648">
        <f>VLOOKUP(A273,[33]ÍNDICE!$C$6:$N$380,12,FALSE)</f>
        <v>58828.261120639472</v>
      </c>
      <c r="H273" s="597">
        <f>F273*G273</f>
        <v>2117817.4003430209</v>
      </c>
    </row>
    <row r="274" spans="1:9" s="565" customFormat="1" ht="15" customHeight="1" thickTop="1" thickBot="1">
      <c r="A274" s="655" t="s">
        <v>530</v>
      </c>
      <c r="B274" s="571" t="str">
        <f>MID(A274,1,3)&amp;"-"&amp;13</f>
        <v>610-13</v>
      </c>
      <c r="C274" s="609"/>
      <c r="D274" s="619" t="str">
        <f>VLOOKUP(A274,[33]ÍNDICE!$C$6:$N$380,5,FALSE)</f>
        <v>RELLENO PARA ESTRUCTURAS CON SUELO (analizado sin preparación de la superficie base del relleno)</v>
      </c>
      <c r="E274" s="581" t="str">
        <f>VLOOKUP(A274,[33]ÍNDICE!$C$6:$N$380,2,FALSE)</f>
        <v>m3</v>
      </c>
      <c r="F274" s="612">
        <v>29</v>
      </c>
      <c r="G274" s="648">
        <f>VLOOKUP(A274,[33]ÍNDICE!$C$6:$N$380,12,FALSE)</f>
        <v>162354.11090657322</v>
      </c>
      <c r="H274" s="597">
        <f>F274*G274</f>
        <v>4708269.2162906229</v>
      </c>
    </row>
    <row r="275" spans="1:9" s="565" customFormat="1" ht="15" customHeight="1" thickTop="1" thickBot="1">
      <c r="A275" s="655" t="s">
        <v>534</v>
      </c>
      <c r="B275" s="571" t="str">
        <f>MID(A275,1,3)&amp;"-"&amp;13</f>
        <v>673-13</v>
      </c>
      <c r="C275" s="571"/>
      <c r="D275" s="619" t="str">
        <f>VLOOKUP(A275,[33]ÍNDICE!$C$6:$N$380,5,FALSE)</f>
        <v xml:space="preserve">GEOTEXTIL TIPO TEJIDO CON RESISTENCIA A LA TENSIÓN GRAB MÍNIMA DE 1400 N </v>
      </c>
      <c r="E275" s="581" t="str">
        <f>VLOOKUP(A275,[33]ÍNDICE!$C$6:$N$380,2,FALSE)</f>
        <v>m2</v>
      </c>
      <c r="F275" s="586">
        <v>36</v>
      </c>
      <c r="G275" s="648">
        <f>VLOOKUP(A275,[33]ÍNDICE!$C$6:$N$380,12,FALSE)</f>
        <v>12861.24633460756</v>
      </c>
      <c r="H275" s="597">
        <f>F275*G275</f>
        <v>463004.86804587219</v>
      </c>
    </row>
    <row r="276" spans="1:9" s="565" customFormat="1" ht="15" customHeight="1" thickTop="1" thickBot="1">
      <c r="A276" s="655" t="s">
        <v>542</v>
      </c>
      <c r="B276" s="571" t="str">
        <f>MID(A276,1,3)&amp;"-"&amp;13</f>
        <v>681-13</v>
      </c>
      <c r="C276" s="571"/>
      <c r="D276" s="619" t="str">
        <f>VLOOKUP(A276,[33]ÍNDICE!$C$6:$N$380,5,FALSE)</f>
        <v>GAVIONES DE MALLA DE ALAMBRE DE ACERO ENTRELAZADO  CLASE 3; RECUBRIMIENTO DE ZINC (GALVANIZADO) Y PVC</v>
      </c>
      <c r="E276" s="581" t="str">
        <f>VLOOKUP(A276,[33]ÍNDICE!$C$6:$N$380,2,FALSE)</f>
        <v>m3</v>
      </c>
      <c r="F276" s="618">
        <v>36</v>
      </c>
      <c r="G276" s="648">
        <f>VLOOKUP(A276,[33]ÍNDICE!$C$6:$N$380,12,FALSE)</f>
        <v>575872.24869869393</v>
      </c>
      <c r="H276" s="597">
        <f>F276*G276</f>
        <v>20731400.953152981</v>
      </c>
    </row>
    <row r="277" spans="1:9" s="565" customFormat="1" ht="15" customHeight="1" thickTop="1">
      <c r="A277" s="574"/>
      <c r="B277" s="574"/>
      <c r="C277" s="574"/>
      <c r="D277" s="575"/>
      <c r="E277" s="589"/>
      <c r="F277" s="590"/>
      <c r="G277" s="576" t="s">
        <v>524</v>
      </c>
      <c r="H277" s="1507">
        <f>SUM(H273:H276)</f>
        <v>28020492.437832497</v>
      </c>
    </row>
    <row r="278" spans="1:9" s="565" customFormat="1" ht="15" customHeight="1">
      <c r="A278" s="577"/>
      <c r="B278" s="577"/>
      <c r="C278" s="577"/>
      <c r="D278" s="578"/>
      <c r="E278" s="562"/>
      <c r="F278" s="580"/>
      <c r="G278" s="579" t="s">
        <v>525</v>
      </c>
      <c r="H278" s="1508">
        <f>ROUND((+H277*0.05*0.19)/(1+0.3),0)</f>
        <v>204765</v>
      </c>
    </row>
    <row r="279" spans="1:9" s="565" customFormat="1" ht="15" customHeight="1" thickBot="1">
      <c r="A279" s="561"/>
      <c r="B279" s="560"/>
      <c r="C279" s="560"/>
      <c r="D279" s="561"/>
      <c r="E279" s="562"/>
      <c r="F279" s="580"/>
      <c r="G279" s="579" t="s">
        <v>526</v>
      </c>
      <c r="H279" s="1509">
        <f>+ROUND(H277+H278,0)</f>
        <v>28225257</v>
      </c>
    </row>
    <row r="280" spans="1:9" s="565" customFormat="1" ht="15" customHeight="1" thickTop="1">
      <c r="A280" s="561"/>
      <c r="B280" s="560"/>
      <c r="C280" s="560"/>
      <c r="D280" s="561"/>
      <c r="E280" s="562"/>
      <c r="F280" s="580"/>
      <c r="G280" s="579"/>
      <c r="H280" s="1510"/>
    </row>
    <row r="281" spans="1:9" s="565" customFormat="1" ht="12.75" customHeight="1" thickBot="1">
      <c r="A281" s="566"/>
      <c r="B281" s="567"/>
      <c r="C281" s="566" t="s">
        <v>567</v>
      </c>
      <c r="D281" s="566"/>
      <c r="E281" s="567"/>
      <c r="F281" s="566"/>
      <c r="G281" s="616"/>
      <c r="H281" s="569"/>
      <c r="I281" s="570"/>
    </row>
    <row r="282" spans="1:9" s="565" customFormat="1" ht="15" customHeight="1" thickTop="1">
      <c r="A282" s="1214" t="s">
        <v>549</v>
      </c>
      <c r="B282" s="572" t="str">
        <f>MID(A282,1,3)&amp;"-"&amp;13</f>
        <v>201-13</v>
      </c>
      <c r="C282" s="572"/>
      <c r="D282" s="619" t="str">
        <f>VLOOKUP(A282,[33]ÍNDICE!$C$6:$N$380,5,FALSE)</f>
        <v>DEMOLICIÓN DE ESTRUCTURAS</v>
      </c>
      <c r="E282" s="581" t="str">
        <f>VLOOKUP(A282,[33]ÍNDICE!$C$6:$N$380,2,FALSE)</f>
        <v>m3</v>
      </c>
      <c r="F282" s="592">
        <v>3</v>
      </c>
      <c r="G282" s="648">
        <f>VLOOKUP(A282,[33]ÍNDICE!$C$6:$N$380,12,FALSE)</f>
        <v>217760.49497573468</v>
      </c>
      <c r="H282" s="573">
        <f>F282*G282</f>
        <v>653281.48492720397</v>
      </c>
    </row>
    <row r="283" spans="1:9" s="565" customFormat="1" ht="15" customHeight="1">
      <c r="A283" s="655" t="s">
        <v>528</v>
      </c>
      <c r="B283" s="571" t="str">
        <f t="shared" ref="B283:B289" si="30">MID(A283,1,3)&amp;"-"&amp;13</f>
        <v>600-13</v>
      </c>
      <c r="C283" s="571"/>
      <c r="D283" s="619" t="str">
        <f>VLOOKUP(A283,[33]ÍNDICE!$C$6:$N$380,5,FALSE)</f>
        <v>EXCAVACIONES VARIAS SIN CLASIFICAR</v>
      </c>
      <c r="E283" s="581" t="str">
        <f>VLOOKUP(A283,[33]ÍNDICE!$C$6:$N$380,2,FALSE)</f>
        <v>m3</v>
      </c>
      <c r="F283" s="585">
        <v>20</v>
      </c>
      <c r="G283" s="648">
        <f>VLOOKUP(A283,[33]ÍNDICE!$C$6:$N$380,12,FALSE)</f>
        <v>58828.261120639472</v>
      </c>
      <c r="H283" s="583">
        <f t="shared" ref="H283:H289" si="31">F283*G283</f>
        <v>1176565.2224127895</v>
      </c>
    </row>
    <row r="284" spans="1:9" s="565" customFormat="1" ht="15" customHeight="1">
      <c r="A284" s="655" t="s">
        <v>530</v>
      </c>
      <c r="B284" s="571" t="str">
        <f>MID(A284,1,3)&amp;"-"&amp;13</f>
        <v>610-13</v>
      </c>
      <c r="C284" s="571"/>
      <c r="D284" s="619" t="str">
        <f>VLOOKUP(A284,[33]ÍNDICE!$C$6:$N$380,5,FALSE)</f>
        <v>RELLENO PARA ESTRUCTURAS CON SUELO (analizado sin preparación de la superficie base del relleno)</v>
      </c>
      <c r="E284" s="581" t="str">
        <f>VLOOKUP(A284,[33]ÍNDICE!$C$6:$N$380,2,FALSE)</f>
        <v>m3</v>
      </c>
      <c r="F284" s="586">
        <f>+F283*0.6</f>
        <v>12</v>
      </c>
      <c r="G284" s="648">
        <f>VLOOKUP(A284,[33]ÍNDICE!$C$6:$N$380,12,FALSE)</f>
        <v>162354.11090657322</v>
      </c>
      <c r="H284" s="583">
        <f>F284*G284</f>
        <v>1948249.3308788785</v>
      </c>
    </row>
    <row r="285" spans="1:9" s="565" customFormat="1" ht="15" customHeight="1">
      <c r="A285" s="655" t="s">
        <v>531</v>
      </c>
      <c r="B285" s="571" t="str">
        <f t="shared" si="30"/>
        <v>630-13</v>
      </c>
      <c r="C285" s="571"/>
      <c r="D285" s="619" t="str">
        <f>VLOOKUP(A285,[33]ÍNDICE!$C$6:$N$380,5,FALSE)</f>
        <v>CONCRETO SIMPLE RESISTENCIA 17 MPa - MEZCLA IN SITU</v>
      </c>
      <c r="E285" s="581" t="str">
        <f>VLOOKUP(A285,[33]ÍNDICE!$C$6:$N$380,2,FALSE)</f>
        <v>m3</v>
      </c>
      <c r="F285" s="586">
        <v>9</v>
      </c>
      <c r="G285" s="648">
        <f>VLOOKUP(A285,[33]ÍNDICE!$C$6:$N$380,12,FALSE)</f>
        <v>994779.33062365581</v>
      </c>
      <c r="H285" s="583">
        <f t="shared" si="31"/>
        <v>8953013.975612903</v>
      </c>
    </row>
    <row r="286" spans="1:9" s="565" customFormat="1" ht="15" customHeight="1">
      <c r="A286" s="655" t="s">
        <v>532</v>
      </c>
      <c r="B286" s="571" t="str">
        <f t="shared" si="30"/>
        <v>630-13</v>
      </c>
      <c r="C286" s="571"/>
      <c r="D286" s="619" t="str">
        <f>VLOOKUP(A286,[33]ÍNDICE!$C$6:$N$380,5,FALSE)</f>
        <v>CONCRETO CICLÓPEO RESISTENCIA 14MPa (G)</v>
      </c>
      <c r="E286" s="581" t="str">
        <f>VLOOKUP(A286,[33]ÍNDICE!$C$6:$N$380,2,FALSE)</f>
        <v>m3</v>
      </c>
      <c r="F286" s="598">
        <v>5</v>
      </c>
      <c r="G286" s="648">
        <f>VLOOKUP(A286,[33]ÍNDICE!$C$6:$N$380,12,FALSE)</f>
        <v>680494.66759275761</v>
      </c>
      <c r="H286" s="583">
        <f t="shared" si="31"/>
        <v>3402473.3379637878</v>
      </c>
    </row>
    <row r="287" spans="1:9" s="565" customFormat="1" ht="26.1" customHeight="1">
      <c r="A287" s="655" t="s">
        <v>545</v>
      </c>
      <c r="B287" s="571" t="str">
        <f>MID(A287,1,3)&amp;"-"&amp;13</f>
        <v>671-13</v>
      </c>
      <c r="C287" s="571"/>
      <c r="D287" s="619" t="str">
        <f>VLOOKUP(A287,[33]ÍNDICE!$C$6:$N$380,5,FALSE)</f>
        <v>CUNETA DE CONCRETO VACIADA IN SITU; INCLUYE LA CONFORMACIÓN DE LA SUPERFICIE DE APOYO</v>
      </c>
      <c r="E287" s="581" t="str">
        <f>VLOOKUP(A287,[33]ÍNDICE!$C$6:$N$380,2,FALSE)</f>
        <v>m3</v>
      </c>
      <c r="F287" s="586">
        <f>26*0.138</f>
        <v>3.5880000000000001</v>
      </c>
      <c r="G287" s="648">
        <f>VLOOKUP(A287,[33]ÍNDICE!$C$6:$N$380,12,FALSE)</f>
        <v>1106254.0341245155</v>
      </c>
      <c r="H287" s="583">
        <f>F287*G287</f>
        <v>3969239.4744387618</v>
      </c>
    </row>
    <row r="288" spans="1:9" s="565" customFormat="1" ht="15" customHeight="1">
      <c r="A288" s="1213" t="s">
        <v>534</v>
      </c>
      <c r="B288" s="609" t="str">
        <f>MID(A288,1,3)&amp;"-"&amp;13</f>
        <v>673-13</v>
      </c>
      <c r="C288" s="609"/>
      <c r="D288" s="619" t="str">
        <f>VLOOKUP(A288,[33]ÍNDICE!$C$6:$N$380,5,FALSE)</f>
        <v xml:space="preserve">GEOTEXTIL TIPO TEJIDO CON RESISTENCIA A LA TENSIÓN GRAB MÍNIMA DE 1400 N </v>
      </c>
      <c r="E288" s="581" t="str">
        <f>VLOOKUP(A288,[33]ÍNDICE!$C$6:$N$380,2,FALSE)</f>
        <v>m2</v>
      </c>
      <c r="F288" s="612">
        <f>(26+2)*6</f>
        <v>168</v>
      </c>
      <c r="G288" s="648">
        <f>VLOOKUP(A288,[33]ÍNDICE!$C$6:$N$380,12,FALSE)</f>
        <v>12861.24633460756</v>
      </c>
      <c r="H288" s="611">
        <f>F288*G288</f>
        <v>2160689.3842140702</v>
      </c>
    </row>
    <row r="289" spans="1:10" s="565" customFormat="1" ht="26.1" customHeight="1" thickBot="1">
      <c r="A289" s="655" t="s">
        <v>535</v>
      </c>
      <c r="B289" s="571" t="str">
        <f t="shared" si="30"/>
        <v>681-13</v>
      </c>
      <c r="C289" s="571"/>
      <c r="D289" s="619" t="str">
        <f>VLOOKUP(A289,[33]ÍNDICE!$C$6:$N$380,5,FALSE)</f>
        <v>GAVIONES DE MALLA DE ALAMBRE DE ACERO ENTRELAZADO CLASE 1; RECUBRIMIENTO DE ZINC (GALVANIZADO)</v>
      </c>
      <c r="E289" s="581" t="str">
        <f>VLOOKUP(A289,[33]ÍNDICE!$C$6:$N$380,2,FALSE)</f>
        <v>m3</v>
      </c>
      <c r="F289" s="585">
        <f>26*15</f>
        <v>390</v>
      </c>
      <c r="G289" s="648">
        <f>VLOOKUP(A289,[33]ÍNDICE!$C$6:$N$380,12,FALSE)</f>
        <v>601666.19528525032</v>
      </c>
      <c r="H289" s="583">
        <f t="shared" si="31"/>
        <v>234649816.16124761</v>
      </c>
    </row>
    <row r="290" spans="1:10" s="565" customFormat="1" ht="15" customHeight="1" thickTop="1">
      <c r="A290" s="574"/>
      <c r="B290" s="574"/>
      <c r="C290" s="574"/>
      <c r="D290" s="575"/>
      <c r="E290" s="589"/>
      <c r="F290" s="590"/>
      <c r="G290" s="576" t="s">
        <v>524</v>
      </c>
      <c r="H290" s="1507">
        <f>SUM(H282:H289)</f>
        <v>256913328.371696</v>
      </c>
    </row>
    <row r="291" spans="1:10" s="565" customFormat="1" ht="15" customHeight="1">
      <c r="A291" s="577"/>
      <c r="B291" s="577"/>
      <c r="C291" s="577"/>
      <c r="D291" s="578"/>
      <c r="E291" s="562"/>
      <c r="F291" s="580"/>
      <c r="G291" s="579" t="s">
        <v>525</v>
      </c>
      <c r="H291" s="1508">
        <f>SUM(H290:H290)*0.05*0.19/1.3</f>
        <v>1877443.5534854708</v>
      </c>
    </row>
    <row r="292" spans="1:10" s="565" customFormat="1" ht="15" customHeight="1" thickBot="1">
      <c r="A292" s="561"/>
      <c r="B292" s="560"/>
      <c r="C292" s="560"/>
      <c r="D292" s="561"/>
      <c r="E292" s="562"/>
      <c r="F292" s="580"/>
      <c r="G292" s="579" t="s">
        <v>526</v>
      </c>
      <c r="H292" s="1509">
        <f>+ROUND(H290+H291,0)</f>
        <v>258790772</v>
      </c>
      <c r="I292" s="570"/>
    </row>
    <row r="293" spans="1:10" s="565" customFormat="1" ht="15" customHeight="1" thickTop="1">
      <c r="A293" s="561"/>
      <c r="B293" s="560"/>
      <c r="C293" s="560"/>
      <c r="D293" s="561"/>
      <c r="E293" s="562"/>
      <c r="F293" s="563"/>
      <c r="G293" s="617"/>
      <c r="H293" s="1506"/>
    </row>
    <row r="294" spans="1:10" s="565" customFormat="1" ht="12.75" customHeight="1">
      <c r="A294" s="561"/>
      <c r="B294" s="560"/>
      <c r="C294" s="560"/>
      <c r="D294" s="561"/>
      <c r="E294" s="562"/>
      <c r="F294" s="563"/>
      <c r="G294" s="617"/>
      <c r="H294" s="1506"/>
    </row>
    <row r="295" spans="1:10" s="565" customFormat="1" ht="13.5" thickBot="1">
      <c r="A295" s="566"/>
      <c r="B295" s="567"/>
      <c r="C295" s="566" t="s">
        <v>568</v>
      </c>
      <c r="D295" s="566"/>
      <c r="E295" s="567"/>
      <c r="F295" s="566"/>
      <c r="G295" s="616"/>
      <c r="H295" s="569"/>
      <c r="I295" s="570"/>
    </row>
    <row r="296" spans="1:10" s="565" customFormat="1" ht="15" customHeight="1" thickTop="1">
      <c r="A296" s="1214" t="s">
        <v>549</v>
      </c>
      <c r="B296" s="572" t="str">
        <f>MID(A296,1,3)&amp;"-"&amp;13</f>
        <v>201-13</v>
      </c>
      <c r="C296" s="572"/>
      <c r="D296" s="619" t="str">
        <f>VLOOKUP(A296,[33]ÍNDICE!$C$6:$N$380,5,FALSE)</f>
        <v>DEMOLICIÓN DE ESTRUCTURAS</v>
      </c>
      <c r="E296" s="581" t="str">
        <f>VLOOKUP(A296,[33]ÍNDICE!$C$6:$N$380,2,FALSE)</f>
        <v>m3</v>
      </c>
      <c r="F296" s="592">
        <v>11</v>
      </c>
      <c r="G296" s="648">
        <f>VLOOKUP(A296,[33]ÍNDICE!$C$6:$N$380,12,FALSE)</f>
        <v>217760.49497573468</v>
      </c>
      <c r="H296" s="573">
        <f>F296*G296</f>
        <v>2395365.4447330814</v>
      </c>
    </row>
    <row r="297" spans="1:10" s="565" customFormat="1" ht="15" customHeight="1">
      <c r="A297" s="655" t="s">
        <v>528</v>
      </c>
      <c r="B297" s="571" t="str">
        <f t="shared" ref="B297:B305" si="32">MID(A297,1,3)&amp;"-"&amp;13</f>
        <v>600-13</v>
      </c>
      <c r="C297" s="571"/>
      <c r="D297" s="619" t="str">
        <f>VLOOKUP(A297,[33]ÍNDICE!$C$6:$N$380,5,FALSE)</f>
        <v>EXCAVACIONES VARIAS SIN CLASIFICAR</v>
      </c>
      <c r="E297" s="581" t="str">
        <f>VLOOKUP(A297,[33]ÍNDICE!$C$6:$N$380,2,FALSE)</f>
        <v>m3</v>
      </c>
      <c r="F297" s="585">
        <v>227</v>
      </c>
      <c r="G297" s="648">
        <f>VLOOKUP(A297,[33]ÍNDICE!$C$6:$N$380,12,FALSE)</f>
        <v>58828.261120639472</v>
      </c>
      <c r="H297" s="583">
        <f t="shared" ref="H297:H305" si="33">F297*G297</f>
        <v>13354015.27438516</v>
      </c>
    </row>
    <row r="298" spans="1:10" s="565" customFormat="1" ht="15" customHeight="1">
      <c r="A298" s="655" t="s">
        <v>530</v>
      </c>
      <c r="B298" s="571" t="str">
        <f>MID(A298,1,3)&amp;"-"&amp;13</f>
        <v>610-13</v>
      </c>
      <c r="C298" s="571"/>
      <c r="D298" s="619" t="str">
        <f>VLOOKUP(A298,[33]ÍNDICE!$C$6:$N$380,5,FALSE)</f>
        <v>RELLENO PARA ESTRUCTURAS CON SUELO (analizado sin preparación de la superficie base del relleno)</v>
      </c>
      <c r="E298" s="581" t="str">
        <f>VLOOKUP(A298,[33]ÍNDICE!$C$6:$N$380,2,FALSE)</f>
        <v>m3</v>
      </c>
      <c r="F298" s="586">
        <v>137</v>
      </c>
      <c r="G298" s="648">
        <f>VLOOKUP(A298,[33]ÍNDICE!$C$6:$N$380,12,FALSE)</f>
        <v>162354.11090657322</v>
      </c>
      <c r="H298" s="583">
        <f>F298*G298</f>
        <v>22242513.194200531</v>
      </c>
    </row>
    <row r="299" spans="1:10" s="565" customFormat="1" ht="26.1" customHeight="1">
      <c r="A299" s="655" t="s">
        <v>569</v>
      </c>
      <c r="B299" s="571" t="str">
        <f t="shared" si="32"/>
        <v>621-13</v>
      </c>
      <c r="C299" s="587" t="s">
        <v>540</v>
      </c>
      <c r="D299" s="619" t="str">
        <f>VLOOKUP(A299,[33]ÍNDICE!$C$6:$N$380,5,FALSE)</f>
        <v>PILOTE DE CONCRETO VACIADO IN SITU, DE DIÁMETRO 1 m</v>
      </c>
      <c r="E299" s="581" t="str">
        <f>VLOOKUP(A299,[33]ÍNDICE!$C$6:$N$380,2,FALSE)</f>
        <v>m</v>
      </c>
      <c r="F299" s="585">
        <f>(25/3)*15</f>
        <v>125.00000000000001</v>
      </c>
      <c r="G299" s="648">
        <f>VLOOKUP(A299,[33]ÍNDICE!$C$6:$N$380,12,FALSE)</f>
        <v>2838401.3288495345</v>
      </c>
      <c r="H299" s="583">
        <f t="shared" si="33"/>
        <v>354800166.10619187</v>
      </c>
    </row>
    <row r="300" spans="1:10" s="565" customFormat="1" ht="15" customHeight="1">
      <c r="A300" s="655" t="s">
        <v>537</v>
      </c>
      <c r="B300" s="571" t="str">
        <f t="shared" si="32"/>
        <v>630-13</v>
      </c>
      <c r="C300" s="571"/>
      <c r="D300" s="619" t="str">
        <f>VLOOKUP(A300,[33]ÍNDICE!$C$6:$N$380,5,FALSE)</f>
        <v>CONCRETO REFORZADO RESISTENCIA 21MPa (D) - MEZCLA IN SITU</v>
      </c>
      <c r="E300" s="581" t="str">
        <f>VLOOKUP(A300,[33]ÍNDICE!$C$6:$N$380,2,FALSE)</f>
        <v>m3</v>
      </c>
      <c r="F300" s="586">
        <f>25*(1.2*1*1+4*0.35*1)</f>
        <v>64.999999999999986</v>
      </c>
      <c r="G300" s="648">
        <f>VLOOKUP(A300,[33]ÍNDICE!$C$6:$N$380,12,FALSE)</f>
        <v>1243512.4574943627</v>
      </c>
      <c r="H300" s="583">
        <f t="shared" si="33"/>
        <v>80828309.737133563</v>
      </c>
      <c r="J300" s="588"/>
    </row>
    <row r="301" spans="1:10" s="565" customFormat="1" ht="15" customHeight="1">
      <c r="A301" s="655" t="s">
        <v>541</v>
      </c>
      <c r="B301" s="571" t="str">
        <f t="shared" si="32"/>
        <v>640-13</v>
      </c>
      <c r="C301" s="571"/>
      <c r="D301" s="619" t="str">
        <f>VLOOKUP(A301,[33]ÍNDICE!$C$6:$N$380,5,FALSE)</f>
        <v>ACERO DE REFUERZO Fy 4200 MPa</v>
      </c>
      <c r="E301" s="581" t="str">
        <f>VLOOKUP(A301,[33]ÍNDICE!$C$6:$N$380,2,FALSE)</f>
        <v>kg</v>
      </c>
      <c r="F301" s="585">
        <f>F300*105</f>
        <v>6824.9999999999982</v>
      </c>
      <c r="G301" s="648">
        <f>VLOOKUP(A301,[33]ÍNDICE!$C$6:$N$380,12,FALSE)</f>
        <v>7547.7371417119648</v>
      </c>
      <c r="H301" s="583">
        <f t="shared" si="33"/>
        <v>51513305.992184147</v>
      </c>
    </row>
    <row r="302" spans="1:10" s="565" customFormat="1" ht="26.1" customHeight="1">
      <c r="A302" s="655" t="s">
        <v>545</v>
      </c>
      <c r="B302" s="571" t="str">
        <f>MID(A302,1,3)&amp;"-"&amp;13</f>
        <v>671-13</v>
      </c>
      <c r="C302" s="571"/>
      <c r="D302" s="619" t="str">
        <f>VLOOKUP(A302,[33]ÍNDICE!$C$6:$N$380,5,FALSE)</f>
        <v>CUNETA DE CONCRETO VACIADA IN SITU; INCLUYE LA CONFORMACIÓN DE LA SUPERFICIE DE APOYO</v>
      </c>
      <c r="E302" s="581" t="str">
        <f>VLOOKUP(A302,[33]ÍNDICE!$C$6:$N$380,2,FALSE)</f>
        <v>m3</v>
      </c>
      <c r="F302" s="586">
        <v>4</v>
      </c>
      <c r="G302" s="648">
        <f>VLOOKUP(A302,[33]ÍNDICE!$C$6:$N$380,12,FALSE)</f>
        <v>1106254.0341245155</v>
      </c>
      <c r="H302" s="583">
        <f>F302*G302</f>
        <v>4425016.1364980619</v>
      </c>
    </row>
    <row r="303" spans="1:10" s="565" customFormat="1" ht="15" customHeight="1">
      <c r="A303" s="655" t="s">
        <v>534</v>
      </c>
      <c r="B303" s="571" t="str">
        <f>MID(A303,1,3)&amp;"-"&amp;13</f>
        <v>673-13</v>
      </c>
      <c r="C303" s="571"/>
      <c r="D303" s="619" t="str">
        <f>VLOOKUP(A303,[33]ÍNDICE!$C$6:$N$380,5,FALSE)</f>
        <v xml:space="preserve">GEOTEXTIL TIPO TEJIDO CON RESISTENCIA A LA TENSIÓN GRAB MÍNIMA DE 1400 N </v>
      </c>
      <c r="E303" s="581" t="str">
        <f>VLOOKUP(A303,[33]ÍNDICE!$C$6:$N$380,2,FALSE)</f>
        <v>m2</v>
      </c>
      <c r="F303" s="585">
        <f>(25+6)*4</f>
        <v>124</v>
      </c>
      <c r="G303" s="648">
        <f>VLOOKUP(A303,[33]ÍNDICE!$C$6:$N$380,12,FALSE)</f>
        <v>12861.24633460756</v>
      </c>
      <c r="H303" s="583">
        <f>F303*G303</f>
        <v>1594794.5454913375</v>
      </c>
    </row>
    <row r="304" spans="1:10" s="565" customFormat="1" ht="15" customHeight="1">
      <c r="A304" s="655" t="s">
        <v>547</v>
      </c>
      <c r="B304" s="571" t="str">
        <f>MID(A304,1,3)&amp;"-"&amp;13</f>
        <v>673-13</v>
      </c>
      <c r="C304" s="571"/>
      <c r="D304" s="619" t="str">
        <f>VLOOKUP(A304,[33]ÍNDICE!$C$6:$N$380,5,FALSE)</f>
        <v>MATERIAL GRANULAR DRENANTE</v>
      </c>
      <c r="E304" s="581" t="str">
        <f>VLOOKUP(A304,[33]ÍNDICE!$C$6:$N$380,2,FALSE)</f>
        <v>m3</v>
      </c>
      <c r="F304" s="586">
        <v>53</v>
      </c>
      <c r="G304" s="648">
        <f>VLOOKUP(A304,[33]ÍNDICE!$C$6:$N$380,12,FALSE)</f>
        <v>372207.28893037047</v>
      </c>
      <c r="H304" s="583">
        <f>F304*G304</f>
        <v>19726986.313309636</v>
      </c>
    </row>
    <row r="305" spans="1:10" s="565" customFormat="1" ht="26.1" customHeight="1" thickBot="1">
      <c r="A305" s="655" t="s">
        <v>535</v>
      </c>
      <c r="B305" s="571" t="str">
        <f t="shared" si="32"/>
        <v>681-13</v>
      </c>
      <c r="C305" s="571"/>
      <c r="D305" s="619" t="str">
        <f>VLOOKUP(A305,[33]ÍNDICE!$C$6:$N$380,5,FALSE)</f>
        <v>GAVIONES DE MALLA DE ALAMBRE DE ACERO ENTRELAZADO CLASE 1; RECUBRIMIENTO DE ZINC (GALVANIZADO)</v>
      </c>
      <c r="E305" s="581" t="str">
        <f>VLOOKUP(A305,[33]ÍNDICE!$C$6:$N$380,2,FALSE)</f>
        <v>m3</v>
      </c>
      <c r="F305" s="585">
        <v>28</v>
      </c>
      <c r="G305" s="648">
        <f>VLOOKUP(A305,[33]ÍNDICE!$C$6:$N$380,12,FALSE)</f>
        <v>601666.19528525032</v>
      </c>
      <c r="H305" s="583">
        <f t="shared" si="33"/>
        <v>16846653.467987008</v>
      </c>
    </row>
    <row r="306" spans="1:10" s="565" customFormat="1" ht="15" customHeight="1" thickTop="1">
      <c r="A306" s="574"/>
      <c r="B306" s="574"/>
      <c r="C306" s="574"/>
      <c r="D306" s="575"/>
      <c r="E306" s="589"/>
      <c r="F306" s="590"/>
      <c r="G306" s="600" t="s">
        <v>524</v>
      </c>
      <c r="H306" s="1507">
        <f>SUM(H296:H305)</f>
        <v>567727126.21211445</v>
      </c>
    </row>
    <row r="307" spans="1:10" s="565" customFormat="1" ht="15" customHeight="1">
      <c r="A307" s="577"/>
      <c r="B307" s="577"/>
      <c r="C307" s="577"/>
      <c r="D307" s="578"/>
      <c r="E307" s="562"/>
      <c r="F307" s="580"/>
      <c r="G307" s="601" t="s">
        <v>525</v>
      </c>
      <c r="H307" s="1508">
        <f>SUM(H306:H306)*0.05*0.19/1.3</f>
        <v>4148775.1530885287</v>
      </c>
    </row>
    <row r="308" spans="1:10" s="565" customFormat="1" ht="15" customHeight="1" thickBot="1">
      <c r="A308" s="561"/>
      <c r="B308" s="560"/>
      <c r="C308" s="560"/>
      <c r="D308" s="561"/>
      <c r="E308" s="562"/>
      <c r="F308" s="580"/>
      <c r="G308" s="601" t="s">
        <v>526</v>
      </c>
      <c r="H308" s="1509">
        <f>+ROUND(H306+H307,0)</f>
        <v>571875901</v>
      </c>
      <c r="I308" s="570"/>
    </row>
    <row r="309" spans="1:10" s="565" customFormat="1" ht="15" customHeight="1" thickTop="1">
      <c r="A309" s="561"/>
      <c r="B309" s="560"/>
      <c r="C309" s="560"/>
      <c r="D309" s="561"/>
      <c r="E309" s="562"/>
      <c r="F309" s="580"/>
      <c r="G309" s="579"/>
      <c r="H309" s="1510"/>
      <c r="I309" s="570"/>
    </row>
    <row r="310" spans="1:10" s="565" customFormat="1" ht="13.5" thickBot="1">
      <c r="A310" s="566"/>
      <c r="B310" s="567"/>
      <c r="C310" s="566" t="s">
        <v>570</v>
      </c>
      <c r="D310" s="566"/>
      <c r="E310" s="567"/>
      <c r="F310" s="566"/>
      <c r="G310" s="616"/>
      <c r="H310" s="569"/>
      <c r="I310" s="570"/>
    </row>
    <row r="311" spans="1:10" s="565" customFormat="1" ht="15" customHeight="1" thickTop="1">
      <c r="A311" s="1214" t="s">
        <v>528</v>
      </c>
      <c r="B311" s="572" t="str">
        <f t="shared" ref="B311:B318" si="34">MID(A311,1,3)&amp;"-"&amp;13</f>
        <v>600-13</v>
      </c>
      <c r="C311" s="572"/>
      <c r="D311" s="619" t="str">
        <f>VLOOKUP(A311,[33]ÍNDICE!$C$6:$N$380,5,FALSE)</f>
        <v>EXCAVACIONES VARIAS SIN CLASIFICAR</v>
      </c>
      <c r="E311" s="581" t="str">
        <f>VLOOKUP(A311,[33]ÍNDICE!$C$6:$N$380,2,FALSE)</f>
        <v>m3</v>
      </c>
      <c r="F311" s="592">
        <v>23</v>
      </c>
      <c r="G311" s="648">
        <f>VLOOKUP(A311,[33]ÍNDICE!$C$6:$N$380,12,FALSE)</f>
        <v>58828.261120639472</v>
      </c>
      <c r="H311" s="573">
        <f t="shared" ref="H311:H318" si="35">F311*G311</f>
        <v>1353050.0057747078</v>
      </c>
    </row>
    <row r="312" spans="1:10" s="565" customFormat="1" ht="15" customHeight="1">
      <c r="A312" s="655" t="s">
        <v>530</v>
      </c>
      <c r="B312" s="572" t="str">
        <f t="shared" si="34"/>
        <v>610-13</v>
      </c>
      <c r="C312" s="571"/>
      <c r="D312" s="619" t="str">
        <f>VLOOKUP(A312,[33]ÍNDICE!$C$6:$N$380,5,FALSE)</f>
        <v>RELLENO PARA ESTRUCTURAS CON SUELO (analizado sin preparación de la superficie base del relleno)</v>
      </c>
      <c r="E312" s="581" t="str">
        <f>VLOOKUP(A312,[33]ÍNDICE!$C$6:$N$380,2,FALSE)</f>
        <v>m3</v>
      </c>
      <c r="F312" s="585">
        <v>85</v>
      </c>
      <c r="G312" s="648">
        <f>VLOOKUP(A312,[33]ÍNDICE!$C$6:$N$380,12,FALSE)</f>
        <v>162354.11090657322</v>
      </c>
      <c r="H312" s="573">
        <f t="shared" si="35"/>
        <v>13800099.427058723</v>
      </c>
    </row>
    <row r="313" spans="1:10" s="565" customFormat="1" ht="15" customHeight="1">
      <c r="A313" s="655" t="s">
        <v>537</v>
      </c>
      <c r="B313" s="572" t="str">
        <f t="shared" si="34"/>
        <v>630-13</v>
      </c>
      <c r="C313" s="571"/>
      <c r="D313" s="619" t="str">
        <f>VLOOKUP(A313,[33]ÍNDICE!$C$6:$N$380,5,FALSE)</f>
        <v>CONCRETO REFORZADO RESISTENCIA 21MPa (D) - MEZCLA IN SITU</v>
      </c>
      <c r="E313" s="581" t="str">
        <f>VLOOKUP(A313,[33]ÍNDICE!$C$6:$N$380,2,FALSE)</f>
        <v>m3</v>
      </c>
      <c r="F313" s="586">
        <v>4</v>
      </c>
      <c r="G313" s="648">
        <f>VLOOKUP(A313,[33]ÍNDICE!$C$6:$N$380,12,FALSE)</f>
        <v>1243512.4574943627</v>
      </c>
      <c r="H313" s="573">
        <f t="shared" si="35"/>
        <v>4974049.8299774509</v>
      </c>
    </row>
    <row r="314" spans="1:10" s="565" customFormat="1" ht="26.1" customHeight="1">
      <c r="A314" s="655" t="s">
        <v>539</v>
      </c>
      <c r="B314" s="572" t="str">
        <f t="shared" si="34"/>
        <v>630-13</v>
      </c>
      <c r="C314" s="587"/>
      <c r="D314" s="619" t="str">
        <f>VLOOKUP(A314,[33]ÍNDICE!$C$6:$N$380,5,FALSE)</f>
        <v>CONCRETO LIVIANO RESISTENCIA 14MPa (F) - MEZCLA IN SITU</v>
      </c>
      <c r="E314" s="581" t="str">
        <f>VLOOKUP(A314,[33]ÍNDICE!$C$6:$N$380,2,FALSE)</f>
        <v>m3</v>
      </c>
      <c r="F314" s="585">
        <v>2</v>
      </c>
      <c r="G314" s="648">
        <f>VLOOKUP(A314,[33]ÍNDICE!$C$6:$N$380,12,FALSE)</f>
        <v>894326.16342625197</v>
      </c>
      <c r="H314" s="573">
        <f t="shared" si="35"/>
        <v>1788652.3268525039</v>
      </c>
    </row>
    <row r="315" spans="1:10" s="565" customFormat="1" ht="15" customHeight="1">
      <c r="A315" s="655" t="s">
        <v>541</v>
      </c>
      <c r="B315" s="572" t="str">
        <f t="shared" si="34"/>
        <v>640-13</v>
      </c>
      <c r="C315" s="571"/>
      <c r="D315" s="619" t="str">
        <f>VLOOKUP(A315,[33]ÍNDICE!$C$6:$N$380,5,FALSE)</f>
        <v>ACERO DE REFUERZO Fy 4200 MPa</v>
      </c>
      <c r="E315" s="581" t="str">
        <f>VLOOKUP(A315,[33]ÍNDICE!$C$6:$N$380,2,FALSE)</f>
        <v>kg</v>
      </c>
      <c r="F315" s="586">
        <v>73</v>
      </c>
      <c r="G315" s="648">
        <f>VLOOKUP(A315,[33]ÍNDICE!$C$6:$N$380,12,FALSE)</f>
        <v>7547.7371417119648</v>
      </c>
      <c r="H315" s="573">
        <f t="shared" si="35"/>
        <v>550984.81134497339</v>
      </c>
      <c r="J315" s="588"/>
    </row>
    <row r="316" spans="1:10" s="565" customFormat="1" ht="15" customHeight="1">
      <c r="A316" s="655" t="s">
        <v>545</v>
      </c>
      <c r="B316" s="572" t="str">
        <f t="shared" si="34"/>
        <v>671-13</v>
      </c>
      <c r="C316" s="571"/>
      <c r="D316" s="619" t="str">
        <f>VLOOKUP(A316,[33]ÍNDICE!$C$6:$N$380,5,FALSE)</f>
        <v>CUNETA DE CONCRETO VACIADA IN SITU; INCLUYE LA CONFORMACIÓN DE LA SUPERFICIE DE APOYO</v>
      </c>
      <c r="E316" s="581" t="str">
        <f>VLOOKUP(A316,[33]ÍNDICE!$C$6:$N$380,2,FALSE)</f>
        <v>m3</v>
      </c>
      <c r="F316" s="585">
        <v>4</v>
      </c>
      <c r="G316" s="648">
        <f>VLOOKUP(A316,[33]ÍNDICE!$C$6:$N$380,12,FALSE)</f>
        <v>1106254.0341245155</v>
      </c>
      <c r="H316" s="573">
        <f t="shared" si="35"/>
        <v>4425016.1364980619</v>
      </c>
    </row>
    <row r="317" spans="1:10" s="565" customFormat="1" ht="26.1" customHeight="1">
      <c r="A317" s="655" t="s">
        <v>534</v>
      </c>
      <c r="B317" s="572" t="str">
        <f t="shared" si="34"/>
        <v>673-13</v>
      </c>
      <c r="C317" s="571"/>
      <c r="D317" s="619" t="str">
        <f>VLOOKUP(A317,[33]ÍNDICE!$C$6:$N$380,5,FALSE)</f>
        <v xml:space="preserve">GEOTEXTIL TIPO TEJIDO CON RESISTENCIA A LA TENSIÓN GRAB MÍNIMA DE 1400 N </v>
      </c>
      <c r="E317" s="581" t="str">
        <f>VLOOKUP(A317,[33]ÍNDICE!$C$6:$N$380,2,FALSE)</f>
        <v>m2</v>
      </c>
      <c r="F317" s="586">
        <v>136</v>
      </c>
      <c r="G317" s="648">
        <f>VLOOKUP(A317,[33]ÍNDICE!$C$6:$N$380,12,FALSE)</f>
        <v>12861.24633460756</v>
      </c>
      <c r="H317" s="573">
        <f t="shared" si="35"/>
        <v>1749129.5015066282</v>
      </c>
    </row>
    <row r="318" spans="1:10" s="565" customFormat="1" ht="36.75" thickBot="1">
      <c r="A318" s="655" t="s">
        <v>542</v>
      </c>
      <c r="B318" s="572" t="str">
        <f t="shared" si="34"/>
        <v>681-13</v>
      </c>
      <c r="C318" s="571"/>
      <c r="D318" s="619" t="str">
        <f>VLOOKUP(A318,[33]ÍNDICE!$C$6:$N$380,5,FALSE)</f>
        <v>GAVIONES DE MALLA DE ALAMBRE DE ACERO ENTRELAZADO  CLASE 3; RECUBRIMIENTO DE ZINC (GALVANIZADO) Y PVC</v>
      </c>
      <c r="E318" s="581" t="str">
        <f>VLOOKUP(A318,[33]ÍNDICE!$C$6:$N$380,2,FALSE)</f>
        <v>m3</v>
      </c>
      <c r="F318" s="585">
        <v>102</v>
      </c>
      <c r="G318" s="648">
        <f>VLOOKUP(A318,[33]ÍNDICE!$C$6:$N$380,12,FALSE)</f>
        <v>575872.24869869393</v>
      </c>
      <c r="H318" s="573">
        <f t="shared" si="35"/>
        <v>58738969.367266782</v>
      </c>
    </row>
    <row r="319" spans="1:10" s="565" customFormat="1" ht="15" customHeight="1" thickTop="1">
      <c r="A319" s="574"/>
      <c r="B319" s="574"/>
      <c r="C319" s="574"/>
      <c r="D319" s="575"/>
      <c r="E319" s="589"/>
      <c r="F319" s="590"/>
      <c r="G319" s="600" t="s">
        <v>524</v>
      </c>
      <c r="H319" s="1507">
        <f>SUM(H311:H318)</f>
        <v>87379951.406279832</v>
      </c>
    </row>
    <row r="320" spans="1:10" s="565" customFormat="1" ht="15" customHeight="1">
      <c r="A320" s="577"/>
      <c r="B320" s="577"/>
      <c r="C320" s="577"/>
      <c r="D320" s="578"/>
      <c r="E320" s="562"/>
      <c r="F320" s="580"/>
      <c r="G320" s="601" t="s">
        <v>525</v>
      </c>
      <c r="H320" s="1508">
        <f>ROUND((+H319*0.05*0.19)/(1+0.3),0)</f>
        <v>638546</v>
      </c>
    </row>
    <row r="321" spans="1:9" s="565" customFormat="1" ht="15" customHeight="1" thickBot="1">
      <c r="A321" s="561"/>
      <c r="B321" s="560"/>
      <c r="C321" s="560"/>
      <c r="D321" s="561"/>
      <c r="E321" s="562"/>
      <c r="F321" s="580"/>
      <c r="G321" s="601" t="s">
        <v>526</v>
      </c>
      <c r="H321" s="1509">
        <f>+ROUND(H319+H320,0)</f>
        <v>88018497</v>
      </c>
      <c r="I321" s="570"/>
    </row>
    <row r="322" spans="1:9" s="565" customFormat="1" ht="15" customHeight="1" thickTop="1">
      <c r="A322" s="561"/>
      <c r="B322" s="560"/>
      <c r="C322" s="560"/>
      <c r="D322" s="561"/>
      <c r="E322" s="562"/>
      <c r="F322" s="580"/>
      <c r="G322" s="579"/>
      <c r="H322" s="1510"/>
      <c r="I322" s="570"/>
    </row>
    <row r="323" spans="1:9" s="565" customFormat="1" ht="12.75" customHeight="1" thickBot="1">
      <c r="A323" s="566"/>
      <c r="B323" s="567"/>
      <c r="C323" s="566" t="s">
        <v>571</v>
      </c>
      <c r="D323" s="566"/>
      <c r="E323" s="567"/>
      <c r="F323" s="566"/>
      <c r="G323" s="616"/>
      <c r="H323" s="569"/>
    </row>
    <row r="324" spans="1:9" s="565" customFormat="1" ht="15" customHeight="1" thickTop="1">
      <c r="A324" s="1214" t="s">
        <v>549</v>
      </c>
      <c r="B324" s="572" t="str">
        <f>MID(A324,1,3)&amp;"-"&amp;13</f>
        <v>201-13</v>
      </c>
      <c r="C324" s="572"/>
      <c r="D324" s="619" t="str">
        <f>VLOOKUP(A324,[33]ÍNDICE!$C$6:$N$380,5,FALSE)</f>
        <v>DEMOLICIÓN DE ESTRUCTURAS</v>
      </c>
      <c r="E324" s="581" t="str">
        <f>VLOOKUP(A324,[33]ÍNDICE!$C$6:$N$380,2,FALSE)</f>
        <v>m3</v>
      </c>
      <c r="F324" s="592">
        <v>2</v>
      </c>
      <c r="G324" s="648">
        <f>VLOOKUP(A324,[33]ÍNDICE!$C$6:$N$380,12,FALSE)</f>
        <v>217760.49497573468</v>
      </c>
      <c r="H324" s="573">
        <f>F324*G324</f>
        <v>435520.98995146935</v>
      </c>
    </row>
    <row r="325" spans="1:9" s="565" customFormat="1" ht="15" customHeight="1">
      <c r="A325" s="655" t="s">
        <v>528</v>
      </c>
      <c r="B325" s="571" t="str">
        <f t="shared" ref="B325:B331" si="36">MID(A325,1,3)&amp;"-"&amp;13</f>
        <v>600-13</v>
      </c>
      <c r="C325" s="571"/>
      <c r="D325" s="619" t="str">
        <f>VLOOKUP(A325,[33]ÍNDICE!$C$6:$N$380,5,FALSE)</f>
        <v>EXCAVACIONES VARIAS SIN CLASIFICAR</v>
      </c>
      <c r="E325" s="581" t="str">
        <f>VLOOKUP(A325,[33]ÍNDICE!$C$6:$N$380,2,FALSE)</f>
        <v>m3</v>
      </c>
      <c r="F325" s="585">
        <f>20</f>
        <v>20</v>
      </c>
      <c r="G325" s="648">
        <f>VLOOKUP(A325,[33]ÍNDICE!$C$6:$N$380,12,FALSE)</f>
        <v>58828.261120639472</v>
      </c>
      <c r="H325" s="583">
        <f t="shared" ref="H325:H331" si="37">F325*G325</f>
        <v>1176565.2224127895</v>
      </c>
    </row>
    <row r="326" spans="1:9" s="565" customFormat="1" ht="15" customHeight="1">
      <c r="A326" s="655" t="s">
        <v>530</v>
      </c>
      <c r="B326" s="571" t="str">
        <f>MID(A326,1,3)&amp;"-"&amp;13</f>
        <v>610-13</v>
      </c>
      <c r="C326" s="571"/>
      <c r="D326" s="619" t="str">
        <f>VLOOKUP(A326,[33]ÍNDICE!$C$6:$N$380,5,FALSE)</f>
        <v>RELLENO PARA ESTRUCTURAS CON SUELO (analizado sin preparación de la superficie base del relleno)</v>
      </c>
      <c r="E326" s="581" t="str">
        <f>VLOOKUP(A326,[33]ÍNDICE!$C$6:$N$380,2,FALSE)</f>
        <v>m3</v>
      </c>
      <c r="F326" s="586">
        <f>+F325*0.6</f>
        <v>12</v>
      </c>
      <c r="G326" s="648">
        <f>VLOOKUP(A326,[33]ÍNDICE!$C$6:$N$380,12,FALSE)</f>
        <v>162354.11090657322</v>
      </c>
      <c r="H326" s="583">
        <f>F326*G326</f>
        <v>1948249.3308788785</v>
      </c>
    </row>
    <row r="327" spans="1:9" s="565" customFormat="1" ht="15" customHeight="1">
      <c r="A327" s="655" t="s">
        <v>531</v>
      </c>
      <c r="B327" s="571" t="str">
        <f t="shared" si="36"/>
        <v>630-13</v>
      </c>
      <c r="C327" s="571"/>
      <c r="D327" s="619" t="str">
        <f>VLOOKUP(A327,[33]ÍNDICE!$C$6:$N$380,5,FALSE)</f>
        <v>CONCRETO SIMPLE RESISTENCIA 17 MPa - MEZCLA IN SITU</v>
      </c>
      <c r="E327" s="581" t="str">
        <f>VLOOKUP(A327,[33]ÍNDICE!$C$6:$N$380,2,FALSE)</f>
        <v>m3</v>
      </c>
      <c r="F327" s="586">
        <f>5</f>
        <v>5</v>
      </c>
      <c r="G327" s="648">
        <f>VLOOKUP(A327,[33]ÍNDICE!$C$6:$N$380,12,FALSE)</f>
        <v>994779.33062365581</v>
      </c>
      <c r="H327" s="583">
        <f t="shared" si="37"/>
        <v>4973896.6531182788</v>
      </c>
    </row>
    <row r="328" spans="1:9" s="565" customFormat="1" ht="15" customHeight="1">
      <c r="A328" s="655" t="s">
        <v>532</v>
      </c>
      <c r="B328" s="571" t="str">
        <f t="shared" si="36"/>
        <v>630-13</v>
      </c>
      <c r="C328" s="571"/>
      <c r="D328" s="619" t="str">
        <f>VLOOKUP(A328,[33]ÍNDICE!$C$6:$N$380,5,FALSE)</f>
        <v>CONCRETO CICLÓPEO RESISTENCIA 14MPa (G)</v>
      </c>
      <c r="E328" s="581" t="str">
        <f>VLOOKUP(A328,[33]ÍNDICE!$C$6:$N$380,2,FALSE)</f>
        <v>m3</v>
      </c>
      <c r="F328" s="598">
        <v>6</v>
      </c>
      <c r="G328" s="648">
        <f>VLOOKUP(A328,[33]ÍNDICE!$C$6:$N$380,12,FALSE)</f>
        <v>680494.66759275761</v>
      </c>
      <c r="H328" s="583">
        <f t="shared" si="37"/>
        <v>4082968.0055565457</v>
      </c>
    </row>
    <row r="329" spans="1:9" s="565" customFormat="1" ht="26.1" customHeight="1">
      <c r="A329" s="655" t="s">
        <v>545</v>
      </c>
      <c r="B329" s="571" t="str">
        <f>MID(A329,1,3)&amp;"-"&amp;13</f>
        <v>671-13</v>
      </c>
      <c r="C329" s="571"/>
      <c r="D329" s="619" t="str">
        <f>VLOOKUP(A329,[33]ÍNDICE!$C$6:$N$380,5,FALSE)</f>
        <v>CUNETA DE CONCRETO VACIADA IN SITU; INCLUYE LA CONFORMACIÓN DE LA SUPERFICIE DE APOYO</v>
      </c>
      <c r="E329" s="581" t="str">
        <f>VLOOKUP(A329,[33]ÍNDICE!$C$6:$N$380,2,FALSE)</f>
        <v>m3</v>
      </c>
      <c r="F329" s="586">
        <f>20*0.138</f>
        <v>2.7600000000000002</v>
      </c>
      <c r="G329" s="648">
        <f>VLOOKUP(A329,[33]ÍNDICE!$C$6:$N$380,12,FALSE)</f>
        <v>1106254.0341245155</v>
      </c>
      <c r="H329" s="583">
        <f>F329*G329</f>
        <v>3053261.1341836629</v>
      </c>
    </row>
    <row r="330" spans="1:9" s="565" customFormat="1" ht="15" customHeight="1">
      <c r="A330" s="655" t="s">
        <v>534</v>
      </c>
      <c r="B330" s="571" t="str">
        <f>MID(A330,1,3)&amp;"-"&amp;13</f>
        <v>673-13</v>
      </c>
      <c r="C330" s="571"/>
      <c r="D330" s="619" t="str">
        <f>VLOOKUP(A330,[33]ÍNDICE!$C$6:$N$380,5,FALSE)</f>
        <v xml:space="preserve">GEOTEXTIL TIPO TEJIDO CON RESISTENCIA A LA TENSIÓN GRAB MÍNIMA DE 1400 N </v>
      </c>
      <c r="E330" s="581" t="str">
        <f>VLOOKUP(A330,[33]ÍNDICE!$C$6:$N$380,2,FALSE)</f>
        <v>m2</v>
      </c>
      <c r="F330" s="585">
        <f>(20+2)*2</f>
        <v>44</v>
      </c>
      <c r="G330" s="648">
        <f>VLOOKUP(A330,[33]ÍNDICE!$C$6:$N$380,12,FALSE)</f>
        <v>12861.24633460756</v>
      </c>
      <c r="H330" s="583">
        <f>F330*G330</f>
        <v>565894.83872273262</v>
      </c>
    </row>
    <row r="331" spans="1:9" s="565" customFormat="1" ht="26.1" customHeight="1" thickBot="1">
      <c r="A331" s="655" t="s">
        <v>535</v>
      </c>
      <c r="B331" s="571" t="str">
        <f t="shared" si="36"/>
        <v>681-13</v>
      </c>
      <c r="C331" s="571"/>
      <c r="D331" s="619" t="str">
        <f>VLOOKUP(A331,[33]ÍNDICE!$C$6:$N$380,5,FALSE)</f>
        <v>GAVIONES DE MALLA DE ALAMBRE DE ACERO ENTRELAZADO CLASE 1; RECUBRIMIENTO DE ZINC (GALVANIZADO)</v>
      </c>
      <c r="E331" s="581" t="str">
        <f>VLOOKUP(A331,[33]ÍNDICE!$C$6:$N$380,2,FALSE)</f>
        <v>m3</v>
      </c>
      <c r="F331" s="585">
        <v>20</v>
      </c>
      <c r="G331" s="648">
        <f>VLOOKUP(A331,[33]ÍNDICE!$C$6:$N$380,12,FALSE)</f>
        <v>601666.19528525032</v>
      </c>
      <c r="H331" s="583">
        <f t="shared" si="37"/>
        <v>12033323.905705007</v>
      </c>
    </row>
    <row r="332" spans="1:9" s="565" customFormat="1" ht="15" customHeight="1" thickTop="1">
      <c r="A332" s="574"/>
      <c r="B332" s="574"/>
      <c r="C332" s="574"/>
      <c r="D332" s="575"/>
      <c r="E332" s="589"/>
      <c r="F332" s="590"/>
      <c r="G332" s="600" t="s">
        <v>524</v>
      </c>
      <c r="H332" s="1507">
        <f>SUM(H324:H331)</f>
        <v>28269680.080529362</v>
      </c>
    </row>
    <row r="333" spans="1:9" s="565" customFormat="1" ht="15" customHeight="1">
      <c r="A333" s="577"/>
      <c r="B333" s="577"/>
      <c r="C333" s="577"/>
      <c r="D333" s="578"/>
      <c r="E333" s="562"/>
      <c r="F333" s="580"/>
      <c r="G333" s="601" t="s">
        <v>525</v>
      </c>
      <c r="H333" s="1508">
        <f>SUM(H332:H332)*0.05*0.19/1.3</f>
        <v>206586.12366540689</v>
      </c>
    </row>
    <row r="334" spans="1:9" s="565" customFormat="1" ht="15" customHeight="1" thickBot="1">
      <c r="A334" s="561"/>
      <c r="B334" s="560"/>
      <c r="C334" s="560"/>
      <c r="D334" s="561"/>
      <c r="E334" s="562"/>
      <c r="F334" s="580"/>
      <c r="G334" s="601" t="s">
        <v>526</v>
      </c>
      <c r="H334" s="1509">
        <f>+ROUND(H332+H333,0)</f>
        <v>28476266</v>
      </c>
    </row>
    <row r="335" spans="1:9" s="565" customFormat="1" ht="15" customHeight="1" thickTop="1">
      <c r="A335" s="561"/>
      <c r="B335" s="560"/>
      <c r="C335" s="560"/>
      <c r="D335" s="561"/>
      <c r="E335" s="562"/>
      <c r="F335" s="580"/>
      <c r="G335" s="579"/>
      <c r="H335" s="1510"/>
      <c r="I335" s="570"/>
    </row>
    <row r="336" spans="1:9" s="565" customFormat="1" ht="15" customHeight="1" thickBot="1">
      <c r="A336" s="566"/>
      <c r="B336" s="567"/>
      <c r="C336" s="566" t="s">
        <v>572</v>
      </c>
      <c r="D336" s="566"/>
      <c r="E336" s="567"/>
      <c r="F336" s="566"/>
      <c r="G336" s="568"/>
      <c r="H336" s="569"/>
    </row>
    <row r="337" spans="1:12" s="565" customFormat="1" ht="15" customHeight="1" thickTop="1">
      <c r="A337" s="655" t="s">
        <v>549</v>
      </c>
      <c r="B337" s="571" t="str">
        <f t="shared" ref="B337:B342" si="38">MID(A337,1,3)&amp;"-"&amp;13</f>
        <v>201-13</v>
      </c>
      <c r="C337" s="571"/>
      <c r="D337" s="619" t="str">
        <f>VLOOKUP(A337,[33]ÍNDICE!$C$6:$N$380,5,FALSE)</f>
        <v>DEMOLICIÓN DE ESTRUCTURAS</v>
      </c>
      <c r="E337" s="581" t="str">
        <f>VLOOKUP(A337,[33]ÍNDICE!$C$6:$N$380,2,FALSE)</f>
        <v>m3</v>
      </c>
      <c r="F337" s="582">
        <f>20*0.4*1</f>
        <v>8</v>
      </c>
      <c r="G337" s="648">
        <f>VLOOKUP(A337,[33]ÍNDICE!$C$6:$N$380,12,FALSE)</f>
        <v>217760.49497573468</v>
      </c>
      <c r="H337" s="583">
        <f t="shared" ref="H337:H342" si="39">F337*G337</f>
        <v>1742083.9598058774</v>
      </c>
    </row>
    <row r="338" spans="1:12" s="565" customFormat="1" ht="15" customHeight="1">
      <c r="A338" s="655" t="s">
        <v>528</v>
      </c>
      <c r="B338" s="571" t="str">
        <f t="shared" si="38"/>
        <v>600-13</v>
      </c>
      <c r="C338" s="571"/>
      <c r="D338" s="619" t="str">
        <f>VLOOKUP(A338,[33]ÍNDICE!$C$6:$N$380,5,FALSE)</f>
        <v>EXCAVACIONES VARIAS SIN CLASIFICAR</v>
      </c>
      <c r="E338" s="581" t="str">
        <f>VLOOKUP(A338,[33]ÍNDICE!$C$6:$N$380,2,FALSE)</f>
        <v>m3</v>
      </c>
      <c r="F338" s="585">
        <f>20*2.5*4</f>
        <v>200</v>
      </c>
      <c r="G338" s="648">
        <f>VLOOKUP(A338,[33]ÍNDICE!$C$6:$N$380,12,FALSE)</f>
        <v>58828.261120639472</v>
      </c>
      <c r="H338" s="583">
        <f t="shared" si="39"/>
        <v>11765652.224127894</v>
      </c>
    </row>
    <row r="339" spans="1:12" s="565" customFormat="1" ht="15" customHeight="1">
      <c r="A339" s="1214" t="s">
        <v>530</v>
      </c>
      <c r="B339" s="572" t="str">
        <f>MID(A339,1,3)&amp;"-"&amp;13</f>
        <v>610-13</v>
      </c>
      <c r="C339" s="572"/>
      <c r="D339" s="619" t="str">
        <f>VLOOKUP(A339,[33]ÍNDICE!$C$6:$N$380,5,FALSE)</f>
        <v>RELLENO PARA ESTRUCTURAS CON SUELO (analizado sin preparación de la superficie base del relleno)</v>
      </c>
      <c r="E339" s="581" t="str">
        <f>VLOOKUP(A339,[33]ÍNDICE!$C$6:$N$380,2,FALSE)</f>
        <v>m3</v>
      </c>
      <c r="F339" s="584">
        <f>F338*0.3</f>
        <v>60</v>
      </c>
      <c r="G339" s="648">
        <f>VLOOKUP(A339,[33]ÍNDICE!$C$6:$N$380,12,FALSE)</f>
        <v>162354.11090657322</v>
      </c>
      <c r="H339" s="573">
        <f>F339*G339</f>
        <v>9741246.6543943938</v>
      </c>
    </row>
    <row r="340" spans="1:12" s="565" customFormat="1" ht="15" customHeight="1">
      <c r="A340" s="655" t="s">
        <v>532</v>
      </c>
      <c r="B340" s="571" t="str">
        <f t="shared" si="38"/>
        <v>630-13</v>
      </c>
      <c r="C340" s="571"/>
      <c r="D340" s="619" t="str">
        <f>VLOOKUP(A340,[33]ÍNDICE!$C$6:$N$380,5,FALSE)</f>
        <v>CONCRETO CICLÓPEO RESISTENCIA 14MPa (G)</v>
      </c>
      <c r="E340" s="581" t="str">
        <f>VLOOKUP(A340,[33]ÍNDICE!$C$6:$N$380,2,FALSE)</f>
        <v>m3</v>
      </c>
      <c r="F340" s="598">
        <f>15</f>
        <v>15</v>
      </c>
      <c r="G340" s="648">
        <f>VLOOKUP(A340,[33]ÍNDICE!$C$6:$N$380,12,FALSE)</f>
        <v>680494.66759275761</v>
      </c>
      <c r="H340" s="583">
        <f t="shared" si="39"/>
        <v>10207420.013891364</v>
      </c>
    </row>
    <row r="341" spans="1:12" s="565" customFormat="1" ht="15" customHeight="1">
      <c r="A341" s="655" t="s">
        <v>534</v>
      </c>
      <c r="B341" s="571" t="str">
        <f>MID(A341,1,3)&amp;"-"&amp;13</f>
        <v>673-13</v>
      </c>
      <c r="C341" s="571"/>
      <c r="D341" s="619" t="str">
        <f>VLOOKUP(A341,[33]ÍNDICE!$C$6:$N$380,5,FALSE)</f>
        <v xml:space="preserve">GEOTEXTIL TIPO TEJIDO CON RESISTENCIA A LA TENSIÓN GRAB MÍNIMA DE 1400 N </v>
      </c>
      <c r="E341" s="581" t="str">
        <f>VLOOKUP(A341,[33]ÍNDICE!$C$6:$N$380,2,FALSE)</f>
        <v>m2</v>
      </c>
      <c r="F341" s="585">
        <v>130</v>
      </c>
      <c r="G341" s="648">
        <f>VLOOKUP(A341,[33]ÍNDICE!$C$6:$N$380,12,FALSE)</f>
        <v>12861.24633460756</v>
      </c>
      <c r="H341" s="583">
        <f>F341*G341</f>
        <v>1671962.0234989829</v>
      </c>
    </row>
    <row r="342" spans="1:12" s="565" customFormat="1" ht="26.1" customHeight="1" thickBot="1">
      <c r="A342" s="655" t="s">
        <v>535</v>
      </c>
      <c r="B342" s="571" t="str">
        <f t="shared" si="38"/>
        <v>681-13</v>
      </c>
      <c r="C342" s="571"/>
      <c r="D342" s="619" t="str">
        <f>VLOOKUP(A342,[33]ÍNDICE!$C$6:$N$380,5,FALSE)</f>
        <v>GAVIONES DE MALLA DE ALAMBRE DE ACERO ENTRELAZADO CLASE 1; RECUBRIMIENTO DE ZINC (GALVANIZADO)</v>
      </c>
      <c r="E342" s="581" t="str">
        <f>VLOOKUP(A342,[33]ÍNDICE!$C$6:$N$380,2,FALSE)</f>
        <v>m3</v>
      </c>
      <c r="F342" s="585">
        <f>20*8</f>
        <v>160</v>
      </c>
      <c r="G342" s="648">
        <f>VLOOKUP(A342,[33]ÍNDICE!$C$6:$N$380,12,FALSE)</f>
        <v>601666.19528525032</v>
      </c>
      <c r="H342" s="583">
        <f t="shared" si="39"/>
        <v>96266591.245640054</v>
      </c>
    </row>
    <row r="343" spans="1:12" s="565" customFormat="1" ht="15" customHeight="1" thickTop="1">
      <c r="A343" s="574"/>
      <c r="B343" s="574"/>
      <c r="C343" s="574"/>
      <c r="D343" s="575"/>
      <c r="E343" s="589"/>
      <c r="F343" s="590"/>
      <c r="G343" s="600" t="s">
        <v>524</v>
      </c>
      <c r="H343" s="1507">
        <f>SUM(H337:H342)</f>
        <v>131394956.12135857</v>
      </c>
    </row>
    <row r="344" spans="1:12" s="565" customFormat="1" ht="15" customHeight="1">
      <c r="A344" s="577"/>
      <c r="B344" s="946"/>
      <c r="C344" s="946"/>
      <c r="D344" s="947"/>
      <c r="E344" s="948"/>
      <c r="F344" s="949"/>
      <c r="G344" s="950" t="s">
        <v>525</v>
      </c>
      <c r="H344" s="1513">
        <f>SUM(H343:H343)*0.05*0.19/1.3</f>
        <v>960193.91011762037</v>
      </c>
    </row>
    <row r="345" spans="1:12" s="565" customFormat="1" ht="15" customHeight="1" thickBot="1">
      <c r="A345" s="561"/>
      <c r="B345" s="951"/>
      <c r="C345" s="951"/>
      <c r="D345" s="952"/>
      <c r="E345" s="948"/>
      <c r="F345" s="949"/>
      <c r="G345" s="950" t="s">
        <v>526</v>
      </c>
      <c r="H345" s="1509">
        <f>+ROUND(H343+H344,0)</f>
        <v>132355150</v>
      </c>
    </row>
    <row r="346" spans="1:12" s="565" customFormat="1" ht="15" customHeight="1" thickTop="1">
      <c r="A346" s="561"/>
      <c r="B346" s="951"/>
      <c r="C346" s="951"/>
      <c r="D346" s="952"/>
      <c r="E346" s="948"/>
      <c r="F346" s="949"/>
      <c r="G346" s="953"/>
      <c r="H346" s="1510"/>
    </row>
    <row r="347" spans="1:12" s="565" customFormat="1" ht="13.5" thickBot="1">
      <c r="A347" s="566"/>
      <c r="B347" s="567"/>
      <c r="C347" s="566" t="s">
        <v>573</v>
      </c>
      <c r="D347" s="566"/>
      <c r="E347" s="567"/>
      <c r="F347" s="566"/>
      <c r="G347" s="616"/>
      <c r="H347" s="569"/>
    </row>
    <row r="348" spans="1:12" s="565" customFormat="1" ht="15" customHeight="1" thickTop="1">
      <c r="A348" s="1215" t="s">
        <v>528</v>
      </c>
      <c r="B348" s="572" t="str">
        <f>MID(A348,1,3)&amp;"-"&amp;13</f>
        <v>600-13</v>
      </c>
      <c r="C348" s="572"/>
      <c r="D348" s="619" t="str">
        <f>VLOOKUP(A348,[33]ÍNDICE!$C$6:$N$380,5,FALSE)</f>
        <v>EXCAVACIONES VARIAS SIN CLASIFICAR</v>
      </c>
      <c r="E348" s="581" t="str">
        <f>VLOOKUP(A348,[33]ÍNDICE!$C$6:$N$380,2,FALSE)</f>
        <v>m3</v>
      </c>
      <c r="F348" s="584">
        <v>3</v>
      </c>
      <c r="G348" s="613">
        <f>VLOOKUP(A348,[33]ÍNDICE!$C$6:$N$380,12,FALSE)</f>
        <v>58828.261120639472</v>
      </c>
      <c r="H348" s="573">
        <f>F348*G348</f>
        <v>176484.78336191841</v>
      </c>
      <c r="J348" s="620"/>
      <c r="K348" s="620"/>
      <c r="L348" s="620"/>
    </row>
    <row r="349" spans="1:12" s="565" customFormat="1" ht="15" customHeight="1">
      <c r="A349" s="655" t="s">
        <v>530</v>
      </c>
      <c r="B349" s="572" t="str">
        <f>MID(A349,1,3)&amp;"-"&amp;13</f>
        <v>610-13</v>
      </c>
      <c r="C349" s="571"/>
      <c r="D349" s="619" t="str">
        <f>VLOOKUP(A349,[33]ÍNDICE!$C$6:$N$380,5,FALSE)</f>
        <v>RELLENO PARA ESTRUCTURAS CON SUELO (analizado sin preparación de la superficie base del relleno)</v>
      </c>
      <c r="E349" s="581" t="str">
        <f>VLOOKUP(A349,[33]ÍNDICE!$C$6:$N$380,2,FALSE)</f>
        <v>m3</v>
      </c>
      <c r="F349" s="585">
        <v>12</v>
      </c>
      <c r="G349" s="613">
        <f>VLOOKUP(A349,[33]ÍNDICE!$C$6:$N$380,12,FALSE)</f>
        <v>162354.11090657322</v>
      </c>
      <c r="H349" s="573">
        <f>F349*G349</f>
        <v>1948249.3308788785</v>
      </c>
    </row>
    <row r="350" spans="1:12" s="565" customFormat="1" ht="15" customHeight="1">
      <c r="A350" s="655" t="s">
        <v>537</v>
      </c>
      <c r="B350" s="572" t="str">
        <f>MID(A350,1,3)&amp;"-"&amp;13</f>
        <v>630-13</v>
      </c>
      <c r="C350" s="571"/>
      <c r="D350" s="619" t="str">
        <f>VLOOKUP(A350,[33]ÍNDICE!$C$6:$N$380,5,FALSE)</f>
        <v>CONCRETO REFORZADO RESISTENCIA 21MPa (D) - MEZCLA IN SITU</v>
      </c>
      <c r="E350" s="581" t="str">
        <f>VLOOKUP(A350,[33]ÍNDICE!$C$6:$N$380,2,FALSE)</f>
        <v>m3</v>
      </c>
      <c r="F350" s="586">
        <v>6</v>
      </c>
      <c r="G350" s="613">
        <f>VLOOKUP(A350,[33]ÍNDICE!$C$6:$N$380,12,FALSE)</f>
        <v>1243512.4574943627</v>
      </c>
      <c r="H350" s="573">
        <f>F350*G350</f>
        <v>7461074.7449661763</v>
      </c>
    </row>
    <row r="351" spans="1:12" s="565" customFormat="1" ht="15" customHeight="1">
      <c r="A351" s="655" t="s">
        <v>541</v>
      </c>
      <c r="B351" s="572" t="str">
        <f>MID(A351,1,3)&amp;"-"&amp;13</f>
        <v>640-13</v>
      </c>
      <c r="C351" s="571"/>
      <c r="D351" s="619" t="str">
        <f>VLOOKUP(A351,[33]ÍNDICE!$C$6:$N$380,5,FALSE)</f>
        <v>ACERO DE REFUERZO Fy 4200 MPa</v>
      </c>
      <c r="E351" s="581" t="str">
        <f>VLOOKUP(A351,[33]ÍNDICE!$C$6:$N$380,2,FALSE)</f>
        <v>kg</v>
      </c>
      <c r="F351" s="586">
        <v>159</v>
      </c>
      <c r="G351" s="613">
        <f>VLOOKUP(A351,[33]ÍNDICE!$C$6:$N$380,12,FALSE)</f>
        <v>7547.7371417119648</v>
      </c>
      <c r="H351" s="573">
        <f>F351*G351</f>
        <v>1200090.2055322025</v>
      </c>
    </row>
    <row r="352" spans="1:12" s="565" customFormat="1" ht="28.5" customHeight="1" thickBot="1">
      <c r="A352" s="655" t="s">
        <v>545</v>
      </c>
      <c r="B352" s="572" t="str">
        <f>MID(A352,1,3)&amp;"-"&amp;13</f>
        <v>671-13</v>
      </c>
      <c r="C352" s="571"/>
      <c r="D352" s="619" t="str">
        <f>VLOOKUP(A352,[33]ÍNDICE!$C$6:$N$380,5,FALSE)</f>
        <v>CUNETA DE CONCRETO VACIADA IN SITU; INCLUYE LA CONFORMACIÓN DE LA SUPERFICIE DE APOYO</v>
      </c>
      <c r="E352" s="581" t="str">
        <f>VLOOKUP(A352,[33]ÍNDICE!$C$6:$N$380,2,FALSE)</f>
        <v>m3</v>
      </c>
      <c r="F352" s="586">
        <v>1</v>
      </c>
      <c r="G352" s="613">
        <f>VLOOKUP(A352,[33]ÍNDICE!$C$6:$N$380,12,FALSE)</f>
        <v>1106254.0341245155</v>
      </c>
      <c r="H352" s="573">
        <f>F352*G352</f>
        <v>1106254.0341245155</v>
      </c>
    </row>
    <row r="353" spans="1:10" s="565" customFormat="1" ht="15" customHeight="1" thickTop="1">
      <c r="A353" s="574"/>
      <c r="B353" s="574"/>
      <c r="C353" s="574"/>
      <c r="D353" s="575"/>
      <c r="E353" s="589"/>
      <c r="F353" s="590"/>
      <c r="G353" s="600" t="s">
        <v>524</v>
      </c>
      <c r="H353" s="1507">
        <f>SUM(H348:H352)</f>
        <v>11892153.098863691</v>
      </c>
    </row>
    <row r="354" spans="1:10" s="565" customFormat="1" ht="15" customHeight="1">
      <c r="A354" s="577"/>
      <c r="B354" s="577"/>
      <c r="C354" s="577"/>
      <c r="D354" s="578"/>
      <c r="E354" s="562"/>
      <c r="F354" s="580"/>
      <c r="G354" s="601" t="s">
        <v>525</v>
      </c>
      <c r="H354" s="1508">
        <f>ROUND((+H353*0.05*0.19)/(1+0.3),0)</f>
        <v>86904</v>
      </c>
    </row>
    <row r="355" spans="1:10" s="565" customFormat="1" ht="15" customHeight="1" thickBot="1">
      <c r="A355" s="561"/>
      <c r="B355" s="560"/>
      <c r="C355" s="560"/>
      <c r="D355" s="561"/>
      <c r="E355" s="562"/>
      <c r="F355" s="580"/>
      <c r="G355" s="601" t="s">
        <v>526</v>
      </c>
      <c r="H355" s="1509">
        <f>+ROUND(H353+H354,0)</f>
        <v>11979057</v>
      </c>
    </row>
    <row r="356" spans="1:10" s="565" customFormat="1" ht="15" customHeight="1" thickTop="1">
      <c r="A356" s="561"/>
      <c r="B356" s="560"/>
      <c r="C356" s="560"/>
      <c r="D356" s="561"/>
      <c r="E356" s="562"/>
      <c r="F356" s="580"/>
      <c r="G356" s="579"/>
      <c r="H356" s="1510"/>
    </row>
    <row r="357" spans="1:10" s="565" customFormat="1" ht="13.5" thickBot="1">
      <c r="A357" s="566"/>
      <c r="B357" s="567"/>
      <c r="C357" s="566" t="s">
        <v>574</v>
      </c>
      <c r="D357" s="566"/>
      <c r="E357" s="567"/>
      <c r="F357" s="566"/>
      <c r="G357" s="616"/>
      <c r="H357" s="569"/>
    </row>
    <row r="358" spans="1:10" s="565" customFormat="1" ht="15" customHeight="1" thickTop="1">
      <c r="A358" s="655" t="s">
        <v>528</v>
      </c>
      <c r="B358" s="571" t="str">
        <f t="shared" ref="B358:B364" si="40">MID(A358,1,3)&amp;"-"&amp;13</f>
        <v>600-13</v>
      </c>
      <c r="C358" s="571"/>
      <c r="D358" s="619" t="str">
        <f>VLOOKUP(A358,[33]ÍNDICE!$C$6:$N$380,5,FALSE)</f>
        <v>EXCAVACIONES VARIAS SIN CLASIFICAR</v>
      </c>
      <c r="E358" s="581" t="str">
        <f>VLOOKUP(A358,[33]ÍNDICE!$C$6:$N$380,2,FALSE)</f>
        <v>m3</v>
      </c>
      <c r="F358" s="618">
        <v>92</v>
      </c>
      <c r="G358" s="613">
        <f>VLOOKUP(A358,[33]ÍNDICE!$C$6:$N$380,12,FALSE)</f>
        <v>58828.261120639472</v>
      </c>
      <c r="H358" s="583">
        <f t="shared" ref="H358:H364" si="41">F358*G358</f>
        <v>5412200.0230988311</v>
      </c>
    </row>
    <row r="359" spans="1:10" s="565" customFormat="1" ht="26.1" customHeight="1">
      <c r="A359" s="655" t="s">
        <v>530</v>
      </c>
      <c r="B359" s="571" t="str">
        <f t="shared" si="40"/>
        <v>610-13</v>
      </c>
      <c r="C359" s="571"/>
      <c r="D359" s="619" t="str">
        <f>VLOOKUP(A359,[33]ÍNDICE!$C$6:$N$380,5,FALSE)</f>
        <v>RELLENO PARA ESTRUCTURAS CON SUELO (analizado sin preparación de la superficie base del relleno)</v>
      </c>
      <c r="E359" s="581" t="str">
        <f>VLOOKUP(A359,[33]ÍNDICE!$C$6:$N$380,2,FALSE)</f>
        <v>m3</v>
      </c>
      <c r="F359" s="618">
        <v>156</v>
      </c>
      <c r="G359" s="613">
        <f>VLOOKUP(A359,[33]ÍNDICE!$C$6:$N$380,12,FALSE)</f>
        <v>162354.11090657322</v>
      </c>
      <c r="H359" s="583">
        <f t="shared" si="41"/>
        <v>25327241.301425423</v>
      </c>
    </row>
    <row r="360" spans="1:10" s="565" customFormat="1" ht="48.95" customHeight="1">
      <c r="A360" s="655" t="s">
        <v>537</v>
      </c>
      <c r="B360" s="571" t="str">
        <f t="shared" si="40"/>
        <v>630-13</v>
      </c>
      <c r="C360" s="571"/>
      <c r="D360" s="619" t="str">
        <f>VLOOKUP(A360,[33]ÍNDICE!$C$6:$N$380,5,FALSE)</f>
        <v>CONCRETO REFORZADO RESISTENCIA 21MPa (D) - MEZCLA IN SITU</v>
      </c>
      <c r="E360" s="581" t="str">
        <f>VLOOKUP(A360,[33]ÍNDICE!$C$6:$N$380,2,FALSE)</f>
        <v>m3</v>
      </c>
      <c r="F360" s="618">
        <v>15</v>
      </c>
      <c r="G360" s="613">
        <f>VLOOKUP(A360,[33]ÍNDICE!$C$6:$N$380,12,FALSE)</f>
        <v>1243512.4574943627</v>
      </c>
      <c r="H360" s="583">
        <f t="shared" si="41"/>
        <v>18652686.86241544</v>
      </c>
    </row>
    <row r="361" spans="1:10" s="565" customFormat="1" ht="15" customHeight="1">
      <c r="A361" s="655" t="s">
        <v>539</v>
      </c>
      <c r="B361" s="571" t="str">
        <f t="shared" si="40"/>
        <v>630-13</v>
      </c>
      <c r="C361" s="571"/>
      <c r="D361" s="619" t="str">
        <f>VLOOKUP(A361,[33]ÍNDICE!$C$6:$N$380,5,FALSE)</f>
        <v>CONCRETO LIVIANO RESISTENCIA 14MPa (F) - MEZCLA IN SITU</v>
      </c>
      <c r="E361" s="581" t="str">
        <f>VLOOKUP(A361,[33]ÍNDICE!$C$6:$N$380,2,FALSE)</f>
        <v>m3</v>
      </c>
      <c r="F361" s="585">
        <v>5</v>
      </c>
      <c r="G361" s="613">
        <f>VLOOKUP(A361,[33]ÍNDICE!$C$6:$N$380,12,FALSE)</f>
        <v>894326.16342625197</v>
      </c>
      <c r="H361" s="583">
        <f t="shared" si="41"/>
        <v>4471630.8171312595</v>
      </c>
    </row>
    <row r="362" spans="1:10" s="565" customFormat="1" ht="15" customHeight="1">
      <c r="A362" s="655" t="s">
        <v>541</v>
      </c>
      <c r="B362" s="571" t="str">
        <f t="shared" si="40"/>
        <v>640-13</v>
      </c>
      <c r="C362" s="571"/>
      <c r="D362" s="619" t="str">
        <f>VLOOKUP(A362,[33]ÍNDICE!$C$6:$N$380,5,FALSE)</f>
        <v>ACERO DE REFUERZO Fy 4200 MPa</v>
      </c>
      <c r="E362" s="581" t="str">
        <f>VLOOKUP(A362,[33]ÍNDICE!$C$6:$N$380,2,FALSE)</f>
        <v>kg</v>
      </c>
      <c r="F362" s="586">
        <v>317</v>
      </c>
      <c r="G362" s="613">
        <f>VLOOKUP(A362,[33]ÍNDICE!$C$6:$N$380,12,FALSE)</f>
        <v>7547.7371417119648</v>
      </c>
      <c r="H362" s="583">
        <f t="shared" si="41"/>
        <v>2392632.6739226929</v>
      </c>
    </row>
    <row r="363" spans="1:10" s="565" customFormat="1" ht="25.5" customHeight="1">
      <c r="A363" s="655" t="s">
        <v>534</v>
      </c>
      <c r="B363" s="571" t="str">
        <f t="shared" si="40"/>
        <v>673-13</v>
      </c>
      <c r="C363" s="587"/>
      <c r="D363" s="619" t="str">
        <f>VLOOKUP(A363,[33]ÍNDICE!$C$6:$N$380,5,FALSE)</f>
        <v xml:space="preserve">GEOTEXTIL TIPO TEJIDO CON RESISTENCIA A LA TENSIÓN GRAB MÍNIMA DE 1400 N </v>
      </c>
      <c r="E363" s="581" t="str">
        <f>VLOOKUP(A363,[33]ÍNDICE!$C$6:$N$380,2,FALSE)</f>
        <v>m2</v>
      </c>
      <c r="F363" s="585">
        <v>156</v>
      </c>
      <c r="G363" s="613">
        <f>VLOOKUP(A363,[33]ÍNDICE!$C$6:$N$380,12,FALSE)</f>
        <v>12861.24633460756</v>
      </c>
      <c r="H363" s="583">
        <f t="shared" si="41"/>
        <v>2006354.4281987795</v>
      </c>
    </row>
    <row r="364" spans="1:10" s="565" customFormat="1" ht="36.75" thickBot="1">
      <c r="A364" s="655" t="s">
        <v>542</v>
      </c>
      <c r="B364" s="571" t="str">
        <f t="shared" si="40"/>
        <v>681-13</v>
      </c>
      <c r="C364" s="571"/>
      <c r="D364" s="619" t="str">
        <f>VLOOKUP(A364,[33]ÍNDICE!$C$6:$N$380,5,FALSE)</f>
        <v>GAVIONES DE MALLA DE ALAMBRE DE ACERO ENTRELAZADO  CLASE 3; RECUBRIMIENTO DE ZINC (GALVANIZADO) Y PVC</v>
      </c>
      <c r="E364" s="581" t="str">
        <f>VLOOKUP(A364,[33]ÍNDICE!$C$6:$N$380,2,FALSE)</f>
        <v>m3</v>
      </c>
      <c r="F364" s="586">
        <v>136</v>
      </c>
      <c r="G364" s="613">
        <f>VLOOKUP(A364,[33]ÍNDICE!$C$6:$N$380,12,FALSE)</f>
        <v>575872.24869869393</v>
      </c>
      <c r="H364" s="583">
        <f t="shared" si="41"/>
        <v>78318625.82302238</v>
      </c>
      <c r="J364" s="588"/>
    </row>
    <row r="365" spans="1:10" s="565" customFormat="1" ht="15" customHeight="1" thickTop="1">
      <c r="A365" s="574"/>
      <c r="B365" s="574"/>
      <c r="C365" s="574"/>
      <c r="D365" s="575"/>
      <c r="E365" s="589"/>
      <c r="F365" s="590"/>
      <c r="G365" s="600" t="s">
        <v>524</v>
      </c>
      <c r="H365" s="1507">
        <f>SUM(H358:H364)</f>
        <v>136581371.92921481</v>
      </c>
    </row>
    <row r="366" spans="1:10" s="565" customFormat="1" ht="15" customHeight="1">
      <c r="A366" s="577"/>
      <c r="B366" s="577"/>
      <c r="C366" s="577"/>
      <c r="D366" s="578"/>
      <c r="E366" s="562"/>
      <c r="F366" s="580"/>
      <c r="G366" s="601" t="s">
        <v>525</v>
      </c>
      <c r="H366" s="1508">
        <f>ROUND((+H365*0.05*0.19)/(1+0.3),0)</f>
        <v>998095</v>
      </c>
    </row>
    <row r="367" spans="1:10" s="565" customFormat="1" ht="15" customHeight="1" thickBot="1">
      <c r="A367" s="561"/>
      <c r="B367" s="560"/>
      <c r="C367" s="560"/>
      <c r="D367" s="561"/>
      <c r="E367" s="562"/>
      <c r="F367" s="580"/>
      <c r="G367" s="601" t="s">
        <v>526</v>
      </c>
      <c r="H367" s="1509">
        <f>+ROUND(H365+H366,0)</f>
        <v>137579467</v>
      </c>
    </row>
    <row r="368" spans="1:10" s="565" customFormat="1" ht="15" customHeight="1" thickTop="1">
      <c r="A368" s="561"/>
      <c r="B368" s="560"/>
      <c r="C368" s="560"/>
      <c r="D368" s="561"/>
      <c r="E368" s="562"/>
      <c r="F368" s="563"/>
      <c r="G368" s="617"/>
      <c r="H368" s="1506"/>
    </row>
    <row r="369" spans="1:10" s="565" customFormat="1" ht="12.75" customHeight="1">
      <c r="A369" s="561"/>
      <c r="B369" s="560"/>
      <c r="C369" s="560"/>
      <c r="D369" s="561"/>
      <c r="E369" s="562"/>
      <c r="F369" s="563"/>
      <c r="G369" s="564"/>
      <c r="H369" s="1506"/>
    </row>
    <row r="370" spans="1:10" s="565" customFormat="1" ht="12.75" customHeight="1">
      <c r="A370" s="561"/>
      <c r="B370" s="560"/>
      <c r="C370" s="560"/>
      <c r="D370" s="561"/>
      <c r="E370" s="562"/>
      <c r="F370" s="563"/>
      <c r="G370" s="564"/>
      <c r="H370" s="1506"/>
    </row>
    <row r="371" spans="1:10" s="565" customFormat="1" ht="15" customHeight="1" thickBot="1">
      <c r="A371" s="566"/>
      <c r="B371" s="567"/>
      <c r="C371" s="566" t="s">
        <v>575</v>
      </c>
      <c r="D371" s="566"/>
      <c r="E371" s="567"/>
      <c r="F371" s="566"/>
      <c r="G371" s="568"/>
      <c r="H371" s="569"/>
      <c r="I371" s="570"/>
    </row>
    <row r="372" spans="1:10" s="565" customFormat="1" ht="15" customHeight="1" thickTop="1">
      <c r="A372" s="1217" t="s">
        <v>528</v>
      </c>
      <c r="B372" s="595" t="str">
        <f>MID(A372,1,3)&amp;"-"&amp;13</f>
        <v>600-13</v>
      </c>
      <c r="C372" s="595"/>
      <c r="D372" s="619" t="str">
        <f>VLOOKUP(A372,[33]ÍNDICE!$C$6:$N$380,5,FALSE)</f>
        <v>EXCAVACIONES VARIAS SIN CLASIFICAR</v>
      </c>
      <c r="E372" s="581" t="str">
        <f>VLOOKUP(A372,[33]ÍNDICE!$C$6:$N$380,2,FALSE)</f>
        <v>m3</v>
      </c>
      <c r="F372" s="596">
        <v>6</v>
      </c>
      <c r="G372" s="613">
        <f>VLOOKUP(A372,[33]ÍNDICE!$C$6:$N$380,12,FALSE)</f>
        <v>58828.261120639472</v>
      </c>
      <c r="H372" s="597">
        <f>F372*G372</f>
        <v>352969.56672383682</v>
      </c>
    </row>
    <row r="373" spans="1:10" s="565" customFormat="1" ht="15" customHeight="1">
      <c r="A373" s="655" t="s">
        <v>530</v>
      </c>
      <c r="B373" s="571" t="str">
        <f>MID(A373,1,3)&amp;"-"&amp;13</f>
        <v>610-13</v>
      </c>
      <c r="C373" s="571"/>
      <c r="D373" s="619" t="str">
        <f>VLOOKUP(A373,[33]ÍNDICE!$C$6:$N$380,5,FALSE)</f>
        <v>RELLENO PARA ESTRUCTURAS CON SUELO (analizado sin preparación de la superficie base del relleno)</v>
      </c>
      <c r="E373" s="581" t="str">
        <f>VLOOKUP(A373,[33]ÍNDICE!$C$6:$N$380,2,FALSE)</f>
        <v>m3</v>
      </c>
      <c r="F373" s="586">
        <f>10*0.6</f>
        <v>6</v>
      </c>
      <c r="G373" s="613">
        <f>VLOOKUP(A373,[33]ÍNDICE!$C$6:$N$380,12,FALSE)</f>
        <v>162354.11090657322</v>
      </c>
      <c r="H373" s="583">
        <f>F373*G373</f>
        <v>974124.66543943924</v>
      </c>
    </row>
    <row r="374" spans="1:10" s="565" customFormat="1" ht="15" customHeight="1">
      <c r="A374" s="655" t="s">
        <v>532</v>
      </c>
      <c r="B374" s="571" t="str">
        <f>MID(A374,1,3)&amp;"-"&amp;13</f>
        <v>630-13</v>
      </c>
      <c r="C374" s="571"/>
      <c r="D374" s="619" t="str">
        <f>VLOOKUP(A374,[33]ÍNDICE!$C$6:$N$380,5,FALSE)</f>
        <v>CONCRETO CICLÓPEO RESISTENCIA 14MPa (G)</v>
      </c>
      <c r="E374" s="581" t="str">
        <f>VLOOKUP(A374,[33]ÍNDICE!$C$6:$N$380,2,FALSE)</f>
        <v>m3</v>
      </c>
      <c r="F374" s="598">
        <v>2</v>
      </c>
      <c r="G374" s="613">
        <f>VLOOKUP(A374,[33]ÍNDICE!$C$6:$N$380,12,FALSE)</f>
        <v>680494.66759275761</v>
      </c>
      <c r="H374" s="583">
        <f>F374*G374</f>
        <v>1360989.3351855152</v>
      </c>
    </row>
    <row r="375" spans="1:10" s="565" customFormat="1" ht="15" customHeight="1">
      <c r="A375" s="655" t="s">
        <v>534</v>
      </c>
      <c r="B375" s="571" t="str">
        <f>MID(A375,1,3)&amp;"-"&amp;13</f>
        <v>673-13</v>
      </c>
      <c r="C375" s="571"/>
      <c r="D375" s="619" t="str">
        <f>VLOOKUP(A375,[33]ÍNDICE!$C$6:$N$380,5,FALSE)</f>
        <v xml:space="preserve">GEOTEXTIL TIPO TEJIDO CON RESISTENCIA A LA TENSIÓN GRAB MÍNIMA DE 1400 N </v>
      </c>
      <c r="E375" s="581" t="str">
        <f>VLOOKUP(A375,[33]ÍNDICE!$C$6:$N$380,2,FALSE)</f>
        <v>m2</v>
      </c>
      <c r="F375" s="585">
        <v>12</v>
      </c>
      <c r="G375" s="613">
        <f>VLOOKUP(A375,[33]ÍNDICE!$C$6:$N$380,12,FALSE)</f>
        <v>12861.24633460756</v>
      </c>
      <c r="H375" s="583">
        <f>F375*G375</f>
        <v>154334.95601529072</v>
      </c>
    </row>
    <row r="376" spans="1:10" s="565" customFormat="1" ht="26.1" customHeight="1" thickBot="1">
      <c r="A376" s="655" t="s">
        <v>535</v>
      </c>
      <c r="B376" s="571" t="str">
        <f>MID(A376,1,3)&amp;"-"&amp;13</f>
        <v>681-13</v>
      </c>
      <c r="C376" s="571"/>
      <c r="D376" s="619" t="str">
        <f>VLOOKUP(A376,[33]ÍNDICE!$C$6:$N$380,5,FALSE)</f>
        <v>GAVIONES DE MALLA DE ALAMBRE DE ACERO ENTRELAZADO CLASE 1; RECUBRIMIENTO DE ZINC (GALVANIZADO)</v>
      </c>
      <c r="E376" s="581" t="str">
        <f>VLOOKUP(A376,[33]ÍNDICE!$C$6:$N$380,2,FALSE)</f>
        <v>m3</v>
      </c>
      <c r="F376" s="585">
        <v>8</v>
      </c>
      <c r="G376" s="613">
        <f>VLOOKUP(A376,[33]ÍNDICE!$C$6:$N$380,12,FALSE)</f>
        <v>601666.19528525032</v>
      </c>
      <c r="H376" s="583">
        <f>F376*G376</f>
        <v>4813329.5622820025</v>
      </c>
    </row>
    <row r="377" spans="1:10" s="565" customFormat="1" ht="15" customHeight="1" thickTop="1">
      <c r="A377" s="574"/>
      <c r="B377" s="574"/>
      <c r="C377" s="574"/>
      <c r="D377" s="575"/>
      <c r="E377" s="589"/>
      <c r="F377" s="590"/>
      <c r="G377" s="600" t="s">
        <v>524</v>
      </c>
      <c r="H377" s="1507">
        <f>SUM(H372:H376)</f>
        <v>7655748.0856460845</v>
      </c>
    </row>
    <row r="378" spans="1:10" s="565" customFormat="1" ht="15" customHeight="1">
      <c r="A378" s="577"/>
      <c r="B378" s="577"/>
      <c r="C378" s="577"/>
      <c r="D378" s="578"/>
      <c r="E378" s="562"/>
      <c r="F378" s="580"/>
      <c r="G378" s="601" t="s">
        <v>525</v>
      </c>
      <c r="H378" s="1508">
        <f>SUM(H377:H377)*0.05*0.19/1.3</f>
        <v>55945.851395106001</v>
      </c>
    </row>
    <row r="379" spans="1:10" s="565" customFormat="1" ht="15" customHeight="1" thickBot="1">
      <c r="A379" s="561"/>
      <c r="B379" s="560"/>
      <c r="C379" s="560"/>
      <c r="D379" s="561"/>
      <c r="E379" s="562"/>
      <c r="F379" s="580"/>
      <c r="G379" s="601" t="s">
        <v>526</v>
      </c>
      <c r="H379" s="1509">
        <f>+ROUND(H377+H378,0)</f>
        <v>7711694</v>
      </c>
      <c r="I379" s="570"/>
    </row>
    <row r="380" spans="1:10" s="565" customFormat="1" ht="15" customHeight="1" thickTop="1">
      <c r="A380" s="561"/>
      <c r="B380" s="560"/>
      <c r="C380" s="560"/>
      <c r="D380" s="561"/>
      <c r="E380" s="562"/>
      <c r="F380" s="563"/>
      <c r="G380" s="617"/>
      <c r="H380" s="1506"/>
    </row>
    <row r="381" spans="1:10" s="565" customFormat="1" ht="15" customHeight="1">
      <c r="A381" s="561"/>
      <c r="B381" s="560"/>
      <c r="C381" s="560"/>
      <c r="D381" s="561"/>
      <c r="E381" s="562"/>
      <c r="F381" s="563"/>
      <c r="G381" s="617"/>
      <c r="H381" s="1506"/>
    </row>
    <row r="382" spans="1:10" s="565" customFormat="1" ht="13.5" thickBot="1">
      <c r="A382" s="566"/>
      <c r="B382" s="567"/>
      <c r="C382" s="566" t="s">
        <v>576</v>
      </c>
      <c r="D382" s="566"/>
      <c r="E382" s="567"/>
      <c r="F382" s="566"/>
      <c r="G382" s="616"/>
      <c r="H382" s="569"/>
    </row>
    <row r="383" spans="1:10" s="565" customFormat="1" ht="15" customHeight="1" thickTop="1">
      <c r="A383" s="1217" t="s">
        <v>549</v>
      </c>
      <c r="B383" s="571" t="str">
        <f>MID(A383,1,3)&amp;"-"&amp;13</f>
        <v>201-13</v>
      </c>
      <c r="C383" s="595"/>
      <c r="D383" s="619" t="str">
        <f>VLOOKUP(A383,[33]ÍNDICE!$C$6:$N$380,5,FALSE)</f>
        <v>DEMOLICIÓN DE ESTRUCTURAS</v>
      </c>
      <c r="E383" s="581" t="str">
        <f>VLOOKUP(A383,[33]ÍNDICE!$C$6:$N$380,2,FALSE)</f>
        <v>m3</v>
      </c>
      <c r="F383" s="608">
        <v>36</v>
      </c>
      <c r="G383" s="613">
        <f>VLOOKUP(A383,[33]ÍNDICE!$C$6:$N$380,12,FALSE)</f>
        <v>217760.49497573468</v>
      </c>
      <c r="H383" s="597">
        <f>F383*G383</f>
        <v>7839377.8191264486</v>
      </c>
      <c r="J383" s="565" t="s">
        <v>577</v>
      </c>
    </row>
    <row r="384" spans="1:10" s="565" customFormat="1" ht="15" customHeight="1">
      <c r="A384" s="571" t="s">
        <v>578</v>
      </c>
      <c r="B384" s="571" t="str">
        <f t="shared" ref="B384:B398" si="42">MID(A384,1,3)&amp;"-"&amp;13</f>
        <v>330-13</v>
      </c>
      <c r="C384" s="571"/>
      <c r="D384" s="619" t="str">
        <f>VLOOKUP(A384,[33]ÍNDICE!$C$6:$N$380,5,FALSE)</f>
        <v>BASE GRANULAR PARA BACHEO CLASE A GRADACION FINA</v>
      </c>
      <c r="E384" s="581" t="str">
        <f>VLOOKUP(A384,[33]ÍNDICE!$C$6:$N$380,2,FALSE)</f>
        <v>m3</v>
      </c>
      <c r="F384" s="618">
        <v>307</v>
      </c>
      <c r="G384" s="613">
        <f>VLOOKUP(A384,[33]ÍNDICE!$C$6:$N$380,12,FALSE)</f>
        <v>468038.05777015106</v>
      </c>
      <c r="H384" s="583">
        <f t="shared" ref="H384:H398" si="43">F384*G384</f>
        <v>143687683.73543638</v>
      </c>
    </row>
    <row r="385" spans="1:10" s="565" customFormat="1" ht="26.1" customHeight="1">
      <c r="A385" s="571" t="s">
        <v>554</v>
      </c>
      <c r="B385" s="571" t="str">
        <f t="shared" si="42"/>
        <v>450-13</v>
      </c>
      <c r="C385" s="571"/>
      <c r="D385" s="619" t="str">
        <f>VLOOKUP(A385,[33]ÍNDICE!$C$6:$N$380,5,FALSE)</f>
        <v xml:space="preserve">MEZCLA DENSA EN CALIENTE TIPO MDC‐19 - COMPRA DE MEZCLA </v>
      </c>
      <c r="E385" s="581" t="str">
        <f>VLOOKUP(A385,[33]ÍNDICE!$C$6:$N$380,2,FALSE)</f>
        <v>m3</v>
      </c>
      <c r="F385" s="618">
        <v>90</v>
      </c>
      <c r="G385" s="613">
        <f>VLOOKUP(A385,[33]ÍNDICE!$C$6:$N$380,12,FALSE)</f>
        <v>1677232.0782508166</v>
      </c>
      <c r="H385" s="583">
        <f t="shared" si="43"/>
        <v>150950887.04257348</v>
      </c>
    </row>
    <row r="386" spans="1:10" s="565" customFormat="1" ht="41.25" customHeight="1">
      <c r="A386" s="571" t="s">
        <v>579</v>
      </c>
      <c r="B386" s="571" t="str">
        <f t="shared" si="42"/>
        <v>465-13</v>
      </c>
      <c r="C386" s="571"/>
      <c r="D386" s="619" t="str">
        <f>VLOOKUP(A386,[33]ÍNDICE!$C$6:$N$380,5,FALSE)</f>
        <v>EXCAVACIÓN PARA REPARACIÓN DE PAVIMENTO ASFÁLTICO EXISTENTE INCLUYENDO EL CORTE Y LA REMOCIÓN DE LAS CAPAS ASFÁLTICAS SUBYACENTES</v>
      </c>
      <c r="E386" s="581" t="str">
        <f>VLOOKUP(A386,[33]ÍNDICE!$C$6:$N$380,2,FALSE)</f>
        <v>m3</v>
      </c>
      <c r="F386" s="618">
        <v>40</v>
      </c>
      <c r="G386" s="613">
        <f>VLOOKUP(A386,[33]ÍNDICE!$C$6:$N$380,12,FALSE)</f>
        <v>100979.71246565928</v>
      </c>
      <c r="H386" s="583">
        <f t="shared" si="43"/>
        <v>4039188.4986263709</v>
      </c>
    </row>
    <row r="387" spans="1:10" s="565" customFormat="1" ht="15" customHeight="1">
      <c r="A387" s="655" t="s">
        <v>528</v>
      </c>
      <c r="B387" s="571" t="str">
        <f t="shared" si="42"/>
        <v>600-13</v>
      </c>
      <c r="C387" s="571"/>
      <c r="D387" s="619" t="str">
        <f>VLOOKUP(A387,[33]ÍNDICE!$C$6:$N$380,5,FALSE)</f>
        <v>EXCAVACIONES VARIAS SIN CLASIFICAR</v>
      </c>
      <c r="E387" s="581" t="str">
        <f>VLOOKUP(A387,[33]ÍNDICE!$C$6:$N$380,2,FALSE)</f>
        <v>m3</v>
      </c>
      <c r="F387" s="585">
        <v>420</v>
      </c>
      <c r="G387" s="613">
        <f>VLOOKUP(A387,[33]ÍNDICE!$C$6:$N$380,12,FALSE)</f>
        <v>58828.261120639472</v>
      </c>
      <c r="H387" s="583">
        <f t="shared" si="43"/>
        <v>24707869.67066858</v>
      </c>
    </row>
    <row r="388" spans="1:10" s="565" customFormat="1" ht="15" customHeight="1">
      <c r="A388" s="655" t="s">
        <v>530</v>
      </c>
      <c r="B388" s="571" t="str">
        <f t="shared" si="42"/>
        <v>610-13</v>
      </c>
      <c r="C388" s="571"/>
      <c r="D388" s="619" t="str">
        <f>VLOOKUP(A388,[33]ÍNDICE!$C$6:$N$380,5,FALSE)</f>
        <v>RELLENO PARA ESTRUCTURAS CON SUELO (analizado sin preparación de la superficie base del relleno)</v>
      </c>
      <c r="E388" s="581" t="str">
        <f>VLOOKUP(A388,[33]ÍNDICE!$C$6:$N$380,2,FALSE)</f>
        <v>m3</v>
      </c>
      <c r="F388" s="586">
        <f>F387*0.4</f>
        <v>168</v>
      </c>
      <c r="G388" s="613">
        <f>VLOOKUP(A388,[33]ÍNDICE!$C$6:$N$380,12,FALSE)</f>
        <v>162354.11090657322</v>
      </c>
      <c r="H388" s="583">
        <f t="shared" si="43"/>
        <v>27275490.6323043</v>
      </c>
    </row>
    <row r="389" spans="1:10" s="565" customFormat="1" ht="15" customHeight="1">
      <c r="A389" s="655" t="s">
        <v>537</v>
      </c>
      <c r="B389" s="571" t="str">
        <f>MID(A389,1,3)&amp;"-"&amp;13</f>
        <v>630-13</v>
      </c>
      <c r="C389" s="571"/>
      <c r="D389" s="619" t="str">
        <f>VLOOKUP(A389,[33]ÍNDICE!$C$6:$N$380,5,FALSE)</f>
        <v>CONCRETO REFORZADO RESISTENCIA 21MPa (D) - MEZCLA IN SITU</v>
      </c>
      <c r="E389" s="581" t="str">
        <f>VLOOKUP(A389,[33]ÍNDICE!$C$6:$N$380,2,FALSE)</f>
        <v>m3</v>
      </c>
      <c r="F389" s="586">
        <v>65</v>
      </c>
      <c r="G389" s="613">
        <f>VLOOKUP(A389,[33]ÍNDICE!$C$6:$N$380,12,FALSE)</f>
        <v>1243512.4574943627</v>
      </c>
      <c r="H389" s="583">
        <f>F389*G389</f>
        <v>80828309.737133577</v>
      </c>
      <c r="J389" s="588"/>
    </row>
    <row r="390" spans="1:10" s="565" customFormat="1" ht="15" customHeight="1">
      <c r="A390" s="655" t="s">
        <v>531</v>
      </c>
      <c r="B390" s="571" t="str">
        <f>MID(A390,1,3)&amp;"-"&amp;13</f>
        <v>630-13</v>
      </c>
      <c r="C390" s="571"/>
      <c r="D390" s="619" t="str">
        <f>VLOOKUP(A390,[33]ÍNDICE!$C$6:$N$380,5,FALSE)</f>
        <v>CONCRETO SIMPLE RESISTENCIA 17 MPa - MEZCLA IN SITU</v>
      </c>
      <c r="E390" s="581" t="str">
        <f>VLOOKUP(A390,[33]ÍNDICE!$C$6:$N$380,2,FALSE)</f>
        <v>m3</v>
      </c>
      <c r="F390" s="586">
        <v>30</v>
      </c>
      <c r="G390" s="613">
        <f>VLOOKUP(A390,[33]ÍNDICE!$C$6:$N$380,12,FALSE)</f>
        <v>994779.33062365581</v>
      </c>
      <c r="H390" s="583">
        <f>F390*G390</f>
        <v>29843379.918709673</v>
      </c>
    </row>
    <row r="391" spans="1:10" s="565" customFormat="1" ht="15" customHeight="1">
      <c r="A391" s="655" t="s">
        <v>541</v>
      </c>
      <c r="B391" s="571" t="str">
        <f>MID(A391,1,3)&amp;"-"&amp;13</f>
        <v>640-13</v>
      </c>
      <c r="C391" s="571"/>
      <c r="D391" s="619" t="str">
        <f>VLOOKUP(A391,[33]ÍNDICE!$C$6:$N$380,5,FALSE)</f>
        <v>ACERO DE REFUERZO Fy 4200 MPa</v>
      </c>
      <c r="E391" s="581" t="str">
        <f>VLOOKUP(A391,[33]ÍNDICE!$C$6:$N$380,2,FALSE)</f>
        <v>kg</v>
      </c>
      <c r="F391" s="585">
        <f>(F389+F390)*105*0.5</f>
        <v>4987.5</v>
      </c>
      <c r="G391" s="613">
        <f>VLOOKUP(A391,[33]ÍNDICE!$C$6:$N$380,12,FALSE)</f>
        <v>7547.7371417119648</v>
      </c>
      <c r="H391" s="583">
        <f>F391*G391</f>
        <v>37644338.994288422</v>
      </c>
    </row>
    <row r="392" spans="1:10" s="565" customFormat="1" ht="26.1" customHeight="1">
      <c r="A392" s="571" t="s">
        <v>580</v>
      </c>
      <c r="B392" s="571" t="str">
        <f t="shared" si="42"/>
        <v>661-13</v>
      </c>
      <c r="C392" s="571"/>
      <c r="D392" s="619" t="str">
        <f>VLOOKUP(A392,[33]ÍNDICE!$C$6:$N$380,5,FALSE)</f>
        <v>TUBERIA DE CONCRETO REFORZADO, CLASE III DE 900mm DE DIAMETRO INTERIOR</v>
      </c>
      <c r="E392" s="581" t="str">
        <f>VLOOKUP(A392,[33]ÍNDICE!$C$6:$N$380,2,FALSE)</f>
        <v>m</v>
      </c>
      <c r="F392" s="621">
        <v>11</v>
      </c>
      <c r="G392" s="613">
        <f>VLOOKUP(A392,[33]ÍNDICE!$C$6:$N$380,12,FALSE)</f>
        <v>1451200.3231315203</v>
      </c>
      <c r="H392" s="611">
        <f t="shared" si="43"/>
        <v>15963203.554446723</v>
      </c>
    </row>
    <row r="393" spans="1:10" s="565" customFormat="1" ht="26.1" customHeight="1">
      <c r="A393" s="655" t="s">
        <v>545</v>
      </c>
      <c r="B393" s="571" t="str">
        <f t="shared" si="42"/>
        <v>671-13</v>
      </c>
      <c r="C393" s="571"/>
      <c r="D393" s="619" t="str">
        <f>VLOOKUP(A393,[33]ÍNDICE!$C$6:$N$380,5,FALSE)</f>
        <v>CUNETA DE CONCRETO VACIADA IN SITU; INCLUYE LA CONFORMACIÓN DE LA SUPERFICIE DE APOYO</v>
      </c>
      <c r="E393" s="581" t="str">
        <f>VLOOKUP(A393,[33]ÍNDICE!$C$6:$N$380,2,FALSE)</f>
        <v>m3</v>
      </c>
      <c r="F393" s="586">
        <v>40</v>
      </c>
      <c r="G393" s="613">
        <f>VLOOKUP(A393,[33]ÍNDICE!$C$6:$N$380,12,FALSE)</f>
        <v>1106254.0341245155</v>
      </c>
      <c r="H393" s="583">
        <f t="shared" si="43"/>
        <v>44250161.364980623</v>
      </c>
    </row>
    <row r="394" spans="1:10" s="565" customFormat="1" ht="15" customHeight="1">
      <c r="A394" s="655" t="s">
        <v>534</v>
      </c>
      <c r="B394" s="571" t="str">
        <f>MID(A394,1,3)&amp;"-"&amp;13</f>
        <v>673-13</v>
      </c>
      <c r="C394" s="571"/>
      <c r="D394" s="619" t="str">
        <f>VLOOKUP(A394,[33]ÍNDICE!$C$6:$N$380,5,FALSE)</f>
        <v xml:space="preserve">GEOTEXTIL TIPO TEJIDO CON RESISTENCIA A LA TENSIÓN GRAB MÍNIMA DE 1400 N </v>
      </c>
      <c r="E394" s="581" t="str">
        <f>VLOOKUP(A394,[33]ÍNDICE!$C$6:$N$380,2,FALSE)</f>
        <v>m2</v>
      </c>
      <c r="F394" s="585">
        <v>1500</v>
      </c>
      <c r="G394" s="613">
        <f>VLOOKUP(A394,[33]ÍNDICE!$C$6:$N$380,12,FALSE)</f>
        <v>12861.24633460756</v>
      </c>
      <c r="H394" s="583">
        <f>F394*G394</f>
        <v>19291869.501911338</v>
      </c>
    </row>
    <row r="395" spans="1:10" s="565" customFormat="1" ht="15" customHeight="1">
      <c r="A395" s="655" t="s">
        <v>547</v>
      </c>
      <c r="B395" s="571" t="str">
        <f t="shared" si="42"/>
        <v>673-13</v>
      </c>
      <c r="C395" s="571"/>
      <c r="D395" s="619" t="str">
        <f>VLOOKUP(A395,[33]ÍNDICE!$C$6:$N$380,5,FALSE)</f>
        <v>MATERIAL GRANULAR DRENANTE</v>
      </c>
      <c r="E395" s="581" t="str">
        <f>VLOOKUP(A395,[33]ÍNDICE!$C$6:$N$380,2,FALSE)</f>
        <v>m3</v>
      </c>
      <c r="F395" s="586">
        <v>330</v>
      </c>
      <c r="G395" s="613">
        <f>VLOOKUP(A395,[33]ÍNDICE!$C$6:$N$380,12,FALSE)</f>
        <v>372207.28893037047</v>
      </c>
      <c r="H395" s="583">
        <f t="shared" si="43"/>
        <v>122828405.34702225</v>
      </c>
    </row>
    <row r="396" spans="1:10" s="565" customFormat="1" ht="26.1" customHeight="1">
      <c r="A396" s="571" t="s">
        <v>581</v>
      </c>
      <c r="B396" s="571" t="str">
        <f t="shared" si="42"/>
        <v>674-13</v>
      </c>
      <c r="C396" s="614"/>
      <c r="D396" s="619" t="str">
        <f>VLOOKUP(A396,[33]ÍNDICE!$C$6:$N$380,5,FALSE)</f>
        <v>DREN HORIZONTAL DE LONGITUD MENOR O IGUAL A DIEZ (10) METROS</v>
      </c>
      <c r="E396" s="581" t="str">
        <f>VLOOKUP(A396,[33]ÍNDICE!$C$6:$N$380,2,FALSE)</f>
        <v>m</v>
      </c>
      <c r="F396" s="618">
        <f>0.3*6400/(4*4)*10</f>
        <v>1200</v>
      </c>
      <c r="G396" s="613">
        <f>VLOOKUP(A396,[33]ÍNDICE!$C$6:$N$380,12,FALSE)</f>
        <v>150185.86582288929</v>
      </c>
      <c r="H396" s="583">
        <f t="shared" si="43"/>
        <v>180223038.98746714</v>
      </c>
    </row>
    <row r="397" spans="1:10" s="565" customFormat="1" ht="24">
      <c r="A397" s="571" t="s">
        <v>582</v>
      </c>
      <c r="B397" s="571" t="str">
        <f t="shared" si="42"/>
        <v>674-13</v>
      </c>
      <c r="C397" s="614"/>
      <c r="D397" s="619" t="str">
        <f>VLOOKUP(A397,[33]ÍNDICE!$C$6:$N$380,5,FALSE)</f>
        <v>DREN HORIZONTAL DE LONGITUD MAYOR A DIEZ (10) METROS</v>
      </c>
      <c r="E397" s="581" t="str">
        <f>VLOOKUP(A397,[33]ÍNDICE!$C$6:$N$380,2,FALSE)</f>
        <v>m</v>
      </c>
      <c r="F397" s="618">
        <f>0.3*6400/(4*4)*15</f>
        <v>1800</v>
      </c>
      <c r="G397" s="613">
        <f>VLOOKUP(A397,[33]ÍNDICE!$C$6:$N$380,12,FALSE)</f>
        <v>281501.6705966685</v>
      </c>
      <c r="H397" s="583">
        <f t="shared" si="43"/>
        <v>506703007.07400328</v>
      </c>
    </row>
    <row r="398" spans="1:10" s="565" customFormat="1" ht="36.75" thickBot="1">
      <c r="A398" s="1216" t="s">
        <v>535</v>
      </c>
      <c r="B398" s="571" t="str">
        <f t="shared" si="42"/>
        <v>681-13</v>
      </c>
      <c r="C398" s="602"/>
      <c r="D398" s="619" t="str">
        <f>VLOOKUP(A398,[33]ÍNDICE!$C$6:$N$380,5,FALSE)</f>
        <v>GAVIONES DE MALLA DE ALAMBRE DE ACERO ENTRELAZADO CLASE 1; RECUBRIMIENTO DE ZINC (GALVANIZADO)</v>
      </c>
      <c r="E398" s="581" t="str">
        <f>VLOOKUP(A398,[33]ÍNDICE!$C$6:$N$380,2,FALSE)</f>
        <v>m3</v>
      </c>
      <c r="F398" s="603">
        <v>300</v>
      </c>
      <c r="G398" s="613">
        <f>VLOOKUP(A398,[33]ÍNDICE!$C$6:$N$380,12,FALSE)</f>
        <v>601666.19528525032</v>
      </c>
      <c r="H398" s="606">
        <f t="shared" si="43"/>
        <v>180499858.5855751</v>
      </c>
    </row>
    <row r="399" spans="1:10" s="565" customFormat="1" ht="15" customHeight="1" thickTop="1">
      <c r="A399" s="574"/>
      <c r="B399" s="574"/>
      <c r="C399" s="574"/>
      <c r="D399" s="575"/>
      <c r="E399" s="589"/>
      <c r="F399" s="590"/>
      <c r="G399" s="600" t="s">
        <v>524</v>
      </c>
      <c r="H399" s="1507">
        <f>SUM(H383:H398)</f>
        <v>1576576070.4642737</v>
      </c>
    </row>
    <row r="400" spans="1:10" s="565" customFormat="1" ht="15" customHeight="1">
      <c r="A400" s="577"/>
      <c r="B400" s="577"/>
      <c r="C400" s="577"/>
      <c r="D400" s="578"/>
      <c r="E400" s="562"/>
      <c r="F400" s="580"/>
      <c r="G400" s="601" t="s">
        <v>525</v>
      </c>
      <c r="H400" s="1508">
        <f>ROUND((+H399*0.05*0.19)/(1+0.3),0)</f>
        <v>11521133</v>
      </c>
    </row>
    <row r="401" spans="1:10" s="565" customFormat="1" ht="15" customHeight="1" thickBot="1">
      <c r="A401" s="561"/>
      <c r="B401" s="560"/>
      <c r="C401" s="560"/>
      <c r="D401" s="561"/>
      <c r="E401" s="562"/>
      <c r="F401" s="580"/>
      <c r="G401" s="601" t="s">
        <v>526</v>
      </c>
      <c r="H401" s="1509">
        <f>+ROUND(H399+H400,0)</f>
        <v>1588097203</v>
      </c>
    </row>
    <row r="402" spans="1:10" s="565" customFormat="1" ht="15" customHeight="1" thickTop="1">
      <c r="A402" s="561"/>
      <c r="B402" s="560"/>
      <c r="C402" s="560"/>
      <c r="D402" s="561"/>
      <c r="E402" s="562"/>
      <c r="F402" s="580"/>
      <c r="G402" s="579"/>
      <c r="H402" s="1510"/>
    </row>
    <row r="403" spans="1:10" s="565" customFormat="1" ht="15" customHeight="1" thickBot="1">
      <c r="A403" s="566"/>
      <c r="B403" s="567"/>
      <c r="C403" s="566" t="s">
        <v>583</v>
      </c>
      <c r="D403" s="566"/>
      <c r="E403" s="567"/>
      <c r="F403" s="566"/>
      <c r="G403" s="568"/>
      <c r="H403" s="569"/>
      <c r="I403" s="570"/>
    </row>
    <row r="404" spans="1:10" s="565" customFormat="1" ht="15" customHeight="1" thickTop="1">
      <c r="A404" s="655" t="s">
        <v>528</v>
      </c>
      <c r="B404" s="571" t="str">
        <f t="shared" ref="B404:B409" si="44">MID(A404,1,3)&amp;"-"&amp;13</f>
        <v>600-13</v>
      </c>
      <c r="C404" s="571"/>
      <c r="D404" s="619" t="str">
        <f>VLOOKUP(A404,[33]ÍNDICE!$C$6:$N$380,5,FALSE)</f>
        <v>EXCAVACIONES VARIAS SIN CLASIFICAR</v>
      </c>
      <c r="E404" s="581" t="str">
        <f>VLOOKUP(A404,[33]ÍNDICE!$C$6:$N$380,2,FALSE)</f>
        <v>m3</v>
      </c>
      <c r="F404" s="585">
        <f>100*0.5*0.6</f>
        <v>30</v>
      </c>
      <c r="G404" s="613">
        <f>VLOOKUP(A404,[33]ÍNDICE!$C$6:$N$380,12,FALSE)</f>
        <v>58828.261120639472</v>
      </c>
      <c r="H404" s="583">
        <f t="shared" ref="H404:H409" si="45">F404*G404</f>
        <v>1764847.8336191841</v>
      </c>
    </row>
    <row r="405" spans="1:10" s="565" customFormat="1" ht="15" customHeight="1">
      <c r="A405" s="655" t="s">
        <v>530</v>
      </c>
      <c r="B405" s="571" t="str">
        <f t="shared" si="44"/>
        <v>610-13</v>
      </c>
      <c r="C405" s="571"/>
      <c r="D405" s="619" t="str">
        <f>VLOOKUP(A405,[33]ÍNDICE!$C$6:$N$380,5,FALSE)</f>
        <v>RELLENO PARA ESTRUCTURAS CON SUELO (analizado sin preparación de la superficie base del relleno)</v>
      </c>
      <c r="E405" s="581" t="str">
        <f>VLOOKUP(A405,[33]ÍNDICE!$C$6:$N$380,2,FALSE)</f>
        <v>m3</v>
      </c>
      <c r="F405" s="586">
        <f>50*5*5</f>
        <v>1250</v>
      </c>
      <c r="G405" s="613">
        <f>VLOOKUP(A405,[33]ÍNDICE!$C$6:$N$380,12,FALSE)</f>
        <v>162354.11090657322</v>
      </c>
      <c r="H405" s="583">
        <f t="shared" si="45"/>
        <v>202942638.63321653</v>
      </c>
    </row>
    <row r="406" spans="1:10" s="565" customFormat="1" ht="15" customHeight="1">
      <c r="A406" s="655" t="s">
        <v>537</v>
      </c>
      <c r="B406" s="571" t="str">
        <f t="shared" si="44"/>
        <v>630-13</v>
      </c>
      <c r="C406" s="571"/>
      <c r="D406" s="619" t="str">
        <f>VLOOKUP(A406,[33]ÍNDICE!$C$6:$N$380,5,FALSE)</f>
        <v>CONCRETO REFORZADO RESISTENCIA 21MPa (D) - MEZCLA IN SITU</v>
      </c>
      <c r="E406" s="581" t="str">
        <f>VLOOKUP(A406,[33]ÍNDICE!$C$6:$N$380,2,FALSE)</f>
        <v>m3</v>
      </c>
      <c r="F406" s="586">
        <f>+(100*0.15*1)+(100*2*0.6*0.15)</f>
        <v>33</v>
      </c>
      <c r="G406" s="613">
        <f>VLOOKUP(A406,[33]ÍNDICE!$C$6:$N$380,12,FALSE)</f>
        <v>1243512.4574943627</v>
      </c>
      <c r="H406" s="583">
        <f t="shared" si="45"/>
        <v>41035911.09731397</v>
      </c>
      <c r="J406" s="588"/>
    </row>
    <row r="407" spans="1:10" s="565" customFormat="1" ht="15" customHeight="1">
      <c r="A407" s="655" t="s">
        <v>532</v>
      </c>
      <c r="B407" s="571" t="str">
        <f t="shared" si="44"/>
        <v>630-13</v>
      </c>
      <c r="C407" s="571"/>
      <c r="D407" s="619" t="str">
        <f>VLOOKUP(A407,[33]ÍNDICE!$C$6:$N$380,5,FALSE)</f>
        <v>CONCRETO CICLÓPEO RESISTENCIA 14MPa (G)</v>
      </c>
      <c r="E407" s="581" t="str">
        <f>VLOOKUP(A407,[33]ÍNDICE!$C$6:$N$380,2,FALSE)</f>
        <v>m3</v>
      </c>
      <c r="F407" s="586">
        <f>2*10*10</f>
        <v>200</v>
      </c>
      <c r="G407" s="613">
        <f>VLOOKUP(A407,[33]ÍNDICE!$C$6:$N$380,12,FALSE)</f>
        <v>680494.66759275761</v>
      </c>
      <c r="H407" s="583">
        <f t="shared" si="45"/>
        <v>136098933.51855153</v>
      </c>
      <c r="J407" s="588"/>
    </row>
    <row r="408" spans="1:10" s="565" customFormat="1" ht="15" customHeight="1">
      <c r="A408" s="655" t="s">
        <v>531</v>
      </c>
      <c r="B408" s="571" t="str">
        <f t="shared" si="44"/>
        <v>630-13</v>
      </c>
      <c r="C408" s="571"/>
      <c r="D408" s="619" t="str">
        <f>VLOOKUP(A408,[33]ÍNDICE!$C$6:$N$380,5,FALSE)</f>
        <v>CONCRETO SIMPLE RESISTENCIA 17 MPa - MEZCLA IN SITU</v>
      </c>
      <c r="E408" s="581" t="str">
        <f>VLOOKUP(A408,[33]ÍNDICE!$C$6:$N$380,2,FALSE)</f>
        <v>m3</v>
      </c>
      <c r="F408" s="586">
        <f>100*0.02*1</f>
        <v>2</v>
      </c>
      <c r="G408" s="613">
        <f>VLOOKUP(A408,[33]ÍNDICE!$C$6:$N$380,12,FALSE)</f>
        <v>994779.33062365581</v>
      </c>
      <c r="H408" s="583">
        <f t="shared" si="45"/>
        <v>1989558.6612473116</v>
      </c>
    </row>
    <row r="409" spans="1:10" s="565" customFormat="1" ht="26.1" customHeight="1">
      <c r="A409" s="655" t="s">
        <v>541</v>
      </c>
      <c r="B409" s="571" t="str">
        <f t="shared" si="44"/>
        <v>640-13</v>
      </c>
      <c r="C409" s="571"/>
      <c r="D409" s="619" t="str">
        <f>VLOOKUP(A409,[33]ÍNDICE!$C$6:$N$380,5,FALSE)</f>
        <v>ACERO DE REFUERZO Fy 4200 MPa</v>
      </c>
      <c r="E409" s="581" t="str">
        <f>VLOOKUP(A409,[33]ÍNDICE!$C$6:$N$380,2,FALSE)</f>
        <v>kg</v>
      </c>
      <c r="F409" s="586">
        <v>1038</v>
      </c>
      <c r="G409" s="613">
        <f>VLOOKUP(A409,[33]ÍNDICE!$C$6:$N$380,12,FALSE)</f>
        <v>7547.7371417119648</v>
      </c>
      <c r="H409" s="583">
        <f t="shared" si="45"/>
        <v>7834551.1530970195</v>
      </c>
    </row>
    <row r="410" spans="1:10" s="565" customFormat="1" ht="24">
      <c r="A410" s="655" t="s">
        <v>534</v>
      </c>
      <c r="B410" s="571" t="str">
        <f>MID(A410,1,3)&amp;"-"&amp;13</f>
        <v>673-13</v>
      </c>
      <c r="C410" s="571"/>
      <c r="D410" s="619" t="str">
        <f>VLOOKUP(A410,[33]ÍNDICE!$C$6:$N$380,5,FALSE)</f>
        <v xml:space="preserve">GEOTEXTIL TIPO TEJIDO CON RESISTENCIA A LA TENSIÓN GRAB MÍNIMA DE 1400 N </v>
      </c>
      <c r="E410" s="581" t="str">
        <f>VLOOKUP(A410,[33]ÍNDICE!$C$6:$N$380,2,FALSE)</f>
        <v>m2</v>
      </c>
      <c r="F410" s="585">
        <f>10*10</f>
        <v>100</v>
      </c>
      <c r="G410" s="613">
        <f>VLOOKUP(A410,[33]ÍNDICE!$C$6:$N$380,12,FALSE)</f>
        <v>12861.24633460756</v>
      </c>
      <c r="H410" s="583">
        <f>F410*G410</f>
        <v>1286124.6334607559</v>
      </c>
    </row>
    <row r="411" spans="1:10" s="565" customFormat="1" ht="36.75" thickBot="1">
      <c r="A411" s="571" t="s">
        <v>584</v>
      </c>
      <c r="B411" s="571" t="str">
        <f>MID(A411,1,3)&amp;"-"&amp;13</f>
        <v>811-13</v>
      </c>
      <c r="C411" s="571"/>
      <c r="D411" s="619" t="str">
        <f>VLOOKUP(A411,[33]ÍNDICE!$C$6:$N$380,5,FALSE)</f>
        <v>PROTECCION DE TALUDES CON PRODUCTO ENROLLADO PARA CONTROL DE EROSION DE TIPO MANTO TEMPORAL</v>
      </c>
      <c r="E411" s="581" t="str">
        <f>VLOOKUP(A411,[33]ÍNDICE!$C$6:$N$380,2,FALSE)</f>
        <v>m2</v>
      </c>
      <c r="F411" s="586">
        <f>100*1.2*0.5</f>
        <v>60</v>
      </c>
      <c r="G411" s="613">
        <f>VLOOKUP(A411,[33]ÍNDICE!$C$6:$N$380,12,FALSE)</f>
        <v>49021.735452899913</v>
      </c>
      <c r="H411" s="583">
        <f>F411*G411</f>
        <v>2941304.1271739947</v>
      </c>
    </row>
    <row r="412" spans="1:10" s="565" customFormat="1" ht="15" customHeight="1" thickTop="1">
      <c r="A412" s="574"/>
      <c r="B412" s="574"/>
      <c r="C412" s="574"/>
      <c r="D412" s="575"/>
      <c r="E412" s="589"/>
      <c r="F412" s="590"/>
      <c r="G412" s="600" t="s">
        <v>524</v>
      </c>
      <c r="H412" s="1507">
        <f>SUM(H404:H411)</f>
        <v>395893869.65768033</v>
      </c>
    </row>
    <row r="413" spans="1:10" s="565" customFormat="1" ht="15" customHeight="1">
      <c r="A413" s="577"/>
      <c r="B413" s="577"/>
      <c r="C413" s="577"/>
      <c r="D413" s="578"/>
      <c r="E413" s="562"/>
      <c r="F413" s="580"/>
      <c r="G413" s="601" t="s">
        <v>525</v>
      </c>
      <c r="H413" s="1508">
        <f>ROUND((+H412*0.05*0.19)/(1+0.3),0)</f>
        <v>2893071</v>
      </c>
    </row>
    <row r="414" spans="1:10" s="565" customFormat="1" ht="15" customHeight="1" thickBot="1">
      <c r="A414" s="561"/>
      <c r="B414" s="560"/>
      <c r="C414" s="560"/>
      <c r="D414" s="561"/>
      <c r="E414" s="562"/>
      <c r="F414" s="580"/>
      <c r="G414" s="601" t="s">
        <v>526</v>
      </c>
      <c r="H414" s="1509">
        <f>+ROUND(H412+H413,0)</f>
        <v>398786941</v>
      </c>
      <c r="I414" s="570"/>
    </row>
    <row r="415" spans="1:10" s="565" customFormat="1" ht="15" customHeight="1" thickTop="1">
      <c r="A415" s="561"/>
      <c r="B415" s="560"/>
      <c r="C415" s="560"/>
      <c r="D415" s="561"/>
      <c r="E415" s="562"/>
      <c r="F415" s="580"/>
      <c r="G415" s="579"/>
      <c r="H415" s="1506"/>
      <c r="I415" s="570"/>
    </row>
    <row r="416" spans="1:10" s="565" customFormat="1" ht="15" customHeight="1" thickBot="1">
      <c r="A416" s="566"/>
      <c r="B416" s="567"/>
      <c r="C416" s="566" t="s">
        <v>585</v>
      </c>
      <c r="D416" s="566"/>
      <c r="E416" s="567"/>
      <c r="F416" s="566"/>
      <c r="G416" s="568"/>
      <c r="H416" s="569"/>
      <c r="I416" s="570"/>
    </row>
    <row r="417" spans="1:10" s="565" customFormat="1" ht="15" customHeight="1" thickTop="1">
      <c r="A417" s="595" t="s">
        <v>549</v>
      </c>
      <c r="B417" s="595" t="str">
        <f>MID(A417,1,3)&amp;"-"&amp;13</f>
        <v>201-13</v>
      </c>
      <c r="C417" s="595"/>
      <c r="D417" s="619" t="str">
        <f>VLOOKUP(A417,[33]ÍNDICE!$C$6:$N$380,5,FALSE)</f>
        <v>DEMOLICIÓN DE ESTRUCTURAS</v>
      </c>
      <c r="E417" s="581" t="str">
        <f>VLOOKUP(A417,[33]ÍNDICE!$C$6:$N$380,2,FALSE)</f>
        <v>m3</v>
      </c>
      <c r="F417" s="608">
        <v>5</v>
      </c>
      <c r="G417" s="613">
        <f>VLOOKUP(A417,[33]ÍNDICE!$C$6:$N$380,12,FALSE)</f>
        <v>217760.49497573468</v>
      </c>
      <c r="H417" s="597">
        <f>F417*G417</f>
        <v>1088802.4748786734</v>
      </c>
      <c r="J417" s="565" t="s">
        <v>577</v>
      </c>
    </row>
    <row r="418" spans="1:10" s="565" customFormat="1" ht="26.1" customHeight="1">
      <c r="A418" s="571" t="s">
        <v>554</v>
      </c>
      <c r="B418" s="571" t="str">
        <f t="shared" ref="B418:B426" si="46">MID(A418,1,3)&amp;"-"&amp;13</f>
        <v>450-13</v>
      </c>
      <c r="C418" s="571"/>
      <c r="D418" s="619" t="str">
        <f>VLOOKUP(A418,[33]ÍNDICE!$C$6:$N$380,5,FALSE)</f>
        <v xml:space="preserve">MEZCLA DENSA EN CALIENTE TIPO MDC‐19 - COMPRA DE MEZCLA </v>
      </c>
      <c r="E418" s="581" t="str">
        <f>VLOOKUP(A418,[33]ÍNDICE!$C$6:$N$380,2,FALSE)</f>
        <v>m3</v>
      </c>
      <c r="F418" s="618">
        <f>(2)*7*0.08*5</f>
        <v>5.6000000000000005</v>
      </c>
      <c r="G418" s="613">
        <f>VLOOKUP(A418,[33]ÍNDICE!$C$6:$N$380,12,FALSE)</f>
        <v>1677232.0782508166</v>
      </c>
      <c r="H418" s="583">
        <f t="shared" ref="H418:H426" si="47">F418*G418</f>
        <v>9392499.6382045727</v>
      </c>
    </row>
    <row r="419" spans="1:10" s="565" customFormat="1" ht="15" customHeight="1">
      <c r="A419" s="571" t="s">
        <v>528</v>
      </c>
      <c r="B419" s="571" t="str">
        <f t="shared" si="46"/>
        <v>600-13</v>
      </c>
      <c r="C419" s="571"/>
      <c r="D419" s="619" t="str">
        <f>VLOOKUP(A419,[33]ÍNDICE!$C$6:$N$380,5,FALSE)</f>
        <v>EXCAVACIONES VARIAS SIN CLASIFICAR</v>
      </c>
      <c r="E419" s="581" t="str">
        <f>VLOOKUP(A419,[33]ÍNDICE!$C$6:$N$380,2,FALSE)</f>
        <v>m3</v>
      </c>
      <c r="F419" s="585">
        <f>(60+2)*2+100*1.2*0.5</f>
        <v>184</v>
      </c>
      <c r="G419" s="613">
        <f>VLOOKUP(A419,[33]ÍNDICE!$C$6:$N$380,12,FALSE)</f>
        <v>58828.261120639472</v>
      </c>
      <c r="H419" s="583">
        <f t="shared" si="47"/>
        <v>10824400.046197662</v>
      </c>
    </row>
    <row r="420" spans="1:10" s="565" customFormat="1" ht="15" customHeight="1">
      <c r="A420" s="571" t="s">
        <v>530</v>
      </c>
      <c r="B420" s="571" t="str">
        <f t="shared" si="46"/>
        <v>610-13</v>
      </c>
      <c r="C420" s="571"/>
      <c r="D420" s="619" t="str">
        <f>VLOOKUP(A420,[33]ÍNDICE!$C$6:$N$380,5,FALSE)</f>
        <v>RELLENO PARA ESTRUCTURAS CON SUELO (analizado sin preparación de la superficie base del relleno)</v>
      </c>
      <c r="E420" s="581" t="str">
        <f>VLOOKUP(A420,[33]ÍNDICE!$C$6:$N$380,2,FALSE)</f>
        <v>m3</v>
      </c>
      <c r="F420" s="586">
        <f>60*0.5</f>
        <v>30</v>
      </c>
      <c r="G420" s="613">
        <f>VLOOKUP(A420,[33]ÍNDICE!$C$6:$N$380,12,FALSE)</f>
        <v>162354.11090657322</v>
      </c>
      <c r="H420" s="583">
        <f t="shared" si="47"/>
        <v>4870623.3271971969</v>
      </c>
    </row>
    <row r="421" spans="1:10" s="565" customFormat="1" ht="15" customHeight="1">
      <c r="A421" s="571" t="s">
        <v>537</v>
      </c>
      <c r="B421" s="571" t="str">
        <f t="shared" si="46"/>
        <v>630-13</v>
      </c>
      <c r="C421" s="571"/>
      <c r="D421" s="619" t="str">
        <f>VLOOKUP(A421,[33]ÍNDICE!$C$6:$N$380,5,FALSE)</f>
        <v>CONCRETO REFORZADO RESISTENCIA 21MPa (D) - MEZCLA IN SITU</v>
      </c>
      <c r="E421" s="581" t="str">
        <f>VLOOKUP(A421,[33]ÍNDICE!$C$6:$N$380,2,FALSE)</f>
        <v>m3</v>
      </c>
      <c r="F421" s="586">
        <v>10</v>
      </c>
      <c r="G421" s="613">
        <f>VLOOKUP(A421,[33]ÍNDICE!$C$6:$N$380,12,FALSE)</f>
        <v>1243512.4574943627</v>
      </c>
      <c r="H421" s="583">
        <f t="shared" si="47"/>
        <v>12435124.574943628</v>
      </c>
      <c r="J421" s="588"/>
    </row>
    <row r="422" spans="1:10" s="565" customFormat="1" ht="15" customHeight="1">
      <c r="A422" s="571" t="s">
        <v>531</v>
      </c>
      <c r="B422" s="571" t="str">
        <f t="shared" si="46"/>
        <v>630-13</v>
      </c>
      <c r="C422" s="571"/>
      <c r="D422" s="619" t="str">
        <f>VLOOKUP(A422,[33]ÍNDICE!$C$6:$N$380,5,FALSE)</f>
        <v>CONCRETO SIMPLE RESISTENCIA 17 MPa - MEZCLA IN SITU</v>
      </c>
      <c r="E422" s="581" t="str">
        <f>VLOOKUP(A422,[33]ÍNDICE!$C$6:$N$380,2,FALSE)</f>
        <v>m3</v>
      </c>
      <c r="F422" s="586">
        <v>8</v>
      </c>
      <c r="G422" s="613">
        <f>VLOOKUP(A422,[33]ÍNDICE!$C$6:$N$380,12,FALSE)</f>
        <v>994779.33062365581</v>
      </c>
      <c r="H422" s="583">
        <f t="shared" si="47"/>
        <v>7958234.6449892465</v>
      </c>
    </row>
    <row r="423" spans="1:10" s="565" customFormat="1" ht="26.1" customHeight="1">
      <c r="A423" s="571" t="s">
        <v>545</v>
      </c>
      <c r="B423" s="571" t="str">
        <f t="shared" si="46"/>
        <v>671-13</v>
      </c>
      <c r="C423" s="571"/>
      <c r="D423" s="619" t="str">
        <f>VLOOKUP(A423,[33]ÍNDICE!$C$6:$N$380,5,FALSE)</f>
        <v>CUNETA DE CONCRETO VACIADA IN SITU; INCLUYE LA CONFORMACIÓN DE LA SUPERFICIE DE APOYO</v>
      </c>
      <c r="E423" s="581" t="str">
        <f>VLOOKUP(A423,[33]ÍNDICE!$C$6:$N$380,2,FALSE)</f>
        <v>m3</v>
      </c>
      <c r="F423" s="586">
        <f>2*60*0.138</f>
        <v>16.560000000000002</v>
      </c>
      <c r="G423" s="613">
        <f>VLOOKUP(A423,[33]ÍNDICE!$C$6:$N$380,12,FALSE)</f>
        <v>1106254.0341245155</v>
      </c>
      <c r="H423" s="583">
        <f t="shared" si="47"/>
        <v>18319566.80510198</v>
      </c>
    </row>
    <row r="424" spans="1:10" s="565" customFormat="1" ht="15" customHeight="1">
      <c r="A424" s="571" t="s">
        <v>534</v>
      </c>
      <c r="B424" s="571" t="str">
        <f>MID(A424,1,3)&amp;"-"&amp;13</f>
        <v>673-13</v>
      </c>
      <c r="C424" s="571"/>
      <c r="D424" s="619" t="str">
        <f>VLOOKUP(A424,[33]ÍNDICE!$C$6:$N$380,5,FALSE)</f>
        <v xml:space="preserve">GEOTEXTIL TIPO TEJIDO CON RESISTENCIA A LA TENSIÓN GRAB MÍNIMA DE 1400 N </v>
      </c>
      <c r="E424" s="581" t="str">
        <f>VLOOKUP(A424,[33]ÍNDICE!$C$6:$N$380,2,FALSE)</f>
        <v>m2</v>
      </c>
      <c r="F424" s="585">
        <f>(60+2)*4.5</f>
        <v>279</v>
      </c>
      <c r="G424" s="613">
        <f>VLOOKUP(A424,[33]ÍNDICE!$C$6:$N$380,12,FALSE)</f>
        <v>12861.24633460756</v>
      </c>
      <c r="H424" s="583">
        <f>F424*G424</f>
        <v>3588287.7273555091</v>
      </c>
    </row>
    <row r="425" spans="1:10" s="565" customFormat="1" ht="15" customHeight="1">
      <c r="A425" s="571" t="s">
        <v>547</v>
      </c>
      <c r="B425" s="571" t="str">
        <f t="shared" si="46"/>
        <v>673-13</v>
      </c>
      <c r="C425" s="571"/>
      <c r="D425" s="619" t="str">
        <f>VLOOKUP(A425,[33]ÍNDICE!$C$6:$N$380,5,FALSE)</f>
        <v>MATERIAL GRANULAR DRENANTE</v>
      </c>
      <c r="E425" s="581" t="str">
        <f>VLOOKUP(A425,[33]ÍNDICE!$C$6:$N$380,2,FALSE)</f>
        <v>m3</v>
      </c>
      <c r="F425" s="586">
        <f>100*1.2*0.5</f>
        <v>60</v>
      </c>
      <c r="G425" s="613">
        <f>VLOOKUP(A425,[33]ÍNDICE!$C$6:$N$380,12,FALSE)</f>
        <v>372207.28893037047</v>
      </c>
      <c r="H425" s="583">
        <f t="shared" si="47"/>
        <v>22332437.335822228</v>
      </c>
    </row>
    <row r="426" spans="1:10" s="565" customFormat="1" ht="26.1" customHeight="1" thickBot="1">
      <c r="A426" s="602" t="s">
        <v>535</v>
      </c>
      <c r="B426" s="602" t="str">
        <f t="shared" si="46"/>
        <v>681-13</v>
      </c>
      <c r="C426" s="602"/>
      <c r="D426" s="619" t="str">
        <f>VLOOKUP(A426,[33]ÍNDICE!$C$6:$N$380,5,FALSE)</f>
        <v>GAVIONES DE MALLA DE ALAMBRE DE ACERO ENTRELAZADO CLASE 1; RECUBRIMIENTO DE ZINC (GALVANIZADO)</v>
      </c>
      <c r="E426" s="581" t="str">
        <f>VLOOKUP(A426,[33]ÍNDICE!$C$6:$N$380,2,FALSE)</f>
        <v>m3</v>
      </c>
      <c r="F426" s="603">
        <f>60*5</f>
        <v>300</v>
      </c>
      <c r="G426" s="613">
        <f>VLOOKUP(A426,[33]ÍNDICE!$C$6:$N$380,12,FALSE)</f>
        <v>601666.19528525032</v>
      </c>
      <c r="H426" s="606">
        <f t="shared" si="47"/>
        <v>180499858.5855751</v>
      </c>
    </row>
    <row r="427" spans="1:10" s="565" customFormat="1" ht="15" customHeight="1" thickTop="1">
      <c r="A427" s="574"/>
      <c r="B427" s="574"/>
      <c r="C427" s="574"/>
      <c r="D427" s="575"/>
      <c r="E427" s="589"/>
      <c r="F427" s="590"/>
      <c r="G427" s="600" t="s">
        <v>524</v>
      </c>
      <c r="H427" s="1507">
        <f>SUM(H417:H426)</f>
        <v>271309835.1602658</v>
      </c>
    </row>
    <row r="428" spans="1:10" s="565" customFormat="1" ht="15" customHeight="1">
      <c r="A428" s="577"/>
      <c r="B428" s="577"/>
      <c r="C428" s="577"/>
      <c r="D428" s="578"/>
      <c r="E428" s="562"/>
      <c r="F428" s="580"/>
      <c r="G428" s="601" t="s">
        <v>525</v>
      </c>
      <c r="H428" s="1508">
        <f>ROUND((+H427*0.05*0.19)/(1+0.3),0)</f>
        <v>1982649</v>
      </c>
    </row>
    <row r="429" spans="1:10" s="565" customFormat="1" ht="15" customHeight="1" thickBot="1">
      <c r="A429" s="561"/>
      <c r="B429" s="560"/>
      <c r="C429" s="560"/>
      <c r="D429" s="561"/>
      <c r="E429" s="562"/>
      <c r="F429" s="580"/>
      <c r="G429" s="601" t="s">
        <v>526</v>
      </c>
      <c r="H429" s="1509">
        <f>+ROUND(H427+H428,0)</f>
        <v>273292484</v>
      </c>
      <c r="I429" s="570"/>
    </row>
    <row r="430" spans="1:10" s="565" customFormat="1" ht="12.75" customHeight="1" thickTop="1">
      <c r="A430" s="561"/>
      <c r="B430" s="560"/>
      <c r="C430" s="560"/>
      <c r="D430" s="561"/>
      <c r="E430" s="562"/>
      <c r="F430" s="563"/>
      <c r="G430" s="564"/>
      <c r="H430" s="1506"/>
    </row>
    <row r="431" spans="1:10" s="565" customFormat="1" ht="13.5" thickBot="1">
      <c r="A431" s="566"/>
      <c r="B431" s="567"/>
      <c r="C431" s="566" t="s">
        <v>586</v>
      </c>
      <c r="D431" s="566"/>
      <c r="E431" s="567"/>
      <c r="F431" s="566"/>
      <c r="G431" s="568"/>
      <c r="H431" s="569"/>
      <c r="I431" s="570"/>
      <c r="J431" s="570"/>
    </row>
    <row r="432" spans="1:10" s="565" customFormat="1" ht="13.5" thickTop="1">
      <c r="A432" s="595" t="s">
        <v>549</v>
      </c>
      <c r="B432" s="571" t="str">
        <f>MID(A432,1,3)&amp;"-"&amp;13</f>
        <v>201-13</v>
      </c>
      <c r="C432" s="595"/>
      <c r="D432" s="619" t="str">
        <f>VLOOKUP(A432,[33]ÍNDICE!$C$6:$N$380,5,FALSE)</f>
        <v>DEMOLICIÓN DE ESTRUCTURAS</v>
      </c>
      <c r="E432" s="581" t="str">
        <f>VLOOKUP(A432,[33]ÍNDICE!$C$6:$N$380,2,FALSE)</f>
        <v>m3</v>
      </c>
      <c r="F432" s="608">
        <v>6</v>
      </c>
      <c r="G432" s="613">
        <f>VLOOKUP(A432,[33]ÍNDICE!$C$6:$N$380,12,FALSE)</f>
        <v>217760.49497573468</v>
      </c>
      <c r="H432" s="597">
        <f>F432*G432</f>
        <v>1306562.9698544079</v>
      </c>
      <c r="J432" s="570" t="s">
        <v>587</v>
      </c>
    </row>
    <row r="433" spans="1:10" s="565" customFormat="1" ht="15" customHeight="1">
      <c r="A433" s="571" t="s">
        <v>578</v>
      </c>
      <c r="B433" s="571" t="str">
        <f t="shared" ref="B433:B444" si="48">MID(A433,1,3)&amp;"-"&amp;13</f>
        <v>330-13</v>
      </c>
      <c r="C433" s="571"/>
      <c r="D433" s="619" t="str">
        <f>VLOOKUP(A433,[33]ÍNDICE!$C$6:$N$380,5,FALSE)</f>
        <v>BASE GRANULAR PARA BACHEO CLASE A GRADACION FINA</v>
      </c>
      <c r="E433" s="581" t="str">
        <f>VLOOKUP(A433,[33]ÍNDICE!$C$6:$N$380,2,FALSE)</f>
        <v>m3</v>
      </c>
      <c r="F433" s="618">
        <f>(50+10)*0.5*1.8</f>
        <v>54</v>
      </c>
      <c r="G433" s="613">
        <f>VLOOKUP(A433,[33]ÍNDICE!$C$6:$N$380,12,FALSE)</f>
        <v>468038.05777015106</v>
      </c>
      <c r="H433" s="583">
        <f t="shared" ref="H433:H444" si="49">F433*G433</f>
        <v>25274055.119588159</v>
      </c>
    </row>
    <row r="434" spans="1:10" s="565" customFormat="1" ht="26.1" customHeight="1">
      <c r="A434" s="571" t="s">
        <v>554</v>
      </c>
      <c r="B434" s="571" t="str">
        <f t="shared" si="48"/>
        <v>450-13</v>
      </c>
      <c r="C434" s="571"/>
      <c r="D434" s="619" t="str">
        <f>VLOOKUP(A434,[33]ÍNDICE!$C$6:$N$380,5,FALSE)</f>
        <v xml:space="preserve">MEZCLA DENSA EN CALIENTE TIPO MDC‐19 - COMPRA DE MEZCLA </v>
      </c>
      <c r="E434" s="581" t="str">
        <f>VLOOKUP(A434,[33]ÍNDICE!$C$6:$N$380,2,FALSE)</f>
        <v>m3</v>
      </c>
      <c r="F434" s="618">
        <f>(50+10)*0.15*1.8</f>
        <v>16.2</v>
      </c>
      <c r="G434" s="613">
        <f>VLOOKUP(A434,[33]ÍNDICE!$C$6:$N$380,12,FALSE)</f>
        <v>1677232.0782508166</v>
      </c>
      <c r="H434" s="583">
        <f t="shared" si="49"/>
        <v>27171159.667663228</v>
      </c>
    </row>
    <row r="435" spans="1:10" s="565" customFormat="1" ht="38.1" customHeight="1">
      <c r="A435" s="571" t="s">
        <v>579</v>
      </c>
      <c r="B435" s="571" t="str">
        <f t="shared" si="48"/>
        <v>465-13</v>
      </c>
      <c r="C435" s="571"/>
      <c r="D435" s="619" t="str">
        <f>VLOOKUP(A435,[33]ÍNDICE!$C$6:$N$380,5,FALSE)</f>
        <v>EXCAVACIÓN PARA REPARACIÓN DE PAVIMENTO ASFÁLTICO EXISTENTE INCLUYENDO EL CORTE Y LA REMOCIÓN DE LAS CAPAS ASFÁLTICAS SUBYACENTES</v>
      </c>
      <c r="E435" s="581" t="str">
        <f>VLOOKUP(A435,[33]ÍNDICE!$C$6:$N$380,2,FALSE)</f>
        <v>m3</v>
      </c>
      <c r="F435" s="618">
        <f>F434</f>
        <v>16.2</v>
      </c>
      <c r="G435" s="613">
        <f>VLOOKUP(A435,[33]ÍNDICE!$C$6:$N$380,12,FALSE)</f>
        <v>100979.71246565928</v>
      </c>
      <c r="H435" s="583">
        <f t="shared" si="49"/>
        <v>1635871.3419436803</v>
      </c>
    </row>
    <row r="436" spans="1:10" s="565" customFormat="1" ht="15" customHeight="1">
      <c r="A436" s="571" t="s">
        <v>528</v>
      </c>
      <c r="B436" s="571" t="str">
        <f t="shared" si="48"/>
        <v>600-13</v>
      </c>
      <c r="C436" s="571"/>
      <c r="D436" s="619" t="str">
        <f>VLOOKUP(A436,[33]ÍNDICE!$C$6:$N$380,5,FALSE)</f>
        <v>EXCAVACIONES VARIAS SIN CLASIFICAR</v>
      </c>
      <c r="E436" s="581" t="str">
        <f>VLOOKUP(A436,[33]ÍNDICE!$C$6:$N$380,2,FALSE)</f>
        <v>m3</v>
      </c>
      <c r="F436" s="585">
        <f>(50+2)*1.8*4.5</f>
        <v>421.20000000000005</v>
      </c>
      <c r="G436" s="613">
        <f>VLOOKUP(A436,[33]ÍNDICE!$C$6:$N$380,12,FALSE)</f>
        <v>58828.261120639472</v>
      </c>
      <c r="H436" s="583">
        <f>F436*G436</f>
        <v>24778463.584013347</v>
      </c>
    </row>
    <row r="437" spans="1:10" s="565" customFormat="1" ht="15" customHeight="1">
      <c r="A437" s="571" t="s">
        <v>530</v>
      </c>
      <c r="B437" s="571" t="str">
        <f t="shared" si="48"/>
        <v>610-13</v>
      </c>
      <c r="C437" s="571"/>
      <c r="D437" s="619" t="str">
        <f>VLOOKUP(A437,[33]ÍNDICE!$C$6:$N$380,5,FALSE)</f>
        <v>RELLENO PARA ESTRUCTURAS CON SUELO (analizado sin preparación de la superficie base del relleno)</v>
      </c>
      <c r="E437" s="581" t="str">
        <f>VLOOKUP(A437,[33]ÍNDICE!$C$6:$N$380,2,FALSE)</f>
        <v>m3</v>
      </c>
      <c r="F437" s="586">
        <v>120</v>
      </c>
      <c r="G437" s="613">
        <f>VLOOKUP(A437,[33]ÍNDICE!$C$6:$N$380,12,FALSE)</f>
        <v>162354.11090657322</v>
      </c>
      <c r="H437" s="583">
        <f t="shared" si="49"/>
        <v>19482493.308788788</v>
      </c>
    </row>
    <row r="438" spans="1:10" s="565" customFormat="1" ht="15" customHeight="1">
      <c r="A438" s="571" t="s">
        <v>537</v>
      </c>
      <c r="B438" s="571" t="str">
        <f t="shared" si="48"/>
        <v>630-13</v>
      </c>
      <c r="C438" s="571"/>
      <c r="D438" s="619" t="str">
        <f>VLOOKUP(A438,[33]ÍNDICE!$C$6:$N$380,5,FALSE)</f>
        <v>CONCRETO REFORZADO RESISTENCIA 21MPa (D) - MEZCLA IN SITU</v>
      </c>
      <c r="E438" s="581" t="str">
        <f>VLOOKUP(A438,[33]ÍNDICE!$C$6:$N$380,2,FALSE)</f>
        <v>m3</v>
      </c>
      <c r="F438" s="610">
        <f>50*(4.3*0.4+2.9*0.4)</f>
        <v>144</v>
      </c>
      <c r="G438" s="613">
        <f>VLOOKUP(A438,[33]ÍNDICE!$C$6:$N$380,12,FALSE)</f>
        <v>1243512.4574943627</v>
      </c>
      <c r="H438" s="611">
        <f t="shared" si="49"/>
        <v>179065793.87918824</v>
      </c>
      <c r="J438" s="588"/>
    </row>
    <row r="439" spans="1:10" s="565" customFormat="1" ht="15" customHeight="1">
      <c r="A439" s="571" t="s">
        <v>531</v>
      </c>
      <c r="B439" s="571" t="str">
        <f t="shared" si="48"/>
        <v>630-13</v>
      </c>
      <c r="C439" s="571"/>
      <c r="D439" s="619" t="str">
        <f>VLOOKUP(A439,[33]ÍNDICE!$C$6:$N$380,5,FALSE)</f>
        <v>CONCRETO SIMPLE RESISTENCIA 17 MPa - MEZCLA IN SITU</v>
      </c>
      <c r="E439" s="581" t="str">
        <f>VLOOKUP(A439,[33]ÍNDICE!$C$6:$N$380,2,FALSE)</f>
        <v>m3</v>
      </c>
      <c r="F439" s="586">
        <v>20</v>
      </c>
      <c r="G439" s="613">
        <f>VLOOKUP(A439,[33]ÍNDICE!$C$6:$N$380,12,FALSE)</f>
        <v>994779.33062365581</v>
      </c>
      <c r="H439" s="583">
        <f t="shared" si="49"/>
        <v>19895586.612473115</v>
      </c>
    </row>
    <row r="440" spans="1:10" s="565" customFormat="1" ht="15" customHeight="1">
      <c r="A440" s="571" t="s">
        <v>541</v>
      </c>
      <c r="B440" s="571" t="str">
        <f t="shared" si="48"/>
        <v>640-13</v>
      </c>
      <c r="C440" s="571"/>
      <c r="D440" s="619" t="str">
        <f>VLOOKUP(A440,[33]ÍNDICE!$C$6:$N$380,5,FALSE)</f>
        <v>ACERO DE REFUERZO Fy 4200 MPa</v>
      </c>
      <c r="E440" s="581" t="str">
        <f>VLOOKUP(A440,[33]ÍNDICE!$C$6:$N$380,2,FALSE)</f>
        <v>kg</v>
      </c>
      <c r="F440" s="585">
        <f>(F438)*105</f>
        <v>15120</v>
      </c>
      <c r="G440" s="613">
        <f>VLOOKUP(A440,[33]ÍNDICE!$C$6:$N$380,12,FALSE)</f>
        <v>7547.7371417119648</v>
      </c>
      <c r="H440" s="583">
        <f t="shared" si="49"/>
        <v>114121785.5826849</v>
      </c>
    </row>
    <row r="441" spans="1:10" s="565" customFormat="1" ht="26.1" customHeight="1">
      <c r="A441" s="571" t="s">
        <v>545</v>
      </c>
      <c r="B441" s="571" t="str">
        <f t="shared" si="48"/>
        <v>671-13</v>
      </c>
      <c r="C441" s="571"/>
      <c r="D441" s="619" t="str">
        <f>VLOOKUP(A441,[33]ÍNDICE!$C$6:$N$380,5,FALSE)</f>
        <v>CUNETA DE CONCRETO VACIADA IN SITU; INCLUYE LA CONFORMACIÓN DE LA SUPERFICIE DE APOYO</v>
      </c>
      <c r="E441" s="581" t="str">
        <f>VLOOKUP(A441,[33]ÍNDICE!$C$6:$N$380,2,FALSE)</f>
        <v>m3</v>
      </c>
      <c r="F441" s="586">
        <f>2*60*0.138</f>
        <v>16.560000000000002</v>
      </c>
      <c r="G441" s="613">
        <f>VLOOKUP(A441,[33]ÍNDICE!$C$6:$N$380,12,FALSE)</f>
        <v>1106254.0341245155</v>
      </c>
      <c r="H441" s="583">
        <f t="shared" si="49"/>
        <v>18319566.80510198</v>
      </c>
    </row>
    <row r="442" spans="1:10" s="565" customFormat="1" ht="15" customHeight="1">
      <c r="A442" s="571" t="s">
        <v>534</v>
      </c>
      <c r="B442" s="571" t="str">
        <f>MID(A442,1,3)&amp;"-"&amp;13</f>
        <v>673-13</v>
      </c>
      <c r="C442" s="571"/>
      <c r="D442" s="619" t="str">
        <f>VLOOKUP(A442,[33]ÍNDICE!$C$6:$N$380,5,FALSE)</f>
        <v xml:space="preserve">GEOTEXTIL TIPO TEJIDO CON RESISTENCIA A LA TENSIÓN GRAB MÍNIMA DE 1400 N </v>
      </c>
      <c r="E442" s="581" t="str">
        <f>VLOOKUP(A442,[33]ÍNDICE!$C$6:$N$380,2,FALSE)</f>
        <v>m2</v>
      </c>
      <c r="F442" s="585">
        <f>(50+2)*4.3</f>
        <v>223.6</v>
      </c>
      <c r="G442" s="613">
        <f>VLOOKUP(A442,[33]ÍNDICE!$C$6:$N$380,12,FALSE)</f>
        <v>12861.24633460756</v>
      </c>
      <c r="H442" s="583">
        <f>F442*G442</f>
        <v>2875774.6804182502</v>
      </c>
    </row>
    <row r="443" spans="1:10" s="565" customFormat="1" ht="15" customHeight="1">
      <c r="A443" s="571" t="s">
        <v>547</v>
      </c>
      <c r="B443" s="571" t="str">
        <f t="shared" si="48"/>
        <v>673-13</v>
      </c>
      <c r="C443" s="571"/>
      <c r="D443" s="619" t="str">
        <f>VLOOKUP(A443,[33]ÍNDICE!$C$6:$N$380,5,FALSE)</f>
        <v>MATERIAL GRANULAR DRENANTE</v>
      </c>
      <c r="E443" s="581" t="str">
        <f>VLOOKUP(A443,[33]ÍNDICE!$C$6:$N$380,2,FALSE)</f>
        <v>m3</v>
      </c>
      <c r="F443" s="586">
        <f>50*4.1*0.6</f>
        <v>122.99999999999997</v>
      </c>
      <c r="G443" s="613">
        <f>VLOOKUP(A443,[33]ÍNDICE!$C$6:$N$380,12,FALSE)</f>
        <v>372207.28893037047</v>
      </c>
      <c r="H443" s="583">
        <f t="shared" si="49"/>
        <v>45781496.538435556</v>
      </c>
    </row>
    <row r="444" spans="1:10" s="565" customFormat="1" ht="36.75" thickBot="1">
      <c r="A444" s="602" t="s">
        <v>535</v>
      </c>
      <c r="B444" s="571" t="str">
        <f t="shared" si="48"/>
        <v>681-13</v>
      </c>
      <c r="C444" s="602"/>
      <c r="D444" s="619" t="str">
        <f>VLOOKUP(A444,[33]ÍNDICE!$C$6:$N$380,5,FALSE)</f>
        <v>GAVIONES DE MALLA DE ALAMBRE DE ACERO ENTRELAZADO CLASE 1; RECUBRIMIENTO DE ZINC (GALVANIZADO)</v>
      </c>
      <c r="E444" s="581" t="str">
        <f>VLOOKUP(A444,[33]ÍNDICE!$C$6:$N$380,2,FALSE)</f>
        <v>m3</v>
      </c>
      <c r="F444" s="603">
        <v>20</v>
      </c>
      <c r="G444" s="613">
        <f>VLOOKUP(A444,[33]ÍNDICE!$C$6:$N$380,12,FALSE)</f>
        <v>601666.19528525032</v>
      </c>
      <c r="H444" s="606">
        <f t="shared" si="49"/>
        <v>12033323.905705007</v>
      </c>
    </row>
    <row r="445" spans="1:10" s="565" customFormat="1" ht="15" customHeight="1" thickTop="1">
      <c r="A445" s="574"/>
      <c r="B445" s="574"/>
      <c r="C445" s="574"/>
      <c r="D445" s="575"/>
      <c r="E445" s="589"/>
      <c r="F445" s="590"/>
      <c r="G445" s="600" t="s">
        <v>524</v>
      </c>
      <c r="H445" s="1507">
        <f>SUM(H432:H444)</f>
        <v>491741933.99585873</v>
      </c>
    </row>
    <row r="446" spans="1:10" s="565" customFormat="1" ht="15" customHeight="1">
      <c r="A446" s="577"/>
      <c r="B446" s="577"/>
      <c r="C446" s="577"/>
      <c r="D446" s="578"/>
      <c r="E446" s="562"/>
      <c r="F446" s="580"/>
      <c r="G446" s="601" t="s">
        <v>525</v>
      </c>
      <c r="H446" s="1508">
        <f>ROUND((+H445*0.05*0.19)/(1+0.3),0)</f>
        <v>3593499</v>
      </c>
    </row>
    <row r="447" spans="1:10" s="565" customFormat="1" ht="15" customHeight="1" thickBot="1">
      <c r="A447" s="561"/>
      <c r="B447" s="560"/>
      <c r="C447" s="560"/>
      <c r="D447" s="561"/>
      <c r="E447" s="562"/>
      <c r="F447" s="580"/>
      <c r="G447" s="601" t="s">
        <v>526</v>
      </c>
      <c r="H447" s="1509">
        <f>+ROUND(H445+H446,0)</f>
        <v>495335433</v>
      </c>
      <c r="I447" s="570"/>
    </row>
    <row r="448" spans="1:10" s="565" customFormat="1" ht="15" customHeight="1" thickTop="1">
      <c r="A448" s="561"/>
      <c r="B448" s="560"/>
      <c r="C448" s="560"/>
      <c r="D448" s="561"/>
      <c r="E448" s="562"/>
      <c r="F448" s="580"/>
      <c r="G448" s="579"/>
      <c r="H448" s="1510"/>
      <c r="I448" s="570"/>
    </row>
    <row r="449" spans="1:10" s="565" customFormat="1" ht="13.5" thickBot="1">
      <c r="A449" s="566"/>
      <c r="B449" s="567"/>
      <c r="C449" s="566" t="s">
        <v>588</v>
      </c>
      <c r="D449" s="566"/>
      <c r="E449" s="567"/>
      <c r="F449" s="566"/>
      <c r="G449" s="568"/>
      <c r="H449" s="569"/>
    </row>
    <row r="450" spans="1:10" s="565" customFormat="1" ht="15" customHeight="1" thickTop="1">
      <c r="A450" s="571" t="s">
        <v>549</v>
      </c>
      <c r="B450" s="571" t="str">
        <f>MID(A450,1,3)&amp;"-"&amp;13</f>
        <v>201-13</v>
      </c>
      <c r="C450" s="571"/>
      <c r="D450" s="619" t="str">
        <f>VLOOKUP(A450,[33]ÍNDICE!$C$6:$N$380,5,FALSE)</f>
        <v>DEMOLICIÓN DE ESTRUCTURAS</v>
      </c>
      <c r="E450" s="581" t="str">
        <f>VLOOKUP(A450,[33]ÍNDICE!$C$6:$N$380,2,FALSE)</f>
        <v>m3</v>
      </c>
      <c r="F450" s="582">
        <f>5</f>
        <v>5</v>
      </c>
      <c r="G450" s="613">
        <f>VLOOKUP(A450,[33]ÍNDICE!$C$6:$N$380,12,FALSE)</f>
        <v>217760.49497573468</v>
      </c>
      <c r="H450" s="583">
        <f>F450*G450</f>
        <v>1088802.4748786734</v>
      </c>
    </row>
    <row r="451" spans="1:10" s="565" customFormat="1" ht="15" customHeight="1">
      <c r="A451" s="571" t="s">
        <v>578</v>
      </c>
      <c r="B451" s="571" t="str">
        <f>MID(A451,1,3)&amp;"-"&amp;13</f>
        <v>330-13</v>
      </c>
      <c r="C451" s="571"/>
      <c r="D451" s="619" t="str">
        <f>VLOOKUP(A451,[33]ÍNDICE!$C$6:$N$380,5,FALSE)</f>
        <v>BASE GRANULAR PARA BACHEO CLASE A GRADACION FINA</v>
      </c>
      <c r="E451" s="581" t="str">
        <f>VLOOKUP(A451,[33]ÍNDICE!$C$6:$N$380,2,FALSE)</f>
        <v>m3</v>
      </c>
      <c r="F451" s="618">
        <f>F453*0.5</f>
        <v>3</v>
      </c>
      <c r="G451" s="613">
        <f>VLOOKUP(A451,[33]ÍNDICE!$C$6:$N$380,12,FALSE)</f>
        <v>468038.05777015106</v>
      </c>
      <c r="H451" s="583">
        <f>F451*G451</f>
        <v>1404114.1733104531</v>
      </c>
    </row>
    <row r="452" spans="1:10" s="565" customFormat="1" ht="26.1" customHeight="1">
      <c r="A452" s="571" t="s">
        <v>554</v>
      </c>
      <c r="B452" s="571" t="str">
        <f>MID(A452,1,3)&amp;"-"&amp;13</f>
        <v>450-13</v>
      </c>
      <c r="C452" s="571"/>
      <c r="D452" s="619" t="str">
        <f>VLOOKUP(A452,[33]ÍNDICE!$C$6:$N$380,5,FALSE)</f>
        <v xml:space="preserve">MEZCLA DENSA EN CALIENTE TIPO MDC‐19 - COMPRA DE MEZCLA </v>
      </c>
      <c r="E452" s="581" t="str">
        <f>VLOOKUP(A452,[33]ÍNDICE!$C$6:$N$380,2,FALSE)</f>
        <v>m3</v>
      </c>
      <c r="F452" s="618">
        <f>F453</f>
        <v>6</v>
      </c>
      <c r="G452" s="613">
        <f>VLOOKUP(A452,[33]ÍNDICE!$C$6:$N$380,12,FALSE)</f>
        <v>1677232.0782508166</v>
      </c>
      <c r="H452" s="583">
        <f>F452*G452</f>
        <v>10063392.4695049</v>
      </c>
    </row>
    <row r="453" spans="1:10" s="565" customFormat="1" ht="38.1" customHeight="1">
      <c r="A453" s="571" t="s">
        <v>579</v>
      </c>
      <c r="B453" s="571" t="str">
        <f>MID(A453,1,3)&amp;"-"&amp;13</f>
        <v>465-13</v>
      </c>
      <c r="C453" s="571"/>
      <c r="D453" s="619" t="str">
        <f>VLOOKUP(A453,[33]ÍNDICE!$C$6:$N$380,5,FALSE)</f>
        <v>EXCAVACIÓN PARA REPARACIÓN DE PAVIMENTO ASFÁLTICO EXISTENTE INCLUYENDO EL CORTE Y LA REMOCIÓN DE LAS CAPAS ASFÁLTICAS SUBYACENTES</v>
      </c>
      <c r="E453" s="581" t="str">
        <f>VLOOKUP(A453,[33]ÍNDICE!$C$6:$N$380,2,FALSE)</f>
        <v>m3</v>
      </c>
      <c r="F453" s="618">
        <f>40*0.15*1</f>
        <v>6</v>
      </c>
      <c r="G453" s="613">
        <f>VLOOKUP(A453,[33]ÍNDICE!$C$6:$N$380,12,FALSE)</f>
        <v>100979.71246565928</v>
      </c>
      <c r="H453" s="583">
        <f>F453*G453</f>
        <v>605878.27479395573</v>
      </c>
    </row>
    <row r="454" spans="1:10" s="565" customFormat="1" ht="15" customHeight="1">
      <c r="A454" s="571" t="s">
        <v>528</v>
      </c>
      <c r="B454" s="571" t="str">
        <f t="shared" ref="B454:B462" si="50">MID(A454,1,3)&amp;"-"&amp;13</f>
        <v>600-13</v>
      </c>
      <c r="C454" s="571"/>
      <c r="D454" s="619" t="str">
        <f>VLOOKUP(A454,[33]ÍNDICE!$C$6:$N$380,5,FALSE)</f>
        <v>EXCAVACIONES VARIAS SIN CLASIFICAR</v>
      </c>
      <c r="E454" s="581" t="str">
        <f>VLOOKUP(A454,[33]ÍNDICE!$C$6:$N$380,2,FALSE)</f>
        <v>m3</v>
      </c>
      <c r="F454" s="585">
        <f>40*5.5*1.5+70*0.5</f>
        <v>365</v>
      </c>
      <c r="G454" s="613">
        <f>VLOOKUP(A454,[33]ÍNDICE!$C$6:$N$380,12,FALSE)</f>
        <v>58828.261120639472</v>
      </c>
      <c r="H454" s="583">
        <f t="shared" ref="H454:H462" si="51">F454*G454</f>
        <v>21472315.309033409</v>
      </c>
    </row>
    <row r="455" spans="1:10" s="565" customFormat="1" ht="15" customHeight="1">
      <c r="A455" s="571" t="s">
        <v>530</v>
      </c>
      <c r="B455" s="571" t="str">
        <f>MID(A455,1,3)&amp;"-"&amp;13</f>
        <v>610-13</v>
      </c>
      <c r="C455" s="571"/>
      <c r="D455" s="619" t="str">
        <f>VLOOKUP(A455,[33]ÍNDICE!$C$6:$N$380,5,FALSE)</f>
        <v>RELLENO PARA ESTRUCTURAS CON SUELO (analizado sin preparación de la superficie base del relleno)</v>
      </c>
      <c r="E455" s="581" t="str">
        <f>VLOOKUP(A455,[33]ÍNDICE!$C$6:$N$380,2,FALSE)</f>
        <v>m3</v>
      </c>
      <c r="F455" s="586">
        <f>+F454*0.6+0.4*70</f>
        <v>247</v>
      </c>
      <c r="G455" s="613">
        <f>VLOOKUP(A455,[33]ÍNDICE!$C$6:$N$380,12,FALSE)</f>
        <v>162354.11090657322</v>
      </c>
      <c r="H455" s="583">
        <f>F455*G455</f>
        <v>40101465.393923588</v>
      </c>
    </row>
    <row r="456" spans="1:10" s="565" customFormat="1" ht="24.75" customHeight="1">
      <c r="A456" s="571" t="s">
        <v>569</v>
      </c>
      <c r="B456" s="571" t="str">
        <f t="shared" si="50"/>
        <v>621-13</v>
      </c>
      <c r="C456" s="587" t="s">
        <v>540</v>
      </c>
      <c r="D456" s="619" t="str">
        <f>VLOOKUP(A456,[33]ÍNDICE!$C$6:$N$380,5,FALSE)</f>
        <v>PILOTE DE CONCRETO VACIADO IN SITU, DE DIÁMETRO 1 m</v>
      </c>
      <c r="E456" s="581" t="str">
        <f>VLOOKUP(A456,[33]ÍNDICE!$C$6:$N$380,2,FALSE)</f>
        <v>m</v>
      </c>
      <c r="F456" s="585">
        <v>107</v>
      </c>
      <c r="G456" s="613">
        <f>VLOOKUP(A456,[33]ÍNDICE!$C$6:$N$380,12,FALSE)</f>
        <v>2838401.3288495345</v>
      </c>
      <c r="H456" s="583">
        <f t="shared" si="51"/>
        <v>303708942.1869002</v>
      </c>
    </row>
    <row r="457" spans="1:10" s="565" customFormat="1" ht="15" customHeight="1">
      <c r="A457" s="571" t="s">
        <v>537</v>
      </c>
      <c r="B457" s="571" t="str">
        <f t="shared" si="50"/>
        <v>630-13</v>
      </c>
      <c r="C457" s="571"/>
      <c r="D457" s="619" t="str">
        <f>VLOOKUP(A457,[33]ÍNDICE!$C$6:$N$380,5,FALSE)</f>
        <v>CONCRETO REFORZADO RESISTENCIA 21MPa (D) - MEZCLA IN SITU</v>
      </c>
      <c r="E457" s="581" t="str">
        <f>VLOOKUP(A457,[33]ÍNDICE!$C$6:$N$380,2,FALSE)</f>
        <v>m3</v>
      </c>
      <c r="F457" s="586">
        <v>142</v>
      </c>
      <c r="G457" s="613">
        <f>VLOOKUP(A457,[33]ÍNDICE!$C$6:$N$380,12,FALSE)</f>
        <v>1243512.4574943627</v>
      </c>
      <c r="H457" s="583">
        <f t="shared" si="51"/>
        <v>176578768.96419951</v>
      </c>
      <c r="J457" s="588"/>
    </row>
    <row r="458" spans="1:10" s="565" customFormat="1" ht="15" customHeight="1">
      <c r="A458" s="571" t="s">
        <v>541</v>
      </c>
      <c r="B458" s="571" t="str">
        <f t="shared" si="50"/>
        <v>640-13</v>
      </c>
      <c r="C458" s="571"/>
      <c r="D458" s="619" t="str">
        <f>VLOOKUP(A458,[33]ÍNDICE!$C$6:$N$380,5,FALSE)</f>
        <v>ACERO DE REFUERZO Fy 4200 MPa</v>
      </c>
      <c r="E458" s="581" t="str">
        <f>VLOOKUP(A458,[33]ÍNDICE!$C$6:$N$380,2,FALSE)</f>
        <v>kg</v>
      </c>
      <c r="F458" s="585">
        <f>F457*105</f>
        <v>14910</v>
      </c>
      <c r="G458" s="613">
        <f>VLOOKUP(A458,[33]ÍNDICE!$C$6:$N$380,12,FALSE)</f>
        <v>7547.7371417119648</v>
      </c>
      <c r="H458" s="583">
        <f t="shared" si="51"/>
        <v>112536760.7829254</v>
      </c>
    </row>
    <row r="459" spans="1:10" s="565" customFormat="1" ht="26.1" customHeight="1">
      <c r="A459" s="571" t="s">
        <v>545</v>
      </c>
      <c r="B459" s="571" t="str">
        <f>MID(A459,1,3)&amp;"-"&amp;13</f>
        <v>671-13</v>
      </c>
      <c r="C459" s="571"/>
      <c r="D459" s="619" t="str">
        <f>VLOOKUP(A459,[33]ÍNDICE!$C$6:$N$380,5,FALSE)</f>
        <v>CUNETA DE CONCRETO VACIADA IN SITU; INCLUYE LA CONFORMACIÓN DE LA SUPERFICIE DE APOYO</v>
      </c>
      <c r="E459" s="581" t="str">
        <f>VLOOKUP(A459,[33]ÍNDICE!$C$6:$N$380,2,FALSE)</f>
        <v>m3</v>
      </c>
      <c r="F459" s="586">
        <v>5</v>
      </c>
      <c r="G459" s="613">
        <f>VLOOKUP(A459,[33]ÍNDICE!$C$6:$N$380,12,FALSE)</f>
        <v>1106254.0341245155</v>
      </c>
      <c r="H459" s="583">
        <f>F459*G459</f>
        <v>5531270.1706225779</v>
      </c>
    </row>
    <row r="460" spans="1:10" s="565" customFormat="1" ht="15" customHeight="1">
      <c r="A460" s="609" t="s">
        <v>534</v>
      </c>
      <c r="B460" s="609" t="str">
        <f>MID(A460,1,3)&amp;"-"&amp;13</f>
        <v>673-13</v>
      </c>
      <c r="C460" s="609"/>
      <c r="D460" s="619" t="str">
        <f>VLOOKUP(A460,[33]ÍNDICE!$C$6:$N$380,5,FALSE)</f>
        <v xml:space="preserve">GEOTEXTIL TIPO TEJIDO CON RESISTENCIA A LA TENSIÓN GRAB MÍNIMA DE 1400 N </v>
      </c>
      <c r="E460" s="581" t="str">
        <f>VLOOKUP(A460,[33]ÍNDICE!$C$6:$N$380,2,FALSE)</f>
        <v>m2</v>
      </c>
      <c r="F460" s="612">
        <f>(40+2)*4</f>
        <v>168</v>
      </c>
      <c r="G460" s="613">
        <f>VLOOKUP(A460,[33]ÍNDICE!$C$6:$N$380,12,FALSE)</f>
        <v>12861.24633460756</v>
      </c>
      <c r="H460" s="611">
        <f>F460*G460</f>
        <v>2160689.3842140702</v>
      </c>
    </row>
    <row r="461" spans="1:10" s="565" customFormat="1" ht="15" customHeight="1">
      <c r="A461" s="571" t="s">
        <v>547</v>
      </c>
      <c r="B461" s="571" t="str">
        <f>MID(A461,1,3)&amp;"-"&amp;13</f>
        <v>673-13</v>
      </c>
      <c r="C461" s="571"/>
      <c r="D461" s="619" t="str">
        <f>VLOOKUP(A461,[33]ÍNDICE!$C$6:$N$380,5,FALSE)</f>
        <v>MATERIAL GRANULAR DRENANTE</v>
      </c>
      <c r="E461" s="581" t="str">
        <f>VLOOKUP(A461,[33]ÍNDICE!$C$6:$N$380,2,FALSE)</f>
        <v>m3</v>
      </c>
      <c r="F461" s="586">
        <f>40*0.6*3.5</f>
        <v>84</v>
      </c>
      <c r="G461" s="613">
        <f>VLOOKUP(A461,[33]ÍNDICE!$C$6:$N$380,12,FALSE)</f>
        <v>372207.28893037047</v>
      </c>
      <c r="H461" s="583">
        <f>F461*G461</f>
        <v>31265412.27015112</v>
      </c>
    </row>
    <row r="462" spans="1:10" s="565" customFormat="1" ht="26.1" customHeight="1" thickBot="1">
      <c r="A462" s="571" t="s">
        <v>535</v>
      </c>
      <c r="B462" s="571" t="str">
        <f t="shared" si="50"/>
        <v>681-13</v>
      </c>
      <c r="C462" s="571"/>
      <c r="D462" s="619" t="str">
        <f>VLOOKUP(A462,[33]ÍNDICE!$C$6:$N$380,5,FALSE)</f>
        <v>GAVIONES DE MALLA DE ALAMBRE DE ACERO ENTRELAZADO CLASE 1; RECUBRIMIENTO DE ZINC (GALVANIZADO)</v>
      </c>
      <c r="E462" s="581" t="str">
        <f>VLOOKUP(A462,[33]ÍNDICE!$C$6:$N$380,2,FALSE)</f>
        <v>m3</v>
      </c>
      <c r="F462" s="585">
        <v>40</v>
      </c>
      <c r="G462" s="613">
        <f>VLOOKUP(A462,[33]ÍNDICE!$C$6:$N$380,12,FALSE)</f>
        <v>601666.19528525032</v>
      </c>
      <c r="H462" s="583">
        <f t="shared" si="51"/>
        <v>24066647.811410014</v>
      </c>
    </row>
    <row r="463" spans="1:10" s="565" customFormat="1" ht="15" customHeight="1" thickTop="1">
      <c r="A463" s="574"/>
      <c r="B463" s="574"/>
      <c r="C463" s="574"/>
      <c r="D463" s="575"/>
      <c r="E463" s="589"/>
      <c r="F463" s="590"/>
      <c r="G463" s="600" t="s">
        <v>524</v>
      </c>
      <c r="H463" s="1507">
        <f>SUM(H450:H462)</f>
        <v>730584459.66586792</v>
      </c>
    </row>
    <row r="464" spans="1:10" s="565" customFormat="1" ht="15" customHeight="1">
      <c r="A464" s="577"/>
      <c r="B464" s="577"/>
      <c r="C464" s="577"/>
      <c r="D464" s="578"/>
      <c r="E464" s="562"/>
      <c r="F464" s="580"/>
      <c r="G464" s="601" t="s">
        <v>525</v>
      </c>
      <c r="H464" s="1508">
        <f>SUM(H463:H463)*0.05*0.19/1.3</f>
        <v>5338886.4360198043</v>
      </c>
    </row>
    <row r="465" spans="1:10" s="565" customFormat="1" ht="15" customHeight="1" thickBot="1">
      <c r="A465" s="561"/>
      <c r="B465" s="560"/>
      <c r="C465" s="560"/>
      <c r="D465" s="561"/>
      <c r="E465" s="562"/>
      <c r="F465" s="580"/>
      <c r="G465" s="601" t="s">
        <v>526</v>
      </c>
      <c r="H465" s="1509">
        <f>+ROUND(H463+H464,0)</f>
        <v>735923346</v>
      </c>
    </row>
    <row r="466" spans="1:10" s="565" customFormat="1" ht="15" customHeight="1" thickTop="1">
      <c r="A466" s="561"/>
      <c r="B466" s="560"/>
      <c r="C466" s="560"/>
      <c r="D466" s="561"/>
      <c r="E466" s="562"/>
      <c r="F466" s="563"/>
      <c r="G466" s="617"/>
      <c r="H466" s="1506"/>
    </row>
    <row r="467" spans="1:10" s="565" customFormat="1" ht="13.5" thickBot="1">
      <c r="A467" s="566"/>
      <c r="B467" s="567"/>
      <c r="C467" s="566" t="s">
        <v>589</v>
      </c>
      <c r="D467" s="566"/>
      <c r="E467" s="567"/>
      <c r="F467" s="566"/>
      <c r="G467" s="568"/>
      <c r="H467" s="569"/>
    </row>
    <row r="468" spans="1:10" s="565" customFormat="1" ht="15" customHeight="1" thickTop="1">
      <c r="A468" s="571" t="s">
        <v>578</v>
      </c>
      <c r="B468" s="571" t="str">
        <f>MID(A468,1,3)&amp;"-"&amp;13</f>
        <v>330-13</v>
      </c>
      <c r="C468" s="571"/>
      <c r="D468" s="619" t="str">
        <f>VLOOKUP(A468,[33]ÍNDICE!$C$6:$N$380,5,FALSE)</f>
        <v>BASE GRANULAR PARA BACHEO CLASE A GRADACION FINA</v>
      </c>
      <c r="E468" s="581" t="str">
        <f>VLOOKUP(A468,[33]ÍNDICE!$C$6:$N$380,2,FALSE)</f>
        <v>m3</v>
      </c>
      <c r="F468" s="618">
        <v>29</v>
      </c>
      <c r="G468" s="613">
        <f>VLOOKUP(A468,[33]ÍNDICE!$C$6:$N$380,12,FALSE)</f>
        <v>468038.05777015106</v>
      </c>
      <c r="H468" s="583">
        <f>F468*G468</f>
        <v>13573103.675334381</v>
      </c>
    </row>
    <row r="469" spans="1:10" s="565" customFormat="1" ht="26.1" customHeight="1">
      <c r="A469" s="571" t="s">
        <v>554</v>
      </c>
      <c r="B469" s="571" t="str">
        <f>MID(A469,1,3)&amp;"-"&amp;13</f>
        <v>450-13</v>
      </c>
      <c r="C469" s="571"/>
      <c r="D469" s="619" t="str">
        <f>VLOOKUP(A469,[33]ÍNDICE!$C$6:$N$380,5,FALSE)</f>
        <v xml:space="preserve">MEZCLA DENSA EN CALIENTE TIPO MDC‐19 - COMPRA DE MEZCLA </v>
      </c>
      <c r="E469" s="581" t="str">
        <f>VLOOKUP(A469,[33]ÍNDICE!$C$6:$N$380,2,FALSE)</f>
        <v>m3</v>
      </c>
      <c r="F469" s="618">
        <v>9</v>
      </c>
      <c r="G469" s="613">
        <f>VLOOKUP(A469,[33]ÍNDICE!$C$6:$N$380,12,FALSE)</f>
        <v>1677232.0782508166</v>
      </c>
      <c r="H469" s="583">
        <f>F469*G469</f>
        <v>15095088.704257349</v>
      </c>
    </row>
    <row r="470" spans="1:10" s="565" customFormat="1" ht="38.1" customHeight="1">
      <c r="A470" s="571" t="s">
        <v>579</v>
      </c>
      <c r="B470" s="571" t="str">
        <f>MID(A470,1,3)&amp;"-"&amp;13</f>
        <v>465-13</v>
      </c>
      <c r="C470" s="571"/>
      <c r="D470" s="619" t="str">
        <f>VLOOKUP(A470,[33]ÍNDICE!$C$6:$N$380,5,FALSE)</f>
        <v>EXCAVACIÓN PARA REPARACIÓN DE PAVIMENTO ASFÁLTICO EXISTENTE INCLUYENDO EL CORTE Y LA REMOCIÓN DE LAS CAPAS ASFÁLTICAS SUBYACENTES</v>
      </c>
      <c r="E470" s="581" t="str">
        <f>VLOOKUP(A470,[33]ÍNDICE!$C$6:$N$380,2,FALSE)</f>
        <v>m3</v>
      </c>
      <c r="F470" s="618">
        <v>9</v>
      </c>
      <c r="G470" s="613">
        <f>VLOOKUP(A470,[33]ÍNDICE!$C$6:$N$380,12,FALSE)</f>
        <v>100979.71246565928</v>
      </c>
      <c r="H470" s="583">
        <f>F470*G470</f>
        <v>908817.41219093348</v>
      </c>
    </row>
    <row r="471" spans="1:10" s="565" customFormat="1" ht="15" customHeight="1">
      <c r="A471" s="571" t="s">
        <v>528</v>
      </c>
      <c r="B471" s="571" t="str">
        <f t="shared" ref="B471:B477" si="52">MID(A471,1,3)&amp;"-"&amp;13</f>
        <v>600-13</v>
      </c>
      <c r="C471" s="571"/>
      <c r="D471" s="619" t="str">
        <f>VLOOKUP(A471,[33]ÍNDICE!$C$6:$N$380,5,FALSE)</f>
        <v>EXCAVACIONES VARIAS SIN CLASIFICAR</v>
      </c>
      <c r="E471" s="581" t="str">
        <f>VLOOKUP(A471,[33]ÍNDICE!$C$6:$N$380,2,FALSE)</f>
        <v>m3</v>
      </c>
      <c r="F471" s="585">
        <f>25*2.6*4</f>
        <v>260</v>
      </c>
      <c r="G471" s="613">
        <f>VLOOKUP(A471,[33]ÍNDICE!$C$6:$N$380,12,FALSE)</f>
        <v>58828.261120639472</v>
      </c>
      <c r="H471" s="583">
        <f t="shared" ref="H471:H477" si="53">F471*G471</f>
        <v>15295347.891366262</v>
      </c>
    </row>
    <row r="472" spans="1:10" s="565" customFormat="1" ht="15" customHeight="1">
      <c r="A472" s="571" t="s">
        <v>530</v>
      </c>
      <c r="B472" s="571" t="str">
        <f>MID(A472,1,3)&amp;"-"&amp;13</f>
        <v>610-13</v>
      </c>
      <c r="C472" s="571"/>
      <c r="D472" s="619" t="str">
        <f>VLOOKUP(A472,[33]ÍNDICE!$C$6:$N$380,5,FALSE)</f>
        <v>RELLENO PARA ESTRUCTURAS CON SUELO (analizado sin preparación de la superficie base del relleno)</v>
      </c>
      <c r="E472" s="581" t="str">
        <f>VLOOKUP(A472,[33]ÍNDICE!$C$6:$N$380,2,FALSE)</f>
        <v>m3</v>
      </c>
      <c r="F472" s="586">
        <f>25*1.6*3.2</f>
        <v>128</v>
      </c>
      <c r="G472" s="613">
        <f>VLOOKUP(A472,[33]ÍNDICE!$C$6:$N$380,12,FALSE)</f>
        <v>162354.11090657322</v>
      </c>
      <c r="H472" s="583">
        <f>F472*G472</f>
        <v>20781326.196041372</v>
      </c>
    </row>
    <row r="473" spans="1:10" s="565" customFormat="1" ht="15" customHeight="1">
      <c r="A473" s="571" t="s">
        <v>537</v>
      </c>
      <c r="B473" s="571" t="str">
        <f t="shared" si="52"/>
        <v>630-13</v>
      </c>
      <c r="C473" s="571"/>
      <c r="D473" s="619" t="str">
        <f>VLOOKUP(A473,[33]ÍNDICE!$C$6:$N$380,5,FALSE)</f>
        <v>CONCRETO REFORZADO RESISTENCIA 21MPa (D) - MEZCLA IN SITU</v>
      </c>
      <c r="E473" s="581" t="str">
        <f>VLOOKUP(A473,[33]ÍNDICE!$C$6:$N$380,2,FALSE)</f>
        <v>m3</v>
      </c>
      <c r="F473" s="586">
        <v>74</v>
      </c>
      <c r="G473" s="613">
        <f>VLOOKUP(A473,[33]ÍNDICE!$C$6:$N$380,12,FALSE)</f>
        <v>1243512.4574943627</v>
      </c>
      <c r="H473" s="583">
        <f t="shared" si="53"/>
        <v>92019921.854582846</v>
      </c>
      <c r="J473" s="588"/>
    </row>
    <row r="474" spans="1:10" s="565" customFormat="1" ht="15" customHeight="1">
      <c r="A474" s="571" t="s">
        <v>541</v>
      </c>
      <c r="B474" s="571" t="str">
        <f t="shared" si="52"/>
        <v>640-13</v>
      </c>
      <c r="C474" s="571"/>
      <c r="D474" s="619" t="str">
        <f>VLOOKUP(A474,[33]ÍNDICE!$C$6:$N$380,5,FALSE)</f>
        <v>ACERO DE REFUERZO Fy 4200 MPa</v>
      </c>
      <c r="E474" s="581" t="str">
        <f>VLOOKUP(A474,[33]ÍNDICE!$C$6:$N$380,2,FALSE)</f>
        <v>kg</v>
      </c>
      <c r="F474" s="585">
        <f>F473*105</f>
        <v>7770</v>
      </c>
      <c r="G474" s="613">
        <f>VLOOKUP(A474,[33]ÍNDICE!$C$6:$N$380,12,FALSE)</f>
        <v>7547.7371417119648</v>
      </c>
      <c r="H474" s="583">
        <f t="shared" si="53"/>
        <v>58645917.591101967</v>
      </c>
    </row>
    <row r="475" spans="1:10" s="565" customFormat="1" ht="26.1" customHeight="1">
      <c r="A475" s="571" t="s">
        <v>545</v>
      </c>
      <c r="B475" s="571" t="str">
        <f>MID(A475,1,3)&amp;"-"&amp;13</f>
        <v>671-13</v>
      </c>
      <c r="C475" s="571"/>
      <c r="D475" s="619" t="str">
        <f>VLOOKUP(A475,[33]ÍNDICE!$C$6:$N$380,5,FALSE)</f>
        <v>CUNETA DE CONCRETO VACIADA IN SITU; INCLUYE LA CONFORMACIÓN DE LA SUPERFICIE DE APOYO</v>
      </c>
      <c r="E475" s="581" t="str">
        <f>VLOOKUP(A475,[33]ÍNDICE!$C$6:$N$380,2,FALSE)</f>
        <v>m3</v>
      </c>
      <c r="F475" s="586">
        <v>5</v>
      </c>
      <c r="G475" s="613">
        <f>VLOOKUP(A475,[33]ÍNDICE!$C$6:$N$380,12,FALSE)</f>
        <v>1106254.0341245155</v>
      </c>
      <c r="H475" s="583">
        <f>F475*G475</f>
        <v>5531270.1706225779</v>
      </c>
    </row>
    <row r="476" spans="1:10" s="565" customFormat="1" ht="15" customHeight="1">
      <c r="A476" s="571" t="s">
        <v>534</v>
      </c>
      <c r="B476" s="571" t="str">
        <f t="shared" si="52"/>
        <v>673-13</v>
      </c>
      <c r="C476" s="571"/>
      <c r="D476" s="619" t="str">
        <f>VLOOKUP(A476,[33]ÍNDICE!$C$6:$N$380,5,FALSE)</f>
        <v xml:space="preserve">GEOTEXTIL TIPO TEJIDO CON RESISTENCIA A LA TENSIÓN GRAB MÍNIMA DE 1400 N </v>
      </c>
      <c r="E476" s="581" t="str">
        <f>VLOOKUP(A476,[33]ÍNDICE!$C$6:$N$380,2,FALSE)</f>
        <v>m2</v>
      </c>
      <c r="F476" s="585">
        <f>(25+2)*4</f>
        <v>108</v>
      </c>
      <c r="G476" s="613">
        <f>VLOOKUP(A476,[33]ÍNDICE!$C$6:$N$380,12,FALSE)</f>
        <v>12861.24633460756</v>
      </c>
      <c r="H476" s="583">
        <f t="shared" si="53"/>
        <v>1389014.6041376165</v>
      </c>
    </row>
    <row r="477" spans="1:10" s="565" customFormat="1" ht="15" customHeight="1" thickBot="1">
      <c r="A477" s="571" t="s">
        <v>547</v>
      </c>
      <c r="B477" s="571" t="str">
        <f t="shared" si="52"/>
        <v>673-13</v>
      </c>
      <c r="C477" s="571"/>
      <c r="D477" s="619" t="str">
        <f>VLOOKUP(A477,[33]ÍNDICE!$C$6:$N$380,5,FALSE)</f>
        <v>MATERIAL GRANULAR DRENANTE</v>
      </c>
      <c r="E477" s="581" t="str">
        <f>VLOOKUP(A477,[33]ÍNDICE!$C$6:$N$380,2,FALSE)</f>
        <v>m3</v>
      </c>
      <c r="F477" s="586">
        <v>55</v>
      </c>
      <c r="G477" s="613">
        <f>VLOOKUP(A477,[33]ÍNDICE!$C$6:$N$380,12,FALSE)</f>
        <v>372207.28893037047</v>
      </c>
      <c r="H477" s="583">
        <f t="shared" si="53"/>
        <v>20471400.891170375</v>
      </c>
    </row>
    <row r="478" spans="1:10" s="565" customFormat="1" ht="15" customHeight="1" thickTop="1">
      <c r="A478" s="574"/>
      <c r="B478" s="574"/>
      <c r="C478" s="574"/>
      <c r="D478" s="575"/>
      <c r="E478" s="589"/>
      <c r="F478" s="590"/>
      <c r="G478" s="600" t="s">
        <v>524</v>
      </c>
      <c r="H478" s="1507">
        <f>SUM(H468:H477)</f>
        <v>243711208.99080572</v>
      </c>
    </row>
    <row r="479" spans="1:10" s="565" customFormat="1" ht="15" customHeight="1">
      <c r="A479" s="577"/>
      <c r="B479" s="577"/>
      <c r="C479" s="577"/>
      <c r="D479" s="578"/>
      <c r="E479" s="562"/>
      <c r="F479" s="580"/>
      <c r="G479" s="601" t="s">
        <v>525</v>
      </c>
      <c r="H479" s="1508">
        <f>SUM(H478:H478)*0.05*0.19/1.3</f>
        <v>1780966.5272405033</v>
      </c>
    </row>
    <row r="480" spans="1:10" s="565" customFormat="1" ht="15" customHeight="1" thickBot="1">
      <c r="A480" s="561"/>
      <c r="B480" s="560"/>
      <c r="C480" s="560"/>
      <c r="D480" s="561"/>
      <c r="E480" s="562"/>
      <c r="F480" s="580"/>
      <c r="G480" s="601" t="s">
        <v>526</v>
      </c>
      <c r="H480" s="1509">
        <f>+ROUND(H478+H479,0)</f>
        <v>245492176</v>
      </c>
    </row>
    <row r="481" spans="1:12" s="565" customFormat="1" ht="15" customHeight="1" thickTop="1">
      <c r="A481" s="561"/>
      <c r="B481" s="560"/>
      <c r="C481" s="560"/>
      <c r="D481" s="561"/>
      <c r="E481" s="562"/>
      <c r="F481" s="580"/>
      <c r="G481" s="579"/>
      <c r="H481" s="1510"/>
    </row>
    <row r="482" spans="1:12" s="565" customFormat="1" ht="13.5" thickBot="1">
      <c r="A482" s="566"/>
      <c r="B482" s="567"/>
      <c r="C482" s="566" t="s">
        <v>590</v>
      </c>
      <c r="D482" s="566"/>
      <c r="E482" s="567"/>
      <c r="F482" s="566"/>
      <c r="G482" s="568"/>
      <c r="H482" s="569"/>
    </row>
    <row r="483" spans="1:12" s="565" customFormat="1" ht="15" customHeight="1" thickTop="1">
      <c r="A483" s="571" t="s">
        <v>549</v>
      </c>
      <c r="B483" s="572" t="s">
        <v>591</v>
      </c>
      <c r="C483" s="572"/>
      <c r="D483" s="619" t="str">
        <f>VLOOKUP(A483,[33]ÍNDICE!$C$6:$N$380,5,FALSE)</f>
        <v>DEMOLICIÓN DE ESTRUCTURAS</v>
      </c>
      <c r="E483" s="581" t="str">
        <f>VLOOKUP(A483,[33]ÍNDICE!$C$6:$N$380,2,FALSE)</f>
        <v>m3</v>
      </c>
      <c r="F483" s="592">
        <v>2</v>
      </c>
      <c r="G483" s="613">
        <f>VLOOKUP(A483,[33]ÍNDICE!$C$6:$N$380,12,FALSE)</f>
        <v>217760.49497573468</v>
      </c>
      <c r="H483" s="573">
        <f t="shared" ref="H483:H488" si="54">+F483*G483</f>
        <v>435520.98995146935</v>
      </c>
      <c r="J483" s="588"/>
    </row>
    <row r="484" spans="1:12" s="565" customFormat="1" ht="15" customHeight="1">
      <c r="A484" s="571" t="s">
        <v>528</v>
      </c>
      <c r="B484" s="571" t="s">
        <v>592</v>
      </c>
      <c r="C484" s="571"/>
      <c r="D484" s="619" t="str">
        <f>VLOOKUP(A484,[33]ÍNDICE!$C$6:$N$380,5,FALSE)</f>
        <v>EXCAVACIONES VARIAS SIN CLASIFICAR</v>
      </c>
      <c r="E484" s="581" t="str">
        <f>VLOOKUP(A484,[33]ÍNDICE!$C$6:$N$380,2,FALSE)</f>
        <v>m3</v>
      </c>
      <c r="F484" s="585">
        <v>10</v>
      </c>
      <c r="G484" s="613">
        <f>VLOOKUP(A484,[33]ÍNDICE!$C$6:$N$380,12,FALSE)</f>
        <v>58828.261120639472</v>
      </c>
      <c r="H484" s="573">
        <f t="shared" si="54"/>
        <v>588282.61120639474</v>
      </c>
    </row>
    <row r="485" spans="1:12" s="565" customFormat="1" ht="15" customHeight="1">
      <c r="A485" s="571" t="s">
        <v>530</v>
      </c>
      <c r="B485" s="571" t="s">
        <v>593</v>
      </c>
      <c r="C485" s="571"/>
      <c r="D485" s="619" t="str">
        <f>VLOOKUP(A485,[33]ÍNDICE!$C$6:$N$380,5,FALSE)</f>
        <v>RELLENO PARA ESTRUCTURAS CON SUELO (analizado sin preparación de la superficie base del relleno)</v>
      </c>
      <c r="E485" s="581" t="str">
        <f>VLOOKUP(A485,[33]ÍNDICE!$C$6:$N$380,2,FALSE)</f>
        <v>m3</v>
      </c>
      <c r="F485" s="586">
        <v>6</v>
      </c>
      <c r="G485" s="613">
        <f>VLOOKUP(A485,[33]ÍNDICE!$C$6:$N$380,12,FALSE)</f>
        <v>162354.11090657322</v>
      </c>
      <c r="H485" s="573">
        <f t="shared" si="54"/>
        <v>974124.66543943924</v>
      </c>
    </row>
    <row r="486" spans="1:12" s="565" customFormat="1" ht="15" customHeight="1">
      <c r="A486" s="571" t="s">
        <v>532</v>
      </c>
      <c r="B486" s="571" t="s">
        <v>594</v>
      </c>
      <c r="C486" s="571"/>
      <c r="D486" s="619" t="str">
        <f>VLOOKUP(A486,[33]ÍNDICE!$C$6:$N$380,5,FALSE)</f>
        <v>CONCRETO CICLÓPEO RESISTENCIA 14MPa (G)</v>
      </c>
      <c r="E486" s="581" t="str">
        <f>VLOOKUP(A486,[33]ÍNDICE!$C$6:$N$380,2,FALSE)</f>
        <v>m3</v>
      </c>
      <c r="F486" s="598">
        <v>3</v>
      </c>
      <c r="G486" s="613">
        <f>VLOOKUP(A486,[33]ÍNDICE!$C$6:$N$380,12,FALSE)</f>
        <v>680494.66759275761</v>
      </c>
      <c r="H486" s="573">
        <f t="shared" si="54"/>
        <v>2041484.0027782728</v>
      </c>
    </row>
    <row r="487" spans="1:12" s="565" customFormat="1" ht="14.25" customHeight="1">
      <c r="A487" s="571" t="s">
        <v>534</v>
      </c>
      <c r="B487" s="571" t="s">
        <v>595</v>
      </c>
      <c r="C487" s="571"/>
      <c r="D487" s="619" t="str">
        <f>VLOOKUP(A487,[33]ÍNDICE!$C$6:$N$380,5,FALSE)</f>
        <v xml:space="preserve">GEOTEXTIL TIPO TEJIDO CON RESISTENCIA A LA TENSIÓN GRAB MÍNIMA DE 1400 N </v>
      </c>
      <c r="E487" s="581" t="str">
        <f>VLOOKUP(A487,[33]ÍNDICE!$C$6:$N$380,2,FALSE)</f>
        <v>m2</v>
      </c>
      <c r="F487" s="585">
        <v>24</v>
      </c>
      <c r="G487" s="613">
        <f>VLOOKUP(A487,[33]ÍNDICE!$C$6:$N$380,12,FALSE)</f>
        <v>12861.24633460756</v>
      </c>
      <c r="H487" s="573">
        <f t="shared" si="54"/>
        <v>308669.91203058144</v>
      </c>
    </row>
    <row r="488" spans="1:12" s="565" customFormat="1" ht="15" customHeight="1" thickBot="1">
      <c r="A488" s="571" t="s">
        <v>535</v>
      </c>
      <c r="B488" s="571" t="s">
        <v>596</v>
      </c>
      <c r="C488" s="571"/>
      <c r="D488" s="619" t="str">
        <f>VLOOKUP(A488,[33]ÍNDICE!$C$6:$N$380,5,FALSE)</f>
        <v>GAVIONES DE MALLA DE ALAMBRE DE ACERO ENTRELAZADO CLASE 1; RECUBRIMIENTO DE ZINC (GALVANIZADO)</v>
      </c>
      <c r="E488" s="581" t="str">
        <f>VLOOKUP(A488,[33]ÍNDICE!$C$6:$N$380,2,FALSE)</f>
        <v>m3</v>
      </c>
      <c r="F488" s="585">
        <v>20</v>
      </c>
      <c r="G488" s="613">
        <f>VLOOKUP(A488,[33]ÍNDICE!$C$6:$N$380,12,FALSE)</f>
        <v>601666.19528525032</v>
      </c>
      <c r="H488" s="573">
        <f t="shared" si="54"/>
        <v>12033323.905705007</v>
      </c>
    </row>
    <row r="489" spans="1:12" s="565" customFormat="1" ht="15" customHeight="1" thickTop="1">
      <c r="A489" s="574"/>
      <c r="B489" s="574"/>
      <c r="C489" s="574"/>
      <c r="D489" s="575"/>
      <c r="E489" s="589"/>
      <c r="F489" s="590"/>
      <c r="G489" s="600" t="s">
        <v>524</v>
      </c>
      <c r="H489" s="1507">
        <f>SUM(H483:H488)</f>
        <v>16381406.087111164</v>
      </c>
    </row>
    <row r="490" spans="1:12" s="565" customFormat="1" ht="15" customHeight="1">
      <c r="A490" s="577"/>
      <c r="B490" s="577"/>
      <c r="C490" s="577"/>
      <c r="D490" s="578"/>
      <c r="E490" s="562"/>
      <c r="F490" s="580"/>
      <c r="G490" s="601" t="s">
        <v>525</v>
      </c>
      <c r="H490" s="1514">
        <f>SUM(H489:H489)*0.05*0.19/1.3</f>
        <v>119710.27525196619</v>
      </c>
    </row>
    <row r="491" spans="1:12" s="565" customFormat="1" ht="15" customHeight="1" thickBot="1">
      <c r="A491" s="561"/>
      <c r="B491" s="560"/>
      <c r="C491" s="560"/>
      <c r="D491" s="561"/>
      <c r="E491" s="562"/>
      <c r="F491" s="580"/>
      <c r="G491" s="601" t="s">
        <v>526</v>
      </c>
      <c r="H491" s="1509">
        <f>+ROUND(H489+H490,0)</f>
        <v>16501116</v>
      </c>
    </row>
    <row r="492" spans="1:12" s="565" customFormat="1" ht="15" customHeight="1" thickTop="1">
      <c r="A492" s="561"/>
      <c r="B492" s="560"/>
      <c r="C492" s="560"/>
      <c r="D492" s="561"/>
      <c r="E492" s="562"/>
      <c r="F492" s="563"/>
      <c r="G492" s="564"/>
      <c r="H492" s="1506"/>
    </row>
    <row r="493" spans="1:12" s="565" customFormat="1" ht="15" customHeight="1">
      <c r="A493" s="561" t="s">
        <v>597</v>
      </c>
      <c r="B493" s="560"/>
      <c r="C493" s="560"/>
      <c r="D493" s="561"/>
      <c r="E493" s="562"/>
      <c r="F493" s="563"/>
      <c r="G493" s="563"/>
      <c r="H493" s="1506"/>
    </row>
    <row r="494" spans="1:12" s="565" customFormat="1" ht="15" customHeight="1">
      <c r="A494" s="561"/>
      <c r="B494" s="560"/>
      <c r="C494" s="560"/>
      <c r="D494" s="561"/>
      <c r="E494" s="562"/>
      <c r="F494" s="563"/>
      <c r="G494" s="563"/>
      <c r="H494" s="1506"/>
    </row>
    <row r="495" spans="1:12" s="565" customFormat="1" ht="12.75" customHeight="1" thickBot="1">
      <c r="A495" s="566"/>
      <c r="B495" s="567"/>
      <c r="C495" s="566" t="s">
        <v>598</v>
      </c>
      <c r="D495" s="566"/>
      <c r="E495" s="567"/>
      <c r="F495" s="566"/>
      <c r="G495" s="568"/>
      <c r="H495" s="569"/>
      <c r="L495" s="565" t="s">
        <v>599</v>
      </c>
    </row>
    <row r="496" spans="1:12" s="565" customFormat="1" ht="15" customHeight="1" thickTop="1">
      <c r="A496" s="571" t="s">
        <v>600</v>
      </c>
      <c r="B496" s="571" t="str">
        <f>MID(A496,1,3)&amp;"-"&amp;13</f>
        <v>210-13</v>
      </c>
      <c r="C496" s="571"/>
      <c r="D496" s="619" t="str">
        <f>VLOOKUP(A496,[33]ÍNDICE!$C$6:$N$380,5,FALSE)</f>
        <v>EXCAVACIÓN EN ROCA DE LA EXPLANACIÓN Y CANALES</v>
      </c>
      <c r="E496" s="581" t="str">
        <f>VLOOKUP(A496,[33]ÍNDICE!$C$6:$N$380,2,FALSE)</f>
        <v>m3</v>
      </c>
      <c r="F496" s="586">
        <v>96</v>
      </c>
      <c r="G496" s="613">
        <f>VLOOKUP(A496,[33]ÍNDICE!$C$6:$N$380,12,FALSE)</f>
        <v>55583.692383701629</v>
      </c>
      <c r="H496" s="583">
        <f>F496*G496</f>
        <v>5336034.4688353566</v>
      </c>
    </row>
    <row r="497" spans="1:12" s="565" customFormat="1" ht="26.1" customHeight="1">
      <c r="A497" s="571" t="s">
        <v>601</v>
      </c>
      <c r="B497" s="571" t="str">
        <f t="shared" ref="B497:B511" si="55">MID(A497,1,3)&amp;"-"&amp;13</f>
        <v>210-13</v>
      </c>
      <c r="C497" s="571"/>
      <c r="D497" s="619" t="str">
        <f>VLOOKUP(A497,[33]ÍNDICE!$C$6:$N$380,5,FALSE)</f>
        <v>EXCAVACIÓN EN MATERIAL COMÚN DE LA EXPLANACIÓN Y CANALES</v>
      </c>
      <c r="E497" s="581" t="str">
        <f>VLOOKUP(A497,[33]ÍNDICE!$C$6:$N$380,2,FALSE)</f>
        <v>m3</v>
      </c>
      <c r="F497" s="586">
        <f>L498*2*3*2*(0.2)</f>
        <v>960</v>
      </c>
      <c r="G497" s="613">
        <f>VLOOKUP(A497,[33]ÍNDICE!$C$6:$N$380,12,FALSE)</f>
        <v>17531.402123650201</v>
      </c>
      <c r="H497" s="583">
        <f t="shared" ref="H497:H507" si="56">F497*G497</f>
        <v>16830146.038704194</v>
      </c>
    </row>
    <row r="498" spans="1:12" s="565" customFormat="1" ht="17.100000000000001" customHeight="1">
      <c r="A498" s="571" t="s">
        <v>602</v>
      </c>
      <c r="B498" s="571" t="str">
        <f t="shared" si="55"/>
        <v>234-13</v>
      </c>
      <c r="C498" s="571"/>
      <c r="D498" s="619" t="str">
        <f>VLOOKUP(A498,[33]ÍNDICE!$C$6:$N$380,5,FALSE)</f>
        <v>CONFORMACIÓN DE TALUDES EXISTENTES</v>
      </c>
      <c r="E498" s="581" t="str">
        <f>VLOOKUP(A498,[33]ÍNDICE!$C$6:$N$380,2,FALSE)</f>
        <v>m2</v>
      </c>
      <c r="F498" s="586">
        <f>+J498</f>
        <v>7440</v>
      </c>
      <c r="G498" s="613">
        <f>VLOOKUP(A498,[33]ÍNDICE!$C$6:$N$380,12,FALSE)</f>
        <v>1231.5203894296449</v>
      </c>
      <c r="H498" s="583">
        <f t="shared" si="56"/>
        <v>9162511.6973565575</v>
      </c>
      <c r="J498" s="622">
        <f>+K498*L498-70*8</f>
        <v>7440</v>
      </c>
      <c r="K498" s="623">
        <v>20</v>
      </c>
      <c r="L498" s="624">
        <v>400</v>
      </c>
    </row>
    <row r="499" spans="1:12" s="565" customFormat="1" ht="15" customHeight="1">
      <c r="A499" s="571" t="s">
        <v>528</v>
      </c>
      <c r="B499" s="571" t="str">
        <f t="shared" si="55"/>
        <v>600-13</v>
      </c>
      <c r="C499" s="571"/>
      <c r="D499" s="619" t="str">
        <f>VLOOKUP(A499,[33]ÍNDICE!$C$6:$N$380,5,FALSE)</f>
        <v>EXCAVACIONES VARIAS SIN CLASIFICAR</v>
      </c>
      <c r="E499" s="581" t="str">
        <f>VLOOKUP(A499,[33]ÍNDICE!$C$6:$N$380,2,FALSE)</f>
        <v>m3</v>
      </c>
      <c r="F499" s="585">
        <f>L498/2*2*0.5+L498/2*3*11.3</f>
        <v>6980</v>
      </c>
      <c r="G499" s="613">
        <f>VLOOKUP(A499,[33]ÍNDICE!$C$6:$N$380,12,FALSE)</f>
        <v>58828.261120639472</v>
      </c>
      <c r="H499" s="583">
        <f t="shared" si="56"/>
        <v>410621262.62206352</v>
      </c>
    </row>
    <row r="500" spans="1:12" s="565" customFormat="1" ht="15" customHeight="1">
      <c r="A500" s="571" t="s">
        <v>530</v>
      </c>
      <c r="B500" s="571" t="str">
        <f>MID(A500,1,3)&amp;"-"&amp;13</f>
        <v>610-13</v>
      </c>
      <c r="C500" s="571"/>
      <c r="D500" s="619" t="str">
        <f>VLOOKUP(A500,[33]ÍNDICE!$C$6:$N$380,5,FALSE)</f>
        <v>RELLENO PARA ESTRUCTURAS CON SUELO (analizado sin preparación de la superficie base del relleno)</v>
      </c>
      <c r="E500" s="581" t="str">
        <f>VLOOKUP(A500,[33]ÍNDICE!$C$6:$N$380,2,FALSE)</f>
        <v>m3</v>
      </c>
      <c r="F500" s="586">
        <f>0.3*F499</f>
        <v>2094</v>
      </c>
      <c r="G500" s="613">
        <f>VLOOKUP(A500,[33]ÍNDICE!$C$6:$N$380,12,FALSE)</f>
        <v>162354.11090657322</v>
      </c>
      <c r="H500" s="583">
        <f>F500*G500</f>
        <v>339969508.23836434</v>
      </c>
    </row>
    <row r="501" spans="1:12" s="565" customFormat="1" ht="15" customHeight="1">
      <c r="A501" s="571" t="s">
        <v>523</v>
      </c>
      <c r="B501" s="571" t="str">
        <f t="shared" si="55"/>
        <v>623-13</v>
      </c>
      <c r="C501" s="614"/>
      <c r="D501" s="619" t="str">
        <f>VLOOKUP(A501,[33]ÍNDICE!$C$6:$N$380,5,FALSE)</f>
        <v>ANCLAJE TIPO _____ (ROCA)</v>
      </c>
      <c r="E501" s="581" t="str">
        <f>VLOOKUP(A501,[33]ÍNDICE!$C$6:$N$380,2,FALSE)</f>
        <v>m</v>
      </c>
      <c r="F501" s="618">
        <f>J498/4*(0.2)</f>
        <v>372</v>
      </c>
      <c r="G501" s="613">
        <f>VLOOKUP(A501,[33]ÍNDICE!$C$6:$N$380,12,FALSE)</f>
        <v>522283.45369059901</v>
      </c>
      <c r="H501" s="583">
        <f t="shared" si="56"/>
        <v>194289444.77290285</v>
      </c>
    </row>
    <row r="502" spans="1:12" s="565" customFormat="1" ht="15.75" customHeight="1">
      <c r="A502" s="571" t="s">
        <v>531</v>
      </c>
      <c r="B502" s="571" t="str">
        <f t="shared" si="55"/>
        <v>630-13</v>
      </c>
      <c r="C502" s="571"/>
      <c r="D502" s="619" t="str">
        <f>VLOOKUP(A502,[33]ÍNDICE!$C$6:$N$380,5,FALSE)</f>
        <v>CONCRETO SIMPLE RESISTENCIA 17 MPa - MEZCLA IN SITU</v>
      </c>
      <c r="E502" s="581" t="str">
        <f>VLOOKUP(A502,[33]ÍNDICE!$C$6:$N$380,2,FALSE)</f>
        <v>m3</v>
      </c>
      <c r="F502" s="586">
        <f>L498*3*0.428</f>
        <v>513.6</v>
      </c>
      <c r="G502" s="613">
        <f>VLOOKUP(A502,[33]ÍNDICE!$C$6:$N$380,12,FALSE)</f>
        <v>994779.33062365581</v>
      </c>
      <c r="H502" s="583">
        <f t="shared" si="56"/>
        <v>510918664.20830965</v>
      </c>
    </row>
    <row r="503" spans="1:12" s="565" customFormat="1" ht="15" customHeight="1">
      <c r="A503" s="571" t="s">
        <v>541</v>
      </c>
      <c r="B503" s="571" t="str">
        <f t="shared" si="55"/>
        <v>640-13</v>
      </c>
      <c r="C503" s="571"/>
      <c r="D503" s="619" t="str">
        <f>VLOOKUP(A503,[33]ÍNDICE!$C$6:$N$380,5,FALSE)</f>
        <v>ACERO DE REFUERZO Fy 4200 MPa</v>
      </c>
      <c r="E503" s="581" t="str">
        <f>VLOOKUP(A503,[33]ÍNDICE!$C$6:$N$380,2,FALSE)</f>
        <v>kg</v>
      </c>
      <c r="F503" s="585">
        <f>L498*3*52.5</f>
        <v>63000</v>
      </c>
      <c r="G503" s="613">
        <f>VLOOKUP(A503,[33]ÍNDICE!$C$6:$N$380,12,FALSE)</f>
        <v>7547.7371417119648</v>
      </c>
      <c r="H503" s="583">
        <f t="shared" si="56"/>
        <v>475507439.92785376</v>
      </c>
    </row>
    <row r="504" spans="1:12" s="565" customFormat="1" ht="15" customHeight="1">
      <c r="A504" s="571" t="s">
        <v>534</v>
      </c>
      <c r="B504" s="571" t="str">
        <f t="shared" si="55"/>
        <v>673-13</v>
      </c>
      <c r="C504" s="571"/>
      <c r="D504" s="619" t="str">
        <f>VLOOKUP(A504,[33]ÍNDICE!$C$6:$N$380,5,FALSE)</f>
        <v xml:space="preserve">GEOTEXTIL TIPO TEJIDO CON RESISTENCIA A LA TENSIÓN GRAB MÍNIMA DE 1400 N </v>
      </c>
      <c r="E504" s="581" t="str">
        <f>VLOOKUP(A504,[33]ÍNDICE!$C$6:$N$380,2,FALSE)</f>
        <v>m2</v>
      </c>
      <c r="F504" s="585">
        <f>F508/3</f>
        <v>400</v>
      </c>
      <c r="G504" s="613">
        <f>VLOOKUP(A504,[33]ÍNDICE!$C$6:$N$380,12,FALSE)</f>
        <v>12861.24633460756</v>
      </c>
      <c r="H504" s="583">
        <f t="shared" si="56"/>
        <v>5144498.5338430237</v>
      </c>
    </row>
    <row r="505" spans="1:12" s="565" customFormat="1" ht="15" customHeight="1">
      <c r="A505" s="571" t="s">
        <v>547</v>
      </c>
      <c r="B505" s="571" t="str">
        <f t="shared" si="55"/>
        <v>673-13</v>
      </c>
      <c r="C505" s="571"/>
      <c r="D505" s="619" t="str">
        <f>VLOOKUP(A505,[33]ÍNDICE!$C$6:$N$380,5,FALSE)</f>
        <v>MATERIAL GRANULAR DRENANTE</v>
      </c>
      <c r="E505" s="581" t="str">
        <f>VLOOKUP(A505,[33]ÍNDICE!$C$6:$N$380,2,FALSE)</f>
        <v>m3</v>
      </c>
      <c r="F505" s="586">
        <f>L498*1*0.5</f>
        <v>200</v>
      </c>
      <c r="G505" s="613">
        <f>VLOOKUP(A505,[33]ÍNDICE!$C$6:$N$380,12,FALSE)</f>
        <v>372207.28893037047</v>
      </c>
      <c r="H505" s="583">
        <f t="shared" si="56"/>
        <v>74441457.786074102</v>
      </c>
    </row>
    <row r="506" spans="1:12" s="565" customFormat="1" ht="26.1" customHeight="1">
      <c r="A506" s="571" t="s">
        <v>581</v>
      </c>
      <c r="B506" s="571" t="str">
        <f t="shared" si="55"/>
        <v>674-13</v>
      </c>
      <c r="C506" s="614"/>
      <c r="D506" s="619" t="str">
        <f>VLOOKUP(A506,[33]ÍNDICE!$C$6:$N$380,5,FALSE)</f>
        <v>DREN HORIZONTAL DE LONGITUD MENOR O IGUAL A DIEZ (10) METROS</v>
      </c>
      <c r="E506" s="581" t="str">
        <f>VLOOKUP(A506,[33]ÍNDICE!$C$6:$N$380,2,FALSE)</f>
        <v>m</v>
      </c>
      <c r="F506" s="618">
        <f>J498/8*5*(0.2)</f>
        <v>930</v>
      </c>
      <c r="G506" s="613">
        <f>VLOOKUP(A506,[33]ÍNDICE!$C$6:$N$380,12,FALSE)</f>
        <v>150185.86582288929</v>
      </c>
      <c r="H506" s="583">
        <f t="shared" si="56"/>
        <v>139672855.21528703</v>
      </c>
    </row>
    <row r="507" spans="1:12" s="565" customFormat="1" ht="15" customHeight="1">
      <c r="A507" s="571" t="s">
        <v>582</v>
      </c>
      <c r="B507" s="571" t="str">
        <f t="shared" si="55"/>
        <v>674-13</v>
      </c>
      <c r="C507" s="614"/>
      <c r="D507" s="619" t="str">
        <f>VLOOKUP(A507,[33]ÍNDICE!$C$6:$N$380,5,FALSE)</f>
        <v>DREN HORIZONTAL DE LONGITUD MAYOR A DIEZ (10) METROS</v>
      </c>
      <c r="E507" s="581" t="str">
        <f>VLOOKUP(A507,[33]ÍNDICE!$C$6:$N$380,2,FALSE)</f>
        <v>m</v>
      </c>
      <c r="F507" s="618">
        <f>J498/8*12*(0.1)</f>
        <v>1116</v>
      </c>
      <c r="G507" s="613">
        <f>VLOOKUP(A507,[33]ÍNDICE!$C$6:$N$380,12,FALSE)</f>
        <v>281501.6705966685</v>
      </c>
      <c r="H507" s="583">
        <f t="shared" si="56"/>
        <v>314155864.38588202</v>
      </c>
    </row>
    <row r="508" spans="1:12" s="565" customFormat="1" ht="36">
      <c r="A508" s="571" t="s">
        <v>535</v>
      </c>
      <c r="B508" s="571" t="str">
        <f>MID(A508,1,3)&amp;"-"&amp;13</f>
        <v>681-13</v>
      </c>
      <c r="C508" s="571"/>
      <c r="D508" s="619" t="str">
        <f>VLOOKUP(A508,[33]ÍNDICE!$C$6:$N$380,5,FALSE)</f>
        <v>GAVIONES DE MALLA DE ALAMBRE DE ACERO ENTRELAZADO CLASE 1; RECUBRIMIENTO DE ZINC (GALVANIZADO)</v>
      </c>
      <c r="E508" s="581" t="str">
        <f>VLOOKUP(A508,[33]ÍNDICE!$C$6:$N$380,2,FALSE)</f>
        <v>m3</v>
      </c>
      <c r="F508" s="625">
        <f>L498*3</f>
        <v>1200</v>
      </c>
      <c r="G508" s="613">
        <f>VLOOKUP(A508,[33]ÍNDICE!$C$6:$N$380,12,FALSE)</f>
        <v>601666.19528525032</v>
      </c>
      <c r="H508" s="583">
        <f>F508*G508</f>
        <v>721999434.34230042</v>
      </c>
    </row>
    <row r="509" spans="1:12" s="565" customFormat="1" ht="30" customHeight="1">
      <c r="A509" s="571" t="s">
        <v>603</v>
      </c>
      <c r="B509" s="571" t="str">
        <f>MID(A509,1,3)&amp;"-"&amp;13</f>
        <v>812-13</v>
      </c>
      <c r="C509" s="571"/>
      <c r="D509" s="619" t="str">
        <f>VLOOKUP(A509,[33]ÍNDICE!$C$6:$N$380,5,FALSE)</f>
        <v>RECUBRIMIENTO DE TALUDES CON MALLA Y MORTERO 1:4 de e= 10 cm</v>
      </c>
      <c r="E509" s="581" t="str">
        <f>VLOOKUP(A509,[33]ÍNDICE!$C$6:$N$380,2,FALSE)</f>
        <v>m2</v>
      </c>
      <c r="F509" s="586">
        <f>+F498</f>
        <v>7440</v>
      </c>
      <c r="G509" s="613">
        <f>VLOOKUP(A509,[33]ÍNDICE!$C$6:$N$380,12,FALSE)</f>
        <v>88515.555013003497</v>
      </c>
      <c r="H509" s="583">
        <f>F509*G509</f>
        <v>658555729.29674602</v>
      </c>
    </row>
    <row r="510" spans="1:12" s="565" customFormat="1" ht="50.1" customHeight="1">
      <c r="A510" s="571" t="s">
        <v>604</v>
      </c>
      <c r="B510" s="571" t="str">
        <f t="shared" si="55"/>
        <v>900-13</v>
      </c>
      <c r="C510" s="614"/>
      <c r="D510" s="619" t="str">
        <f>VLOOKUP(A510,[33]ÍNDICE!$C$6:$N$380,5,FALSE)</f>
        <v>TRANSPORTE DE MATERIALES PROVENIENTES DE LA EXCAVACION DE LA EXPLANACION, CANALES Y PRESTAMOS, ENTRE CIEN METROS (100 m) Y MIL METROS (1000 m) DE DISTANCIA</v>
      </c>
      <c r="E510" s="581" t="str">
        <f>VLOOKUP(A510,[33]ÍNDICE!$C$6:$N$380,2,FALSE)</f>
        <v>m3/E</v>
      </c>
      <c r="F510" s="618">
        <f>F511*0.1</f>
        <v>1056</v>
      </c>
      <c r="G510" s="613">
        <f>VLOOKUP(A510,[33]ÍNDICE!$C$6:$N$380,12,FALSE)</f>
        <v>1727.8729742383803</v>
      </c>
      <c r="H510" s="583">
        <f>F510*G510</f>
        <v>1824633.8607957296</v>
      </c>
    </row>
    <row r="511" spans="1:12" s="565" customFormat="1" ht="50.1" customHeight="1" thickBot="1">
      <c r="A511" s="571" t="s">
        <v>605</v>
      </c>
      <c r="B511" s="571" t="str">
        <f t="shared" si="55"/>
        <v>900-13</v>
      </c>
      <c r="C511" s="614"/>
      <c r="D511" s="619" t="str">
        <f>VLOOKUP(A511,[33]ÍNDICE!$C$6:$N$380,5,FALSE)</f>
        <v>TRANSPORTE DE MATERIALES PROVENIENTES DE LA EXCAVACIÓN DE LA EXPLANACIÓN, CANALES Y PRÉSTAMOS PARA DISTANCIAS MAYORES DE MIL METROS (1.000 m) MEDIDOS A PARTIR DE CIEN METROS (100 m)</v>
      </c>
      <c r="E511" s="581" t="str">
        <f>VLOOKUP(A511,[33]ÍNDICE!$C$6:$N$380,2,FALSE)</f>
        <v>m3/km</v>
      </c>
      <c r="F511" s="618">
        <f>(F497+F496)*10</f>
        <v>10560</v>
      </c>
      <c r="G511" s="613">
        <f>VLOOKUP(A511,[33]ÍNDICE!$C$6:$N$380,12,FALSE)</f>
        <v>2464.2322002738015</v>
      </c>
      <c r="H511" s="583">
        <f>F511*G511</f>
        <v>26022292.034891345</v>
      </c>
    </row>
    <row r="512" spans="1:12" s="565" customFormat="1" ht="15" customHeight="1" thickTop="1">
      <c r="A512" s="574"/>
      <c r="B512" s="574"/>
      <c r="C512" s="575"/>
      <c r="D512" s="575"/>
      <c r="E512" s="589"/>
      <c r="F512" s="590"/>
      <c r="G512" s="600" t="s">
        <v>524</v>
      </c>
      <c r="H512" s="1515">
        <f>SUM(H496:H511)</f>
        <v>3904451777.4302096</v>
      </c>
    </row>
    <row r="513" spans="1:13" s="565" customFormat="1" ht="15" customHeight="1">
      <c r="A513" s="577"/>
      <c r="B513" s="577"/>
      <c r="C513" s="578"/>
      <c r="D513" s="578"/>
      <c r="E513" s="562"/>
      <c r="F513" s="580"/>
      <c r="G513" s="601" t="s">
        <v>525</v>
      </c>
      <c r="H513" s="1508">
        <f>ROUND((+H512*0.05*0.19)/(1+0.3),0)</f>
        <v>28532532</v>
      </c>
    </row>
    <row r="514" spans="1:13" s="565" customFormat="1" ht="15" customHeight="1" thickBot="1">
      <c r="A514" s="578"/>
      <c r="B514" s="577"/>
      <c r="C514" s="578"/>
      <c r="D514" s="626"/>
      <c r="E514" s="562"/>
      <c r="F514" s="580"/>
      <c r="G514" s="601" t="s">
        <v>526</v>
      </c>
      <c r="H514" s="1509">
        <f>+ROUND(H512+H513,0)</f>
        <v>3932984309</v>
      </c>
    </row>
    <row r="515" spans="1:13" s="565" customFormat="1" ht="15" customHeight="1" thickTop="1">
      <c r="A515" s="578"/>
      <c r="B515" s="577"/>
      <c r="C515" s="578"/>
      <c r="D515" s="626"/>
      <c r="E515" s="562"/>
      <c r="F515" s="580"/>
      <c r="G515" s="579"/>
      <c r="H515" s="1510"/>
    </row>
    <row r="516" spans="1:13" s="565" customFormat="1" ht="12.75" customHeight="1" thickBot="1">
      <c r="A516" s="566"/>
      <c r="B516" s="567"/>
      <c r="C516" s="566" t="s">
        <v>606</v>
      </c>
      <c r="D516" s="566"/>
      <c r="E516" s="567"/>
      <c r="F516" s="566"/>
      <c r="G516" s="616"/>
      <c r="H516" s="569"/>
    </row>
    <row r="517" spans="1:13" s="565" customFormat="1" ht="15" customHeight="1" thickTop="1">
      <c r="A517" s="595" t="s">
        <v>602</v>
      </c>
      <c r="B517" s="571" t="str">
        <f>MID(A517,1,3)&amp;"-"&amp;13</f>
        <v>234-13</v>
      </c>
      <c r="C517" s="595"/>
      <c r="D517" s="619" t="str">
        <f>VLOOKUP(A517,[33]ÍNDICE!$C$6:$N$380,5,FALSE)</f>
        <v>CONFORMACIÓN DE TALUDES EXISTENTES</v>
      </c>
      <c r="E517" s="581" t="str">
        <f>VLOOKUP(A517,[33]ÍNDICE!$C$6:$N$380,2,FALSE)</f>
        <v>m2</v>
      </c>
      <c r="F517" s="627">
        <f>J518</f>
        <v>1500</v>
      </c>
      <c r="G517" s="613">
        <f>VLOOKUP(A517,[33]ÍNDICE!$C$6:$N$380,12,FALSE)</f>
        <v>1231.5203894296449</v>
      </c>
      <c r="H517" s="597">
        <f>F517*G517</f>
        <v>1847280.5841444673</v>
      </c>
      <c r="J517" s="565">
        <v>2014</v>
      </c>
      <c r="K517" s="565" t="s">
        <v>607</v>
      </c>
      <c r="L517" s="565" t="s">
        <v>599</v>
      </c>
      <c r="M517" s="565" t="s">
        <v>602</v>
      </c>
    </row>
    <row r="518" spans="1:13" s="565" customFormat="1" ht="29.25" customHeight="1" thickBot="1">
      <c r="A518" s="571" t="s">
        <v>603</v>
      </c>
      <c r="B518" s="571" t="str">
        <f>MID(A518,1,3)&amp;"-"&amp;13</f>
        <v>812-13</v>
      </c>
      <c r="C518" s="571"/>
      <c r="D518" s="619" t="str">
        <f>VLOOKUP(A518,[33]ÍNDICE!$C$6:$N$380,5,FALSE)</f>
        <v>RECUBRIMIENTO DE TALUDES CON MALLA Y MORTERO 1:4 de e= 10 cm</v>
      </c>
      <c r="E518" s="581" t="str">
        <f>VLOOKUP(A518,[33]ÍNDICE!$C$6:$N$380,2,FALSE)</f>
        <v>m2</v>
      </c>
      <c r="F518" s="593">
        <f>J518</f>
        <v>1500</v>
      </c>
      <c r="G518" s="613">
        <f>VLOOKUP(A518,[33]ÍNDICE!$C$6:$N$380,12,FALSE)</f>
        <v>88515.555013003497</v>
      </c>
      <c r="H518" s="583">
        <f>F518*G518</f>
        <v>132773332.51950525</v>
      </c>
      <c r="J518" s="622">
        <f>K518*L518</f>
        <v>1500</v>
      </c>
      <c r="K518" s="623">
        <v>30</v>
      </c>
      <c r="L518" s="624">
        <v>50</v>
      </c>
      <c r="M518" s="565" t="s">
        <v>603</v>
      </c>
    </row>
    <row r="519" spans="1:13" s="565" customFormat="1" ht="15" customHeight="1" thickTop="1">
      <c r="A519" s="574"/>
      <c r="B519" s="574"/>
      <c r="C519" s="574"/>
      <c r="D519" s="575"/>
      <c r="E519" s="589"/>
      <c r="G519" s="576" t="s">
        <v>524</v>
      </c>
      <c r="H519" s="1507">
        <f>SUM(H517:H518)</f>
        <v>134620613.10364971</v>
      </c>
      <c r="M519" s="565">
        <v>90114000</v>
      </c>
    </row>
    <row r="520" spans="1:13" s="565" customFormat="1" ht="15" customHeight="1">
      <c r="A520" s="577"/>
      <c r="B520" s="577"/>
      <c r="C520" s="577"/>
      <c r="D520" s="578"/>
      <c r="E520" s="562"/>
      <c r="G520" s="579" t="s">
        <v>525</v>
      </c>
      <c r="H520" s="1508">
        <f>ROUND((+H519*0.05*0.19)/(1+0.3),0)</f>
        <v>983766</v>
      </c>
    </row>
    <row r="521" spans="1:13" s="565" customFormat="1" ht="15" customHeight="1" thickBot="1">
      <c r="A521" s="561"/>
      <c r="B521" s="560"/>
      <c r="C521" s="560"/>
      <c r="D521" s="561"/>
      <c r="E521" s="562"/>
      <c r="G521" s="579" t="s">
        <v>526</v>
      </c>
      <c r="H521" s="1509">
        <f>+ROUND(H519+H520,0)</f>
        <v>135604379</v>
      </c>
    </row>
    <row r="522" spans="1:13" s="565" customFormat="1" ht="15" customHeight="1" thickTop="1">
      <c r="A522" s="561"/>
      <c r="B522" s="560"/>
      <c r="C522" s="560"/>
      <c r="D522" s="561"/>
      <c r="E522" s="562"/>
      <c r="G522" s="579"/>
      <c r="H522" s="1510"/>
    </row>
    <row r="523" spans="1:13" s="565" customFormat="1" ht="15" customHeight="1">
      <c r="A523" s="561"/>
      <c r="B523" s="560"/>
      <c r="C523" s="560"/>
      <c r="D523" s="561"/>
      <c r="E523" s="562"/>
      <c r="G523" s="579"/>
      <c r="H523" s="1506"/>
    </row>
    <row r="524" spans="1:13" s="565" customFormat="1" ht="13.5" thickBot="1">
      <c r="A524" s="566"/>
      <c r="B524" s="567"/>
      <c r="C524" s="566" t="s">
        <v>608</v>
      </c>
      <c r="D524" s="566"/>
      <c r="E524" s="567"/>
      <c r="F524" s="566"/>
      <c r="G524" s="616"/>
      <c r="H524" s="569"/>
    </row>
    <row r="525" spans="1:13" s="565" customFormat="1" ht="15" customHeight="1" thickTop="1">
      <c r="A525" s="595" t="s">
        <v>549</v>
      </c>
      <c r="B525" s="571" t="str">
        <f t="shared" ref="B525:B536" si="57">MID(A525,1,3)&amp;"-"&amp;13</f>
        <v>201-13</v>
      </c>
      <c r="C525" s="595"/>
      <c r="D525" s="619" t="str">
        <f>VLOOKUP(A525,[33]ÍNDICE!$C$6:$N$380,5,FALSE)</f>
        <v>DEMOLICIÓN DE ESTRUCTURAS</v>
      </c>
      <c r="E525" s="581" t="str">
        <f>VLOOKUP(A525,[33]ÍNDICE!$C$6:$N$380,2,FALSE)</f>
        <v>m3</v>
      </c>
      <c r="F525" s="608">
        <v>6</v>
      </c>
      <c r="G525" s="613">
        <f>VLOOKUP(A525,[33]ÍNDICE!$C$6:$N$380,12,FALSE)</f>
        <v>217760.49497573468</v>
      </c>
      <c r="H525" s="597">
        <f t="shared" ref="H525:H536" si="58">F525*G525</f>
        <v>1306562.9698544079</v>
      </c>
    </row>
    <row r="526" spans="1:13" s="565" customFormat="1" ht="15" customHeight="1">
      <c r="A526" s="571" t="s">
        <v>528</v>
      </c>
      <c r="B526" s="571" t="str">
        <f t="shared" si="57"/>
        <v>600-13</v>
      </c>
      <c r="C526" s="571"/>
      <c r="D526" s="619" t="str">
        <f>VLOOKUP(A526,[33]ÍNDICE!$C$6:$N$380,5,FALSE)</f>
        <v>EXCAVACIONES VARIAS SIN CLASIFICAR</v>
      </c>
      <c r="E526" s="581" t="str">
        <f>VLOOKUP(A526,[33]ÍNDICE!$C$6:$N$380,2,FALSE)</f>
        <v>m3</v>
      </c>
      <c r="F526" s="585">
        <v>52</v>
      </c>
      <c r="G526" s="613">
        <f>VLOOKUP(A526,[33]ÍNDICE!$C$6:$N$380,12,FALSE)</f>
        <v>58828.261120639472</v>
      </c>
      <c r="H526" s="583">
        <f t="shared" si="58"/>
        <v>3059069.5782732526</v>
      </c>
    </row>
    <row r="527" spans="1:13" s="565" customFormat="1" ht="15" customHeight="1">
      <c r="A527" s="571" t="s">
        <v>530</v>
      </c>
      <c r="B527" s="571" t="str">
        <f t="shared" si="57"/>
        <v>610-13</v>
      </c>
      <c r="C527" s="571"/>
      <c r="D527" s="619" t="str">
        <f>VLOOKUP(A527,[33]ÍNDICE!$C$6:$N$380,5,FALSE)</f>
        <v>RELLENO PARA ESTRUCTURAS CON SUELO (analizado sin preparación de la superficie base del relleno)</v>
      </c>
      <c r="E527" s="581" t="str">
        <f>VLOOKUP(A527,[33]ÍNDICE!$C$6:$N$380,2,FALSE)</f>
        <v>m3</v>
      </c>
      <c r="F527" s="586">
        <f>30*0.5</f>
        <v>15</v>
      </c>
      <c r="G527" s="613">
        <f>VLOOKUP(A527,[33]ÍNDICE!$C$6:$N$380,12,FALSE)</f>
        <v>162354.11090657322</v>
      </c>
      <c r="H527" s="583">
        <f t="shared" si="58"/>
        <v>2435311.6635985984</v>
      </c>
    </row>
    <row r="528" spans="1:13" s="565" customFormat="1" ht="15" customHeight="1">
      <c r="A528" s="571" t="s">
        <v>537</v>
      </c>
      <c r="B528" s="571" t="str">
        <f t="shared" si="57"/>
        <v>630-13</v>
      </c>
      <c r="C528" s="571"/>
      <c r="D528" s="619" t="str">
        <f>VLOOKUP(A528,[33]ÍNDICE!$C$6:$N$380,5,FALSE)</f>
        <v>CONCRETO REFORZADO RESISTENCIA 21MPa (D) - MEZCLA IN SITU</v>
      </c>
      <c r="E528" s="581" t="str">
        <f>VLOOKUP(A528,[33]ÍNDICE!$C$6:$N$380,2,FALSE)</f>
        <v>m3</v>
      </c>
      <c r="F528" s="586">
        <v>35</v>
      </c>
      <c r="G528" s="613">
        <f>VLOOKUP(A528,[33]ÍNDICE!$C$6:$N$380,12,FALSE)</f>
        <v>1243512.4574943627</v>
      </c>
      <c r="H528" s="583">
        <f t="shared" si="58"/>
        <v>43522936.012302697</v>
      </c>
      <c r="J528" s="588"/>
    </row>
    <row r="529" spans="1:8" s="565" customFormat="1" ht="15" customHeight="1">
      <c r="A529" s="571" t="s">
        <v>531</v>
      </c>
      <c r="B529" s="571" t="str">
        <f t="shared" si="57"/>
        <v>630-13</v>
      </c>
      <c r="C529" s="571"/>
      <c r="D529" s="619" t="str">
        <f>VLOOKUP(A529,[33]ÍNDICE!$C$6:$N$380,5,FALSE)</f>
        <v>CONCRETO SIMPLE RESISTENCIA 17 MPa - MEZCLA IN SITU</v>
      </c>
      <c r="E529" s="581" t="str">
        <f>VLOOKUP(A529,[33]ÍNDICE!$C$6:$N$380,2,FALSE)</f>
        <v>m3</v>
      </c>
      <c r="F529" s="586">
        <v>10</v>
      </c>
      <c r="G529" s="613">
        <f>VLOOKUP(A529,[33]ÍNDICE!$C$6:$N$380,12,FALSE)</f>
        <v>994779.33062365581</v>
      </c>
      <c r="H529" s="583">
        <f t="shared" si="58"/>
        <v>9947793.3062365577</v>
      </c>
    </row>
    <row r="530" spans="1:8" s="565" customFormat="1" ht="15" customHeight="1">
      <c r="A530" s="571" t="s">
        <v>541</v>
      </c>
      <c r="B530" s="571" t="str">
        <f t="shared" si="57"/>
        <v>640-13</v>
      </c>
      <c r="C530" s="571"/>
      <c r="D530" s="619" t="str">
        <f>VLOOKUP(A530,[33]ÍNDICE!$C$6:$N$380,5,FALSE)</f>
        <v>ACERO DE REFUERZO Fy 4200 MPa</v>
      </c>
      <c r="E530" s="581" t="str">
        <f>VLOOKUP(A530,[33]ÍNDICE!$C$6:$N$380,2,FALSE)</f>
        <v>kg</v>
      </c>
      <c r="F530" s="585">
        <f>(F528)*105</f>
        <v>3675</v>
      </c>
      <c r="G530" s="613">
        <f>VLOOKUP(A530,[33]ÍNDICE!$C$6:$N$380,12,FALSE)</f>
        <v>7547.7371417119648</v>
      </c>
      <c r="H530" s="583">
        <f t="shared" si="58"/>
        <v>27737933.995791469</v>
      </c>
    </row>
    <row r="531" spans="1:8" s="565" customFormat="1" ht="26.1" customHeight="1">
      <c r="A531" s="571" t="s">
        <v>545</v>
      </c>
      <c r="B531" s="571" t="str">
        <f t="shared" si="57"/>
        <v>671-13</v>
      </c>
      <c r="C531" s="571"/>
      <c r="D531" s="619" t="str">
        <f>VLOOKUP(A531,[33]ÍNDICE!$C$6:$N$380,5,FALSE)</f>
        <v>CUNETA DE CONCRETO VACIADA IN SITU; INCLUYE LA CONFORMACIÓN DE LA SUPERFICIE DE APOYO</v>
      </c>
      <c r="E531" s="581" t="str">
        <f>VLOOKUP(A531,[33]ÍNDICE!$C$6:$N$380,2,FALSE)</f>
        <v>m3</v>
      </c>
      <c r="F531" s="586">
        <v>5</v>
      </c>
      <c r="G531" s="613">
        <f>VLOOKUP(A531,[33]ÍNDICE!$C$6:$N$380,12,FALSE)</f>
        <v>1106254.0341245155</v>
      </c>
      <c r="H531" s="583">
        <f t="shared" si="58"/>
        <v>5531270.1706225779</v>
      </c>
    </row>
    <row r="532" spans="1:8" s="565" customFormat="1" ht="15" customHeight="1">
      <c r="A532" s="571" t="s">
        <v>534</v>
      </c>
      <c r="B532" s="571" t="str">
        <f>MID(A532,1,3)&amp;"-"&amp;13</f>
        <v>673-13</v>
      </c>
      <c r="C532" s="571"/>
      <c r="D532" s="619" t="str">
        <f>VLOOKUP(A532,[33]ÍNDICE!$C$6:$N$380,5,FALSE)</f>
        <v xml:space="preserve">GEOTEXTIL TIPO TEJIDO CON RESISTENCIA A LA TENSIÓN GRAB MÍNIMA DE 1400 N </v>
      </c>
      <c r="E532" s="581" t="str">
        <f>VLOOKUP(A532,[33]ÍNDICE!$C$6:$N$380,2,FALSE)</f>
        <v>m2</v>
      </c>
      <c r="F532" s="585">
        <f>(30+2)*2</f>
        <v>64</v>
      </c>
      <c r="G532" s="613">
        <f>VLOOKUP(A532,[33]ÍNDICE!$C$6:$N$380,12,FALSE)</f>
        <v>12861.24633460756</v>
      </c>
      <c r="H532" s="583">
        <f>F532*G532</f>
        <v>823119.76541488385</v>
      </c>
    </row>
    <row r="533" spans="1:8" s="565" customFormat="1" ht="15" customHeight="1">
      <c r="A533" s="571" t="s">
        <v>547</v>
      </c>
      <c r="B533" s="571" t="str">
        <f t="shared" si="57"/>
        <v>673-13</v>
      </c>
      <c r="C533" s="571"/>
      <c r="D533" s="619" t="str">
        <f>VLOOKUP(A533,[33]ÍNDICE!$C$6:$N$380,5,FALSE)</f>
        <v>MATERIAL GRANULAR DRENANTE</v>
      </c>
      <c r="E533" s="581" t="str">
        <f>VLOOKUP(A533,[33]ÍNDICE!$C$6:$N$380,2,FALSE)</f>
        <v>m3</v>
      </c>
      <c r="F533" s="586">
        <v>33</v>
      </c>
      <c r="G533" s="613">
        <f>VLOOKUP(A533,[33]ÍNDICE!$C$6:$N$380,12,FALSE)</f>
        <v>372207.28893037047</v>
      </c>
      <c r="H533" s="583">
        <f t="shared" si="58"/>
        <v>12282840.534702227</v>
      </c>
    </row>
    <row r="534" spans="1:8" s="565" customFormat="1" ht="26.1" customHeight="1">
      <c r="A534" s="571" t="s">
        <v>581</v>
      </c>
      <c r="B534" s="571" t="str">
        <f t="shared" si="57"/>
        <v>674-13</v>
      </c>
      <c r="C534" s="614"/>
      <c r="D534" s="619" t="str">
        <f>VLOOKUP(A534,[33]ÍNDICE!$C$6:$N$380,5,FALSE)</f>
        <v>DREN HORIZONTAL DE LONGITUD MENOR O IGUAL A DIEZ (10) METROS</v>
      </c>
      <c r="E534" s="581" t="str">
        <f>VLOOKUP(A534,[33]ÍNDICE!$C$6:$N$380,2,FALSE)</f>
        <v>m</v>
      </c>
      <c r="F534" s="618">
        <v>400</v>
      </c>
      <c r="G534" s="613">
        <f>VLOOKUP(A534,[33]ÍNDICE!$C$6:$N$380,12,FALSE)</f>
        <v>150185.86582288929</v>
      </c>
      <c r="H534" s="583">
        <f t="shared" si="58"/>
        <v>60074346.329155713</v>
      </c>
    </row>
    <row r="535" spans="1:8" s="565" customFormat="1" ht="15" customHeight="1">
      <c r="A535" s="571" t="s">
        <v>582</v>
      </c>
      <c r="B535" s="571" t="str">
        <f t="shared" si="57"/>
        <v>674-13</v>
      </c>
      <c r="C535" s="614"/>
      <c r="D535" s="619" t="str">
        <f>VLOOKUP(A535,[33]ÍNDICE!$C$6:$N$380,5,FALSE)</f>
        <v>DREN HORIZONTAL DE LONGITUD MAYOR A DIEZ (10) METROS</v>
      </c>
      <c r="E535" s="581" t="str">
        <f>VLOOKUP(A535,[33]ÍNDICE!$C$6:$N$380,2,FALSE)</f>
        <v>m</v>
      </c>
      <c r="F535" s="618">
        <v>400</v>
      </c>
      <c r="G535" s="613">
        <f>VLOOKUP(A535,[33]ÍNDICE!$C$6:$N$380,12,FALSE)</f>
        <v>281501.6705966685</v>
      </c>
      <c r="H535" s="583">
        <f t="shared" si="58"/>
        <v>112600668.2386674</v>
      </c>
    </row>
    <row r="536" spans="1:8" s="565" customFormat="1" ht="26.1" customHeight="1" thickBot="1">
      <c r="A536" s="602" t="s">
        <v>535</v>
      </c>
      <c r="B536" s="571" t="str">
        <f t="shared" si="57"/>
        <v>681-13</v>
      </c>
      <c r="C536" s="602"/>
      <c r="D536" s="619" t="str">
        <f>VLOOKUP(A536,[33]ÍNDICE!$C$6:$N$380,5,FALSE)</f>
        <v>GAVIONES DE MALLA DE ALAMBRE DE ACERO ENTRELAZADO CLASE 1; RECUBRIMIENTO DE ZINC (GALVANIZADO)</v>
      </c>
      <c r="E536" s="581" t="str">
        <f>VLOOKUP(A536,[33]ÍNDICE!$C$6:$N$380,2,FALSE)</f>
        <v>m3</v>
      </c>
      <c r="F536" s="603">
        <v>20</v>
      </c>
      <c r="G536" s="613">
        <f>VLOOKUP(A536,[33]ÍNDICE!$C$6:$N$380,12,FALSE)</f>
        <v>601666.19528525032</v>
      </c>
      <c r="H536" s="606">
        <f t="shared" si="58"/>
        <v>12033323.905705007</v>
      </c>
    </row>
    <row r="537" spans="1:8" s="565" customFormat="1" ht="15" customHeight="1" thickTop="1">
      <c r="A537" s="574"/>
      <c r="B537" s="574"/>
      <c r="C537" s="574"/>
      <c r="D537" s="575"/>
      <c r="E537" s="589"/>
      <c r="F537" s="590"/>
      <c r="G537" s="576" t="s">
        <v>524</v>
      </c>
      <c r="H537" s="1507">
        <f>SUM(H525:H536)</f>
        <v>291355176.47032481</v>
      </c>
    </row>
    <row r="538" spans="1:8" s="565" customFormat="1" ht="15" customHeight="1">
      <c r="A538" s="577"/>
      <c r="B538" s="577"/>
      <c r="C538" s="577"/>
      <c r="D538" s="578"/>
      <c r="E538" s="562"/>
      <c r="F538" s="580"/>
      <c r="G538" s="579" t="s">
        <v>525</v>
      </c>
      <c r="H538" s="1508">
        <f>SUM(H537:H537)*0.05*0.19/1.3</f>
        <v>2129133.9818985276</v>
      </c>
    </row>
    <row r="539" spans="1:8" s="565" customFormat="1" ht="15" customHeight="1" thickBot="1">
      <c r="A539" s="561"/>
      <c r="B539" s="560"/>
      <c r="C539" s="560"/>
      <c r="D539" s="561"/>
      <c r="E539" s="562"/>
      <c r="F539" s="580"/>
      <c r="G539" s="579" t="s">
        <v>526</v>
      </c>
      <c r="H539" s="1509">
        <f>+ROUND(H537+H538,0)</f>
        <v>293484310</v>
      </c>
    </row>
    <row r="540" spans="1:8" s="565" customFormat="1" ht="15" customHeight="1" thickTop="1">
      <c r="A540" s="561"/>
      <c r="B540" s="560"/>
      <c r="C540" s="560"/>
      <c r="D540" s="561"/>
      <c r="E540" s="562"/>
      <c r="F540" s="580"/>
      <c r="G540" s="579"/>
      <c r="H540" s="1506"/>
    </row>
    <row r="541" spans="1:8" s="565" customFormat="1" ht="13.5" thickBot="1">
      <c r="A541" s="566"/>
      <c r="B541" s="567"/>
      <c r="C541" s="566" t="s">
        <v>609</v>
      </c>
      <c r="D541" s="566"/>
      <c r="E541" s="567"/>
      <c r="F541" s="566"/>
      <c r="G541" s="616"/>
      <c r="H541" s="569"/>
    </row>
    <row r="542" spans="1:8" s="565" customFormat="1" ht="15" customHeight="1" thickTop="1">
      <c r="A542" s="571" t="s">
        <v>528</v>
      </c>
      <c r="B542" s="571" t="str">
        <f>MID(A542,1,3)&amp;"-"&amp;13</f>
        <v>600-13</v>
      </c>
      <c r="C542" s="571"/>
      <c r="D542" s="619" t="str">
        <f>VLOOKUP(A542,[33]ÍNDICE!$C$6:$N$380,5,FALSE)</f>
        <v>EXCAVACIONES VARIAS SIN CLASIFICAR</v>
      </c>
      <c r="E542" s="581" t="str">
        <f>VLOOKUP(A542,[33]ÍNDICE!$C$6:$N$380,2,FALSE)</f>
        <v>m3</v>
      </c>
      <c r="F542" s="658">
        <f>30*3*1</f>
        <v>90</v>
      </c>
      <c r="G542" s="613">
        <f>VLOOKUP(A542,[33]ÍNDICE!$C$6:$N$380,12,FALSE)</f>
        <v>58828.261120639472</v>
      </c>
      <c r="H542" s="583">
        <f>F542*G542</f>
        <v>5294543.5008575525</v>
      </c>
    </row>
    <row r="543" spans="1:8" s="565" customFormat="1" ht="15" customHeight="1">
      <c r="A543" s="571" t="s">
        <v>530</v>
      </c>
      <c r="B543" s="571" t="str">
        <f>MID(A543,1,3)&amp;"-"&amp;13</f>
        <v>610-13</v>
      </c>
      <c r="C543" s="571"/>
      <c r="D543" s="619" t="str">
        <f>VLOOKUP(A543,[33]ÍNDICE!$C$6:$N$380,5,FALSE)</f>
        <v>RELLENO PARA ESTRUCTURAS CON SUELO (analizado sin preparación de la superficie base del relleno)</v>
      </c>
      <c r="E543" s="581" t="str">
        <f>VLOOKUP(A543,[33]ÍNDICE!$C$6:$N$380,2,FALSE)</f>
        <v>m3</v>
      </c>
      <c r="F543" s="683">
        <f>30*2*1</f>
        <v>60</v>
      </c>
      <c r="G543" s="613">
        <f>VLOOKUP(A543,[33]ÍNDICE!$C$6:$N$380,12,FALSE)</f>
        <v>162354.11090657322</v>
      </c>
      <c r="H543" s="583">
        <f>F543*G543</f>
        <v>9741246.6543943938</v>
      </c>
    </row>
    <row r="544" spans="1:8" s="565" customFormat="1" ht="26.1" customHeight="1">
      <c r="A544" s="571" t="s">
        <v>545</v>
      </c>
      <c r="B544" s="571" t="str">
        <f>MID(A544,1,3)&amp;"-"&amp;13</f>
        <v>671-13</v>
      </c>
      <c r="C544" s="571"/>
      <c r="D544" s="619" t="str">
        <f>VLOOKUP(A544,[33]ÍNDICE!$C$6:$N$380,5,FALSE)</f>
        <v>CUNETA DE CONCRETO VACIADA IN SITU; INCLUYE LA CONFORMACIÓN DE LA SUPERFICIE DE APOYO</v>
      </c>
      <c r="E544" s="581" t="str">
        <f>VLOOKUP(A544,[33]ÍNDICE!$C$6:$N$380,2,FALSE)</f>
        <v>m3</v>
      </c>
      <c r="F544" s="683">
        <f>30*0.15*1.5</f>
        <v>6.75</v>
      </c>
      <c r="G544" s="613">
        <f>VLOOKUP(A544,[33]ÍNDICE!$C$6:$N$380,12,FALSE)</f>
        <v>1106254.0341245155</v>
      </c>
      <c r="H544" s="583">
        <f>F544*G544</f>
        <v>7467214.7303404799</v>
      </c>
    </row>
    <row r="545" spans="1:8" s="565" customFormat="1" ht="15" customHeight="1">
      <c r="A545" s="571" t="s">
        <v>534</v>
      </c>
      <c r="B545" s="571" t="str">
        <f>MID(A545,1,3)&amp;"-"&amp;13</f>
        <v>673-13</v>
      </c>
      <c r="C545" s="571"/>
      <c r="D545" s="619" t="str">
        <f>VLOOKUP(A545,[33]ÍNDICE!$C$6:$N$380,5,FALSE)</f>
        <v xml:space="preserve">GEOTEXTIL TIPO TEJIDO CON RESISTENCIA A LA TENSIÓN GRAB MÍNIMA DE 1400 N </v>
      </c>
      <c r="E545" s="581" t="str">
        <f>VLOOKUP(A545,[33]ÍNDICE!$C$6:$N$380,2,FALSE)</f>
        <v>m2</v>
      </c>
      <c r="F545" s="658">
        <f>30*6.21</f>
        <v>186.3</v>
      </c>
      <c r="G545" s="613">
        <f>VLOOKUP(A545,[33]ÍNDICE!$C$6:$N$380,12,FALSE)</f>
        <v>12861.24633460756</v>
      </c>
      <c r="H545" s="583">
        <f>F545*G545</f>
        <v>2396050.1921373885</v>
      </c>
    </row>
    <row r="546" spans="1:8" s="565" customFormat="1" ht="26.1" customHeight="1" thickBot="1">
      <c r="A546" s="602" t="s">
        <v>535</v>
      </c>
      <c r="B546" s="571" t="str">
        <f>MID(A546,1,3)&amp;"-"&amp;13</f>
        <v>681-13</v>
      </c>
      <c r="C546" s="602"/>
      <c r="D546" s="619" t="str">
        <f>VLOOKUP(A546,[33]ÍNDICE!$C$6:$N$380,5,FALSE)</f>
        <v>GAVIONES DE MALLA DE ALAMBRE DE ACERO ENTRELAZADO CLASE 1; RECUBRIMIENTO DE ZINC (GALVANIZADO)</v>
      </c>
      <c r="E546" s="581" t="str">
        <f>VLOOKUP(A546,[33]ÍNDICE!$C$6:$N$380,2,FALSE)</f>
        <v>m3</v>
      </c>
      <c r="F546" s="1139">
        <f>+(30*2*1)*5</f>
        <v>300</v>
      </c>
      <c r="G546" s="613">
        <f>VLOOKUP(A546,[33]ÍNDICE!$C$6:$N$380,12,FALSE)</f>
        <v>601666.19528525032</v>
      </c>
      <c r="H546" s="606">
        <f>F546*G546</f>
        <v>180499858.5855751</v>
      </c>
    </row>
    <row r="547" spans="1:8" s="565" customFormat="1" ht="15" customHeight="1" thickTop="1">
      <c r="A547" s="574"/>
      <c r="B547" s="574"/>
      <c r="C547" s="574"/>
      <c r="D547" s="575"/>
      <c r="E547" s="589"/>
      <c r="F547" s="590"/>
      <c r="G547" s="576" t="s">
        <v>524</v>
      </c>
      <c r="H547" s="1507">
        <f>SUM(H542:H546)</f>
        <v>205398913.66330492</v>
      </c>
    </row>
    <row r="548" spans="1:8" s="565" customFormat="1" ht="15" customHeight="1">
      <c r="A548" s="577"/>
      <c r="B548" s="577"/>
      <c r="C548" s="577"/>
      <c r="D548" s="578"/>
      <c r="E548" s="562"/>
      <c r="F548" s="580"/>
      <c r="G548" s="579" t="s">
        <v>525</v>
      </c>
      <c r="H548" s="1508">
        <f>SUM(H547:H547)*0.05*0.19/1.3</f>
        <v>1500992.0613856898</v>
      </c>
    </row>
    <row r="549" spans="1:8" s="565" customFormat="1" ht="15" customHeight="1" thickBot="1">
      <c r="A549" s="561"/>
      <c r="B549" s="560"/>
      <c r="C549" s="560"/>
      <c r="D549" s="561"/>
      <c r="E549" s="562"/>
      <c r="F549" s="580"/>
      <c r="G549" s="579" t="s">
        <v>526</v>
      </c>
      <c r="H549" s="1509">
        <f>+ROUND(H547+H548,0)</f>
        <v>206899906</v>
      </c>
    </row>
    <row r="550" spans="1:8" s="565" customFormat="1" ht="15" customHeight="1" thickTop="1">
      <c r="A550" s="561"/>
      <c r="B550" s="560"/>
      <c r="C550" s="560"/>
      <c r="D550" s="561"/>
      <c r="E550" s="562"/>
      <c r="F550" s="580"/>
      <c r="G550" s="579"/>
      <c r="H550" s="1506"/>
    </row>
    <row r="551" spans="1:8" s="565" customFormat="1" ht="13.5" thickBot="1">
      <c r="A551" s="566"/>
      <c r="B551" s="567"/>
      <c r="C551" s="566" t="s">
        <v>610</v>
      </c>
      <c r="D551" s="566"/>
      <c r="E551" s="567"/>
      <c r="F551" s="566"/>
      <c r="G551" s="616"/>
      <c r="H551" s="569"/>
    </row>
    <row r="552" spans="1:8" s="565" customFormat="1" ht="15" customHeight="1" thickTop="1">
      <c r="A552" s="595" t="s">
        <v>549</v>
      </c>
      <c r="B552" s="571" t="str">
        <f t="shared" ref="B552:B557" si="59">MID(A552,1,3)&amp;"-"&amp;13</f>
        <v>201-13</v>
      </c>
      <c r="C552" s="595"/>
      <c r="D552" s="619" t="str">
        <f>VLOOKUP(A552,[33]ÍNDICE!$C$6:$N$380,5,FALSE)</f>
        <v>DEMOLICIÓN DE ESTRUCTURAS</v>
      </c>
      <c r="E552" s="581" t="str">
        <f>VLOOKUP(A552,[33]ÍNDICE!$C$6:$N$380,2,FALSE)</f>
        <v>m3</v>
      </c>
      <c r="F552" s="1146">
        <f>17*1.5*0.1</f>
        <v>2.5500000000000003</v>
      </c>
      <c r="G552" s="613">
        <f>VLOOKUP(A552,[33]ÍNDICE!$C$6:$N$380,12,FALSE)</f>
        <v>217760.49497573468</v>
      </c>
      <c r="H552" s="597">
        <f t="shared" ref="H552:H557" si="60">F552*G552</f>
        <v>555289.26218812354</v>
      </c>
    </row>
    <row r="553" spans="1:8" s="565" customFormat="1" ht="15" customHeight="1">
      <c r="A553" s="571" t="s">
        <v>528</v>
      </c>
      <c r="B553" s="571" t="str">
        <f t="shared" si="59"/>
        <v>600-13</v>
      </c>
      <c r="C553" s="571"/>
      <c r="D553" s="619" t="str">
        <f>VLOOKUP(A553,[33]ÍNDICE!$C$6:$N$380,5,FALSE)</f>
        <v>EXCAVACIONES VARIAS SIN CLASIFICAR</v>
      </c>
      <c r="E553" s="581" t="str">
        <f>VLOOKUP(A553,[33]ÍNDICE!$C$6:$N$380,2,FALSE)</f>
        <v>m3</v>
      </c>
      <c r="F553" s="658">
        <v>15</v>
      </c>
      <c r="G553" s="613">
        <f>VLOOKUP(A553,[33]ÍNDICE!$C$6:$N$380,12,FALSE)</f>
        <v>58828.261120639472</v>
      </c>
      <c r="H553" s="583">
        <f t="shared" si="60"/>
        <v>882423.91680959205</v>
      </c>
    </row>
    <row r="554" spans="1:8" s="565" customFormat="1" ht="15" customHeight="1">
      <c r="A554" s="571" t="s">
        <v>530</v>
      </c>
      <c r="B554" s="571" t="str">
        <f t="shared" si="59"/>
        <v>610-13</v>
      </c>
      <c r="C554" s="571"/>
      <c r="D554" s="619" t="str">
        <f>VLOOKUP(A554,[33]ÍNDICE!$C$6:$N$380,5,FALSE)</f>
        <v>RELLENO PARA ESTRUCTURAS CON SUELO (analizado sin preparación de la superficie base del relleno)</v>
      </c>
      <c r="E554" s="581" t="str">
        <f>VLOOKUP(A554,[33]ÍNDICE!$C$6:$N$380,2,FALSE)</f>
        <v>m3</v>
      </c>
      <c r="F554" s="683">
        <f>30*0.5</f>
        <v>15</v>
      </c>
      <c r="G554" s="613">
        <f>VLOOKUP(A554,[33]ÍNDICE!$C$6:$N$380,12,FALSE)</f>
        <v>162354.11090657322</v>
      </c>
      <c r="H554" s="583">
        <f t="shared" si="60"/>
        <v>2435311.6635985984</v>
      </c>
    </row>
    <row r="555" spans="1:8" s="565" customFormat="1" ht="26.1" customHeight="1">
      <c r="A555" s="571" t="s">
        <v>545</v>
      </c>
      <c r="B555" s="571" t="str">
        <f t="shared" si="59"/>
        <v>671-13</v>
      </c>
      <c r="C555" s="571"/>
      <c r="D555" s="619" t="str">
        <f>VLOOKUP(A555,[33]ÍNDICE!$C$6:$N$380,5,FALSE)</f>
        <v>CUNETA DE CONCRETO VACIADA IN SITU; INCLUYE LA CONFORMACIÓN DE LA SUPERFICIE DE APOYO</v>
      </c>
      <c r="E555" s="581" t="str">
        <f>VLOOKUP(A555,[33]ÍNDICE!$C$6:$N$380,2,FALSE)</f>
        <v>m3</v>
      </c>
      <c r="F555" s="683">
        <f>20*1.5*0.1</f>
        <v>3</v>
      </c>
      <c r="G555" s="613">
        <f>VLOOKUP(A555,[33]ÍNDICE!$C$6:$N$380,12,FALSE)</f>
        <v>1106254.0341245155</v>
      </c>
      <c r="H555" s="583">
        <f t="shared" si="60"/>
        <v>3318762.1023735465</v>
      </c>
    </row>
    <row r="556" spans="1:8" s="565" customFormat="1" ht="15" customHeight="1">
      <c r="A556" s="571" t="s">
        <v>534</v>
      </c>
      <c r="B556" s="571" t="str">
        <f t="shared" si="59"/>
        <v>673-13</v>
      </c>
      <c r="C556" s="571"/>
      <c r="D556" s="619" t="str">
        <f>VLOOKUP(A556,[33]ÍNDICE!$C$6:$N$380,5,FALSE)</f>
        <v xml:space="preserve">GEOTEXTIL TIPO TEJIDO CON RESISTENCIA A LA TENSIÓN GRAB MÍNIMA DE 1400 N </v>
      </c>
      <c r="E556" s="581" t="str">
        <f>VLOOKUP(A556,[33]ÍNDICE!$C$6:$N$380,2,FALSE)</f>
        <v>m2</v>
      </c>
      <c r="F556" s="658">
        <f>2*20</f>
        <v>40</v>
      </c>
      <c r="G556" s="613">
        <f>VLOOKUP(A556,[33]ÍNDICE!$C$6:$N$380,12,FALSE)</f>
        <v>12861.24633460756</v>
      </c>
      <c r="H556" s="583">
        <f t="shared" si="60"/>
        <v>514449.85338430241</v>
      </c>
    </row>
    <row r="557" spans="1:8" s="565" customFormat="1" ht="26.1" customHeight="1" thickBot="1">
      <c r="A557" s="602" t="s">
        <v>535</v>
      </c>
      <c r="B557" s="571" t="str">
        <f t="shared" si="59"/>
        <v>681-13</v>
      </c>
      <c r="C557" s="602"/>
      <c r="D557" s="619" t="str">
        <f>VLOOKUP(A557,[33]ÍNDICE!$C$6:$N$380,5,FALSE)</f>
        <v>GAVIONES DE MALLA DE ALAMBRE DE ACERO ENTRELAZADO CLASE 1; RECUBRIMIENTO DE ZINC (GALVANIZADO)</v>
      </c>
      <c r="E557" s="581" t="str">
        <f>VLOOKUP(A557,[33]ÍNDICE!$C$6:$N$380,2,FALSE)</f>
        <v>m3</v>
      </c>
      <c r="F557" s="1139">
        <f>20*2*1</f>
        <v>40</v>
      </c>
      <c r="G557" s="613">
        <f>VLOOKUP(A557,[33]ÍNDICE!$C$6:$N$380,12,FALSE)</f>
        <v>601666.19528525032</v>
      </c>
      <c r="H557" s="606">
        <f t="shared" si="60"/>
        <v>24066647.811410014</v>
      </c>
    </row>
    <row r="558" spans="1:8" s="565" customFormat="1" ht="15" customHeight="1" thickTop="1">
      <c r="A558" s="574"/>
      <c r="B558" s="574"/>
      <c r="C558" s="574"/>
      <c r="D558" s="575"/>
      <c r="E558" s="589"/>
      <c r="F558" s="590"/>
      <c r="G558" s="576" t="s">
        <v>524</v>
      </c>
      <c r="H558" s="1507">
        <f>SUM(H552:H557)</f>
        <v>31772884.609764177</v>
      </c>
    </row>
    <row r="559" spans="1:8" s="565" customFormat="1" ht="15" customHeight="1">
      <c r="A559" s="577"/>
      <c r="B559" s="577"/>
      <c r="C559" s="577"/>
      <c r="D559" s="578"/>
      <c r="E559" s="562"/>
      <c r="F559" s="580"/>
      <c r="G559" s="579" t="s">
        <v>525</v>
      </c>
      <c r="H559" s="1508">
        <f>SUM(H558:H558)*0.05*0.19/1.3</f>
        <v>232186.46445596902</v>
      </c>
    </row>
    <row r="560" spans="1:8" s="565" customFormat="1" ht="15" customHeight="1" thickBot="1">
      <c r="A560" s="561"/>
      <c r="B560" s="560"/>
      <c r="C560" s="560"/>
      <c r="D560" s="561"/>
      <c r="E560" s="562"/>
      <c r="F560" s="580"/>
      <c r="G560" s="579" t="s">
        <v>526</v>
      </c>
      <c r="H560" s="1509">
        <f>+ROUND(H558+H559,0)</f>
        <v>32005071</v>
      </c>
    </row>
    <row r="561" spans="1:10" s="565" customFormat="1" ht="15" customHeight="1" thickTop="1">
      <c r="A561" s="561"/>
      <c r="B561" s="560"/>
      <c r="C561" s="560"/>
      <c r="D561" s="561"/>
      <c r="E561" s="562"/>
      <c r="F561" s="580"/>
      <c r="G561" s="579"/>
      <c r="H561" s="1510"/>
    </row>
    <row r="562" spans="1:10" s="565" customFormat="1" ht="13.5" thickBot="1">
      <c r="A562" s="566"/>
      <c r="B562" s="567"/>
      <c r="C562" s="566" t="s">
        <v>611</v>
      </c>
      <c r="D562" s="566"/>
      <c r="E562" s="567"/>
      <c r="F562" s="566"/>
      <c r="G562" s="616"/>
      <c r="H562" s="569"/>
    </row>
    <row r="563" spans="1:10" s="565" customFormat="1" ht="15" customHeight="1" thickTop="1">
      <c r="A563" s="595" t="s">
        <v>549</v>
      </c>
      <c r="B563" s="571" t="str">
        <f t="shared" ref="B563:B568" si="61">MID(A563,1,3)&amp;"-"&amp;13</f>
        <v>201-13</v>
      </c>
      <c r="C563" s="595"/>
      <c r="D563" s="619" t="str">
        <f>VLOOKUP(A563,[33]ÍNDICE!$C$6:$N$380,5,FALSE)</f>
        <v>DEMOLICIÓN DE ESTRUCTURAS</v>
      </c>
      <c r="E563" s="581" t="str">
        <f>VLOOKUP(A563,[33]ÍNDICE!$C$6:$N$380,2,FALSE)</f>
        <v>m3</v>
      </c>
      <c r="F563" s="608">
        <v>6</v>
      </c>
      <c r="G563" s="613">
        <f>VLOOKUP(A563,[33]ÍNDICE!$C$6:$N$380,12,FALSE)</f>
        <v>217760.49497573468</v>
      </c>
      <c r="H563" s="597">
        <f t="shared" ref="H563:H568" si="62">F563*G563</f>
        <v>1306562.9698544079</v>
      </c>
    </row>
    <row r="564" spans="1:10" s="565" customFormat="1" ht="15" customHeight="1">
      <c r="A564" s="571" t="s">
        <v>528</v>
      </c>
      <c r="B564" s="571" t="str">
        <f t="shared" si="61"/>
        <v>600-13</v>
      </c>
      <c r="C564" s="571"/>
      <c r="D564" s="619" t="str">
        <f>VLOOKUP(A564,[33]ÍNDICE!$C$6:$N$380,5,FALSE)</f>
        <v>EXCAVACIONES VARIAS SIN CLASIFICAR</v>
      </c>
      <c r="E564" s="581" t="str">
        <f>VLOOKUP(A564,[33]ÍNDICE!$C$6:$N$380,2,FALSE)</f>
        <v>m3</v>
      </c>
      <c r="F564" s="585">
        <v>52</v>
      </c>
      <c r="G564" s="613">
        <f>VLOOKUP(A564,[33]ÍNDICE!$C$6:$N$380,12,FALSE)</f>
        <v>58828.261120639472</v>
      </c>
      <c r="H564" s="583">
        <f t="shared" si="62"/>
        <v>3059069.5782732526</v>
      </c>
    </row>
    <row r="565" spans="1:10" s="565" customFormat="1" ht="15" customHeight="1">
      <c r="A565" s="571" t="s">
        <v>530</v>
      </c>
      <c r="B565" s="571" t="str">
        <f t="shared" si="61"/>
        <v>610-13</v>
      </c>
      <c r="C565" s="571"/>
      <c r="D565" s="619" t="str">
        <f>VLOOKUP(A565,[33]ÍNDICE!$C$6:$N$380,5,FALSE)</f>
        <v>RELLENO PARA ESTRUCTURAS CON SUELO (analizado sin preparación de la superficie base del relleno)</v>
      </c>
      <c r="E565" s="581" t="str">
        <f>VLOOKUP(A565,[33]ÍNDICE!$C$6:$N$380,2,FALSE)</f>
        <v>m3</v>
      </c>
      <c r="F565" s="586">
        <f>30*0.5</f>
        <v>15</v>
      </c>
      <c r="G565" s="613">
        <f>VLOOKUP(A565,[33]ÍNDICE!$C$6:$N$380,12,FALSE)</f>
        <v>162354.11090657322</v>
      </c>
      <c r="H565" s="583">
        <f t="shared" si="62"/>
        <v>2435311.6635985984</v>
      </c>
    </row>
    <row r="566" spans="1:10" s="565" customFormat="1" ht="25.5" customHeight="1">
      <c r="A566" s="571" t="s">
        <v>612</v>
      </c>
      <c r="B566" s="571">
        <v>623.1</v>
      </c>
      <c r="C566" s="571"/>
      <c r="D566" s="619" t="str">
        <f>VLOOKUP(A566,[33]ÍNDICE!$C$6:$N$380,5,FALSE)</f>
        <v>PILOTES PREFABRICADOS DE CONCRETO (IN SITU), DE SECCIÓN 0,40 m</v>
      </c>
      <c r="E566" s="581" t="str">
        <f>VLOOKUP(A566,[33]ÍNDICE!$C$6:$N$380,2,FALSE)</f>
        <v>m</v>
      </c>
      <c r="F566" s="586">
        <f>5*2</f>
        <v>10</v>
      </c>
      <c r="G566" s="613">
        <f>VLOOKUP(A566,[33]ÍNDICE!$C$6:$N$380,12,FALSE)</f>
        <v>372515.63234318211</v>
      </c>
      <c r="H566" s="583">
        <f>+F566*G566</f>
        <v>3725156.3234318211</v>
      </c>
    </row>
    <row r="567" spans="1:10" s="565" customFormat="1" ht="15" customHeight="1">
      <c r="A567" s="571" t="s">
        <v>537</v>
      </c>
      <c r="B567" s="571" t="str">
        <f t="shared" si="61"/>
        <v>630-13</v>
      </c>
      <c r="C567" s="571"/>
      <c r="D567" s="619" t="str">
        <f>VLOOKUP(A567,[33]ÍNDICE!$C$6:$N$380,5,FALSE)</f>
        <v>CONCRETO REFORZADO RESISTENCIA 21MPa (D) - MEZCLA IN SITU</v>
      </c>
      <c r="E567" s="581" t="str">
        <f>VLOOKUP(A567,[33]ÍNDICE!$C$6:$N$380,2,FALSE)</f>
        <v>m3</v>
      </c>
      <c r="F567" s="586">
        <f>15*5*0.5</f>
        <v>37.5</v>
      </c>
      <c r="G567" s="613">
        <f>VLOOKUP(A567,[33]ÍNDICE!$C$6:$N$380,12,FALSE)</f>
        <v>1243512.4574943627</v>
      </c>
      <c r="H567" s="583">
        <f t="shared" si="62"/>
        <v>46631717.156038605</v>
      </c>
      <c r="J567" s="588"/>
    </row>
    <row r="568" spans="1:10" s="565" customFormat="1" ht="15" customHeight="1">
      <c r="A568" s="571" t="s">
        <v>541</v>
      </c>
      <c r="B568" s="571" t="str">
        <f t="shared" si="61"/>
        <v>640-13</v>
      </c>
      <c r="C568" s="571"/>
      <c r="D568" s="619" t="str">
        <f>VLOOKUP(A568,[33]ÍNDICE!$C$6:$N$380,5,FALSE)</f>
        <v>ACERO DE REFUERZO Fy 4200 MPa</v>
      </c>
      <c r="E568" s="581" t="str">
        <f>VLOOKUP(A568,[33]ÍNDICE!$C$6:$N$380,2,FALSE)</f>
        <v>kg</v>
      </c>
      <c r="F568" s="585">
        <f>(F567)*105</f>
        <v>3937.5</v>
      </c>
      <c r="G568" s="613">
        <f>VLOOKUP(A568,[33]ÍNDICE!$C$6:$N$380,12,FALSE)</f>
        <v>7547.7371417119648</v>
      </c>
      <c r="H568" s="583">
        <f t="shared" si="62"/>
        <v>29719214.99549086</v>
      </c>
    </row>
    <row r="569" spans="1:10" s="565" customFormat="1" ht="15" customHeight="1" thickBot="1">
      <c r="A569" s="571" t="s">
        <v>534</v>
      </c>
      <c r="B569" s="571" t="str">
        <f>MID(A569,1,3)&amp;"-"&amp;13</f>
        <v>673-13</v>
      </c>
      <c r="C569" s="571"/>
      <c r="D569" s="619" t="str">
        <f>VLOOKUP(A569,[33]ÍNDICE!$C$6:$N$380,5,FALSE)</f>
        <v xml:space="preserve">GEOTEXTIL TIPO TEJIDO CON RESISTENCIA A LA TENSIÓN GRAB MÍNIMA DE 1400 N </v>
      </c>
      <c r="E569" s="581" t="str">
        <f>VLOOKUP(A569,[33]ÍNDICE!$C$6:$N$380,2,FALSE)</f>
        <v>m2</v>
      </c>
      <c r="F569" s="585">
        <f>15*5</f>
        <v>75</v>
      </c>
      <c r="G569" s="613">
        <f>VLOOKUP(A569,[33]ÍNDICE!$C$6:$N$380,12,FALSE)</f>
        <v>12861.24633460756</v>
      </c>
      <c r="H569" s="583">
        <f>F569*G569</f>
        <v>964593.47509556706</v>
      </c>
    </row>
    <row r="570" spans="1:10" s="565" customFormat="1" ht="15" customHeight="1" thickTop="1">
      <c r="A570" s="574"/>
      <c r="B570" s="574"/>
      <c r="C570" s="574"/>
      <c r="D570" s="575"/>
      <c r="E570" s="589"/>
      <c r="F570" s="590"/>
      <c r="G570" s="576" t="s">
        <v>524</v>
      </c>
      <c r="H570" s="1507">
        <f>SUM(H563:H569)</f>
        <v>87841626.161783114</v>
      </c>
    </row>
    <row r="571" spans="1:10" s="565" customFormat="1" ht="15" customHeight="1">
      <c r="A571" s="577"/>
      <c r="B571" s="577"/>
      <c r="C571" s="577"/>
      <c r="D571" s="578"/>
      <c r="E571" s="562"/>
      <c r="F571" s="580"/>
      <c r="G571" s="579" t="s">
        <v>525</v>
      </c>
      <c r="H571" s="1508">
        <f>SUM(H570:H570)*0.05*0.19/1.3</f>
        <v>641919.57579764584</v>
      </c>
    </row>
    <row r="572" spans="1:10" s="565" customFormat="1" ht="15" customHeight="1" thickBot="1">
      <c r="A572" s="561"/>
      <c r="B572" s="560"/>
      <c r="C572" s="560"/>
      <c r="D572" s="561"/>
      <c r="E572" s="562"/>
      <c r="F572" s="580"/>
      <c r="G572" s="579" t="s">
        <v>526</v>
      </c>
      <c r="H572" s="1509">
        <f>+ROUND(H570+H571,0)</f>
        <v>88483546</v>
      </c>
    </row>
    <row r="573" spans="1:10" s="565" customFormat="1" ht="15" customHeight="1" thickTop="1">
      <c r="A573" s="561"/>
      <c r="B573" s="560"/>
      <c r="C573" s="560"/>
      <c r="D573" s="561"/>
      <c r="E573" s="562"/>
      <c r="F573" s="580"/>
      <c r="G573" s="579"/>
      <c r="H573" s="1506"/>
    </row>
    <row r="574" spans="1:10" s="565" customFormat="1" ht="13.5" thickBot="1">
      <c r="A574" s="566"/>
      <c r="B574" s="567"/>
      <c r="C574" s="566" t="s">
        <v>613</v>
      </c>
      <c r="D574" s="566"/>
      <c r="E574" s="567"/>
      <c r="F574" s="566"/>
      <c r="G574" s="616"/>
      <c r="H574" s="569"/>
    </row>
    <row r="575" spans="1:10" s="565" customFormat="1" ht="15" customHeight="1" thickTop="1">
      <c r="A575" s="571" t="s">
        <v>578</v>
      </c>
      <c r="B575" s="571" t="str">
        <f t="shared" ref="B575:B585" si="63">MID(A575,1,3)&amp;"-"&amp;13</f>
        <v>330-13</v>
      </c>
      <c r="C575" s="571"/>
      <c r="D575" s="619" t="str">
        <f>VLOOKUP(A575,[33]ÍNDICE!$C$6:$N$380,5,FALSE)</f>
        <v>BASE GRANULAR PARA BACHEO CLASE A GRADACION FINA</v>
      </c>
      <c r="E575" s="581" t="str">
        <f>VLOOKUP(A575,[33]ÍNDICE!$C$6:$N$380,2,FALSE)</f>
        <v>m3</v>
      </c>
      <c r="F575" s="618">
        <v>4</v>
      </c>
      <c r="G575" s="613">
        <f>VLOOKUP(A575,[33]ÍNDICE!$C$6:$N$380,12,FALSE)</f>
        <v>468038.05777015106</v>
      </c>
      <c r="H575" s="583">
        <f t="shared" ref="H575:H585" si="64">F575*G575</f>
        <v>1872152.2310806043</v>
      </c>
    </row>
    <row r="576" spans="1:10" s="565" customFormat="1" ht="26.1" customHeight="1">
      <c r="A576" s="571" t="s">
        <v>554</v>
      </c>
      <c r="B576" s="571" t="str">
        <f t="shared" si="63"/>
        <v>450-13</v>
      </c>
      <c r="C576" s="571"/>
      <c r="D576" s="619" t="str">
        <f>VLOOKUP(A576,[33]ÍNDICE!$C$6:$N$380,5,FALSE)</f>
        <v xml:space="preserve">MEZCLA DENSA EN CALIENTE TIPO MDC‐19 - COMPRA DE MEZCLA </v>
      </c>
      <c r="E576" s="581" t="str">
        <f>VLOOKUP(A576,[33]ÍNDICE!$C$6:$N$380,2,FALSE)</f>
        <v>m3</v>
      </c>
      <c r="F576" s="618">
        <v>8</v>
      </c>
      <c r="G576" s="613">
        <f>VLOOKUP(A576,[33]ÍNDICE!$C$6:$N$380,12,FALSE)</f>
        <v>1677232.0782508166</v>
      </c>
      <c r="H576" s="583">
        <f t="shared" si="64"/>
        <v>13417856.626006532</v>
      </c>
    </row>
    <row r="577" spans="1:10" s="565" customFormat="1" ht="48.95" customHeight="1">
      <c r="A577" s="571" t="s">
        <v>579</v>
      </c>
      <c r="B577" s="571" t="str">
        <f t="shared" si="63"/>
        <v>465-13</v>
      </c>
      <c r="C577" s="571"/>
      <c r="D577" s="619" t="str">
        <f>VLOOKUP(A577,[33]ÍNDICE!$C$6:$N$380,5,FALSE)</f>
        <v>EXCAVACIÓN PARA REPARACIÓN DE PAVIMENTO ASFÁLTICO EXISTENTE INCLUYENDO EL CORTE Y LA REMOCIÓN DE LAS CAPAS ASFÁLTICAS SUBYACENTES</v>
      </c>
      <c r="E577" s="581" t="str">
        <f>VLOOKUP(A577,[33]ÍNDICE!$C$6:$N$380,2,FALSE)</f>
        <v>m3</v>
      </c>
      <c r="F577" s="618">
        <v>8</v>
      </c>
      <c r="G577" s="613">
        <f>VLOOKUP(A577,[33]ÍNDICE!$C$6:$N$380,12,FALSE)</f>
        <v>100979.71246565928</v>
      </c>
      <c r="H577" s="583">
        <f t="shared" si="64"/>
        <v>807837.69972527423</v>
      </c>
    </row>
    <row r="578" spans="1:10" s="565" customFormat="1" ht="15" customHeight="1">
      <c r="A578" s="571" t="s">
        <v>528</v>
      </c>
      <c r="B578" s="571" t="str">
        <f t="shared" si="63"/>
        <v>600-13</v>
      </c>
      <c r="C578" s="571"/>
      <c r="D578" s="619" t="str">
        <f>VLOOKUP(A578,[33]ÍNDICE!$C$6:$N$380,5,FALSE)</f>
        <v>EXCAVACIONES VARIAS SIN CLASIFICAR</v>
      </c>
      <c r="E578" s="581" t="str">
        <f>VLOOKUP(A578,[33]ÍNDICE!$C$6:$N$380,2,FALSE)</f>
        <v>m3</v>
      </c>
      <c r="F578" s="585">
        <f>20*2</f>
        <v>40</v>
      </c>
      <c r="G578" s="613">
        <f>VLOOKUP(A578,[33]ÍNDICE!$C$6:$N$380,12,FALSE)</f>
        <v>58828.261120639472</v>
      </c>
      <c r="H578" s="583">
        <f t="shared" si="64"/>
        <v>2353130.4448255789</v>
      </c>
    </row>
    <row r="579" spans="1:10" s="565" customFormat="1" ht="15" customHeight="1">
      <c r="A579" s="571" t="s">
        <v>530</v>
      </c>
      <c r="B579" s="571" t="str">
        <f t="shared" si="63"/>
        <v>610-13</v>
      </c>
      <c r="C579" s="571"/>
      <c r="D579" s="619" t="str">
        <f>VLOOKUP(A579,[33]ÍNDICE!$C$6:$N$380,5,FALSE)</f>
        <v>RELLENO PARA ESTRUCTURAS CON SUELO (analizado sin preparación de la superficie base del relleno)</v>
      </c>
      <c r="E579" s="581" t="str">
        <f>VLOOKUP(A579,[33]ÍNDICE!$C$6:$N$380,2,FALSE)</f>
        <v>m3</v>
      </c>
      <c r="F579" s="586">
        <f>4.2*20</f>
        <v>84</v>
      </c>
      <c r="G579" s="613">
        <f>VLOOKUP(A579,[33]ÍNDICE!$C$6:$N$380,12,FALSE)</f>
        <v>162354.11090657322</v>
      </c>
      <c r="H579" s="583">
        <f t="shared" si="64"/>
        <v>13637745.31615215</v>
      </c>
    </row>
    <row r="580" spans="1:10" s="565" customFormat="1" ht="25.5" customHeight="1">
      <c r="A580" s="571" t="s">
        <v>569</v>
      </c>
      <c r="B580" s="571" t="str">
        <f t="shared" si="63"/>
        <v>621-13</v>
      </c>
      <c r="C580" s="587" t="s">
        <v>540</v>
      </c>
      <c r="D580" s="619" t="str">
        <f>VLOOKUP(A580,[33]ÍNDICE!$C$6:$N$380,5,FALSE)</f>
        <v>PILOTE DE CONCRETO VACIADO IN SITU, DE DIÁMETRO 1 m</v>
      </c>
      <c r="E580" s="581" t="str">
        <f>VLOOKUP(A580,[33]ÍNDICE!$C$6:$N$380,2,FALSE)</f>
        <v>m</v>
      </c>
      <c r="F580" s="585">
        <f>(20/3+1)*12</f>
        <v>92</v>
      </c>
      <c r="G580" s="613">
        <f>VLOOKUP(A580,[33]ÍNDICE!$C$6:$N$380,12,FALSE)</f>
        <v>2838401.3288495345</v>
      </c>
      <c r="H580" s="583">
        <f t="shared" si="64"/>
        <v>261132922.25415719</v>
      </c>
    </row>
    <row r="581" spans="1:10" s="565" customFormat="1" ht="15" customHeight="1">
      <c r="A581" s="571" t="s">
        <v>537</v>
      </c>
      <c r="B581" s="571" t="str">
        <f t="shared" si="63"/>
        <v>630-13</v>
      </c>
      <c r="C581" s="571"/>
      <c r="D581" s="619" t="str">
        <f>VLOOKUP(A581,[33]ÍNDICE!$C$6:$N$380,5,FALSE)</f>
        <v>CONCRETO REFORZADO RESISTENCIA 21MPa (D) - MEZCLA IN SITU</v>
      </c>
      <c r="E581" s="581" t="str">
        <f>VLOOKUP(A581,[33]ÍNDICE!$C$6:$N$380,2,FALSE)</f>
        <v>m3</v>
      </c>
      <c r="F581" s="586">
        <f>1.3*20</f>
        <v>26</v>
      </c>
      <c r="G581" s="613">
        <f>VLOOKUP(A581,[33]ÍNDICE!$C$6:$N$380,12,FALSE)</f>
        <v>1243512.4574943627</v>
      </c>
      <c r="H581" s="583">
        <f t="shared" si="64"/>
        <v>32331323.894853432</v>
      </c>
      <c r="J581" s="588"/>
    </row>
    <row r="582" spans="1:10" s="565" customFormat="1" ht="15" customHeight="1">
      <c r="A582" s="571" t="s">
        <v>541</v>
      </c>
      <c r="B582" s="571" t="str">
        <f t="shared" si="63"/>
        <v>640-13</v>
      </c>
      <c r="C582" s="571"/>
      <c r="D582" s="619" t="str">
        <f>VLOOKUP(A582,[33]ÍNDICE!$C$6:$N$380,5,FALSE)</f>
        <v>ACERO DE REFUERZO Fy 4200 MPa</v>
      </c>
      <c r="E582" s="581" t="str">
        <f>VLOOKUP(A582,[33]ÍNDICE!$C$6:$N$380,2,FALSE)</f>
        <v>kg</v>
      </c>
      <c r="F582" s="585">
        <v>1726</v>
      </c>
      <c r="G582" s="613">
        <f>VLOOKUP(A582,[33]ÍNDICE!$C$6:$N$380,12,FALSE)</f>
        <v>7547.7371417119648</v>
      </c>
      <c r="H582" s="583">
        <f t="shared" si="64"/>
        <v>13027394.30659485</v>
      </c>
    </row>
    <row r="583" spans="1:10" s="565" customFormat="1" ht="26.1" customHeight="1">
      <c r="A583" s="571" t="s">
        <v>545</v>
      </c>
      <c r="B583" s="571" t="str">
        <f t="shared" si="63"/>
        <v>671-13</v>
      </c>
      <c r="C583" s="571"/>
      <c r="D583" s="619" t="str">
        <f>VLOOKUP(A583,[33]ÍNDICE!$C$6:$N$380,5,FALSE)</f>
        <v>CUNETA DE CONCRETO VACIADA IN SITU; INCLUYE LA CONFORMACIÓN DE LA SUPERFICIE DE APOYO</v>
      </c>
      <c r="E583" s="581" t="str">
        <f>VLOOKUP(A583,[33]ÍNDICE!$C$6:$N$380,2,FALSE)</f>
        <v>m3</v>
      </c>
      <c r="F583" s="586">
        <v>3</v>
      </c>
      <c r="G583" s="613">
        <f>VLOOKUP(A583,[33]ÍNDICE!$C$6:$N$380,12,FALSE)</f>
        <v>1106254.0341245155</v>
      </c>
      <c r="H583" s="583">
        <f t="shared" si="64"/>
        <v>3318762.1023735465</v>
      </c>
    </row>
    <row r="584" spans="1:10" s="565" customFormat="1" ht="15" customHeight="1">
      <c r="A584" s="571" t="s">
        <v>534</v>
      </c>
      <c r="B584" s="571" t="str">
        <f t="shared" si="63"/>
        <v>673-13</v>
      </c>
      <c r="C584" s="571"/>
      <c r="D584" s="619" t="str">
        <f>VLOOKUP(A584,[33]ÍNDICE!$C$6:$N$380,5,FALSE)</f>
        <v xml:space="preserve">GEOTEXTIL TIPO TEJIDO CON RESISTENCIA A LA TENSIÓN GRAB MÍNIMA DE 1400 N </v>
      </c>
      <c r="E584" s="581" t="str">
        <f>VLOOKUP(A584,[33]ÍNDICE!$C$6:$N$380,2,FALSE)</f>
        <v>m2</v>
      </c>
      <c r="F584" s="585">
        <f>2.4*20</f>
        <v>48</v>
      </c>
      <c r="G584" s="613">
        <f>VLOOKUP(A584,[33]ÍNDICE!$C$6:$N$380,12,FALSE)</f>
        <v>12861.24633460756</v>
      </c>
      <c r="H584" s="583">
        <f t="shared" si="64"/>
        <v>617339.82406116289</v>
      </c>
    </row>
    <row r="585" spans="1:10" s="565" customFormat="1" ht="15" customHeight="1" thickBot="1">
      <c r="A585" s="571" t="s">
        <v>547</v>
      </c>
      <c r="B585" s="571" t="str">
        <f t="shared" si="63"/>
        <v>673-13</v>
      </c>
      <c r="C585" s="571"/>
      <c r="D585" s="619" t="str">
        <f>VLOOKUP(A585,[33]ÍNDICE!$C$6:$N$380,5,FALSE)</f>
        <v>MATERIAL GRANULAR DRENANTE</v>
      </c>
      <c r="E585" s="581" t="str">
        <f>VLOOKUP(A585,[33]ÍNDICE!$C$6:$N$380,2,FALSE)</f>
        <v>m3</v>
      </c>
      <c r="F585" s="586">
        <v>15</v>
      </c>
      <c r="G585" s="613">
        <f>VLOOKUP(A585,[33]ÍNDICE!$C$6:$N$380,12,FALSE)</f>
        <v>372207.28893037047</v>
      </c>
      <c r="H585" s="583">
        <f t="shared" si="64"/>
        <v>5583109.3339555571</v>
      </c>
    </row>
    <row r="586" spans="1:10" s="565" customFormat="1" ht="15" customHeight="1" thickTop="1">
      <c r="A586" s="574"/>
      <c r="B586" s="574"/>
      <c r="C586" s="574"/>
      <c r="D586" s="575"/>
      <c r="E586" s="589"/>
      <c r="F586" s="590"/>
      <c r="G586" s="600" t="s">
        <v>524</v>
      </c>
      <c r="H586" s="1507">
        <f>SUM(H575:H585)</f>
        <v>348099574.03378588</v>
      </c>
    </row>
    <row r="587" spans="1:10" s="565" customFormat="1" ht="15" customHeight="1">
      <c r="A587" s="577"/>
      <c r="B587" s="577"/>
      <c r="C587" s="577"/>
      <c r="D587" s="578"/>
      <c r="E587" s="562"/>
      <c r="F587" s="580"/>
      <c r="G587" s="601" t="s">
        <v>525</v>
      </c>
      <c r="H587" s="1508">
        <f>SUM(H586:H586)*0.05*0.19/1.3</f>
        <v>2543804.5794776659</v>
      </c>
    </row>
    <row r="588" spans="1:10" s="565" customFormat="1" ht="15" customHeight="1" thickBot="1">
      <c r="A588" s="561"/>
      <c r="B588" s="560"/>
      <c r="C588" s="560"/>
      <c r="D588" s="561"/>
      <c r="E588" s="562"/>
      <c r="F588" s="580"/>
      <c r="G588" s="601" t="s">
        <v>526</v>
      </c>
      <c r="H588" s="1509">
        <f>+ROUND(H586+H587,0)</f>
        <v>350643379</v>
      </c>
    </row>
    <row r="589" spans="1:10" s="565" customFormat="1" ht="13.5" thickTop="1">
      <c r="A589" s="561"/>
      <c r="B589" s="560"/>
      <c r="C589" s="560"/>
      <c r="D589" s="561"/>
      <c r="E589" s="562"/>
      <c r="F589" s="580"/>
      <c r="G589" s="579"/>
      <c r="H589" s="1506"/>
    </row>
    <row r="590" spans="1:10" s="565" customFormat="1" ht="15" customHeight="1">
      <c r="A590" s="561"/>
      <c r="B590" s="560"/>
      <c r="C590" s="560"/>
      <c r="D590" s="561"/>
      <c r="E590" s="562"/>
      <c r="F590" s="563"/>
      <c r="G590" s="563"/>
      <c r="H590" s="1506"/>
    </row>
    <row r="591" spans="1:10" s="565" customFormat="1" ht="15" customHeight="1">
      <c r="A591" s="559" t="s">
        <v>614</v>
      </c>
      <c r="B591" s="560"/>
      <c r="C591" s="560"/>
      <c r="D591" s="561"/>
      <c r="E591" s="562"/>
      <c r="F591" s="563"/>
      <c r="G591" s="563"/>
      <c r="H591" s="1506"/>
    </row>
    <row r="592" spans="1:10" s="565" customFormat="1" ht="15" customHeight="1">
      <c r="A592" s="628"/>
      <c r="B592" s="560"/>
      <c r="C592" s="560"/>
      <c r="D592" s="561"/>
      <c r="E592" s="562"/>
      <c r="F592" s="563"/>
      <c r="G592" s="563"/>
      <c r="H592" s="1506"/>
    </row>
    <row r="593" spans="1:8" s="565" customFormat="1" ht="15" customHeight="1" thickBot="1">
      <c r="A593" s="566"/>
      <c r="B593" s="567"/>
      <c r="C593" s="566" t="s">
        <v>615</v>
      </c>
      <c r="D593" s="566"/>
      <c r="E593" s="567"/>
      <c r="F593" s="566"/>
      <c r="G593" s="616"/>
      <c r="H593" s="569"/>
    </row>
    <row r="594" spans="1:8" s="565" customFormat="1" ht="15" customHeight="1" thickTop="1">
      <c r="A594" s="595" t="s">
        <v>616</v>
      </c>
      <c r="B594" s="595" t="str">
        <f>MID(A594,1,3)&amp;"-"&amp;13</f>
        <v>201-13</v>
      </c>
      <c r="C594" s="638"/>
      <c r="D594" s="619" t="str">
        <f>VLOOKUP(A594,[33]ÍNDICE!$C$6:$N$380,5,FALSE)</f>
        <v>DEMOLICIÓN DE PAVIMENTOS RÍGIDOS</v>
      </c>
      <c r="E594" s="581" t="str">
        <f>VLOOKUP(A594,[33]ÍNDICE!$C$6:$N$380,2,FALSE)</f>
        <v>m2</v>
      </c>
      <c r="F594" s="596">
        <f>1.2*8</f>
        <v>9.6</v>
      </c>
      <c r="G594" s="648">
        <f>VLOOKUP(A594,[33]ÍNDICE!$C$6:$N$380,12,FALSE)</f>
        <v>38465.171913503909</v>
      </c>
      <c r="H594" s="597">
        <f t="shared" ref="H594:H604" si="65">F594*G594</f>
        <v>369265.65036963753</v>
      </c>
    </row>
    <row r="595" spans="1:8" s="565" customFormat="1" ht="15" customHeight="1">
      <c r="A595" s="571" t="s">
        <v>549</v>
      </c>
      <c r="B595" s="571" t="str">
        <f t="shared" ref="B595:B604" si="66">MID(A595,1,3)&amp;"-"&amp;13</f>
        <v>201-13</v>
      </c>
      <c r="C595" s="571"/>
      <c r="D595" s="619" t="str">
        <f>VLOOKUP(A595,[33]ÍNDICE!$C$6:$N$380,5,FALSE)</f>
        <v>DEMOLICIÓN DE ESTRUCTURAS</v>
      </c>
      <c r="E595" s="581" t="str">
        <f>VLOOKUP(A595,[33]ÍNDICE!$C$6:$N$380,2,FALSE)</f>
        <v>m3</v>
      </c>
      <c r="F595" s="582">
        <f>2*(1.4*0.2*1.5+1*0.2*1.5)+1*1*0.15+3*(2*0.4*1.5)</f>
        <v>5.19</v>
      </c>
      <c r="G595" s="648">
        <f>VLOOKUP(A595,[33]ÍNDICE!$C$6:$N$380,12,FALSE)</f>
        <v>217760.49497573468</v>
      </c>
      <c r="H595" s="583">
        <f>F595*G595</f>
        <v>1130176.968924063</v>
      </c>
    </row>
    <row r="596" spans="1:8" s="565" customFormat="1" ht="15" customHeight="1">
      <c r="A596" s="571" t="s">
        <v>550</v>
      </c>
      <c r="B596" s="571" t="str">
        <f t="shared" si="66"/>
        <v>330-13</v>
      </c>
      <c r="C596" s="614"/>
      <c r="D596" s="619" t="str">
        <f>VLOOKUP(A596,[33]ÍNDICE!$C$6:$N$380,5,FALSE)</f>
        <v>BASE GRANULAR CLASE A GRADACION FINA</v>
      </c>
      <c r="E596" s="581" t="str">
        <f>VLOOKUP(A596,[33]ÍNDICE!$C$6:$N$380,2,FALSE)</f>
        <v>m3</v>
      </c>
      <c r="F596" s="586">
        <f>11*1.2*0.2</f>
        <v>2.64</v>
      </c>
      <c r="G596" s="648">
        <f>VLOOKUP(A596,[33]ÍNDICE!$C$6:$N$380,12,FALSE)</f>
        <v>476364.66746335832</v>
      </c>
      <c r="H596" s="583">
        <f>F596*G596</f>
        <v>1257602.722103266</v>
      </c>
    </row>
    <row r="597" spans="1:8" s="565" customFormat="1" ht="15" customHeight="1">
      <c r="A597" s="571" t="s">
        <v>617</v>
      </c>
      <c r="B597" s="571" t="str">
        <f t="shared" si="66"/>
        <v>500-13</v>
      </c>
      <c r="C597" s="639"/>
      <c r="D597" s="619" t="str">
        <f>VLOOKUP(A597,[33]ÍNDICE!$C$6:$N$380,5,FALSE)</f>
        <v>PAVIMENTO DE CONCRETO HIDRÁULICO - NT3</v>
      </c>
      <c r="E597" s="581" t="str">
        <f>VLOOKUP(A597,[33]ÍNDICE!$C$6:$N$380,2,FALSE)</f>
        <v>m3</v>
      </c>
      <c r="F597" s="586">
        <f>8*1.2*0.2</f>
        <v>1.92</v>
      </c>
      <c r="G597" s="648">
        <f>VLOOKUP(A597,[33]ÍNDICE!$C$6:$N$380,12,FALSE)</f>
        <v>1305106.8395586153</v>
      </c>
      <c r="H597" s="583">
        <f>F597*G597</f>
        <v>2505805.1319525414</v>
      </c>
    </row>
    <row r="598" spans="1:8" s="565" customFormat="1" ht="26.1" customHeight="1">
      <c r="A598" s="571" t="s">
        <v>528</v>
      </c>
      <c r="B598" s="571" t="str">
        <f t="shared" si="66"/>
        <v>600-13</v>
      </c>
      <c r="C598" s="571"/>
      <c r="D598" s="619" t="str">
        <f>VLOOKUP(A598,[33]ÍNDICE!$C$6:$N$380,5,FALSE)</f>
        <v>EXCAVACIONES VARIAS SIN CLASIFICAR</v>
      </c>
      <c r="E598" s="581" t="str">
        <f>VLOOKUP(A598,[33]ÍNDICE!$C$6:$N$380,2,FALSE)</f>
        <v>m3</v>
      </c>
      <c r="F598" s="585">
        <f>11*1.2*1+5</f>
        <v>18.2</v>
      </c>
      <c r="G598" s="648">
        <f>VLOOKUP(A598,[33]ÍNDICE!$C$6:$N$380,12,FALSE)</f>
        <v>58828.261120639472</v>
      </c>
      <c r="H598" s="583">
        <f t="shared" si="65"/>
        <v>1070674.3523956384</v>
      </c>
    </row>
    <row r="599" spans="1:8" s="565" customFormat="1" ht="15" customHeight="1">
      <c r="A599" s="572" t="s">
        <v>530</v>
      </c>
      <c r="B599" s="572" t="str">
        <f t="shared" si="66"/>
        <v>610-13</v>
      </c>
      <c r="C599" s="572"/>
      <c r="D599" s="619" t="str">
        <f>VLOOKUP(A599,[33]ÍNDICE!$C$6:$N$380,5,FALSE)</f>
        <v>RELLENO PARA ESTRUCTURAS CON SUELO (analizado sin preparación de la superficie base del relleno)</v>
      </c>
      <c r="E599" s="581" t="str">
        <f>VLOOKUP(A599,[33]ÍNDICE!$C$6:$N$380,2,FALSE)</f>
        <v>m3</v>
      </c>
      <c r="F599" s="584">
        <f>11*1.2*1+4</f>
        <v>17.2</v>
      </c>
      <c r="G599" s="648">
        <f>VLOOKUP(A599,[33]ÍNDICE!$C$6:$N$380,12,FALSE)</f>
        <v>162354.11090657322</v>
      </c>
      <c r="H599" s="573">
        <f>F599*G599</f>
        <v>2792490.7075930592</v>
      </c>
    </row>
    <row r="600" spans="1:8" s="565" customFormat="1" ht="26.1" customHeight="1">
      <c r="A600" s="571" t="s">
        <v>531</v>
      </c>
      <c r="B600" s="571" t="str">
        <f t="shared" si="66"/>
        <v>630-13</v>
      </c>
      <c r="C600" s="571"/>
      <c r="D600" s="619" t="str">
        <f>VLOOKUP(A600,[33]ÍNDICE!$C$6:$N$380,5,FALSE)</f>
        <v>CONCRETO SIMPLE RESISTENCIA 17 MPa - MEZCLA IN SITU</v>
      </c>
      <c r="E600" s="581" t="str">
        <f>VLOOKUP(A600,[33]ÍNDICE!$C$6:$N$380,2,FALSE)</f>
        <v>m3</v>
      </c>
      <c r="F600" s="586">
        <f>2*(1.8*0.2*2+1.4*0.2*2)+1.4*1.4*0.2+3*(2*1.8*0.4)+(1.8+3.6)/2*0.2*1.5+11*0.15*1.2</f>
        <v>10.062000000000001</v>
      </c>
      <c r="G600" s="648">
        <f>VLOOKUP(A600,[33]ÍNDICE!$C$6:$N$380,12,FALSE)</f>
        <v>994779.33062365581</v>
      </c>
      <c r="H600" s="583">
        <f t="shared" si="65"/>
        <v>10009469.624735227</v>
      </c>
    </row>
    <row r="601" spans="1:8" s="565" customFormat="1" ht="28.5" customHeight="1">
      <c r="A601" s="571" t="s">
        <v>532</v>
      </c>
      <c r="B601" s="571" t="str">
        <f t="shared" si="66"/>
        <v>630-13</v>
      </c>
      <c r="C601" s="571"/>
      <c r="D601" s="619" t="str">
        <f>VLOOKUP(A601,[33]ÍNDICE!$C$6:$N$380,5,FALSE)</f>
        <v>CONCRETO CICLÓPEO RESISTENCIA 14MPa (G)</v>
      </c>
      <c r="E601" s="581" t="str">
        <f>VLOOKUP(A601,[33]ÍNDICE!$C$6:$N$380,2,FALSE)</f>
        <v>m3</v>
      </c>
      <c r="F601" s="598">
        <f>1.2*11*0.15</f>
        <v>1.9799999999999998</v>
      </c>
      <c r="G601" s="648">
        <f>VLOOKUP(A601,[33]ÍNDICE!$C$6:$N$380,12,FALSE)</f>
        <v>680494.66759275761</v>
      </c>
      <c r="H601" s="583">
        <f t="shared" si="65"/>
        <v>1347379.44183366</v>
      </c>
    </row>
    <row r="602" spans="1:8" s="565" customFormat="1" ht="15" customHeight="1">
      <c r="A602" s="571" t="s">
        <v>541</v>
      </c>
      <c r="B602" s="571" t="str">
        <f t="shared" si="66"/>
        <v>640-13</v>
      </c>
      <c r="C602" s="571"/>
      <c r="D602" s="619" t="str">
        <f>VLOOKUP(A602,[33]ÍNDICE!$C$6:$N$380,5,FALSE)</f>
        <v>ACERO DE REFUERZO Fy 4200 MPa</v>
      </c>
      <c r="E602" s="581" t="str">
        <f>VLOOKUP(A602,[33]ÍNDICE!$C$6:$N$380,2,FALSE)</f>
        <v>kg</v>
      </c>
      <c r="F602" s="585">
        <f>F600*105</f>
        <v>1056.5100000000002</v>
      </c>
      <c r="G602" s="648">
        <f>VLOOKUP(A602,[33]ÍNDICE!$C$6:$N$380,12,FALSE)</f>
        <v>7547.7371417119648</v>
      </c>
      <c r="H602" s="583">
        <f t="shared" si="65"/>
        <v>7974259.7675901093</v>
      </c>
    </row>
    <row r="603" spans="1:8" s="565" customFormat="1" ht="15" customHeight="1">
      <c r="A603" s="571" t="s">
        <v>580</v>
      </c>
      <c r="B603" s="571" t="str">
        <f t="shared" si="66"/>
        <v>661-13</v>
      </c>
      <c r="C603" s="571"/>
      <c r="D603" s="619" t="str">
        <f>VLOOKUP(A603,[33]ÍNDICE!$C$6:$N$380,5,FALSE)</f>
        <v>TUBERIA DE CONCRETO REFORZADO, CLASE III DE 900mm DE DIAMETRO INTERIOR</v>
      </c>
      <c r="E603" s="581" t="str">
        <f>VLOOKUP(A603,[33]ÍNDICE!$C$6:$N$380,2,FALSE)</f>
        <v>m</v>
      </c>
      <c r="F603" s="582">
        <v>11</v>
      </c>
      <c r="G603" s="648">
        <f>VLOOKUP(A603,[33]ÍNDICE!$C$6:$N$380,12,FALSE)</f>
        <v>1451200.3231315203</v>
      </c>
      <c r="H603" s="583">
        <f>F603*G603</f>
        <v>15963203.554446723</v>
      </c>
    </row>
    <row r="604" spans="1:8" s="565" customFormat="1" ht="15" customHeight="1" thickBot="1">
      <c r="A604" s="571" t="s">
        <v>545</v>
      </c>
      <c r="B604" s="602" t="str">
        <f t="shared" si="66"/>
        <v>671-13</v>
      </c>
      <c r="C604" s="602"/>
      <c r="D604" s="630" t="str">
        <f>VLOOKUP(A604,[33]ÍNDICE!$C$6:$N$380,5,FALSE)</f>
        <v>CUNETA DE CONCRETO VACIADA IN SITU; INCLUYE LA CONFORMACIÓN DE LA SUPERFICIE DE APOYO</v>
      </c>
      <c r="E604" s="829" t="str">
        <f>VLOOKUP(A604,[33]ÍNDICE!$C$6:$N$380,2,FALSE)</f>
        <v>m3</v>
      </c>
      <c r="F604" s="593">
        <f>4*0.138</f>
        <v>0.55200000000000005</v>
      </c>
      <c r="G604" s="830">
        <f>VLOOKUP(A604,[33]ÍNDICE!$C$6:$N$380,12,FALSE)</f>
        <v>1106254.0341245155</v>
      </c>
      <c r="H604" s="606">
        <f t="shared" si="65"/>
        <v>610652.22683673259</v>
      </c>
    </row>
    <row r="605" spans="1:8" s="565" customFormat="1" ht="15" customHeight="1" thickTop="1">
      <c r="A605" s="574"/>
      <c r="B605" s="577"/>
      <c r="C605" s="577"/>
      <c r="D605" s="607"/>
      <c r="E605" s="562"/>
      <c r="G605" s="579" t="s">
        <v>524</v>
      </c>
      <c r="H605" s="1511">
        <f>SUM(H594:H604)</f>
        <v>45030980.148780659</v>
      </c>
    </row>
    <row r="606" spans="1:8" s="565" customFormat="1">
      <c r="A606" s="577"/>
      <c r="B606" s="577"/>
      <c r="C606" s="577"/>
      <c r="D606" s="578"/>
      <c r="E606" s="562"/>
      <c r="G606" s="579" t="s">
        <v>525</v>
      </c>
      <c r="H606" s="1508">
        <f>SUM(H605:H605)*0.05*0.19/1.3</f>
        <v>329072.54724108946</v>
      </c>
    </row>
    <row r="607" spans="1:8" s="565" customFormat="1" ht="15" customHeight="1" thickBot="1">
      <c r="A607" s="561"/>
      <c r="B607" s="560"/>
      <c r="C607" s="560"/>
      <c r="D607" s="561"/>
      <c r="E607" s="562"/>
      <c r="G607" s="579" t="s">
        <v>526</v>
      </c>
      <c r="H607" s="1509">
        <f>+ROUND(H605+H606,0)</f>
        <v>45360053</v>
      </c>
    </row>
    <row r="608" spans="1:8" s="565" customFormat="1" ht="26.1" customHeight="1" thickTop="1">
      <c r="A608" s="561"/>
      <c r="B608" s="560"/>
      <c r="C608" s="560"/>
      <c r="D608" s="561"/>
      <c r="E608" s="562"/>
      <c r="F608" s="563"/>
      <c r="G608" s="564"/>
      <c r="H608" s="1506"/>
    </row>
    <row r="609" spans="1:8" s="565" customFormat="1" ht="48.95" customHeight="1" thickBot="1">
      <c r="A609" s="566"/>
      <c r="B609" s="567"/>
      <c r="C609" s="566" t="s">
        <v>618</v>
      </c>
      <c r="D609" s="566"/>
      <c r="E609" s="567"/>
      <c r="F609" s="566"/>
      <c r="G609" s="616"/>
      <c r="H609" s="569"/>
    </row>
    <row r="610" spans="1:8" s="565" customFormat="1" ht="15" customHeight="1" thickTop="1">
      <c r="A610" s="572" t="s">
        <v>549</v>
      </c>
      <c r="B610" s="572" t="str">
        <f t="shared" ref="B610:B620" si="67">MID(A610,1,3)&amp;"-"&amp;13</f>
        <v>201-13</v>
      </c>
      <c r="C610" s="572"/>
      <c r="D610" s="619" t="str">
        <f>VLOOKUP(A610,[33]ÍNDICE!$C$6:$N$380,5,FALSE)</f>
        <v>DEMOLICIÓN DE ESTRUCTURAS</v>
      </c>
      <c r="E610" s="581" t="str">
        <f>VLOOKUP(A610,[33]ÍNDICE!$C$6:$N$380,2,FALSE)</f>
        <v>m3</v>
      </c>
      <c r="F610" s="592">
        <f>2*(1.4*0.2*1.5+1*0.2*1.5)+1*1*0.15+3*(2*0.4*1.5)</f>
        <v>5.19</v>
      </c>
      <c r="G610" s="648">
        <f>VLOOKUP(A610,[33]ÍNDICE!$C$6:$N$380,12,FALSE)</f>
        <v>217760.49497573468</v>
      </c>
      <c r="H610" s="573">
        <f>F610*G610</f>
        <v>1130176.968924063</v>
      </c>
    </row>
    <row r="611" spans="1:8" s="565" customFormat="1" ht="15" customHeight="1">
      <c r="A611" s="571" t="s">
        <v>616</v>
      </c>
      <c r="B611" s="571" t="str">
        <f t="shared" si="67"/>
        <v>201-13</v>
      </c>
      <c r="C611" s="639"/>
      <c r="D611" s="619" t="str">
        <f>VLOOKUP(A611,[33]ÍNDICE!$C$6:$N$380,5,FALSE)</f>
        <v>DEMOLICIÓN DE PAVIMENTOS RÍGIDOS</v>
      </c>
      <c r="E611" s="581" t="str">
        <f>VLOOKUP(A611,[33]ÍNDICE!$C$6:$N$380,2,FALSE)</f>
        <v>m2</v>
      </c>
      <c r="F611" s="585">
        <f>1.2*8</f>
        <v>9.6</v>
      </c>
      <c r="G611" s="648">
        <f>VLOOKUP(A611,[33]ÍNDICE!$C$6:$N$380,12,FALSE)</f>
        <v>38465.171913503909</v>
      </c>
      <c r="H611" s="583">
        <f t="shared" ref="H611:H620" si="68">F611*G611</f>
        <v>369265.65036963753</v>
      </c>
    </row>
    <row r="612" spans="1:8" s="565" customFormat="1" ht="25.5" customHeight="1">
      <c r="A612" s="571" t="s">
        <v>550</v>
      </c>
      <c r="B612" s="571" t="str">
        <f t="shared" si="67"/>
        <v>330-13</v>
      </c>
      <c r="C612" s="614"/>
      <c r="D612" s="619" t="str">
        <f>VLOOKUP(A612,[33]ÍNDICE!$C$6:$N$380,5,FALSE)</f>
        <v>BASE GRANULAR CLASE A GRADACION FINA</v>
      </c>
      <c r="E612" s="581" t="str">
        <f>VLOOKUP(A612,[33]ÍNDICE!$C$6:$N$380,2,FALSE)</f>
        <v>m3</v>
      </c>
      <c r="F612" s="586">
        <f>17*1.2*0.2</f>
        <v>4.08</v>
      </c>
      <c r="G612" s="648">
        <f>VLOOKUP(A612,[33]ÍNDICE!$C$6:$N$380,12,FALSE)</f>
        <v>476364.66746335832</v>
      </c>
      <c r="H612" s="583">
        <f>F612*G612</f>
        <v>1943567.8432505019</v>
      </c>
    </row>
    <row r="613" spans="1:8" s="565" customFormat="1" ht="15" customHeight="1">
      <c r="A613" s="571" t="s">
        <v>617</v>
      </c>
      <c r="B613" s="571" t="str">
        <f t="shared" si="67"/>
        <v>500-13</v>
      </c>
      <c r="C613" s="639"/>
      <c r="D613" s="619" t="str">
        <f>VLOOKUP(A613,[33]ÍNDICE!$C$6:$N$380,5,FALSE)</f>
        <v>PAVIMENTO DE CONCRETO HIDRÁULICO - NT3</v>
      </c>
      <c r="E613" s="581" t="str">
        <f>VLOOKUP(A613,[33]ÍNDICE!$C$6:$N$380,2,FALSE)</f>
        <v>m3</v>
      </c>
      <c r="F613" s="586">
        <f>8*1.2*0.2</f>
        <v>1.92</v>
      </c>
      <c r="G613" s="648">
        <f>VLOOKUP(A613,[33]ÍNDICE!$C$6:$N$380,12,FALSE)</f>
        <v>1305106.8395586153</v>
      </c>
      <c r="H613" s="583">
        <f>F613*G613</f>
        <v>2505805.1319525414</v>
      </c>
    </row>
    <row r="614" spans="1:8" s="565" customFormat="1" ht="15" customHeight="1">
      <c r="A614" s="571" t="s">
        <v>528</v>
      </c>
      <c r="B614" s="571" t="str">
        <f t="shared" si="67"/>
        <v>600-13</v>
      </c>
      <c r="C614" s="571"/>
      <c r="D614" s="619" t="str">
        <f>VLOOKUP(A614,[33]ÍNDICE!$C$6:$N$380,5,FALSE)</f>
        <v>EXCAVACIONES VARIAS SIN CLASIFICAR</v>
      </c>
      <c r="E614" s="581" t="str">
        <f>VLOOKUP(A614,[33]ÍNDICE!$C$6:$N$380,2,FALSE)</f>
        <v>m3</v>
      </c>
      <c r="F614" s="585">
        <f>17*1.2*1+5</f>
        <v>25.4</v>
      </c>
      <c r="G614" s="648">
        <f>VLOOKUP(A614,[33]ÍNDICE!$C$6:$N$380,12,FALSE)</f>
        <v>58828.261120639472</v>
      </c>
      <c r="H614" s="583">
        <f t="shared" si="68"/>
        <v>1494237.8324642426</v>
      </c>
    </row>
    <row r="615" spans="1:8" s="565" customFormat="1" ht="26.1" customHeight="1">
      <c r="A615" s="571" t="s">
        <v>530</v>
      </c>
      <c r="B615" s="571" t="str">
        <f t="shared" si="67"/>
        <v>610-13</v>
      </c>
      <c r="C615" s="571"/>
      <c r="D615" s="619" t="str">
        <f>VLOOKUP(A615,[33]ÍNDICE!$C$6:$N$380,5,FALSE)</f>
        <v>RELLENO PARA ESTRUCTURAS CON SUELO (analizado sin preparación de la superficie base del relleno)</v>
      </c>
      <c r="E615" s="581" t="str">
        <f>VLOOKUP(A615,[33]ÍNDICE!$C$6:$N$380,2,FALSE)</f>
        <v>m3</v>
      </c>
      <c r="F615" s="586">
        <f>17*1.2*1+4</f>
        <v>24.4</v>
      </c>
      <c r="G615" s="648">
        <f>VLOOKUP(A615,[33]ÍNDICE!$C$6:$N$380,12,FALSE)</f>
        <v>162354.11090657322</v>
      </c>
      <c r="H615" s="583">
        <f>F615*G615</f>
        <v>3961440.3061203863</v>
      </c>
    </row>
    <row r="616" spans="1:8" s="565" customFormat="1" ht="15" customHeight="1">
      <c r="A616" s="571" t="s">
        <v>531</v>
      </c>
      <c r="B616" s="571" t="str">
        <f t="shared" si="67"/>
        <v>630-13</v>
      </c>
      <c r="C616" s="571"/>
      <c r="D616" s="619" t="str">
        <f>VLOOKUP(A616,[33]ÍNDICE!$C$6:$N$380,5,FALSE)</f>
        <v>CONCRETO SIMPLE RESISTENCIA 17 MPa - MEZCLA IN SITU</v>
      </c>
      <c r="E616" s="581" t="str">
        <f>VLOOKUP(A616,[33]ÍNDICE!$C$6:$N$380,2,FALSE)</f>
        <v>m3</v>
      </c>
      <c r="F616" s="586">
        <f>2*(1.8*0.2*2+1.4*0.2*2)+1.4*1.4*0.2+3*(2*1.8*0.4)+(1.8+3.6)/2*0.2*1.5+17*0.15*1.2</f>
        <v>11.141999999999999</v>
      </c>
      <c r="G616" s="648">
        <f>VLOOKUP(A616,[33]ÍNDICE!$C$6:$N$380,12,FALSE)</f>
        <v>994779.33062365581</v>
      </c>
      <c r="H616" s="583">
        <f t="shared" si="68"/>
        <v>11083831.301808773</v>
      </c>
    </row>
    <row r="617" spans="1:8" s="565" customFormat="1" ht="15" customHeight="1">
      <c r="A617" s="571" t="s">
        <v>532</v>
      </c>
      <c r="B617" s="571" t="str">
        <f t="shared" si="67"/>
        <v>630-13</v>
      </c>
      <c r="C617" s="571"/>
      <c r="D617" s="619" t="str">
        <f>VLOOKUP(A617,[33]ÍNDICE!$C$6:$N$380,5,FALSE)</f>
        <v>CONCRETO CICLÓPEO RESISTENCIA 14MPa (G)</v>
      </c>
      <c r="E617" s="581" t="str">
        <f>VLOOKUP(A617,[33]ÍNDICE!$C$6:$N$380,2,FALSE)</f>
        <v>m3</v>
      </c>
      <c r="F617" s="598">
        <f>1.2*17*0.15</f>
        <v>3.0599999999999996</v>
      </c>
      <c r="G617" s="648">
        <f>VLOOKUP(A617,[33]ÍNDICE!$C$6:$N$380,12,FALSE)</f>
        <v>680494.66759275761</v>
      </c>
      <c r="H617" s="583">
        <f t="shared" si="68"/>
        <v>2082313.682833838</v>
      </c>
    </row>
    <row r="618" spans="1:8" s="565" customFormat="1" ht="15" customHeight="1">
      <c r="A618" s="571" t="s">
        <v>541</v>
      </c>
      <c r="B618" s="571" t="str">
        <f t="shared" si="67"/>
        <v>640-13</v>
      </c>
      <c r="C618" s="571"/>
      <c r="D618" s="619" t="str">
        <f>VLOOKUP(A618,[33]ÍNDICE!$C$6:$N$380,5,FALSE)</f>
        <v>ACERO DE REFUERZO Fy 4200 MPa</v>
      </c>
      <c r="E618" s="581" t="str">
        <f>VLOOKUP(A618,[33]ÍNDICE!$C$6:$N$380,2,FALSE)</f>
        <v>kg</v>
      </c>
      <c r="F618" s="585">
        <f>F616*105</f>
        <v>1169.9099999999999</v>
      </c>
      <c r="G618" s="648">
        <f>VLOOKUP(A618,[33]ÍNDICE!$C$6:$N$380,12,FALSE)</f>
        <v>7547.7371417119648</v>
      </c>
      <c r="H618" s="583">
        <f t="shared" si="68"/>
        <v>8830173.1594602428</v>
      </c>
    </row>
    <row r="619" spans="1:8" s="565" customFormat="1" ht="29.25" customHeight="1">
      <c r="A619" s="571" t="s">
        <v>580</v>
      </c>
      <c r="B619" s="571" t="str">
        <f t="shared" si="67"/>
        <v>661-13</v>
      </c>
      <c r="C619" s="571"/>
      <c r="D619" s="619" t="str">
        <f>VLOOKUP(A619,[33]ÍNDICE!$C$6:$N$380,5,FALSE)</f>
        <v>TUBERIA DE CONCRETO REFORZADO, CLASE III DE 900mm DE DIAMETRO INTERIOR</v>
      </c>
      <c r="E619" s="581" t="str">
        <f>VLOOKUP(A619,[33]ÍNDICE!$C$6:$N$380,2,FALSE)</f>
        <v>m</v>
      </c>
      <c r="F619" s="582">
        <v>17</v>
      </c>
      <c r="G619" s="648">
        <f>VLOOKUP(A619,[33]ÍNDICE!$C$6:$N$380,12,FALSE)</f>
        <v>1451200.3231315203</v>
      </c>
      <c r="H619" s="583">
        <f>F619*G619</f>
        <v>24670405.493235845</v>
      </c>
    </row>
    <row r="620" spans="1:8" s="565" customFormat="1" ht="28.5" customHeight="1" thickBot="1">
      <c r="A620" s="602" t="s">
        <v>545</v>
      </c>
      <c r="B620" s="602" t="str">
        <f t="shared" si="67"/>
        <v>671-13</v>
      </c>
      <c r="C620" s="602"/>
      <c r="D620" s="630" t="str">
        <f>VLOOKUP(A620,[33]ÍNDICE!$C$6:$N$380,5,FALSE)</f>
        <v>CUNETA DE CONCRETO VACIADA IN SITU; INCLUYE LA CONFORMACIÓN DE LA SUPERFICIE DE APOYO</v>
      </c>
      <c r="E620" s="829" t="str">
        <f>VLOOKUP(A620,[33]ÍNDICE!$C$6:$N$380,2,FALSE)</f>
        <v>m3</v>
      </c>
      <c r="F620" s="593">
        <f>4*0.138</f>
        <v>0.55200000000000005</v>
      </c>
      <c r="G620" s="830">
        <f>VLOOKUP(A620,[33]ÍNDICE!$C$6:$N$380,12,FALSE)</f>
        <v>1106254.0341245155</v>
      </c>
      <c r="H620" s="606">
        <f t="shared" si="68"/>
        <v>610652.22683673259</v>
      </c>
    </row>
    <row r="621" spans="1:8" s="565" customFormat="1" ht="15" customHeight="1" thickTop="1">
      <c r="A621" s="577"/>
      <c r="B621" s="577"/>
      <c r="C621" s="577"/>
      <c r="D621" s="607"/>
      <c r="E621" s="562"/>
      <c r="G621" s="579" t="s">
        <v>524</v>
      </c>
      <c r="H621" s="1511">
        <f>SUM(H610:H620)</f>
        <v>58681869.597256802</v>
      </c>
    </row>
    <row r="622" spans="1:8" s="565" customFormat="1" ht="15" customHeight="1">
      <c r="A622" s="577"/>
      <c r="B622" s="577"/>
      <c r="C622" s="577"/>
      <c r="D622" s="578"/>
      <c r="E622" s="562"/>
      <c r="G622" s="579" t="s">
        <v>525</v>
      </c>
      <c r="H622" s="1508">
        <f>SUM(H621:H621)*0.05*0.19/1.3</f>
        <v>428829.04705687665</v>
      </c>
    </row>
    <row r="623" spans="1:8" s="565" customFormat="1" ht="15" customHeight="1" thickBot="1">
      <c r="A623" s="561"/>
      <c r="B623" s="560"/>
      <c r="C623" s="560"/>
      <c r="D623" s="561"/>
      <c r="E623" s="562"/>
      <c r="G623" s="579" t="s">
        <v>526</v>
      </c>
      <c r="H623" s="1509">
        <f>+ROUND(H621+H622,0)</f>
        <v>59110699</v>
      </c>
    </row>
    <row r="624" spans="1:8" s="565" customFormat="1" ht="12.75" customHeight="1" thickTop="1">
      <c r="A624" s="561"/>
      <c r="B624" s="560"/>
      <c r="C624" s="560"/>
      <c r="D624" s="561"/>
      <c r="E624" s="562"/>
      <c r="F624" s="563"/>
      <c r="G624" s="563"/>
      <c r="H624" s="1506"/>
    </row>
    <row r="625" spans="1:8" s="565" customFormat="1" ht="15" customHeight="1" thickBot="1">
      <c r="A625" s="566"/>
      <c r="B625" s="567"/>
      <c r="C625" s="566" t="s">
        <v>619</v>
      </c>
      <c r="D625" s="566"/>
      <c r="E625" s="567"/>
      <c r="F625" s="566"/>
      <c r="G625" s="616"/>
      <c r="H625" s="569"/>
    </row>
    <row r="626" spans="1:8" s="565" customFormat="1" ht="15" customHeight="1" thickTop="1">
      <c r="A626" s="572" t="s">
        <v>549</v>
      </c>
      <c r="B626" s="572" t="str">
        <f t="shared" ref="B626:B636" si="69">MID(A626,1,3)&amp;"-"&amp;13</f>
        <v>201-13</v>
      </c>
      <c r="C626" s="572"/>
      <c r="D626" s="619" t="str">
        <f>VLOOKUP(A626,[33]ÍNDICE!$C$6:$N$380,5,FALSE)</f>
        <v>DEMOLICIÓN DE ESTRUCTURAS</v>
      </c>
      <c r="E626" s="581" t="str">
        <f>VLOOKUP(A626,[33]ÍNDICE!$C$6:$N$380,2,FALSE)</f>
        <v>m3</v>
      </c>
      <c r="F626" s="592">
        <f>2*(1.4*0.2*1.5+1*0.2*1.5)+1*1*0.15+3*(2*0.4*1.5)</f>
        <v>5.19</v>
      </c>
      <c r="G626" s="648">
        <f>VLOOKUP(A626,[33]ÍNDICE!$C$6:$N$380,12,FALSE)</f>
        <v>217760.49497573468</v>
      </c>
      <c r="H626" s="573">
        <f>F626*G626</f>
        <v>1130176.968924063</v>
      </c>
    </row>
    <row r="627" spans="1:8" s="565" customFormat="1" ht="15" customHeight="1">
      <c r="A627" s="571" t="s">
        <v>616</v>
      </c>
      <c r="B627" s="571" t="str">
        <f t="shared" si="69"/>
        <v>201-13</v>
      </c>
      <c r="C627" s="639"/>
      <c r="D627" s="619" t="str">
        <f>VLOOKUP(A627,[33]ÍNDICE!$C$6:$N$380,5,FALSE)</f>
        <v>DEMOLICIÓN DE PAVIMENTOS RÍGIDOS</v>
      </c>
      <c r="E627" s="581" t="str">
        <f>VLOOKUP(A627,[33]ÍNDICE!$C$6:$N$380,2,FALSE)</f>
        <v>m2</v>
      </c>
      <c r="F627" s="585">
        <f>1.2*8</f>
        <v>9.6</v>
      </c>
      <c r="G627" s="648">
        <f>VLOOKUP(A627,[33]ÍNDICE!$C$6:$N$380,12,FALSE)</f>
        <v>38465.171913503909</v>
      </c>
      <c r="H627" s="583">
        <f t="shared" ref="H627:H636" si="70">F627*G627</f>
        <v>369265.65036963753</v>
      </c>
    </row>
    <row r="628" spans="1:8" s="565" customFormat="1" ht="15" customHeight="1">
      <c r="A628" s="571" t="s">
        <v>550</v>
      </c>
      <c r="B628" s="571" t="str">
        <f t="shared" si="69"/>
        <v>330-13</v>
      </c>
      <c r="C628" s="614"/>
      <c r="D628" s="619" t="str">
        <f>VLOOKUP(A628,[33]ÍNDICE!$C$6:$N$380,5,FALSE)</f>
        <v>BASE GRANULAR CLASE A GRADACION FINA</v>
      </c>
      <c r="E628" s="581" t="str">
        <f>VLOOKUP(A628,[33]ÍNDICE!$C$6:$N$380,2,FALSE)</f>
        <v>m3</v>
      </c>
      <c r="F628" s="586">
        <f>11*1.2*0.2</f>
        <v>2.64</v>
      </c>
      <c r="G628" s="648">
        <f>VLOOKUP(A628,[33]ÍNDICE!$C$6:$N$380,12,FALSE)</f>
        <v>476364.66746335832</v>
      </c>
      <c r="H628" s="583">
        <f>F628*G628</f>
        <v>1257602.722103266</v>
      </c>
    </row>
    <row r="629" spans="1:8" s="565" customFormat="1" ht="15" customHeight="1">
      <c r="A629" s="571" t="s">
        <v>617</v>
      </c>
      <c r="B629" s="571" t="str">
        <f t="shared" si="69"/>
        <v>500-13</v>
      </c>
      <c r="C629" s="639"/>
      <c r="D629" s="619" t="str">
        <f>VLOOKUP(A629,[33]ÍNDICE!$C$6:$N$380,5,FALSE)</f>
        <v>PAVIMENTO DE CONCRETO HIDRÁULICO - NT3</v>
      </c>
      <c r="E629" s="581" t="str">
        <f>VLOOKUP(A629,[33]ÍNDICE!$C$6:$N$380,2,FALSE)</f>
        <v>m3</v>
      </c>
      <c r="F629" s="586">
        <f>8*1.2*0.2</f>
        <v>1.92</v>
      </c>
      <c r="G629" s="648">
        <f>VLOOKUP(A629,[33]ÍNDICE!$C$6:$N$380,12,FALSE)</f>
        <v>1305106.8395586153</v>
      </c>
      <c r="H629" s="583">
        <f>F629*G629</f>
        <v>2505805.1319525414</v>
      </c>
    </row>
    <row r="630" spans="1:8" s="565" customFormat="1" ht="15" customHeight="1">
      <c r="A630" s="571" t="s">
        <v>528</v>
      </c>
      <c r="B630" s="571" t="str">
        <f t="shared" si="69"/>
        <v>600-13</v>
      </c>
      <c r="C630" s="571"/>
      <c r="D630" s="619" t="str">
        <f>VLOOKUP(A630,[33]ÍNDICE!$C$6:$N$380,5,FALSE)</f>
        <v>EXCAVACIONES VARIAS SIN CLASIFICAR</v>
      </c>
      <c r="E630" s="581" t="str">
        <f>VLOOKUP(A630,[33]ÍNDICE!$C$6:$N$380,2,FALSE)</f>
        <v>m3</v>
      </c>
      <c r="F630" s="585">
        <f>11*1.2*1+4</f>
        <v>17.2</v>
      </c>
      <c r="G630" s="648">
        <f>VLOOKUP(A630,[33]ÍNDICE!$C$6:$N$380,12,FALSE)</f>
        <v>58828.261120639472</v>
      </c>
      <c r="H630" s="583">
        <f t="shared" si="70"/>
        <v>1011846.0912749988</v>
      </c>
    </row>
    <row r="631" spans="1:8" s="565" customFormat="1" ht="15" customHeight="1">
      <c r="A631" s="571" t="s">
        <v>530</v>
      </c>
      <c r="B631" s="571" t="str">
        <f t="shared" si="69"/>
        <v>610-13</v>
      </c>
      <c r="C631" s="571"/>
      <c r="D631" s="619" t="str">
        <f>VLOOKUP(A631,[33]ÍNDICE!$C$6:$N$380,5,FALSE)</f>
        <v>RELLENO PARA ESTRUCTURAS CON SUELO (analizado sin preparación de la superficie base del relleno)</v>
      </c>
      <c r="E631" s="581" t="str">
        <f>VLOOKUP(A631,[33]ÍNDICE!$C$6:$N$380,2,FALSE)</f>
        <v>m3</v>
      </c>
      <c r="F631" s="586">
        <f>11*1.2*1+3</f>
        <v>16.2</v>
      </c>
      <c r="G631" s="648">
        <f>VLOOKUP(A631,[33]ÍNDICE!$C$6:$N$380,12,FALSE)</f>
        <v>162354.11090657322</v>
      </c>
      <c r="H631" s="583">
        <f>F631*G631</f>
        <v>2630136.5966864862</v>
      </c>
    </row>
    <row r="632" spans="1:8" s="565" customFormat="1" ht="15" customHeight="1">
      <c r="A632" s="571" t="s">
        <v>531</v>
      </c>
      <c r="B632" s="571" t="str">
        <f t="shared" si="69"/>
        <v>630-13</v>
      </c>
      <c r="C632" s="571"/>
      <c r="D632" s="619" t="str">
        <f>VLOOKUP(A632,[33]ÍNDICE!$C$6:$N$380,5,FALSE)</f>
        <v>CONCRETO SIMPLE RESISTENCIA 17 MPa - MEZCLA IN SITU</v>
      </c>
      <c r="E632" s="581" t="str">
        <f>VLOOKUP(A632,[33]ÍNDICE!$C$6:$N$380,2,FALSE)</f>
        <v>m3</v>
      </c>
      <c r="F632" s="586">
        <f>2*(1.8*0.2*2+1.4*0.2*2)+1.4*1.4*0.2+3*(2*1.8*0.4)+(1.8+3.6)/2*0.2*1.5+11*0.15*1.2</f>
        <v>10.062000000000001</v>
      </c>
      <c r="G632" s="648">
        <f>VLOOKUP(A632,[33]ÍNDICE!$C$6:$N$380,12,FALSE)</f>
        <v>994779.33062365581</v>
      </c>
      <c r="H632" s="583">
        <f t="shared" si="70"/>
        <v>10009469.624735227</v>
      </c>
    </row>
    <row r="633" spans="1:8" s="565" customFormat="1" ht="15" customHeight="1">
      <c r="A633" s="571" t="s">
        <v>532</v>
      </c>
      <c r="B633" s="571" t="str">
        <f t="shared" si="69"/>
        <v>630-13</v>
      </c>
      <c r="C633" s="571"/>
      <c r="D633" s="619" t="str">
        <f>VLOOKUP(A633,[33]ÍNDICE!$C$6:$N$380,5,FALSE)</f>
        <v>CONCRETO CICLÓPEO RESISTENCIA 14MPa (G)</v>
      </c>
      <c r="E633" s="581" t="str">
        <f>VLOOKUP(A633,[33]ÍNDICE!$C$6:$N$380,2,FALSE)</f>
        <v>m3</v>
      </c>
      <c r="F633" s="598">
        <f>1.2*11*0.15</f>
        <v>1.9799999999999998</v>
      </c>
      <c r="G633" s="648">
        <f>VLOOKUP(A633,[33]ÍNDICE!$C$6:$N$380,12,FALSE)</f>
        <v>680494.66759275761</v>
      </c>
      <c r="H633" s="583">
        <f t="shared" si="70"/>
        <v>1347379.44183366</v>
      </c>
    </row>
    <row r="634" spans="1:8" s="565" customFormat="1" ht="15" customHeight="1">
      <c r="A634" s="571" t="s">
        <v>541</v>
      </c>
      <c r="B634" s="571" t="str">
        <f t="shared" si="69"/>
        <v>640-13</v>
      </c>
      <c r="C634" s="571"/>
      <c r="D634" s="619" t="str">
        <f>VLOOKUP(A634,[33]ÍNDICE!$C$6:$N$380,5,FALSE)</f>
        <v>ACERO DE REFUERZO Fy 4200 MPa</v>
      </c>
      <c r="E634" s="581" t="str">
        <f>VLOOKUP(A634,[33]ÍNDICE!$C$6:$N$380,2,FALSE)</f>
        <v>kg</v>
      </c>
      <c r="F634" s="585">
        <f>F632*105</f>
        <v>1056.5100000000002</v>
      </c>
      <c r="G634" s="648">
        <f>VLOOKUP(A634,[33]ÍNDICE!$C$6:$N$380,12,FALSE)</f>
        <v>7547.7371417119648</v>
      </c>
      <c r="H634" s="583">
        <f t="shared" si="70"/>
        <v>7974259.7675901093</v>
      </c>
    </row>
    <row r="635" spans="1:8" s="565" customFormat="1" ht="26.1" customHeight="1">
      <c r="A635" s="571" t="s">
        <v>580</v>
      </c>
      <c r="B635" s="571" t="str">
        <f t="shared" si="69"/>
        <v>661-13</v>
      </c>
      <c r="C635" s="571"/>
      <c r="D635" s="619" t="str">
        <f>VLOOKUP(A635,[33]ÍNDICE!$C$6:$N$380,5,FALSE)</f>
        <v>TUBERIA DE CONCRETO REFORZADO, CLASE III DE 900mm DE DIAMETRO INTERIOR</v>
      </c>
      <c r="E635" s="581" t="str">
        <f>VLOOKUP(A635,[33]ÍNDICE!$C$6:$N$380,2,FALSE)</f>
        <v>m</v>
      </c>
      <c r="F635" s="582">
        <v>11</v>
      </c>
      <c r="G635" s="648">
        <f>VLOOKUP(A635,[33]ÍNDICE!$C$6:$N$380,12,FALSE)</f>
        <v>1451200.3231315203</v>
      </c>
      <c r="H635" s="583">
        <f>F635*G635</f>
        <v>15963203.554446723</v>
      </c>
    </row>
    <row r="636" spans="1:8" s="565" customFormat="1" ht="26.1" customHeight="1" thickBot="1">
      <c r="A636" s="602" t="s">
        <v>545</v>
      </c>
      <c r="B636" s="602" t="str">
        <f t="shared" si="69"/>
        <v>671-13</v>
      </c>
      <c r="C636" s="602"/>
      <c r="D636" s="630" t="str">
        <f>VLOOKUP(A636,[33]ÍNDICE!$C$6:$N$380,5,FALSE)</f>
        <v>CUNETA DE CONCRETO VACIADA IN SITU; INCLUYE LA CONFORMACIÓN DE LA SUPERFICIE DE APOYO</v>
      </c>
      <c r="E636" s="829" t="str">
        <f>VLOOKUP(A636,[33]ÍNDICE!$C$6:$N$380,2,FALSE)</f>
        <v>m3</v>
      </c>
      <c r="F636" s="593">
        <f>4*0.138</f>
        <v>0.55200000000000005</v>
      </c>
      <c r="G636" s="830">
        <f>VLOOKUP(A636,[33]ÍNDICE!$C$6:$N$380,12,FALSE)</f>
        <v>1106254.0341245155</v>
      </c>
      <c r="H636" s="606">
        <f t="shared" si="70"/>
        <v>610652.22683673259</v>
      </c>
    </row>
    <row r="637" spans="1:8" s="565" customFormat="1" ht="15" customHeight="1" thickTop="1">
      <c r="A637" s="577"/>
      <c r="B637" s="577"/>
      <c r="C637" s="577"/>
      <c r="D637" s="607"/>
      <c r="E637" s="562"/>
      <c r="G637" s="579" t="s">
        <v>524</v>
      </c>
      <c r="H637" s="1511">
        <f>SUM(H626:H636)</f>
        <v>44809797.776753448</v>
      </c>
    </row>
    <row r="638" spans="1:8" s="565" customFormat="1" ht="15" customHeight="1">
      <c r="A638" s="577"/>
      <c r="B638" s="577"/>
      <c r="C638" s="577"/>
      <c r="D638" s="578"/>
      <c r="E638" s="562"/>
      <c r="G638" s="579" t="s">
        <v>525</v>
      </c>
      <c r="H638" s="1508">
        <f>SUM(H637:H637)*0.05*0.19/1.3</f>
        <v>327456.21452242899</v>
      </c>
    </row>
    <row r="639" spans="1:8" s="565" customFormat="1" ht="15" customHeight="1" thickBot="1">
      <c r="A639" s="561"/>
      <c r="B639" s="560"/>
      <c r="C639" s="560"/>
      <c r="D639" s="561"/>
      <c r="E639" s="562"/>
      <c r="G639" s="579" t="s">
        <v>526</v>
      </c>
      <c r="H639" s="1509">
        <f>+ROUND(H637+H638,0)</f>
        <v>45137254</v>
      </c>
    </row>
    <row r="640" spans="1:8" s="565" customFormat="1" ht="15" customHeight="1" thickTop="1">
      <c r="A640" s="561"/>
      <c r="B640" s="560"/>
      <c r="C640" s="560"/>
      <c r="D640" s="561"/>
      <c r="E640" s="562"/>
      <c r="G640" s="579"/>
      <c r="H640" s="1510"/>
    </row>
    <row r="641" spans="1:9" s="565" customFormat="1" ht="15" customHeight="1" thickBot="1">
      <c r="A641" s="566"/>
      <c r="B641" s="567"/>
      <c r="C641" s="566" t="s">
        <v>620</v>
      </c>
      <c r="D641" s="566"/>
      <c r="E641" s="567"/>
      <c r="F641" s="566"/>
      <c r="G641" s="616"/>
      <c r="H641" s="569"/>
    </row>
    <row r="642" spans="1:9" s="565" customFormat="1" ht="15" customHeight="1" thickTop="1">
      <c r="A642" s="572" t="s">
        <v>549</v>
      </c>
      <c r="B642" s="572" t="str">
        <f t="shared" ref="B642:B647" si="71">MID(A642,1,3)&amp;"-"&amp;13</f>
        <v>201-13</v>
      </c>
      <c r="C642" s="572"/>
      <c r="D642" s="619" t="str">
        <f>VLOOKUP(A642,[33]ÍNDICE!$C$6:$N$380,5,FALSE)</f>
        <v>DEMOLICIÓN DE ESTRUCTURAS</v>
      </c>
      <c r="E642" s="581" t="str">
        <f>VLOOKUP(A642,[33]ÍNDICE!$C$6:$N$380,2,FALSE)</f>
        <v>m3</v>
      </c>
      <c r="F642" s="592">
        <v>0.5</v>
      </c>
      <c r="G642" s="648">
        <f>VLOOKUP(A642,[33]ÍNDICE!$C$6:$N$380,12,FALSE)</f>
        <v>217760.49497573468</v>
      </c>
      <c r="H642" s="573">
        <f t="shared" ref="H642:H647" si="72">F642*G642</f>
        <v>108880.24748786734</v>
      </c>
    </row>
    <row r="643" spans="1:9" s="565" customFormat="1" ht="15" customHeight="1">
      <c r="A643" s="571" t="s">
        <v>528</v>
      </c>
      <c r="B643" s="571" t="str">
        <f t="shared" si="71"/>
        <v>600-13</v>
      </c>
      <c r="C643" s="571"/>
      <c r="D643" s="619" t="str">
        <f>VLOOKUP(A643,[33]ÍNDICE!$C$6:$N$380,5,FALSE)</f>
        <v>EXCAVACIONES VARIAS SIN CLASIFICAR</v>
      </c>
      <c r="E643" s="581" t="str">
        <f>VLOOKUP(A643,[33]ÍNDICE!$C$6:$N$380,2,FALSE)</f>
        <v>m3</v>
      </c>
      <c r="F643" s="585">
        <f>0.5*8</f>
        <v>4</v>
      </c>
      <c r="G643" s="648">
        <f>VLOOKUP(A643,[33]ÍNDICE!$C$6:$N$380,12,FALSE)</f>
        <v>58828.261120639472</v>
      </c>
      <c r="H643" s="583">
        <f t="shared" si="72"/>
        <v>235313.04448255789</v>
      </c>
    </row>
    <row r="644" spans="1:9" s="565" customFormat="1" ht="15" customHeight="1">
      <c r="A644" s="571" t="s">
        <v>530</v>
      </c>
      <c r="B644" s="571" t="str">
        <f t="shared" si="71"/>
        <v>610-13</v>
      </c>
      <c r="C644" s="571"/>
      <c r="D644" s="619" t="str">
        <f>VLOOKUP(A644,[33]ÍNDICE!$C$6:$N$380,5,FALSE)</f>
        <v>RELLENO PARA ESTRUCTURAS CON SUELO (analizado sin preparación de la superficie base del relleno)</v>
      </c>
      <c r="E644" s="581" t="str">
        <f>VLOOKUP(A644,[33]ÍNDICE!$C$6:$N$380,2,FALSE)</f>
        <v>m3</v>
      </c>
      <c r="F644" s="586">
        <f>0.4*8</f>
        <v>3.2</v>
      </c>
      <c r="G644" s="648">
        <f>VLOOKUP(A644,[33]ÍNDICE!$C$6:$N$380,12,FALSE)</f>
        <v>162354.11090657322</v>
      </c>
      <c r="H644" s="583">
        <f t="shared" si="72"/>
        <v>519533.15490103432</v>
      </c>
    </row>
    <row r="645" spans="1:9" s="565" customFormat="1" ht="15" customHeight="1">
      <c r="A645" s="571" t="s">
        <v>531</v>
      </c>
      <c r="B645" s="571" t="str">
        <f t="shared" si="71"/>
        <v>630-13</v>
      </c>
      <c r="C645" s="571"/>
      <c r="D645" s="619" t="str">
        <f>VLOOKUP(A645,[33]ÍNDICE!$C$6:$N$380,5,FALSE)</f>
        <v>CONCRETO SIMPLE RESISTENCIA 17 MPa - MEZCLA IN SITU</v>
      </c>
      <c r="E645" s="581" t="str">
        <f>VLOOKUP(A645,[33]ÍNDICE!$C$6:$N$380,2,FALSE)</f>
        <v>m3</v>
      </c>
      <c r="F645" s="586">
        <f>0.55*8</f>
        <v>4.4000000000000004</v>
      </c>
      <c r="G645" s="648">
        <f>VLOOKUP(A645,[33]ÍNDICE!$C$6:$N$380,12,FALSE)</f>
        <v>994779.33062365581</v>
      </c>
      <c r="H645" s="583">
        <f t="shared" si="72"/>
        <v>4377029.0547440862</v>
      </c>
    </row>
    <row r="646" spans="1:9" s="565" customFormat="1" ht="15" customHeight="1">
      <c r="A646" s="571" t="s">
        <v>532</v>
      </c>
      <c r="B646" s="571" t="str">
        <f t="shared" si="71"/>
        <v>630-13</v>
      </c>
      <c r="C646" s="571"/>
      <c r="D646" s="619" t="str">
        <f>VLOOKUP(A646,[33]ÍNDICE!$C$6:$N$380,5,FALSE)</f>
        <v>CONCRETO CICLÓPEO RESISTENCIA 14MPa (G)</v>
      </c>
      <c r="E646" s="581" t="str">
        <f>VLOOKUP(A646,[33]ÍNDICE!$C$6:$N$380,2,FALSE)</f>
        <v>m3</v>
      </c>
      <c r="F646" s="598">
        <v>1.5</v>
      </c>
      <c r="G646" s="648">
        <f>VLOOKUP(A646,[33]ÍNDICE!$C$6:$N$380,12,FALSE)</f>
        <v>680494.66759275761</v>
      </c>
      <c r="H646" s="583">
        <f t="shared" si="72"/>
        <v>1020742.0013891364</v>
      </c>
    </row>
    <row r="647" spans="1:9" s="565" customFormat="1" ht="15" customHeight="1" thickBot="1">
      <c r="A647" s="602" t="s">
        <v>541</v>
      </c>
      <c r="B647" s="602" t="str">
        <f t="shared" si="71"/>
        <v>640-13</v>
      </c>
      <c r="C647" s="602"/>
      <c r="D647" s="630" t="str">
        <f>VLOOKUP(A647,[33]ÍNDICE!$C$6:$N$380,5,FALSE)</f>
        <v>ACERO DE REFUERZO Fy 4200 MPa</v>
      </c>
      <c r="E647" s="829" t="str">
        <f>VLOOKUP(A647,[33]ÍNDICE!$C$6:$N$380,2,FALSE)</f>
        <v>kg</v>
      </c>
      <c r="F647" s="603">
        <f>F645*105</f>
        <v>462.00000000000006</v>
      </c>
      <c r="G647" s="830">
        <f>VLOOKUP(A647,[33]ÍNDICE!$C$6:$N$380,12,FALSE)</f>
        <v>7547.7371417119648</v>
      </c>
      <c r="H647" s="606">
        <f t="shared" si="72"/>
        <v>3487054.5594709283</v>
      </c>
    </row>
    <row r="648" spans="1:9" s="565" customFormat="1" ht="15" customHeight="1" thickTop="1">
      <c r="A648" s="577"/>
      <c r="B648" s="577"/>
      <c r="C648" s="577"/>
      <c r="D648" s="607"/>
      <c r="E648" s="562"/>
      <c r="G648" s="579" t="s">
        <v>524</v>
      </c>
      <c r="H648" s="1511">
        <f>SUM(H642:H647)</f>
        <v>9748552.0624756105</v>
      </c>
    </row>
    <row r="649" spans="1:9" s="565" customFormat="1" ht="15" customHeight="1">
      <c r="A649" s="577"/>
      <c r="B649" s="577"/>
      <c r="C649" s="577"/>
      <c r="D649" s="578"/>
      <c r="E649" s="562"/>
      <c r="G649" s="579" t="s">
        <v>525</v>
      </c>
      <c r="H649" s="1508">
        <f>SUM(H648:H648)*0.05*0.19/1.3</f>
        <v>71239.418918091003</v>
      </c>
    </row>
    <row r="650" spans="1:9" s="565" customFormat="1" ht="15" customHeight="1" thickBot="1">
      <c r="A650" s="561"/>
      <c r="B650" s="560"/>
      <c r="C650" s="560"/>
      <c r="D650" s="561"/>
      <c r="E650" s="562"/>
      <c r="G650" s="579" t="s">
        <v>526</v>
      </c>
      <c r="H650" s="1509">
        <f>+ROUND(H648+H649,0)</f>
        <v>9819791</v>
      </c>
    </row>
    <row r="651" spans="1:9" s="565" customFormat="1" ht="12.75" customHeight="1" thickTop="1">
      <c r="A651" s="561"/>
      <c r="B651" s="560"/>
      <c r="C651" s="560"/>
      <c r="D651" s="561"/>
      <c r="E651" s="562"/>
      <c r="F651" s="563"/>
      <c r="G651" s="563"/>
      <c r="H651" s="1506"/>
    </row>
    <row r="652" spans="1:9" s="565" customFormat="1" ht="13.5" thickBot="1">
      <c r="A652" s="566"/>
      <c r="B652" s="567"/>
      <c r="C652" s="566" t="s">
        <v>621</v>
      </c>
      <c r="D652" s="566"/>
      <c r="E652" s="567"/>
      <c r="F652" s="566"/>
      <c r="G652" s="616"/>
      <c r="H652" s="569"/>
      <c r="I652" s="570"/>
    </row>
    <row r="653" spans="1:9" s="565" customFormat="1" ht="15" customHeight="1" thickTop="1">
      <c r="A653" s="572" t="s">
        <v>549</v>
      </c>
      <c r="B653" s="572" t="str">
        <f t="shared" ref="B653:B665" si="73">MID(A653,1,3)&amp;"-"&amp;13</f>
        <v>201-13</v>
      </c>
      <c r="C653" s="572"/>
      <c r="D653" s="619" t="str">
        <f>VLOOKUP(A653,[33]ÍNDICE!$C$6:$N$380,5,FALSE)</f>
        <v>DEMOLICIÓN DE ESTRUCTURAS</v>
      </c>
      <c r="E653" s="581" t="str">
        <f>VLOOKUP(A653,[33]ÍNDICE!$C$6:$N$380,2,FALSE)</f>
        <v>m3</v>
      </c>
      <c r="F653" s="592">
        <f>2*(1.4*0.2*1.5+1*0.2*1.5)+1*1*0.15+3*(2*0.4*1.5)+0.5</f>
        <v>5.69</v>
      </c>
      <c r="G653" s="648">
        <f>VLOOKUP(A653,[33]ÍNDICE!$C$6:$N$380,12,FALSE)</f>
        <v>217760.49497573468</v>
      </c>
      <c r="H653" s="573">
        <f>F653*G653</f>
        <v>1239057.2164119305</v>
      </c>
    </row>
    <row r="654" spans="1:9" s="565" customFormat="1" ht="15" customHeight="1">
      <c r="A654" s="571" t="s">
        <v>616</v>
      </c>
      <c r="B654" s="571" t="str">
        <f t="shared" si="73"/>
        <v>201-13</v>
      </c>
      <c r="C654" s="639"/>
      <c r="D654" s="619" t="str">
        <f>VLOOKUP(A654,[33]ÍNDICE!$C$6:$N$380,5,FALSE)</f>
        <v>DEMOLICIÓN DE PAVIMENTOS RÍGIDOS</v>
      </c>
      <c r="E654" s="581" t="str">
        <f>VLOOKUP(A654,[33]ÍNDICE!$C$6:$N$380,2,FALSE)</f>
        <v>m2</v>
      </c>
      <c r="F654" s="585">
        <f>1.2*9</f>
        <v>10.799999999999999</v>
      </c>
      <c r="G654" s="648">
        <f>VLOOKUP(A654,[33]ÍNDICE!$C$6:$N$380,12,FALSE)</f>
        <v>38465.171913503909</v>
      </c>
      <c r="H654" s="583">
        <f t="shared" ref="H654:H665" si="74">F654*G654</f>
        <v>415423.85666584218</v>
      </c>
    </row>
    <row r="655" spans="1:9" s="565" customFormat="1" ht="15" customHeight="1">
      <c r="A655" s="571" t="s">
        <v>550</v>
      </c>
      <c r="B655" s="571" t="str">
        <f t="shared" si="73"/>
        <v>330-13</v>
      </c>
      <c r="C655" s="614"/>
      <c r="D655" s="619" t="str">
        <f>VLOOKUP(A655,[33]ÍNDICE!$C$6:$N$380,5,FALSE)</f>
        <v>BASE GRANULAR CLASE A GRADACION FINA</v>
      </c>
      <c r="E655" s="581" t="str">
        <f>VLOOKUP(A655,[33]ÍNDICE!$C$6:$N$380,2,FALSE)</f>
        <v>m3</v>
      </c>
      <c r="F655" s="586">
        <f>12*1.2*0.2</f>
        <v>2.88</v>
      </c>
      <c r="G655" s="648">
        <f>VLOOKUP(A655,[33]ÍNDICE!$C$6:$N$380,12,FALSE)</f>
        <v>476364.66746335832</v>
      </c>
      <c r="H655" s="583">
        <f>F655*G655</f>
        <v>1371930.2422944719</v>
      </c>
    </row>
    <row r="656" spans="1:9" s="565" customFormat="1" ht="15" customHeight="1">
      <c r="A656" s="571" t="s">
        <v>617</v>
      </c>
      <c r="B656" s="571" t="str">
        <f t="shared" si="73"/>
        <v>500-13</v>
      </c>
      <c r="C656" s="639"/>
      <c r="D656" s="619" t="str">
        <f>VLOOKUP(A656,[33]ÍNDICE!$C$6:$N$380,5,FALSE)</f>
        <v>PAVIMENTO DE CONCRETO HIDRÁULICO - NT3</v>
      </c>
      <c r="E656" s="581" t="str">
        <f>VLOOKUP(A656,[33]ÍNDICE!$C$6:$N$380,2,FALSE)</f>
        <v>m3</v>
      </c>
      <c r="F656" s="586">
        <f>9*1.2*0.2</f>
        <v>2.1599999999999997</v>
      </c>
      <c r="G656" s="648">
        <f>VLOOKUP(A656,[33]ÍNDICE!$C$6:$N$380,12,FALSE)</f>
        <v>1305106.8395586153</v>
      </c>
      <c r="H656" s="583">
        <f>F656*G656</f>
        <v>2819030.7734466088</v>
      </c>
    </row>
    <row r="657" spans="1:9" s="565" customFormat="1" ht="15" customHeight="1">
      <c r="A657" s="571" t="s">
        <v>528</v>
      </c>
      <c r="B657" s="571" t="str">
        <f t="shared" si="73"/>
        <v>600-13</v>
      </c>
      <c r="C657" s="571"/>
      <c r="D657" s="619" t="str">
        <f>VLOOKUP(A657,[33]ÍNDICE!$C$6:$N$380,5,FALSE)</f>
        <v>EXCAVACIONES VARIAS SIN CLASIFICAR</v>
      </c>
      <c r="E657" s="581" t="str">
        <f>VLOOKUP(A657,[33]ÍNDICE!$C$6:$N$380,2,FALSE)</f>
        <v>m3</v>
      </c>
      <c r="F657" s="585">
        <f>11*1.2*1+4+8</f>
        <v>25.2</v>
      </c>
      <c r="G657" s="648">
        <f>VLOOKUP(A657,[33]ÍNDICE!$C$6:$N$380,12,FALSE)</f>
        <v>58828.261120639472</v>
      </c>
      <c r="H657" s="583">
        <f t="shared" si="74"/>
        <v>1482472.1802401147</v>
      </c>
    </row>
    <row r="658" spans="1:9" s="565" customFormat="1" ht="15" customHeight="1">
      <c r="A658" s="571" t="s">
        <v>530</v>
      </c>
      <c r="B658" s="571" t="str">
        <f t="shared" si="73"/>
        <v>610-13</v>
      </c>
      <c r="C658" s="571"/>
      <c r="D658" s="619" t="str">
        <f>VLOOKUP(A658,[33]ÍNDICE!$C$6:$N$380,5,FALSE)</f>
        <v>RELLENO PARA ESTRUCTURAS CON SUELO (analizado sin preparación de la superficie base del relleno)</v>
      </c>
      <c r="E658" s="581" t="str">
        <f>VLOOKUP(A658,[33]ÍNDICE!$C$6:$N$380,2,FALSE)</f>
        <v>m3</v>
      </c>
      <c r="F658" s="586">
        <f>12*1.2*1+3</f>
        <v>17.399999999999999</v>
      </c>
      <c r="G658" s="648">
        <f>VLOOKUP(A658,[33]ÍNDICE!$C$6:$N$380,12,FALSE)</f>
        <v>162354.11090657322</v>
      </c>
      <c r="H658" s="583">
        <f>F658*G658</f>
        <v>2824961.5297743739</v>
      </c>
    </row>
    <row r="659" spans="1:9" s="565" customFormat="1" ht="15" customHeight="1">
      <c r="A659" s="571" t="s">
        <v>531</v>
      </c>
      <c r="B659" s="571" t="str">
        <f t="shared" si="73"/>
        <v>630-13</v>
      </c>
      <c r="C659" s="571"/>
      <c r="D659" s="619" t="str">
        <f>VLOOKUP(A659,[33]ÍNDICE!$C$6:$N$380,5,FALSE)</f>
        <v>CONCRETO SIMPLE RESISTENCIA 17 MPa - MEZCLA IN SITU</v>
      </c>
      <c r="E659" s="581" t="str">
        <f>VLOOKUP(A659,[33]ÍNDICE!$C$6:$N$380,2,FALSE)</f>
        <v>m3</v>
      </c>
      <c r="F659" s="586">
        <f>2*(1.8*0.2*2+1.4*0.2*2)+1.4*1.4*0.2+3*(2*1.8*0.4)+(1.8+3.6)/2*0.2*1.5+11*0.15*1.2</f>
        <v>10.062000000000001</v>
      </c>
      <c r="G659" s="648">
        <f>VLOOKUP(A659,[33]ÍNDICE!$C$6:$N$380,12,FALSE)</f>
        <v>994779.33062365581</v>
      </c>
      <c r="H659" s="583">
        <f t="shared" si="74"/>
        <v>10009469.624735227</v>
      </c>
    </row>
    <row r="660" spans="1:9" s="565" customFormat="1" ht="15" customHeight="1">
      <c r="A660" s="571" t="s">
        <v>532</v>
      </c>
      <c r="B660" s="571" t="str">
        <f t="shared" si="73"/>
        <v>630-13</v>
      </c>
      <c r="C660" s="571"/>
      <c r="D660" s="619" t="str">
        <f>VLOOKUP(A660,[33]ÍNDICE!$C$6:$N$380,5,FALSE)</f>
        <v>CONCRETO CICLÓPEO RESISTENCIA 14MPa (G)</v>
      </c>
      <c r="E660" s="581" t="str">
        <f>VLOOKUP(A660,[33]ÍNDICE!$C$6:$N$380,2,FALSE)</f>
        <v>m3</v>
      </c>
      <c r="F660" s="598">
        <f>1.2*12*0.15</f>
        <v>2.1599999999999997</v>
      </c>
      <c r="G660" s="648">
        <f>VLOOKUP(A660,[33]ÍNDICE!$C$6:$N$380,12,FALSE)</f>
        <v>680494.66759275761</v>
      </c>
      <c r="H660" s="583">
        <f t="shared" si="74"/>
        <v>1469868.4820003563</v>
      </c>
    </row>
    <row r="661" spans="1:9" s="565" customFormat="1" ht="15" customHeight="1">
      <c r="A661" s="571" t="s">
        <v>541</v>
      </c>
      <c r="B661" s="571" t="str">
        <f t="shared" si="73"/>
        <v>640-13</v>
      </c>
      <c r="C661" s="571"/>
      <c r="D661" s="619" t="str">
        <f>VLOOKUP(A661,[33]ÍNDICE!$C$6:$N$380,5,FALSE)</f>
        <v>ACERO DE REFUERZO Fy 4200 MPa</v>
      </c>
      <c r="E661" s="581" t="str">
        <f>VLOOKUP(A661,[33]ÍNDICE!$C$6:$N$380,2,FALSE)</f>
        <v>kg</v>
      </c>
      <c r="F661" s="585">
        <f>F659*105</f>
        <v>1056.5100000000002</v>
      </c>
      <c r="G661" s="648">
        <f>VLOOKUP(A661,[33]ÍNDICE!$C$6:$N$380,12,FALSE)</f>
        <v>7547.7371417119648</v>
      </c>
      <c r="H661" s="583">
        <f t="shared" si="74"/>
        <v>7974259.7675901093</v>
      </c>
    </row>
    <row r="662" spans="1:9" s="565" customFormat="1" ht="26.1" customHeight="1">
      <c r="A662" s="571" t="s">
        <v>580</v>
      </c>
      <c r="B662" s="571" t="str">
        <f t="shared" si="73"/>
        <v>661-13</v>
      </c>
      <c r="C662" s="571"/>
      <c r="D662" s="619" t="str">
        <f>VLOOKUP(A662,[33]ÍNDICE!$C$6:$N$380,5,FALSE)</f>
        <v>TUBERIA DE CONCRETO REFORZADO, CLASE III DE 900mm DE DIAMETRO INTERIOR</v>
      </c>
      <c r="E662" s="581" t="str">
        <f>VLOOKUP(A662,[33]ÍNDICE!$C$6:$N$380,2,FALSE)</f>
        <v>m</v>
      </c>
      <c r="F662" s="582">
        <v>12</v>
      </c>
      <c r="G662" s="648">
        <f>VLOOKUP(A662,[33]ÍNDICE!$C$6:$N$380,12,FALSE)</f>
        <v>1451200.3231315203</v>
      </c>
      <c r="H662" s="583">
        <f>F662*G662</f>
        <v>17414403.877578244</v>
      </c>
    </row>
    <row r="663" spans="1:9" s="565" customFormat="1" ht="26.1" customHeight="1">
      <c r="A663" s="571" t="s">
        <v>545</v>
      </c>
      <c r="B663" s="571" t="str">
        <f t="shared" si="73"/>
        <v>671-13</v>
      </c>
      <c r="C663" s="571"/>
      <c r="D663" s="619" t="str">
        <f>VLOOKUP(A663,[33]ÍNDICE!$C$6:$N$380,5,FALSE)</f>
        <v>CUNETA DE CONCRETO VACIADA IN SITU; INCLUYE LA CONFORMACIÓN DE LA SUPERFICIE DE APOYO</v>
      </c>
      <c r="E663" s="581" t="str">
        <f>VLOOKUP(A663,[33]ÍNDICE!$C$6:$N$380,2,FALSE)</f>
        <v>m3</v>
      </c>
      <c r="F663" s="586">
        <f>4*0.138</f>
        <v>0.55200000000000005</v>
      </c>
      <c r="G663" s="648">
        <f>VLOOKUP(A663,[33]ÍNDICE!$C$6:$N$380,12,FALSE)</f>
        <v>1106254.0341245155</v>
      </c>
      <c r="H663" s="583">
        <f t="shared" si="74"/>
        <v>610652.22683673259</v>
      </c>
    </row>
    <row r="664" spans="1:9" s="565" customFormat="1" ht="15" customHeight="1">
      <c r="A664" s="571" t="s">
        <v>534</v>
      </c>
      <c r="B664" s="571" t="str">
        <f t="shared" si="73"/>
        <v>673-13</v>
      </c>
      <c r="C664" s="571"/>
      <c r="D664" s="619" t="str">
        <f>VLOOKUP(A664,[33]ÍNDICE!$C$6:$N$380,5,FALSE)</f>
        <v xml:space="preserve">GEOTEXTIL TIPO TEJIDO CON RESISTENCIA A LA TENSIÓN GRAB MÍNIMA DE 1400 N </v>
      </c>
      <c r="E664" s="581" t="str">
        <f>VLOOKUP(A664,[33]ÍNDICE!$C$6:$N$380,2,FALSE)</f>
        <v>m2</v>
      </c>
      <c r="F664" s="585">
        <v>14</v>
      </c>
      <c r="G664" s="648">
        <f>VLOOKUP(A664,[33]ÍNDICE!$C$6:$N$380,12,FALSE)</f>
        <v>12861.24633460756</v>
      </c>
      <c r="H664" s="583">
        <f>F664*G664</f>
        <v>180057.44868450583</v>
      </c>
    </row>
    <row r="665" spans="1:9" s="565" customFormat="1" ht="26.1" customHeight="1" thickBot="1">
      <c r="A665" s="602" t="s">
        <v>535</v>
      </c>
      <c r="B665" s="602" t="str">
        <f t="shared" si="73"/>
        <v>681-13</v>
      </c>
      <c r="C665" s="602"/>
      <c r="D665" s="630" t="str">
        <f>VLOOKUP(A665,[33]ÍNDICE!$C$6:$N$380,5,FALSE)</f>
        <v>GAVIONES DE MALLA DE ALAMBRE DE ACERO ENTRELAZADO CLASE 1; RECUBRIMIENTO DE ZINC (GALVANIZADO)</v>
      </c>
      <c r="E665" s="829" t="str">
        <f>VLOOKUP(A665,[33]ÍNDICE!$C$6:$N$380,2,FALSE)</f>
        <v>m3</v>
      </c>
      <c r="F665" s="603">
        <v>8</v>
      </c>
      <c r="G665" s="830">
        <f>VLOOKUP(A665,[33]ÍNDICE!$C$6:$N$380,12,FALSE)</f>
        <v>601666.19528525032</v>
      </c>
      <c r="H665" s="606">
        <f t="shared" si="74"/>
        <v>4813329.5622820025</v>
      </c>
    </row>
    <row r="666" spans="1:9" s="565" customFormat="1" ht="15" customHeight="1" thickTop="1">
      <c r="A666" s="577"/>
      <c r="B666" s="577"/>
      <c r="C666" s="577"/>
      <c r="D666" s="607"/>
      <c r="E666" s="562"/>
      <c r="G666" s="579" t="s">
        <v>524</v>
      </c>
      <c r="H666" s="1511">
        <f>SUM(H653:H665)</f>
        <v>52624916.78854052</v>
      </c>
    </row>
    <row r="667" spans="1:9" s="565" customFormat="1" ht="15" customHeight="1">
      <c r="A667" s="577"/>
      <c r="B667" s="577"/>
      <c r="C667" s="577"/>
      <c r="D667" s="578"/>
      <c r="E667" s="562"/>
      <c r="G667" s="579" t="s">
        <v>525</v>
      </c>
      <c r="H667" s="1508">
        <f>SUM(H666:H666)*0.05*0.19/1.3</f>
        <v>384566.69960856537</v>
      </c>
    </row>
    <row r="668" spans="1:9" s="565" customFormat="1" ht="15" customHeight="1" thickBot="1">
      <c r="A668" s="561"/>
      <c r="B668" s="560"/>
      <c r="C668" s="560"/>
      <c r="D668" s="561"/>
      <c r="E668" s="562"/>
      <c r="G668" s="579" t="s">
        <v>526</v>
      </c>
      <c r="H668" s="1509">
        <f>+ROUND(H666+H667,0)</f>
        <v>53009483</v>
      </c>
      <c r="I668" s="570"/>
    </row>
    <row r="669" spans="1:9" s="565" customFormat="1" ht="12.75" customHeight="1" thickTop="1">
      <c r="A669" s="561"/>
      <c r="B669" s="560"/>
      <c r="C669" s="560"/>
      <c r="D669" s="561"/>
      <c r="E669" s="562"/>
      <c r="F669" s="563"/>
      <c r="G669" s="563"/>
      <c r="H669" s="1506"/>
    </row>
    <row r="670" spans="1:9" s="565" customFormat="1" ht="15" customHeight="1" thickBot="1">
      <c r="A670" s="566"/>
      <c r="B670" s="567"/>
      <c r="C670" s="566" t="s">
        <v>622</v>
      </c>
      <c r="D670" s="566"/>
      <c r="E670" s="567"/>
      <c r="F670" s="566"/>
      <c r="G670" s="616"/>
      <c r="H670" s="569"/>
    </row>
    <row r="671" spans="1:9" s="565" customFormat="1" ht="15" customHeight="1" thickTop="1">
      <c r="A671" s="595" t="s">
        <v>549</v>
      </c>
      <c r="B671" s="571" t="str">
        <f>MID(A671,1,3)&amp;"-"&amp;13</f>
        <v>201-13</v>
      </c>
      <c r="C671" s="595"/>
      <c r="D671" s="619" t="str">
        <f>VLOOKUP(A671,[33]ÍNDICE!$C$6:$N$380,5,FALSE)</f>
        <v>DEMOLICIÓN DE ESTRUCTURAS</v>
      </c>
      <c r="E671" s="581" t="str">
        <f>VLOOKUP(A671,[33]ÍNDICE!$C$6:$N$380,2,FALSE)</f>
        <v>m3</v>
      </c>
      <c r="F671" s="608">
        <f>3*2*0.4</f>
        <v>2.4000000000000004</v>
      </c>
      <c r="G671" s="648">
        <f>VLOOKUP(A671,[33]ÍNDICE!$C$6:$N$380,12,FALSE)</f>
        <v>217760.49497573468</v>
      </c>
      <c r="H671" s="597">
        <f>F671*G671</f>
        <v>522625.18794176332</v>
      </c>
    </row>
    <row r="672" spans="1:9" s="565" customFormat="1" ht="15" customHeight="1" thickBot="1">
      <c r="A672" s="602" t="s">
        <v>531</v>
      </c>
      <c r="B672" s="602" t="str">
        <f>MID(A672,1,3)&amp;"-"&amp;13</f>
        <v>630-13</v>
      </c>
      <c r="C672" s="602"/>
      <c r="D672" s="619" t="str">
        <f>VLOOKUP(A672,[33]ÍNDICE!$C$6:$N$380,5,FALSE)</f>
        <v>CONCRETO SIMPLE RESISTENCIA 17 MPa - MEZCLA IN SITU</v>
      </c>
      <c r="E672" s="581" t="str">
        <f>VLOOKUP(A672,[33]ÍNDICE!$C$6:$N$380,2,FALSE)</f>
        <v>m3</v>
      </c>
      <c r="F672" s="593">
        <v>0.5</v>
      </c>
      <c r="G672" s="648">
        <f>VLOOKUP(A672,[33]ÍNDICE!$C$6:$N$380,12,FALSE)</f>
        <v>994779.33062365581</v>
      </c>
      <c r="H672" s="606">
        <f>F672*G672</f>
        <v>497389.66531182791</v>
      </c>
    </row>
    <row r="673" spans="1:8" s="565" customFormat="1" ht="15" customHeight="1" thickTop="1">
      <c r="A673" s="574"/>
      <c r="B673" s="574"/>
      <c r="C673" s="574"/>
      <c r="D673" s="575"/>
      <c r="E673" s="589"/>
      <c r="F673" s="590"/>
      <c r="G673" s="576" t="s">
        <v>524</v>
      </c>
      <c r="H673" s="1511">
        <f>SUM(H671:H672)</f>
        <v>1020014.8532535912</v>
      </c>
    </row>
    <row r="674" spans="1:8" s="565" customFormat="1" ht="15" customHeight="1">
      <c r="A674" s="577"/>
      <c r="B674" s="577"/>
      <c r="C674" s="577"/>
      <c r="D674" s="578"/>
      <c r="E674" s="562"/>
      <c r="F674" s="580"/>
      <c r="G674" s="579" t="s">
        <v>525</v>
      </c>
      <c r="H674" s="1508">
        <f>SUM(H673:H673)*0.05*0.19/1.3</f>
        <v>7453.9546968531668</v>
      </c>
    </row>
    <row r="675" spans="1:8" s="565" customFormat="1" ht="15" customHeight="1" thickBot="1">
      <c r="A675" s="561"/>
      <c r="B675" s="560"/>
      <c r="C675" s="560"/>
      <c r="D675" s="561"/>
      <c r="E675" s="562"/>
      <c r="F675" s="580"/>
      <c r="G675" s="579" t="s">
        <v>526</v>
      </c>
      <c r="H675" s="1509">
        <f>+ROUND(H673+H674,0)</f>
        <v>1027469</v>
      </c>
    </row>
    <row r="676" spans="1:8" s="565" customFormat="1" ht="15" customHeight="1" thickTop="1">
      <c r="A676" s="561"/>
      <c r="B676" s="560"/>
      <c r="C676" s="560"/>
      <c r="D676" s="561"/>
      <c r="E676" s="562"/>
      <c r="F676" s="580"/>
      <c r="G676" s="579"/>
      <c r="H676" s="1510"/>
    </row>
    <row r="677" spans="1:8" s="565" customFormat="1" ht="15" customHeight="1" thickBot="1">
      <c r="A677" s="566"/>
      <c r="B677" s="567"/>
      <c r="C677" s="566" t="s">
        <v>623</v>
      </c>
      <c r="D677" s="566"/>
      <c r="E677" s="567"/>
      <c r="F677" s="566"/>
      <c r="G677" s="616"/>
      <c r="H677" s="569"/>
    </row>
    <row r="678" spans="1:8" s="565" customFormat="1" ht="15" customHeight="1" thickTop="1">
      <c r="A678" s="572" t="s">
        <v>549</v>
      </c>
      <c r="B678" s="572" t="str">
        <f t="shared" ref="B678:B688" si="75">MID(A678,1,3)&amp;"-"&amp;13</f>
        <v>201-13</v>
      </c>
      <c r="C678" s="572"/>
      <c r="D678" s="619" t="str">
        <f>VLOOKUP(A678,[33]ÍNDICE!$C$6:$N$380,5,FALSE)</f>
        <v>DEMOLICIÓN DE ESTRUCTURAS</v>
      </c>
      <c r="E678" s="581" t="str">
        <f>VLOOKUP(A678,[33]ÍNDICE!$C$6:$N$380,2,FALSE)</f>
        <v>m3</v>
      </c>
      <c r="F678" s="592">
        <f>(2*(1.4*0.2*1.5+1*0.2*1.5)+1*1*0.15+3*(2*0.4*1.5))*0.5</f>
        <v>2.5950000000000002</v>
      </c>
      <c r="G678" s="648">
        <f>VLOOKUP(A678,[33]ÍNDICE!$C$6:$N$380,12,FALSE)</f>
        <v>217760.49497573468</v>
      </c>
      <c r="H678" s="573">
        <f>F678*G678</f>
        <v>565088.48446203151</v>
      </c>
    </row>
    <row r="679" spans="1:8" s="565" customFormat="1" ht="15" customHeight="1">
      <c r="A679" s="571" t="s">
        <v>616</v>
      </c>
      <c r="B679" s="571" t="str">
        <f t="shared" si="75"/>
        <v>201-13</v>
      </c>
      <c r="C679" s="639"/>
      <c r="D679" s="619" t="str">
        <f>VLOOKUP(A679,[33]ÍNDICE!$C$6:$N$380,5,FALSE)</f>
        <v>DEMOLICIÓN DE PAVIMENTOS RÍGIDOS</v>
      </c>
      <c r="E679" s="581" t="str">
        <f>VLOOKUP(A679,[33]ÍNDICE!$C$6:$N$380,2,FALSE)</f>
        <v>m2</v>
      </c>
      <c r="F679" s="585">
        <f>1.2*8</f>
        <v>9.6</v>
      </c>
      <c r="G679" s="648">
        <f>VLOOKUP(A679,[33]ÍNDICE!$C$6:$N$380,12,FALSE)</f>
        <v>38465.171913503909</v>
      </c>
      <c r="H679" s="583">
        <f t="shared" ref="H679:H688" si="76">F679*G679</f>
        <v>369265.65036963753</v>
      </c>
    </row>
    <row r="680" spans="1:8" s="565" customFormat="1" ht="15" customHeight="1">
      <c r="A680" s="571" t="s">
        <v>550</v>
      </c>
      <c r="B680" s="571" t="str">
        <f t="shared" si="75"/>
        <v>330-13</v>
      </c>
      <c r="C680" s="614"/>
      <c r="D680" s="619" t="str">
        <f>VLOOKUP(A680,[33]ÍNDICE!$C$6:$N$380,5,FALSE)</f>
        <v>BASE GRANULAR CLASE A GRADACION FINA</v>
      </c>
      <c r="E680" s="581" t="str">
        <f>VLOOKUP(A680,[33]ÍNDICE!$C$6:$N$380,2,FALSE)</f>
        <v>m3</v>
      </c>
      <c r="F680" s="586">
        <f>11*1.2*0.2</f>
        <v>2.64</v>
      </c>
      <c r="G680" s="648">
        <f>VLOOKUP(A680,[33]ÍNDICE!$C$6:$N$380,12,FALSE)</f>
        <v>476364.66746335832</v>
      </c>
      <c r="H680" s="583">
        <f>F680*G680</f>
        <v>1257602.722103266</v>
      </c>
    </row>
    <row r="681" spans="1:8" s="565" customFormat="1" ht="15" customHeight="1">
      <c r="A681" s="571" t="s">
        <v>617</v>
      </c>
      <c r="B681" s="571" t="str">
        <f t="shared" si="75"/>
        <v>500-13</v>
      </c>
      <c r="C681" s="639"/>
      <c r="D681" s="619" t="str">
        <f>VLOOKUP(A681,[33]ÍNDICE!$C$6:$N$380,5,FALSE)</f>
        <v>PAVIMENTO DE CONCRETO HIDRÁULICO - NT3</v>
      </c>
      <c r="E681" s="581" t="str">
        <f>VLOOKUP(A681,[33]ÍNDICE!$C$6:$N$380,2,FALSE)</f>
        <v>m3</v>
      </c>
      <c r="F681" s="586">
        <f>8*1.2*0.22</f>
        <v>2.1120000000000001</v>
      </c>
      <c r="G681" s="648">
        <f>VLOOKUP(A681,[33]ÍNDICE!$C$6:$N$380,12,FALSE)</f>
        <v>1305106.8395586153</v>
      </c>
      <c r="H681" s="583">
        <f>F681*G681</f>
        <v>2756385.6451477958</v>
      </c>
    </row>
    <row r="682" spans="1:8" s="565" customFormat="1" ht="15" customHeight="1">
      <c r="A682" s="571" t="s">
        <v>528</v>
      </c>
      <c r="B682" s="571" t="str">
        <f t="shared" si="75"/>
        <v>600-13</v>
      </c>
      <c r="C682" s="571"/>
      <c r="D682" s="619" t="str">
        <f>VLOOKUP(A682,[33]ÍNDICE!$C$6:$N$380,5,FALSE)</f>
        <v>EXCAVACIONES VARIAS SIN CLASIFICAR</v>
      </c>
      <c r="E682" s="581" t="str">
        <f>VLOOKUP(A682,[33]ÍNDICE!$C$6:$N$380,2,FALSE)</f>
        <v>m3</v>
      </c>
      <c r="F682" s="585">
        <f>11*1.2*1+6</f>
        <v>19.2</v>
      </c>
      <c r="G682" s="648">
        <f>VLOOKUP(A682,[33]ÍNDICE!$C$6:$N$380,12,FALSE)</f>
        <v>58828.261120639472</v>
      </c>
      <c r="H682" s="583">
        <f t="shared" si="76"/>
        <v>1129502.6135162779</v>
      </c>
    </row>
    <row r="683" spans="1:8" s="565" customFormat="1" ht="15" customHeight="1">
      <c r="A683" s="571" t="s">
        <v>530</v>
      </c>
      <c r="B683" s="571" t="str">
        <f t="shared" si="75"/>
        <v>610-13</v>
      </c>
      <c r="C683" s="571"/>
      <c r="D683" s="619" t="str">
        <f>VLOOKUP(A683,[33]ÍNDICE!$C$6:$N$380,5,FALSE)</f>
        <v>RELLENO PARA ESTRUCTURAS CON SUELO (analizado sin preparación de la superficie base del relleno)</v>
      </c>
      <c r="E683" s="581" t="str">
        <f>VLOOKUP(A683,[33]ÍNDICE!$C$6:$N$380,2,FALSE)</f>
        <v>m3</v>
      </c>
      <c r="F683" s="586">
        <f>11*1.2*1+5</f>
        <v>18.2</v>
      </c>
      <c r="G683" s="648">
        <f>VLOOKUP(A683,[33]ÍNDICE!$C$6:$N$380,12,FALSE)</f>
        <v>162354.11090657322</v>
      </c>
      <c r="H683" s="583">
        <f>F683*G683</f>
        <v>2954844.8184996326</v>
      </c>
    </row>
    <row r="684" spans="1:8" s="565" customFormat="1" ht="15" customHeight="1">
      <c r="A684" s="571" t="s">
        <v>531</v>
      </c>
      <c r="B684" s="571" t="str">
        <f t="shared" si="75"/>
        <v>630-13</v>
      </c>
      <c r="C684" s="571"/>
      <c r="D684" s="619" t="str">
        <f>VLOOKUP(A684,[33]ÍNDICE!$C$6:$N$380,5,FALSE)</f>
        <v>CONCRETO SIMPLE RESISTENCIA 17 MPa - MEZCLA IN SITU</v>
      </c>
      <c r="E684" s="581" t="str">
        <f>VLOOKUP(A684,[33]ÍNDICE!$C$6:$N$380,2,FALSE)</f>
        <v>m3</v>
      </c>
      <c r="F684" s="586">
        <f>2*(1.8*0.2*2+1.4*0.2*2)+1.4*1.4*0.2+3*(2*1.8*0.4)+(1.8+3.6)/2*0.2*1.5+11*0.15*1.2</f>
        <v>10.062000000000001</v>
      </c>
      <c r="G684" s="648">
        <f>VLOOKUP(A684,[33]ÍNDICE!$C$6:$N$380,12,FALSE)</f>
        <v>994779.33062365581</v>
      </c>
      <c r="H684" s="583">
        <f t="shared" si="76"/>
        <v>10009469.624735227</v>
      </c>
    </row>
    <row r="685" spans="1:8" s="565" customFormat="1" ht="15" customHeight="1">
      <c r="A685" s="571" t="s">
        <v>532</v>
      </c>
      <c r="B685" s="571" t="str">
        <f t="shared" si="75"/>
        <v>630-13</v>
      </c>
      <c r="C685" s="571"/>
      <c r="D685" s="619" t="str">
        <f>VLOOKUP(A685,[33]ÍNDICE!$C$6:$N$380,5,FALSE)</f>
        <v>CONCRETO CICLÓPEO RESISTENCIA 14MPa (G)</v>
      </c>
      <c r="E685" s="581" t="str">
        <f>VLOOKUP(A685,[33]ÍNDICE!$C$6:$N$380,2,FALSE)</f>
        <v>m3</v>
      </c>
      <c r="F685" s="598">
        <f>1.2*11*0.2</f>
        <v>2.64</v>
      </c>
      <c r="G685" s="648">
        <f>VLOOKUP(A685,[33]ÍNDICE!$C$6:$N$380,12,FALSE)</f>
        <v>680494.66759275761</v>
      </c>
      <c r="H685" s="583">
        <f t="shared" si="76"/>
        <v>1796505.9224448802</v>
      </c>
    </row>
    <row r="686" spans="1:8" s="565" customFormat="1" ht="15" customHeight="1">
      <c r="A686" s="571" t="s">
        <v>541</v>
      </c>
      <c r="B686" s="571" t="str">
        <f t="shared" si="75"/>
        <v>640-13</v>
      </c>
      <c r="C686" s="571"/>
      <c r="D686" s="619" t="str">
        <f>VLOOKUP(A686,[33]ÍNDICE!$C$6:$N$380,5,FALSE)</f>
        <v>ACERO DE REFUERZO Fy 4200 MPa</v>
      </c>
      <c r="E686" s="581" t="str">
        <f>VLOOKUP(A686,[33]ÍNDICE!$C$6:$N$380,2,FALSE)</f>
        <v>kg</v>
      </c>
      <c r="F686" s="585">
        <f>F684*105</f>
        <v>1056.5100000000002</v>
      </c>
      <c r="G686" s="648">
        <f>VLOOKUP(A686,[33]ÍNDICE!$C$6:$N$380,12,FALSE)</f>
        <v>7547.7371417119648</v>
      </c>
      <c r="H686" s="583">
        <f t="shared" si="76"/>
        <v>7974259.7675901093</v>
      </c>
    </row>
    <row r="687" spans="1:8" s="565" customFormat="1" ht="26.1" customHeight="1">
      <c r="A687" s="571" t="s">
        <v>580</v>
      </c>
      <c r="B687" s="571" t="str">
        <f t="shared" si="75"/>
        <v>661-13</v>
      </c>
      <c r="C687" s="571"/>
      <c r="D687" s="619" t="str">
        <f>VLOOKUP(A687,[33]ÍNDICE!$C$6:$N$380,5,FALSE)</f>
        <v>TUBERIA DE CONCRETO REFORZADO, CLASE III DE 900mm DE DIAMETRO INTERIOR</v>
      </c>
      <c r="E687" s="581" t="str">
        <f>VLOOKUP(A687,[33]ÍNDICE!$C$6:$N$380,2,FALSE)</f>
        <v>m</v>
      </c>
      <c r="F687" s="582">
        <v>11</v>
      </c>
      <c r="G687" s="648">
        <f>VLOOKUP(A687,[33]ÍNDICE!$C$6:$N$380,12,FALSE)</f>
        <v>1451200.3231315203</v>
      </c>
      <c r="H687" s="583">
        <f>F687*G687</f>
        <v>15963203.554446723</v>
      </c>
    </row>
    <row r="688" spans="1:8" s="565" customFormat="1" ht="26.1" customHeight="1" thickBot="1">
      <c r="A688" s="602" t="s">
        <v>545</v>
      </c>
      <c r="B688" s="602" t="str">
        <f t="shared" si="75"/>
        <v>671-13</v>
      </c>
      <c r="C688" s="602"/>
      <c r="D688" s="619" t="str">
        <f>VLOOKUP(A688,[33]ÍNDICE!$C$6:$N$380,5,FALSE)</f>
        <v>CUNETA DE CONCRETO VACIADA IN SITU; INCLUYE LA CONFORMACIÓN DE LA SUPERFICIE DE APOYO</v>
      </c>
      <c r="E688" s="581" t="str">
        <f>VLOOKUP(A688,[33]ÍNDICE!$C$6:$N$380,2,FALSE)</f>
        <v>m3</v>
      </c>
      <c r="F688" s="593">
        <f>8*0.138</f>
        <v>1.1040000000000001</v>
      </c>
      <c r="G688" s="648">
        <f>VLOOKUP(A688,[33]ÍNDICE!$C$6:$N$380,12,FALSE)</f>
        <v>1106254.0341245155</v>
      </c>
      <c r="H688" s="606">
        <f t="shared" si="76"/>
        <v>1221304.4536734652</v>
      </c>
    </row>
    <row r="689" spans="1:8" s="565" customFormat="1" ht="15" customHeight="1" thickTop="1">
      <c r="A689" s="574"/>
      <c r="B689" s="574"/>
      <c r="C689" s="574"/>
      <c r="D689" s="575"/>
      <c r="E689" s="589"/>
      <c r="F689" s="599"/>
      <c r="G689" s="600" t="s">
        <v>524</v>
      </c>
      <c r="H689" s="1507">
        <f>SUM(H678:H688)</f>
        <v>45997433.256989047</v>
      </c>
    </row>
    <row r="690" spans="1:8" s="565" customFormat="1" ht="15" customHeight="1">
      <c r="A690" s="577"/>
      <c r="B690" s="577"/>
      <c r="C690" s="577"/>
      <c r="D690" s="578"/>
      <c r="E690" s="562"/>
      <c r="G690" s="601" t="s">
        <v>525</v>
      </c>
      <c r="H690" s="1508">
        <f>SUM(H689:H689)*0.05*0.19/1.3</f>
        <v>336135.08918568917</v>
      </c>
    </row>
    <row r="691" spans="1:8" s="565" customFormat="1" ht="15" customHeight="1" thickBot="1">
      <c r="A691" s="561"/>
      <c r="B691" s="560"/>
      <c r="C691" s="560"/>
      <c r="D691" s="561"/>
      <c r="E691" s="562"/>
      <c r="G691" s="601" t="s">
        <v>526</v>
      </c>
      <c r="H691" s="1509">
        <f>+ROUND(H689+H690,0)</f>
        <v>46333568</v>
      </c>
    </row>
    <row r="692" spans="1:8" s="565" customFormat="1" ht="12.75" customHeight="1" thickTop="1">
      <c r="A692" s="561"/>
      <c r="B692" s="560"/>
      <c r="C692" s="560"/>
      <c r="D692" s="561"/>
      <c r="E692" s="562"/>
      <c r="F692" s="580"/>
      <c r="G692" s="580"/>
      <c r="H692" s="1506"/>
    </row>
    <row r="693" spans="1:8" s="565" customFormat="1" ht="15" customHeight="1" thickBot="1">
      <c r="A693" s="566"/>
      <c r="B693" s="567"/>
      <c r="C693" s="566" t="s">
        <v>624</v>
      </c>
      <c r="D693" s="566"/>
      <c r="E693" s="567"/>
      <c r="F693" s="566"/>
      <c r="G693" s="568"/>
      <c r="H693" s="569"/>
    </row>
    <row r="694" spans="1:8" s="565" customFormat="1" ht="15" customHeight="1" thickTop="1">
      <c r="A694" s="571" t="s">
        <v>528</v>
      </c>
      <c r="B694" s="571" t="str">
        <f t="shared" ref="B694:B700" si="77">MID(A694,1,3)&amp;"-"&amp;13</f>
        <v>600-13</v>
      </c>
      <c r="C694" s="595"/>
      <c r="D694" s="619" t="str">
        <f>VLOOKUP(A694,[33]ÍNDICE!$C$6:$N$380,5,FALSE)</f>
        <v>EXCAVACIONES VARIAS SIN CLASIFICAR</v>
      </c>
      <c r="E694" s="581" t="str">
        <f>VLOOKUP(A694,[33]ÍNDICE!$C$6:$N$380,2,FALSE)</f>
        <v>m3</v>
      </c>
      <c r="F694" s="596">
        <f>70*0.5</f>
        <v>35</v>
      </c>
      <c r="G694" s="648">
        <f>VLOOKUP(A694,[33]ÍNDICE!$C$6:$N$380,12,FALSE)</f>
        <v>58828.261120639472</v>
      </c>
      <c r="H694" s="597">
        <f t="shared" ref="H694:H700" si="78">F694*G694</f>
        <v>2058989.1392223816</v>
      </c>
    </row>
    <row r="695" spans="1:8" s="565" customFormat="1" ht="15" customHeight="1">
      <c r="A695" s="571" t="s">
        <v>530</v>
      </c>
      <c r="B695" s="571" t="str">
        <f t="shared" si="77"/>
        <v>610-13</v>
      </c>
      <c r="C695" s="571"/>
      <c r="D695" s="619" t="str">
        <f>VLOOKUP(A695,[33]ÍNDICE!$C$6:$N$380,5,FALSE)</f>
        <v>RELLENO PARA ESTRUCTURAS CON SUELO (analizado sin preparación de la superficie base del relleno)</v>
      </c>
      <c r="E695" s="581" t="str">
        <f>VLOOKUP(A695,[33]ÍNDICE!$C$6:$N$380,2,FALSE)</f>
        <v>m3</v>
      </c>
      <c r="F695" s="586">
        <f>70*0.4</f>
        <v>28</v>
      </c>
      <c r="G695" s="648">
        <f>VLOOKUP(A695,[33]ÍNDICE!$C$6:$N$380,12,FALSE)</f>
        <v>162354.11090657322</v>
      </c>
      <c r="H695" s="583">
        <f>F695*G695</f>
        <v>4545915.1053840499</v>
      </c>
    </row>
    <row r="696" spans="1:8" s="565" customFormat="1" ht="15" customHeight="1">
      <c r="A696" s="571" t="s">
        <v>531</v>
      </c>
      <c r="B696" s="571" t="str">
        <f t="shared" si="77"/>
        <v>630-13</v>
      </c>
      <c r="C696" s="609"/>
      <c r="D696" s="619" t="str">
        <f>VLOOKUP(A696,[33]ÍNDICE!$C$6:$N$380,5,FALSE)</f>
        <v>CONCRETO SIMPLE RESISTENCIA 17 MPa - MEZCLA IN SITU</v>
      </c>
      <c r="E696" s="581" t="str">
        <f>VLOOKUP(A696,[33]ÍNDICE!$C$6:$N$380,2,FALSE)</f>
        <v>m3</v>
      </c>
      <c r="F696" s="610">
        <f>70*0.55</f>
        <v>38.5</v>
      </c>
      <c r="G696" s="648">
        <f>VLOOKUP(A696,[33]ÍNDICE!$C$6:$N$380,12,FALSE)</f>
        <v>994779.33062365581</v>
      </c>
      <c r="H696" s="611">
        <f t="shared" si="78"/>
        <v>38299004.229010746</v>
      </c>
    </row>
    <row r="697" spans="1:8" s="565" customFormat="1" ht="15" customHeight="1">
      <c r="A697" s="571" t="s">
        <v>532</v>
      </c>
      <c r="B697" s="571" t="str">
        <f t="shared" si="77"/>
        <v>630-13</v>
      </c>
      <c r="C697" s="571"/>
      <c r="D697" s="619" t="str">
        <f>VLOOKUP(A697,[33]ÍNDICE!$C$6:$N$380,5,FALSE)</f>
        <v>CONCRETO CICLÓPEO RESISTENCIA 14MPa (G)</v>
      </c>
      <c r="E697" s="581" t="str">
        <f>VLOOKUP(A697,[33]ÍNDICE!$C$6:$N$380,2,FALSE)</f>
        <v>m3</v>
      </c>
      <c r="F697" s="598">
        <v>10</v>
      </c>
      <c r="G697" s="648">
        <f>VLOOKUP(A697,[33]ÍNDICE!$C$6:$N$380,12,FALSE)</f>
        <v>680494.66759275761</v>
      </c>
      <c r="H697" s="583">
        <f t="shared" si="78"/>
        <v>6804946.6759275757</v>
      </c>
    </row>
    <row r="698" spans="1:8" s="565" customFormat="1" ht="15" customHeight="1">
      <c r="A698" s="571" t="s">
        <v>541</v>
      </c>
      <c r="B698" s="571" t="str">
        <f t="shared" si="77"/>
        <v>640-13</v>
      </c>
      <c r="C698" s="571"/>
      <c r="D698" s="619" t="str">
        <f>VLOOKUP(A698,[33]ÍNDICE!$C$6:$N$380,5,FALSE)</f>
        <v>ACERO DE REFUERZO Fy 4200 MPa</v>
      </c>
      <c r="E698" s="581" t="str">
        <f>VLOOKUP(A698,[33]ÍNDICE!$C$6:$N$380,2,FALSE)</f>
        <v>kg</v>
      </c>
      <c r="F698" s="585">
        <f>F696*105</f>
        <v>4042.5</v>
      </c>
      <c r="G698" s="648">
        <f>VLOOKUP(A698,[33]ÍNDICE!$C$6:$N$380,12,FALSE)</f>
        <v>7547.7371417119648</v>
      </c>
      <c r="H698" s="583">
        <f t="shared" si="78"/>
        <v>30511727.395370618</v>
      </c>
    </row>
    <row r="699" spans="1:8" s="565" customFormat="1" ht="15" customHeight="1">
      <c r="A699" s="571" t="s">
        <v>534</v>
      </c>
      <c r="B699" s="571" t="str">
        <f t="shared" si="77"/>
        <v>673-13</v>
      </c>
      <c r="C699" s="571"/>
      <c r="D699" s="619" t="str">
        <f>VLOOKUP(A699,[33]ÍNDICE!$C$6:$N$380,5,FALSE)</f>
        <v xml:space="preserve">GEOTEXTIL TIPO TEJIDO CON RESISTENCIA A LA TENSIÓN GRAB MÍNIMA DE 1400 N </v>
      </c>
      <c r="E699" s="581" t="str">
        <f>VLOOKUP(A699,[33]ÍNDICE!$C$6:$N$380,2,FALSE)</f>
        <v>m2</v>
      </c>
      <c r="F699" s="585">
        <v>70</v>
      </c>
      <c r="G699" s="648">
        <f>VLOOKUP(A699,[33]ÍNDICE!$C$6:$N$380,12,FALSE)</f>
        <v>12861.24633460756</v>
      </c>
      <c r="H699" s="583">
        <f>F699*G699</f>
        <v>900287.24342252919</v>
      </c>
    </row>
    <row r="700" spans="1:8" s="565" customFormat="1" ht="36.75" thickBot="1">
      <c r="A700" s="571" t="s">
        <v>535</v>
      </c>
      <c r="B700" s="571" t="str">
        <f t="shared" si="77"/>
        <v>681-13</v>
      </c>
      <c r="C700" s="571"/>
      <c r="D700" s="619" t="str">
        <f>VLOOKUP(A700,[33]ÍNDICE!$C$6:$N$380,5,FALSE)</f>
        <v>GAVIONES DE MALLA DE ALAMBRE DE ACERO ENTRELAZADO CLASE 1; RECUBRIMIENTO DE ZINC (GALVANIZADO)</v>
      </c>
      <c r="E700" s="581" t="str">
        <f>VLOOKUP(A700,[33]ÍNDICE!$C$6:$N$380,2,FALSE)</f>
        <v>m3</v>
      </c>
      <c r="F700" s="585">
        <v>55</v>
      </c>
      <c r="G700" s="648">
        <f>VLOOKUP(A700,[33]ÍNDICE!$C$6:$N$380,12,FALSE)</f>
        <v>601666.19528525032</v>
      </c>
      <c r="H700" s="583">
        <f t="shared" si="78"/>
        <v>33091640.740688767</v>
      </c>
    </row>
    <row r="701" spans="1:8" s="565" customFormat="1" ht="15" customHeight="1" thickTop="1">
      <c r="A701" s="574"/>
      <c r="B701" s="574"/>
      <c r="C701" s="574"/>
      <c r="D701" s="575"/>
      <c r="E701" s="589"/>
      <c r="F701" s="590"/>
      <c r="G701" s="600" t="s">
        <v>524</v>
      </c>
      <c r="H701" s="1507">
        <f>SUM(H694:H700)</f>
        <v>116212510.52902667</v>
      </c>
    </row>
    <row r="702" spans="1:8" s="565" customFormat="1" ht="15" customHeight="1">
      <c r="A702" s="577"/>
      <c r="B702" s="577"/>
      <c r="C702" s="577"/>
      <c r="D702" s="578"/>
      <c r="E702" s="562"/>
      <c r="F702" s="580"/>
      <c r="G702" s="601" t="s">
        <v>525</v>
      </c>
      <c r="H702" s="1508">
        <f>SUM(H701:H701)*0.05*0.19/1.3</f>
        <v>849245.26925057953</v>
      </c>
    </row>
    <row r="703" spans="1:8" s="565" customFormat="1" ht="15" customHeight="1" thickBot="1">
      <c r="A703" s="561"/>
      <c r="B703" s="560"/>
      <c r="C703" s="560"/>
      <c r="D703" s="561"/>
      <c r="E703" s="562"/>
      <c r="F703" s="580"/>
      <c r="G703" s="601" t="s">
        <v>526</v>
      </c>
      <c r="H703" s="1509">
        <f>+ROUND(H701+H702,0)</f>
        <v>117061756</v>
      </c>
    </row>
    <row r="704" spans="1:8" s="565" customFormat="1" ht="15" customHeight="1" thickTop="1">
      <c r="A704" s="561"/>
      <c r="B704" s="560"/>
      <c r="C704" s="560"/>
      <c r="D704" s="561"/>
      <c r="E704" s="562"/>
      <c r="F704" s="563"/>
      <c r="G704" s="564"/>
      <c r="H704" s="1506"/>
    </row>
    <row r="705" spans="1:8" s="565" customFormat="1" ht="15" customHeight="1" thickBot="1">
      <c r="A705" s="566"/>
      <c r="B705" s="567"/>
      <c r="C705" s="566" t="s">
        <v>625</v>
      </c>
      <c r="D705" s="566"/>
      <c r="E705" s="567"/>
      <c r="F705" s="566"/>
      <c r="G705" s="616"/>
      <c r="H705" s="569"/>
    </row>
    <row r="706" spans="1:8" s="565" customFormat="1" ht="15.75" customHeight="1" thickTop="1">
      <c r="A706" s="571" t="s">
        <v>528</v>
      </c>
      <c r="B706" s="571" t="str">
        <f t="shared" ref="B706:B711" si="79">MID(A706,1,3)&amp;"-"&amp;13</f>
        <v>600-13</v>
      </c>
      <c r="C706" s="571"/>
      <c r="D706" s="619" t="str">
        <f>VLOOKUP(A706,[33]ÍNDICE!$C$6:$N$380,5,FALSE)</f>
        <v>EXCAVACIONES VARIAS SIN CLASIFICAR</v>
      </c>
      <c r="E706" s="581" t="str">
        <f>VLOOKUP(A706,[33]ÍNDICE!$C$6:$N$380,2,FALSE)</f>
        <v>m3</v>
      </c>
      <c r="F706" s="585">
        <v>2</v>
      </c>
      <c r="G706" s="648">
        <f>VLOOKUP(A706,[33]ÍNDICE!$C$6:$N$380,12,FALSE)</f>
        <v>58828.261120639472</v>
      </c>
      <c r="H706" s="583">
        <f t="shared" ref="H706:H711" si="80">F706*G706</f>
        <v>117656.52224127894</v>
      </c>
    </row>
    <row r="707" spans="1:8" s="565" customFormat="1" ht="15" customHeight="1">
      <c r="A707" s="572" t="s">
        <v>530</v>
      </c>
      <c r="B707" s="572" t="str">
        <f t="shared" si="79"/>
        <v>610-13</v>
      </c>
      <c r="C707" s="572"/>
      <c r="D707" s="619" t="str">
        <f>VLOOKUP(A707,[33]ÍNDICE!$C$6:$N$380,5,FALSE)</f>
        <v>RELLENO PARA ESTRUCTURAS CON SUELO (analizado sin preparación de la superficie base del relleno)</v>
      </c>
      <c r="E707" s="581" t="str">
        <f>VLOOKUP(A707,[33]ÍNDICE!$C$6:$N$380,2,FALSE)</f>
        <v>m3</v>
      </c>
      <c r="F707" s="584">
        <v>1.5</v>
      </c>
      <c r="G707" s="648">
        <f>VLOOKUP(A707,[33]ÍNDICE!$C$6:$N$380,12,FALSE)</f>
        <v>162354.11090657322</v>
      </c>
      <c r="H707" s="573">
        <f>F707*G707</f>
        <v>243531.16635985981</v>
      </c>
    </row>
    <row r="708" spans="1:8" s="565" customFormat="1" ht="15" customHeight="1">
      <c r="A708" s="571" t="s">
        <v>531</v>
      </c>
      <c r="B708" s="571" t="str">
        <f t="shared" si="79"/>
        <v>630-13</v>
      </c>
      <c r="C708" s="571"/>
      <c r="D708" s="619" t="str">
        <f>VLOOKUP(A708,[33]ÍNDICE!$C$6:$N$380,5,FALSE)</f>
        <v>CONCRETO SIMPLE RESISTENCIA 17 MPa - MEZCLA IN SITU</v>
      </c>
      <c r="E708" s="581" t="str">
        <f>VLOOKUP(A708,[33]ÍNDICE!$C$6:$N$380,2,FALSE)</f>
        <v>m3</v>
      </c>
      <c r="F708" s="586">
        <f>1*(2*1.8*0.4)+1</f>
        <v>2.4400000000000004</v>
      </c>
      <c r="G708" s="648">
        <f>VLOOKUP(A708,[33]ÍNDICE!$C$6:$N$380,12,FALSE)</f>
        <v>994779.33062365581</v>
      </c>
      <c r="H708" s="583">
        <f t="shared" si="80"/>
        <v>2427261.5667217206</v>
      </c>
    </row>
    <row r="709" spans="1:8" s="565" customFormat="1" ht="15" customHeight="1">
      <c r="A709" s="571" t="s">
        <v>532</v>
      </c>
      <c r="B709" s="571" t="str">
        <f t="shared" si="79"/>
        <v>630-13</v>
      </c>
      <c r="C709" s="571"/>
      <c r="D709" s="619" t="str">
        <f>VLOOKUP(A709,[33]ÍNDICE!$C$6:$N$380,5,FALSE)</f>
        <v>CONCRETO CICLÓPEO RESISTENCIA 14MPa (G)</v>
      </c>
      <c r="E709" s="581" t="str">
        <f>VLOOKUP(A709,[33]ÍNDICE!$C$6:$N$380,2,FALSE)</f>
        <v>m3</v>
      </c>
      <c r="F709" s="598">
        <v>1</v>
      </c>
      <c r="G709" s="648">
        <f>VLOOKUP(A709,[33]ÍNDICE!$C$6:$N$380,12,FALSE)</f>
        <v>680494.66759275761</v>
      </c>
      <c r="H709" s="583">
        <f t="shared" si="80"/>
        <v>680494.66759275761</v>
      </c>
    </row>
    <row r="710" spans="1:8" s="565" customFormat="1" ht="15" customHeight="1">
      <c r="A710" s="571" t="s">
        <v>541</v>
      </c>
      <c r="B710" s="571" t="str">
        <f t="shared" si="79"/>
        <v>640-13</v>
      </c>
      <c r="C710" s="571"/>
      <c r="D710" s="619" t="str">
        <f>VLOOKUP(A710,[33]ÍNDICE!$C$6:$N$380,5,FALSE)</f>
        <v>ACERO DE REFUERZO Fy 4200 MPa</v>
      </c>
      <c r="E710" s="581" t="str">
        <f>VLOOKUP(A710,[33]ÍNDICE!$C$6:$N$380,2,FALSE)</f>
        <v>kg</v>
      </c>
      <c r="F710" s="585">
        <f>F708*105</f>
        <v>256.20000000000005</v>
      </c>
      <c r="G710" s="648">
        <f>VLOOKUP(A710,[33]ÍNDICE!$C$6:$N$380,12,FALSE)</f>
        <v>7547.7371417119648</v>
      </c>
      <c r="H710" s="583">
        <f t="shared" si="80"/>
        <v>1933730.2557066057</v>
      </c>
    </row>
    <row r="711" spans="1:8" s="565" customFormat="1" ht="26.1" customHeight="1" thickBot="1">
      <c r="A711" s="571" t="s">
        <v>545</v>
      </c>
      <c r="B711" s="571" t="str">
        <f t="shared" si="79"/>
        <v>671-13</v>
      </c>
      <c r="C711" s="571"/>
      <c r="D711" s="619" t="str">
        <f>VLOOKUP(A711,[33]ÍNDICE!$C$6:$N$380,5,FALSE)</f>
        <v>CUNETA DE CONCRETO VACIADA IN SITU; INCLUYE LA CONFORMACIÓN DE LA SUPERFICIE DE APOYO</v>
      </c>
      <c r="E711" s="581" t="str">
        <f>VLOOKUP(A711,[33]ÍNDICE!$C$6:$N$380,2,FALSE)</f>
        <v>m3</v>
      </c>
      <c r="F711" s="586">
        <f>2*0.138</f>
        <v>0.27600000000000002</v>
      </c>
      <c r="G711" s="648">
        <f>VLOOKUP(A711,[33]ÍNDICE!$C$6:$N$380,12,FALSE)</f>
        <v>1106254.0341245155</v>
      </c>
      <c r="H711" s="583">
        <f t="shared" si="80"/>
        <v>305326.11341836629</v>
      </c>
    </row>
    <row r="712" spans="1:8" s="565" customFormat="1" ht="15" customHeight="1" thickTop="1">
      <c r="A712" s="574"/>
      <c r="B712" s="574"/>
      <c r="C712" s="574"/>
      <c r="D712" s="575"/>
      <c r="E712" s="589"/>
      <c r="F712" s="590"/>
      <c r="G712" s="600" t="s">
        <v>524</v>
      </c>
      <c r="H712" s="1507">
        <f>SUM(H706:H711)</f>
        <v>5708000.2920405883</v>
      </c>
    </row>
    <row r="713" spans="1:8" s="565" customFormat="1" ht="15" customHeight="1">
      <c r="A713" s="577"/>
      <c r="B713" s="577"/>
      <c r="C713" s="577"/>
      <c r="D713" s="578"/>
      <c r="E713" s="562"/>
      <c r="F713" s="580"/>
      <c r="G713" s="601" t="s">
        <v>525</v>
      </c>
      <c r="H713" s="1508">
        <f>SUM(H712:H712)*0.05*0.19/1.3</f>
        <v>41712.309826450452</v>
      </c>
    </row>
    <row r="714" spans="1:8" s="565" customFormat="1" ht="15" customHeight="1" thickBot="1">
      <c r="A714" s="561"/>
      <c r="B714" s="560"/>
      <c r="C714" s="560"/>
      <c r="D714" s="561"/>
      <c r="E714" s="562"/>
      <c r="F714" s="580"/>
      <c r="G714" s="601" t="s">
        <v>526</v>
      </c>
      <c r="H714" s="1509">
        <f>+ROUND(H712+H713,0)</f>
        <v>5749713</v>
      </c>
    </row>
    <row r="715" spans="1:8" s="565" customFormat="1" ht="15" customHeight="1" thickTop="1">
      <c r="A715" s="561"/>
      <c r="B715" s="560"/>
      <c r="C715" s="560"/>
      <c r="D715" s="561"/>
      <c r="E715" s="562"/>
      <c r="F715" s="563"/>
      <c r="G715" s="564"/>
      <c r="H715" s="1506"/>
    </row>
    <row r="716" spans="1:8" s="565" customFormat="1" ht="15" customHeight="1" thickBot="1">
      <c r="A716" s="566"/>
      <c r="B716" s="567"/>
      <c r="C716" s="566" t="s">
        <v>626</v>
      </c>
      <c r="D716" s="566"/>
      <c r="E716" s="567"/>
      <c r="F716" s="566"/>
      <c r="G716" s="616"/>
      <c r="H716" s="569"/>
    </row>
    <row r="717" spans="1:8" s="565" customFormat="1" ht="15" customHeight="1" thickTop="1">
      <c r="A717" s="571" t="s">
        <v>549</v>
      </c>
      <c r="B717" s="571" t="str">
        <f>MID(A717,1,3)&amp;"-"&amp;13</f>
        <v>201-13</v>
      </c>
      <c r="C717" s="571"/>
      <c r="D717" s="619" t="str">
        <f>VLOOKUP(A717,[33]ÍNDICE!$C$6:$N$380,5,FALSE)</f>
        <v>DEMOLICIÓN DE ESTRUCTURAS</v>
      </c>
      <c r="E717" s="581" t="str">
        <f>VLOOKUP(A717,[33]ÍNDICE!$C$6:$N$380,2,FALSE)</f>
        <v>m3</v>
      </c>
      <c r="F717" s="582">
        <f>2*(1.4*0.2*1.5+1*0.2*1.5)+1*1*0.15+3*(2*0.4*1.5)</f>
        <v>5.19</v>
      </c>
      <c r="G717" s="648">
        <f>VLOOKUP(A717,[33]ÍNDICE!$C$6:$N$380,12,FALSE)</f>
        <v>217760.49497573468</v>
      </c>
      <c r="H717" s="583">
        <f>F717*G717</f>
        <v>1130176.968924063</v>
      </c>
    </row>
    <row r="718" spans="1:8" s="565" customFormat="1" ht="15" customHeight="1">
      <c r="A718" s="571" t="s">
        <v>550</v>
      </c>
      <c r="B718" s="571" t="str">
        <f>MID(A718,1,3)&amp;"-"&amp;13</f>
        <v>330-13</v>
      </c>
      <c r="C718" s="614"/>
      <c r="D718" s="619" t="str">
        <f>VLOOKUP(A718,[33]ÍNDICE!$C$6:$N$380,5,FALSE)</f>
        <v>BASE GRANULAR CLASE A GRADACION FINA</v>
      </c>
      <c r="E718" s="581" t="str">
        <f>VLOOKUP(A718,[33]ÍNDICE!$C$6:$N$380,2,FALSE)</f>
        <v>m3</v>
      </c>
      <c r="F718" s="586">
        <f>10*1.2*0.2</f>
        <v>2.4000000000000004</v>
      </c>
      <c r="G718" s="648">
        <f>VLOOKUP(A718,[33]ÍNDICE!$C$6:$N$380,12,FALSE)</f>
        <v>476364.66746335832</v>
      </c>
      <c r="H718" s="583">
        <f>F718*G718</f>
        <v>1143275.2019120601</v>
      </c>
    </row>
    <row r="719" spans="1:8" s="565" customFormat="1" ht="26.1" customHeight="1">
      <c r="A719" s="571" t="s">
        <v>554</v>
      </c>
      <c r="B719" s="571" t="str">
        <f>MID(A719,1,3)&amp;"-"&amp;13</f>
        <v>450-13</v>
      </c>
      <c r="C719" s="614"/>
      <c r="D719" s="619" t="str">
        <f>VLOOKUP(A719,[33]ÍNDICE!$C$6:$N$380,5,FALSE)</f>
        <v xml:space="preserve">MEZCLA DENSA EN CALIENTE TIPO MDC‐19 - COMPRA DE MEZCLA </v>
      </c>
      <c r="E719" s="581" t="str">
        <f>VLOOKUP(A719,[33]ÍNDICE!$C$6:$N$380,2,FALSE)</f>
        <v>m3</v>
      </c>
      <c r="F719" s="618">
        <f>10*0.15*1.2</f>
        <v>1.7999999999999998</v>
      </c>
      <c r="G719" s="648">
        <f>VLOOKUP(A719,[33]ÍNDICE!$C$6:$N$380,12,FALSE)</f>
        <v>1677232.0782508166</v>
      </c>
      <c r="H719" s="583">
        <f>F719*G719</f>
        <v>3019017.7408514693</v>
      </c>
    </row>
    <row r="720" spans="1:8" s="565" customFormat="1" ht="36.950000000000003" customHeight="1">
      <c r="A720" s="571" t="s">
        <v>579</v>
      </c>
      <c r="B720" s="571" t="str">
        <f>MID(A720,1,3)&amp;"-"&amp;13</f>
        <v>465-13</v>
      </c>
      <c r="C720" s="571"/>
      <c r="D720" s="619" t="str">
        <f>VLOOKUP(A720,[33]ÍNDICE!$C$6:$N$380,5,FALSE)</f>
        <v>EXCAVACIÓN PARA REPARACIÓN DE PAVIMENTO ASFÁLTICO EXISTENTE INCLUYENDO EL CORTE Y LA REMOCIÓN DE LAS CAPAS ASFÁLTICAS SUBYACENTES</v>
      </c>
      <c r="E720" s="581" t="str">
        <f>VLOOKUP(A720,[33]ÍNDICE!$C$6:$N$380,2,FALSE)</f>
        <v>m3</v>
      </c>
      <c r="F720" s="618">
        <f>10*0.15*1.2</f>
        <v>1.7999999999999998</v>
      </c>
      <c r="G720" s="648">
        <f>VLOOKUP(A720,[33]ÍNDICE!$C$6:$N$380,12,FALSE)</f>
        <v>100979.71246565928</v>
      </c>
      <c r="H720" s="583">
        <f>F720*G720</f>
        <v>181763.48243818668</v>
      </c>
    </row>
    <row r="721" spans="1:8" s="565" customFormat="1" ht="15" customHeight="1">
      <c r="A721" s="571" t="s">
        <v>528</v>
      </c>
      <c r="B721" s="571" t="str">
        <f t="shared" ref="B721:B727" si="81">MID(A721,1,3)&amp;"-"&amp;13</f>
        <v>600-13</v>
      </c>
      <c r="C721" s="571"/>
      <c r="D721" s="619" t="str">
        <f>VLOOKUP(A721,[33]ÍNDICE!$C$6:$N$380,5,FALSE)</f>
        <v>EXCAVACIONES VARIAS SIN CLASIFICAR</v>
      </c>
      <c r="E721" s="581" t="str">
        <f>VLOOKUP(A721,[33]ÍNDICE!$C$6:$N$380,2,FALSE)</f>
        <v>m3</v>
      </c>
      <c r="F721" s="585">
        <f>10*1.2*1.5+5</f>
        <v>23</v>
      </c>
      <c r="G721" s="648">
        <f>VLOOKUP(A721,[33]ÍNDICE!$C$6:$N$380,12,FALSE)</f>
        <v>58828.261120639472</v>
      </c>
      <c r="H721" s="583">
        <f t="shared" ref="H721:H727" si="82">F721*G721</f>
        <v>1353050.0057747078</v>
      </c>
    </row>
    <row r="722" spans="1:8" s="565" customFormat="1" ht="15" customHeight="1">
      <c r="A722" s="571" t="s">
        <v>530</v>
      </c>
      <c r="B722" s="571" t="str">
        <f>MID(A722,1,3)&amp;"-"&amp;13</f>
        <v>610-13</v>
      </c>
      <c r="C722" s="571"/>
      <c r="D722" s="619" t="str">
        <f>VLOOKUP(A722,[33]ÍNDICE!$C$6:$N$380,5,FALSE)</f>
        <v>RELLENO PARA ESTRUCTURAS CON SUELO (analizado sin preparación de la superficie base del relleno)</v>
      </c>
      <c r="E722" s="581" t="str">
        <f>VLOOKUP(A722,[33]ÍNDICE!$C$6:$N$380,2,FALSE)</f>
        <v>m3</v>
      </c>
      <c r="F722" s="586">
        <f>10*1.2*1+5</f>
        <v>17</v>
      </c>
      <c r="G722" s="648">
        <f>VLOOKUP(A722,[33]ÍNDICE!$C$6:$N$380,12,FALSE)</f>
        <v>162354.11090657322</v>
      </c>
      <c r="H722" s="583">
        <f>F722*G722</f>
        <v>2760019.8854117445</v>
      </c>
    </row>
    <row r="723" spans="1:8" s="565" customFormat="1" ht="15" customHeight="1">
      <c r="A723" s="609" t="s">
        <v>531</v>
      </c>
      <c r="B723" s="609" t="str">
        <f t="shared" si="81"/>
        <v>630-13</v>
      </c>
      <c r="C723" s="609"/>
      <c r="D723" s="619" t="str">
        <f>VLOOKUP(A723,[33]ÍNDICE!$C$6:$N$380,5,FALSE)</f>
        <v>CONCRETO SIMPLE RESISTENCIA 17 MPa - MEZCLA IN SITU</v>
      </c>
      <c r="E723" s="581" t="str">
        <f>VLOOKUP(A723,[33]ÍNDICE!$C$6:$N$380,2,FALSE)</f>
        <v>m3</v>
      </c>
      <c r="F723" s="610">
        <f>2*(1.8*0.2*2+1.4*0.2*2)+1.4*1.4*0.2+3*(2*1.8*0.4)+(1.8+3.6)/2*0.2*1.5+10*0.15*1.2</f>
        <v>9.8820000000000014</v>
      </c>
      <c r="G723" s="648">
        <f>VLOOKUP(A723,[33]ÍNDICE!$C$6:$N$380,12,FALSE)</f>
        <v>994779.33062365581</v>
      </c>
      <c r="H723" s="611">
        <f t="shared" si="82"/>
        <v>9830409.3452229686</v>
      </c>
    </row>
    <row r="724" spans="1:8" s="565" customFormat="1" ht="15" customHeight="1">
      <c r="A724" s="571" t="s">
        <v>532</v>
      </c>
      <c r="B724" s="571" t="str">
        <f t="shared" si="81"/>
        <v>630-13</v>
      </c>
      <c r="C724" s="571"/>
      <c r="D724" s="619" t="str">
        <f>VLOOKUP(A724,[33]ÍNDICE!$C$6:$N$380,5,FALSE)</f>
        <v>CONCRETO CICLÓPEO RESISTENCIA 14MPa (G)</v>
      </c>
      <c r="E724" s="581" t="str">
        <f>VLOOKUP(A724,[33]ÍNDICE!$C$6:$N$380,2,FALSE)</f>
        <v>m3</v>
      </c>
      <c r="F724" s="598">
        <f>1.2*10*0.15</f>
        <v>1.7999999999999998</v>
      </c>
      <c r="G724" s="648">
        <f>VLOOKUP(A724,[33]ÍNDICE!$C$6:$N$380,12,FALSE)</f>
        <v>680494.66759275761</v>
      </c>
      <c r="H724" s="583">
        <f t="shared" si="82"/>
        <v>1224890.4016669635</v>
      </c>
    </row>
    <row r="725" spans="1:8" s="565" customFormat="1" ht="15" customHeight="1">
      <c r="A725" s="571" t="s">
        <v>541</v>
      </c>
      <c r="B725" s="571" t="str">
        <f t="shared" si="81"/>
        <v>640-13</v>
      </c>
      <c r="C725" s="571"/>
      <c r="D725" s="619" t="str">
        <f>VLOOKUP(A725,[33]ÍNDICE!$C$6:$N$380,5,FALSE)</f>
        <v>ACERO DE REFUERZO Fy 4200 MPa</v>
      </c>
      <c r="E725" s="581" t="str">
        <f>VLOOKUP(A725,[33]ÍNDICE!$C$6:$N$380,2,FALSE)</f>
        <v>kg</v>
      </c>
      <c r="F725" s="585">
        <f>F723*105</f>
        <v>1037.6100000000001</v>
      </c>
      <c r="G725" s="648">
        <f>VLOOKUP(A725,[33]ÍNDICE!$C$6:$N$380,12,FALSE)</f>
        <v>7547.7371417119648</v>
      </c>
      <c r="H725" s="583">
        <f t="shared" si="82"/>
        <v>7831607.5356117524</v>
      </c>
    </row>
    <row r="726" spans="1:8" s="565" customFormat="1" ht="26.1" customHeight="1">
      <c r="A726" s="571" t="s">
        <v>580</v>
      </c>
      <c r="B726" s="571" t="str">
        <f>MID(A726,1,3)&amp;"-"&amp;13</f>
        <v>661-13</v>
      </c>
      <c r="C726" s="571"/>
      <c r="D726" s="619" t="str">
        <f>VLOOKUP(A726,[33]ÍNDICE!$C$6:$N$380,5,FALSE)</f>
        <v>TUBERIA DE CONCRETO REFORZADO, CLASE III DE 900mm DE DIAMETRO INTERIOR</v>
      </c>
      <c r="E726" s="581" t="str">
        <f>VLOOKUP(A726,[33]ÍNDICE!$C$6:$N$380,2,FALSE)</f>
        <v>m</v>
      </c>
      <c r="F726" s="582">
        <v>10</v>
      </c>
      <c r="G726" s="648">
        <f>VLOOKUP(A726,[33]ÍNDICE!$C$6:$N$380,12,FALSE)</f>
        <v>1451200.3231315203</v>
      </c>
      <c r="H726" s="583">
        <f>F726*G726</f>
        <v>14512003.231315203</v>
      </c>
    </row>
    <row r="727" spans="1:8" s="565" customFormat="1" ht="26.1" customHeight="1" thickBot="1">
      <c r="A727" s="571" t="s">
        <v>545</v>
      </c>
      <c r="B727" s="571" t="str">
        <f t="shared" si="81"/>
        <v>671-13</v>
      </c>
      <c r="C727" s="571"/>
      <c r="D727" s="619" t="str">
        <f>VLOOKUP(A727,[33]ÍNDICE!$C$6:$N$380,5,FALSE)</f>
        <v>CUNETA DE CONCRETO VACIADA IN SITU; INCLUYE LA CONFORMACIÓN DE LA SUPERFICIE DE APOYO</v>
      </c>
      <c r="E727" s="581" t="str">
        <f>VLOOKUP(A727,[33]ÍNDICE!$C$6:$N$380,2,FALSE)</f>
        <v>m3</v>
      </c>
      <c r="F727" s="586">
        <f>4*0.138</f>
        <v>0.55200000000000005</v>
      </c>
      <c r="G727" s="648">
        <f>VLOOKUP(A727,[33]ÍNDICE!$C$6:$N$380,12,FALSE)</f>
        <v>1106254.0341245155</v>
      </c>
      <c r="H727" s="583">
        <f t="shared" si="82"/>
        <v>610652.22683673259</v>
      </c>
    </row>
    <row r="728" spans="1:8" s="565" customFormat="1" ht="15" customHeight="1" thickTop="1">
      <c r="A728" s="574"/>
      <c r="B728" s="574"/>
      <c r="C728" s="574"/>
      <c r="D728" s="575"/>
      <c r="E728" s="589"/>
      <c r="F728" s="590"/>
      <c r="G728" s="600" t="s">
        <v>524</v>
      </c>
      <c r="H728" s="1507">
        <f>SUM(H717:H727)</f>
        <v>43596866.025965847</v>
      </c>
    </row>
    <row r="729" spans="1:8" s="565" customFormat="1" ht="15" customHeight="1">
      <c r="A729" s="577"/>
      <c r="B729" s="577"/>
      <c r="C729" s="577"/>
      <c r="D729" s="578"/>
      <c r="E729" s="562"/>
      <c r="F729" s="580"/>
      <c r="G729" s="601" t="s">
        <v>525</v>
      </c>
      <c r="H729" s="1508">
        <f>SUM(H728:H728)*0.05*0.19/1.3</f>
        <v>318592.48249744269</v>
      </c>
    </row>
    <row r="730" spans="1:8" s="565" customFormat="1" ht="15" customHeight="1" thickBot="1">
      <c r="A730" s="561"/>
      <c r="B730" s="560"/>
      <c r="C730" s="560"/>
      <c r="D730" s="561"/>
      <c r="E730" s="562"/>
      <c r="F730" s="580"/>
      <c r="G730" s="601" t="s">
        <v>526</v>
      </c>
      <c r="H730" s="1509">
        <f>+ROUND(H728+H729,0)</f>
        <v>43915459</v>
      </c>
    </row>
    <row r="731" spans="1:8" s="565" customFormat="1" ht="12.95" customHeight="1" thickTop="1">
      <c r="A731" s="1111"/>
      <c r="B731" s="1111"/>
      <c r="C731" s="1111"/>
      <c r="D731" s="831"/>
      <c r="E731" s="1111"/>
      <c r="F731" s="1111"/>
      <c r="G731" s="832"/>
      <c r="H731" s="1516"/>
    </row>
    <row r="732" spans="1:8" s="565" customFormat="1" ht="15" customHeight="1">
      <c r="A732" s="561"/>
      <c r="B732" s="560"/>
      <c r="C732" s="560"/>
      <c r="D732" s="561"/>
      <c r="E732" s="562"/>
      <c r="F732" s="563"/>
      <c r="G732" s="617"/>
      <c r="H732" s="1506"/>
    </row>
    <row r="733" spans="1:8" s="565" customFormat="1" ht="13.5" thickBot="1">
      <c r="A733" s="566"/>
      <c r="B733" s="567"/>
      <c r="C733" s="566" t="s">
        <v>627</v>
      </c>
      <c r="D733" s="566"/>
      <c r="E733" s="567"/>
      <c r="F733" s="566"/>
      <c r="G733" s="616"/>
      <c r="H733" s="569"/>
    </row>
    <row r="734" spans="1:8" s="565" customFormat="1" ht="15" customHeight="1" thickTop="1">
      <c r="A734" s="572" t="s">
        <v>549</v>
      </c>
      <c r="B734" s="572" t="str">
        <f>MID(A734,1,3)&amp;"-"&amp;13</f>
        <v>201-13</v>
      </c>
      <c r="C734" s="572"/>
      <c r="D734" s="619" t="str">
        <f>VLOOKUP(A734,[33]ÍNDICE!$C$6:$N$380,5,FALSE)</f>
        <v>DEMOLICIÓN DE ESTRUCTURAS</v>
      </c>
      <c r="E734" s="629" t="str">
        <f>VLOOKUP(A734,[33]ÍNDICE!$C$6:$N$380,2,FALSE)</f>
        <v>m3</v>
      </c>
      <c r="F734" s="833">
        <v>10</v>
      </c>
      <c r="G734" s="648">
        <f>VLOOKUP(A734,[33]ÍNDICE!$C$6:$N$380,12,FALSE)</f>
        <v>217760.49497573468</v>
      </c>
      <c r="H734" s="573">
        <f t="shared" ref="H734:H745" si="83">F734*G734</f>
        <v>2177604.9497573469</v>
      </c>
    </row>
    <row r="735" spans="1:8" s="565" customFormat="1" ht="15" customHeight="1">
      <c r="A735" s="571" t="s">
        <v>578</v>
      </c>
      <c r="B735" s="571" t="str">
        <f>MID(A735,1,3)&amp;"-"&amp;13</f>
        <v>330-13</v>
      </c>
      <c r="C735" s="571"/>
      <c r="D735" s="619" t="str">
        <f>VLOOKUP(A735,[33]ÍNDICE!$C$6:$N$380,5,FALSE)</f>
        <v>BASE GRANULAR PARA BACHEO CLASE A GRADACION FINA</v>
      </c>
      <c r="E735" s="629" t="str">
        <f>VLOOKUP(A735,[33]ÍNDICE!$C$6:$N$380,2,FALSE)</f>
        <v>m3</v>
      </c>
      <c r="F735" s="618">
        <v>13</v>
      </c>
      <c r="G735" s="648">
        <f>VLOOKUP(A735,[33]ÍNDICE!$C$6:$N$380,12,FALSE)</f>
        <v>468038.05777015106</v>
      </c>
      <c r="H735" s="583">
        <f>F735*G735</f>
        <v>6084494.7510119639</v>
      </c>
    </row>
    <row r="736" spans="1:8" s="565" customFormat="1" ht="40.5" customHeight="1">
      <c r="A736" s="571" t="s">
        <v>579</v>
      </c>
      <c r="B736" s="571" t="str">
        <f>MID(A736,1,3)&amp;"-"&amp;13</f>
        <v>465-13</v>
      </c>
      <c r="C736" s="571"/>
      <c r="D736" s="619" t="str">
        <f>VLOOKUP(A736,[33]ÍNDICE!$C$6:$N$380,5,FALSE)</f>
        <v>EXCAVACIÓN PARA REPARACIÓN DE PAVIMENTO ASFÁLTICO EXISTENTE INCLUYENDO EL CORTE Y LA REMOCIÓN DE LAS CAPAS ASFÁLTICAS SUBYACENTES</v>
      </c>
      <c r="E736" s="629" t="str">
        <f>VLOOKUP(A736,[33]ÍNDICE!$C$6:$N$380,2,FALSE)</f>
        <v>m3</v>
      </c>
      <c r="F736" s="618">
        <v>4</v>
      </c>
      <c r="G736" s="648">
        <f>VLOOKUP(A736,[33]ÍNDICE!$C$6:$N$380,12,FALSE)</f>
        <v>100979.71246565928</v>
      </c>
      <c r="H736" s="583">
        <f>F736*G736</f>
        <v>403918.84986263711</v>
      </c>
    </row>
    <row r="737" spans="1:10" s="565" customFormat="1" ht="15" customHeight="1">
      <c r="A737" s="571" t="s">
        <v>528</v>
      </c>
      <c r="B737" s="571" t="str">
        <f t="shared" ref="B737:B745" si="84">MID(A737,1,3)&amp;"-"&amp;13</f>
        <v>600-13</v>
      </c>
      <c r="C737" s="571"/>
      <c r="D737" s="619" t="str">
        <f>VLOOKUP(A737,[33]ÍNDICE!$C$6:$N$380,5,FALSE)</f>
        <v>EXCAVACIONES VARIAS SIN CLASIFICAR</v>
      </c>
      <c r="E737" s="629" t="str">
        <f>VLOOKUP(A737,[33]ÍNDICE!$C$6:$N$380,2,FALSE)</f>
        <v>m3</v>
      </c>
      <c r="F737" s="585">
        <f>14*2.5*4+30</f>
        <v>170</v>
      </c>
      <c r="G737" s="648">
        <f>VLOOKUP(A737,[33]ÍNDICE!$C$6:$N$380,12,FALSE)</f>
        <v>58828.261120639472</v>
      </c>
      <c r="H737" s="583">
        <f t="shared" si="83"/>
        <v>10000804.390508709</v>
      </c>
    </row>
    <row r="738" spans="1:10" s="565" customFormat="1" ht="15" customHeight="1">
      <c r="A738" s="571" t="s">
        <v>530</v>
      </c>
      <c r="B738" s="571" t="str">
        <f>MID(A738,1,3)&amp;"-"&amp;13</f>
        <v>610-13</v>
      </c>
      <c r="C738" s="571"/>
      <c r="D738" s="619" t="str">
        <f>VLOOKUP(A738,[33]ÍNDICE!$C$6:$N$380,5,FALSE)</f>
        <v>RELLENO PARA ESTRUCTURAS CON SUELO (analizado sin preparación de la superficie base del relleno)</v>
      </c>
      <c r="E738" s="629" t="str">
        <f>VLOOKUP(A738,[33]ÍNDICE!$C$6:$N$380,2,FALSE)</f>
        <v>m3</v>
      </c>
      <c r="F738" s="586">
        <f>0.4*F737</f>
        <v>68</v>
      </c>
      <c r="G738" s="648">
        <f>VLOOKUP(A738,[33]ÍNDICE!$C$6:$N$380,12,FALSE)</f>
        <v>162354.11090657322</v>
      </c>
      <c r="H738" s="583">
        <f t="shared" si="83"/>
        <v>11040079.541646978</v>
      </c>
    </row>
    <row r="739" spans="1:10" s="565" customFormat="1" ht="26.1" customHeight="1">
      <c r="A739" s="571" t="s">
        <v>554</v>
      </c>
      <c r="B739" s="571" t="str">
        <f>MID(A739,1,3)&amp;"-"&amp;13</f>
        <v>450-13</v>
      </c>
      <c r="C739" s="571"/>
      <c r="D739" s="619" t="str">
        <f>VLOOKUP(A739,[33]ÍNDICE!$C$6:$N$380,5,FALSE)</f>
        <v xml:space="preserve">MEZCLA DENSA EN CALIENTE TIPO MDC‐19 - COMPRA DE MEZCLA </v>
      </c>
      <c r="E739" s="629" t="str">
        <f>VLOOKUP(A739,[33]ÍNDICE!$C$6:$N$380,2,FALSE)</f>
        <v>m3</v>
      </c>
      <c r="F739" s="618">
        <f>F736</f>
        <v>4</v>
      </c>
      <c r="G739" s="648">
        <f>VLOOKUP(A739,[33]ÍNDICE!$C$6:$N$380,12,FALSE)</f>
        <v>1677232.0782508166</v>
      </c>
      <c r="H739" s="583">
        <f t="shared" si="83"/>
        <v>6708928.3130032662</v>
      </c>
    </row>
    <row r="740" spans="1:10" s="565" customFormat="1" ht="15" customHeight="1">
      <c r="A740" s="571" t="s">
        <v>537</v>
      </c>
      <c r="B740" s="571" t="str">
        <f t="shared" si="84"/>
        <v>630-13</v>
      </c>
      <c r="C740" s="571"/>
      <c r="D740" s="619" t="str">
        <f>VLOOKUP(A740,[33]ÍNDICE!$C$6:$N$380,5,FALSE)</f>
        <v>CONCRETO REFORZADO RESISTENCIA 21MPa (D) - MEZCLA IN SITU</v>
      </c>
      <c r="E740" s="629" t="str">
        <f>VLOOKUP(A740,[33]ÍNDICE!$C$6:$N$380,2,FALSE)</f>
        <v>m3</v>
      </c>
      <c r="F740" s="586">
        <v>51</v>
      </c>
      <c r="G740" s="648">
        <f>VLOOKUP(A740,[33]ÍNDICE!$C$6:$N$380,12,FALSE)</f>
        <v>1243512.4574943627</v>
      </c>
      <c r="H740" s="583">
        <f t="shared" si="83"/>
        <v>63419135.3322125</v>
      </c>
      <c r="J740" s="588"/>
    </row>
    <row r="741" spans="1:10" s="565" customFormat="1" ht="15" customHeight="1">
      <c r="A741" s="571" t="s">
        <v>541</v>
      </c>
      <c r="B741" s="571" t="str">
        <f t="shared" si="84"/>
        <v>640-13</v>
      </c>
      <c r="C741" s="571"/>
      <c r="D741" s="619" t="str">
        <f>VLOOKUP(A741,[33]ÍNDICE!$C$6:$N$380,5,FALSE)</f>
        <v>ACERO DE REFUERZO Fy 4200 MPa</v>
      </c>
      <c r="E741" s="629" t="str">
        <f>VLOOKUP(A741,[33]ÍNDICE!$C$6:$N$380,2,FALSE)</f>
        <v>kg</v>
      </c>
      <c r="F741" s="585">
        <f>F740*105</f>
        <v>5355</v>
      </c>
      <c r="G741" s="648">
        <f>VLOOKUP(A741,[33]ÍNDICE!$C$6:$N$380,12,FALSE)</f>
        <v>7547.7371417119648</v>
      </c>
      <c r="H741" s="583">
        <f t="shared" si="83"/>
        <v>40418132.393867575</v>
      </c>
    </row>
    <row r="742" spans="1:10" s="565" customFormat="1" ht="26.1" customHeight="1">
      <c r="A742" s="571" t="s">
        <v>545</v>
      </c>
      <c r="B742" s="571" t="str">
        <f>MID(A742,1,3)&amp;"-"&amp;13</f>
        <v>671-13</v>
      </c>
      <c r="C742" s="571"/>
      <c r="D742" s="619" t="str">
        <f>VLOOKUP(A742,[33]ÍNDICE!$C$6:$N$380,5,FALSE)</f>
        <v>CUNETA DE CONCRETO VACIADA IN SITU; INCLUYE LA CONFORMACIÓN DE LA SUPERFICIE DE APOYO</v>
      </c>
      <c r="E742" s="629" t="str">
        <f>VLOOKUP(A742,[33]ÍNDICE!$C$6:$N$380,2,FALSE)</f>
        <v>m3</v>
      </c>
      <c r="F742" s="586">
        <v>2</v>
      </c>
      <c r="G742" s="648">
        <f>VLOOKUP(A742,[33]ÍNDICE!$C$6:$N$380,12,FALSE)</f>
        <v>1106254.0341245155</v>
      </c>
      <c r="H742" s="583">
        <f>F742*G742</f>
        <v>2212508.068249031</v>
      </c>
    </row>
    <row r="743" spans="1:10" s="565" customFormat="1" ht="15" customHeight="1">
      <c r="A743" s="571" t="s">
        <v>534</v>
      </c>
      <c r="B743" s="571" t="str">
        <f>MID(A743,1,3)&amp;"-"&amp;13</f>
        <v>673-13</v>
      </c>
      <c r="C743" s="571"/>
      <c r="D743" s="619" t="str">
        <f>VLOOKUP(A743,[33]ÍNDICE!$C$6:$N$380,5,FALSE)</f>
        <v xml:space="preserve">GEOTEXTIL TIPO TEJIDO CON RESISTENCIA A LA TENSIÓN GRAB MÍNIMA DE 1400 N </v>
      </c>
      <c r="E743" s="629" t="str">
        <f>VLOOKUP(A743,[33]ÍNDICE!$C$6:$N$380,2,FALSE)</f>
        <v>m2</v>
      </c>
      <c r="F743" s="585">
        <f>14*3*2+4*3*1.5</f>
        <v>102</v>
      </c>
      <c r="G743" s="648">
        <f>VLOOKUP(A743,[33]ÍNDICE!$C$6:$N$380,12,FALSE)</f>
        <v>12861.24633460756</v>
      </c>
      <c r="H743" s="583">
        <f>F743*G743</f>
        <v>1311847.1261299711</v>
      </c>
    </row>
    <row r="744" spans="1:10" s="565" customFormat="1" ht="15" customHeight="1">
      <c r="A744" s="571" t="s">
        <v>547</v>
      </c>
      <c r="B744" s="571" t="str">
        <f>MID(A744,1,3)&amp;"-"&amp;13</f>
        <v>673-13</v>
      </c>
      <c r="C744" s="571"/>
      <c r="D744" s="619" t="str">
        <f>VLOOKUP(A744,[33]ÍNDICE!$C$6:$N$380,5,FALSE)</f>
        <v>MATERIAL GRANULAR DRENANTE</v>
      </c>
      <c r="E744" s="629" t="str">
        <f>VLOOKUP(A744,[33]ÍNDICE!$C$6:$N$380,2,FALSE)</f>
        <v>m3</v>
      </c>
      <c r="F744" s="586">
        <f>14*2*2*0.5+4*2*0.5</f>
        <v>32</v>
      </c>
      <c r="G744" s="648">
        <f>VLOOKUP(A744,[33]ÍNDICE!$C$6:$N$380,12,FALSE)</f>
        <v>372207.28893037047</v>
      </c>
      <c r="H744" s="583">
        <f>F744*G744</f>
        <v>11910633.245771855</v>
      </c>
    </row>
    <row r="745" spans="1:10" s="565" customFormat="1" ht="26.1" customHeight="1" thickBot="1">
      <c r="A745" s="571" t="s">
        <v>535</v>
      </c>
      <c r="B745" s="571" t="str">
        <f t="shared" si="84"/>
        <v>681-13</v>
      </c>
      <c r="C745" s="571"/>
      <c r="D745" s="619" t="str">
        <f>VLOOKUP(A745,[33]ÍNDICE!$C$6:$N$380,5,FALSE)</f>
        <v>GAVIONES DE MALLA DE ALAMBRE DE ACERO ENTRELAZADO CLASE 1; RECUBRIMIENTO DE ZINC (GALVANIZADO)</v>
      </c>
      <c r="E745" s="629" t="str">
        <f>VLOOKUP(A745,[33]ÍNDICE!$C$6:$N$380,2,FALSE)</f>
        <v>m3</v>
      </c>
      <c r="F745" s="603">
        <v>18</v>
      </c>
      <c r="G745" s="648">
        <f>VLOOKUP(A745,[33]ÍNDICE!$C$6:$N$380,12,FALSE)</f>
        <v>601666.19528525032</v>
      </c>
      <c r="H745" s="583">
        <f t="shared" si="83"/>
        <v>10829991.515134506</v>
      </c>
    </row>
    <row r="746" spans="1:10" s="565" customFormat="1" ht="15" customHeight="1" thickTop="1">
      <c r="A746" s="574"/>
      <c r="B746" s="574"/>
      <c r="C746" s="574"/>
      <c r="D746" s="575"/>
      <c r="E746" s="589"/>
      <c r="G746" s="576" t="s">
        <v>524</v>
      </c>
      <c r="H746" s="1507">
        <f>SUM(H734:H745)</f>
        <v>166518078.47715634</v>
      </c>
    </row>
    <row r="747" spans="1:10" s="565" customFormat="1" ht="15" customHeight="1">
      <c r="A747" s="577"/>
      <c r="B747" s="577"/>
      <c r="C747" s="577"/>
      <c r="D747" s="578"/>
      <c r="E747" s="562"/>
      <c r="G747" s="579" t="s">
        <v>525</v>
      </c>
      <c r="H747" s="1508">
        <f>SUM(H746:H746)*0.05*0.19/1.3</f>
        <v>1216862.8811792193</v>
      </c>
    </row>
    <row r="748" spans="1:10" s="565" customFormat="1" ht="15" customHeight="1" thickBot="1">
      <c r="A748" s="561"/>
      <c r="B748" s="560"/>
      <c r="C748" s="560"/>
      <c r="D748" s="561"/>
      <c r="E748" s="562"/>
      <c r="G748" s="579" t="s">
        <v>526</v>
      </c>
      <c r="H748" s="1509">
        <f>+ROUND(H746+H747,0)</f>
        <v>167734941</v>
      </c>
    </row>
    <row r="749" spans="1:10" s="565" customFormat="1" ht="15" customHeight="1" thickTop="1">
      <c r="A749" s="561"/>
      <c r="B749" s="560"/>
      <c r="C749" s="560"/>
      <c r="D749" s="561"/>
      <c r="E749" s="562"/>
      <c r="F749" s="563"/>
      <c r="G749" s="617"/>
      <c r="H749" s="1506"/>
    </row>
    <row r="750" spans="1:10" s="565" customFormat="1" ht="15" customHeight="1">
      <c r="A750" s="561"/>
      <c r="B750" s="560"/>
      <c r="C750" s="560"/>
      <c r="D750" s="561"/>
      <c r="E750" s="562"/>
      <c r="F750" s="563"/>
      <c r="G750" s="564"/>
      <c r="H750" s="1506"/>
    </row>
    <row r="751" spans="1:10" s="565" customFormat="1" ht="13.5" thickBot="1">
      <c r="A751" s="566"/>
      <c r="B751" s="567"/>
      <c r="C751" s="566" t="s">
        <v>628</v>
      </c>
      <c r="D751" s="566"/>
      <c r="E751" s="567"/>
      <c r="F751" s="566"/>
      <c r="G751" s="616"/>
      <c r="H751" s="569"/>
    </row>
    <row r="752" spans="1:10" s="565" customFormat="1" ht="15" customHeight="1" thickTop="1">
      <c r="A752" s="571" t="s">
        <v>528</v>
      </c>
      <c r="B752" s="571" t="str">
        <f t="shared" ref="B752:B758" si="85">MID(A752,1,3)&amp;"-"&amp;13</f>
        <v>600-13</v>
      </c>
      <c r="C752" s="595"/>
      <c r="D752" s="619" t="str">
        <f>VLOOKUP(A752,[33]ÍNDICE!$C$6:$N$380,5,FALSE)</f>
        <v>EXCAVACIONES VARIAS SIN CLASIFICAR</v>
      </c>
      <c r="E752" s="629" t="str">
        <f>VLOOKUP(A752,[33]ÍNDICE!$C$6:$N$380,2,FALSE)</f>
        <v>m3</v>
      </c>
      <c r="F752" s="596">
        <f>50*0.5</f>
        <v>25</v>
      </c>
      <c r="G752" s="648">
        <f>VLOOKUP(A752,[33]ÍNDICE!$C$6:$N$380,12,FALSE)</f>
        <v>58828.261120639472</v>
      </c>
      <c r="H752" s="597">
        <f t="shared" ref="H752:H758" si="86">F752*G752</f>
        <v>1470706.5280159868</v>
      </c>
    </row>
    <row r="753" spans="1:8" s="565" customFormat="1" ht="15" customHeight="1">
      <c r="A753" s="571" t="s">
        <v>530</v>
      </c>
      <c r="B753" s="571" t="str">
        <f>MID(A753,1,3)&amp;"-"&amp;13</f>
        <v>610-13</v>
      </c>
      <c r="C753" s="571"/>
      <c r="D753" s="619" t="str">
        <f>VLOOKUP(A753,[33]ÍNDICE!$C$6:$N$380,5,FALSE)</f>
        <v>RELLENO PARA ESTRUCTURAS CON SUELO (analizado sin preparación de la superficie base del relleno)</v>
      </c>
      <c r="E753" s="629" t="str">
        <f>VLOOKUP(A753,[33]ÍNDICE!$C$6:$N$380,2,FALSE)</f>
        <v>m3</v>
      </c>
      <c r="F753" s="584">
        <f>50*0.4</f>
        <v>20</v>
      </c>
      <c r="G753" s="648">
        <f>VLOOKUP(A753,[33]ÍNDICE!$C$6:$N$380,12,FALSE)</f>
        <v>162354.11090657322</v>
      </c>
      <c r="H753" s="573">
        <f>F753*G753</f>
        <v>3247082.2181314644</v>
      </c>
    </row>
    <row r="754" spans="1:8" s="565" customFormat="1" ht="15" customHeight="1">
      <c r="A754" s="571" t="s">
        <v>531</v>
      </c>
      <c r="B754" s="571" t="str">
        <f t="shared" si="85"/>
        <v>630-13</v>
      </c>
      <c r="C754" s="571"/>
      <c r="D754" s="619" t="str">
        <f>VLOOKUP(A754,[33]ÍNDICE!$C$6:$N$380,5,FALSE)</f>
        <v>CONCRETO SIMPLE RESISTENCIA 17 MPa - MEZCLA IN SITU</v>
      </c>
      <c r="E754" s="629" t="str">
        <f>VLOOKUP(A754,[33]ÍNDICE!$C$6:$N$380,2,FALSE)</f>
        <v>m3</v>
      </c>
      <c r="F754" s="586">
        <v>28</v>
      </c>
      <c r="G754" s="648">
        <f>VLOOKUP(A754,[33]ÍNDICE!$C$6:$N$380,12,FALSE)</f>
        <v>994779.33062365581</v>
      </c>
      <c r="H754" s="583">
        <f t="shared" si="86"/>
        <v>27853821.257462364</v>
      </c>
    </row>
    <row r="755" spans="1:8" s="565" customFormat="1" ht="15" customHeight="1">
      <c r="A755" s="571" t="s">
        <v>532</v>
      </c>
      <c r="B755" s="571" t="str">
        <f t="shared" si="85"/>
        <v>630-13</v>
      </c>
      <c r="C755" s="571"/>
      <c r="D755" s="619" t="str">
        <f>VLOOKUP(A755,[33]ÍNDICE!$C$6:$N$380,5,FALSE)</f>
        <v>CONCRETO CICLÓPEO RESISTENCIA 14MPa (G)</v>
      </c>
      <c r="E755" s="629" t="str">
        <f>VLOOKUP(A755,[33]ÍNDICE!$C$6:$N$380,2,FALSE)</f>
        <v>m3</v>
      </c>
      <c r="F755" s="598">
        <v>5</v>
      </c>
      <c r="G755" s="648">
        <f>VLOOKUP(A755,[33]ÍNDICE!$C$6:$N$380,12,FALSE)</f>
        <v>680494.66759275761</v>
      </c>
      <c r="H755" s="583">
        <f t="shared" si="86"/>
        <v>3402473.3379637878</v>
      </c>
    </row>
    <row r="756" spans="1:8" s="565" customFormat="1" ht="15" customHeight="1">
      <c r="A756" s="571" t="s">
        <v>541</v>
      </c>
      <c r="B756" s="571" t="str">
        <f t="shared" si="85"/>
        <v>640-13</v>
      </c>
      <c r="C756" s="571"/>
      <c r="D756" s="619" t="str">
        <f>VLOOKUP(A756,[33]ÍNDICE!$C$6:$N$380,5,FALSE)</f>
        <v>ACERO DE REFUERZO Fy 4200 MPa</v>
      </c>
      <c r="E756" s="629" t="str">
        <f>VLOOKUP(A756,[33]ÍNDICE!$C$6:$N$380,2,FALSE)</f>
        <v>kg</v>
      </c>
      <c r="F756" s="585">
        <f>F754*105</f>
        <v>2940</v>
      </c>
      <c r="G756" s="648">
        <f>VLOOKUP(A756,[33]ÍNDICE!$C$6:$N$380,12,FALSE)</f>
        <v>7547.7371417119648</v>
      </c>
      <c r="H756" s="583">
        <f t="shared" si="86"/>
        <v>22190347.196633175</v>
      </c>
    </row>
    <row r="757" spans="1:8" s="565" customFormat="1" ht="15" customHeight="1">
      <c r="A757" s="571" t="s">
        <v>534</v>
      </c>
      <c r="B757" s="571" t="str">
        <f>MID(A757,1,3)&amp;"-"&amp;13</f>
        <v>673-13</v>
      </c>
      <c r="C757" s="571"/>
      <c r="D757" s="619" t="str">
        <f>VLOOKUP(A757,[33]ÍNDICE!$C$6:$N$380,5,FALSE)</f>
        <v xml:space="preserve">GEOTEXTIL TIPO TEJIDO CON RESISTENCIA A LA TENSIÓN GRAB MÍNIMA DE 1400 N </v>
      </c>
      <c r="E757" s="629" t="str">
        <f>VLOOKUP(A757,[33]ÍNDICE!$C$6:$N$380,2,FALSE)</f>
        <v>m2</v>
      </c>
      <c r="F757" s="585">
        <v>40</v>
      </c>
      <c r="G757" s="648">
        <f>VLOOKUP(A757,[33]ÍNDICE!$C$6:$N$380,12,FALSE)</f>
        <v>12861.24633460756</v>
      </c>
      <c r="H757" s="583">
        <f>F757*G757</f>
        <v>514449.85338430241</v>
      </c>
    </row>
    <row r="758" spans="1:8" s="565" customFormat="1" ht="26.1" customHeight="1" thickBot="1">
      <c r="A758" s="571" t="s">
        <v>535</v>
      </c>
      <c r="B758" s="571" t="str">
        <f t="shared" si="85"/>
        <v>681-13</v>
      </c>
      <c r="C758" s="571"/>
      <c r="D758" s="619" t="str">
        <f>VLOOKUP(A758,[33]ÍNDICE!$C$6:$N$380,5,FALSE)</f>
        <v>GAVIONES DE MALLA DE ALAMBRE DE ACERO ENTRELAZADO CLASE 1; RECUBRIMIENTO DE ZINC (GALVANIZADO)</v>
      </c>
      <c r="E758" s="629" t="str">
        <f>VLOOKUP(A758,[33]ÍNDICE!$C$6:$N$380,2,FALSE)</f>
        <v>m3</v>
      </c>
      <c r="F758" s="585">
        <v>30</v>
      </c>
      <c r="G758" s="648">
        <f>VLOOKUP(A758,[33]ÍNDICE!$C$6:$N$380,12,FALSE)</f>
        <v>601666.19528525032</v>
      </c>
      <c r="H758" s="583">
        <f t="shared" si="86"/>
        <v>18049985.858557511</v>
      </c>
    </row>
    <row r="759" spans="1:8" s="565" customFormat="1" ht="15" customHeight="1" thickTop="1">
      <c r="A759" s="574"/>
      <c r="B759" s="574"/>
      <c r="C759" s="574"/>
      <c r="D759" s="575"/>
      <c r="E759" s="589"/>
      <c r="F759" s="590"/>
      <c r="G759" s="576" t="s">
        <v>524</v>
      </c>
      <c r="H759" s="1507">
        <f>SUM(H752:H758)</f>
        <v>76728866.250148594</v>
      </c>
    </row>
    <row r="760" spans="1:8" s="565" customFormat="1" ht="15" customHeight="1">
      <c r="A760" s="577"/>
      <c r="B760" s="577"/>
      <c r="C760" s="577"/>
      <c r="D760" s="578"/>
      <c r="E760" s="562"/>
      <c r="F760" s="580"/>
      <c r="G760" s="579" t="s">
        <v>525</v>
      </c>
      <c r="H760" s="1508">
        <f>SUM(H759:H759)*0.05*0.19/1.3</f>
        <v>560710.94567416282</v>
      </c>
    </row>
    <row r="761" spans="1:8" s="565" customFormat="1" ht="15" customHeight="1" thickBot="1">
      <c r="A761" s="561"/>
      <c r="B761" s="560"/>
      <c r="C761" s="560"/>
      <c r="D761" s="561"/>
      <c r="E761" s="562"/>
      <c r="F761" s="580"/>
      <c r="G761" s="579" t="s">
        <v>526</v>
      </c>
      <c r="H761" s="1509">
        <f>+ROUND(H759+H760,0)</f>
        <v>77289577</v>
      </c>
    </row>
    <row r="762" spans="1:8" s="565" customFormat="1" ht="15" customHeight="1" thickTop="1">
      <c r="A762" s="561"/>
      <c r="B762" s="560"/>
      <c r="C762" s="560"/>
      <c r="D762" s="561"/>
      <c r="E762" s="562"/>
      <c r="F762" s="580"/>
      <c r="G762" s="579"/>
      <c r="H762" s="1510"/>
    </row>
    <row r="763" spans="1:8" s="565" customFormat="1" ht="15" customHeight="1">
      <c r="A763" s="561"/>
      <c r="B763" s="560"/>
      <c r="C763" s="560"/>
      <c r="D763" s="561"/>
      <c r="E763" s="562"/>
      <c r="F763" s="563"/>
      <c r="G763" s="617"/>
      <c r="H763" s="1506"/>
    </row>
    <row r="764" spans="1:8" s="565" customFormat="1" ht="13.5" thickBot="1">
      <c r="A764" s="566"/>
      <c r="B764" s="567"/>
      <c r="C764" s="566" t="s">
        <v>629</v>
      </c>
      <c r="D764" s="566"/>
      <c r="E764" s="567"/>
      <c r="F764" s="566"/>
      <c r="G764" s="616"/>
      <c r="H764" s="569"/>
    </row>
    <row r="765" spans="1:8" s="565" customFormat="1" ht="15" customHeight="1" thickTop="1">
      <c r="A765" s="572" t="s">
        <v>549</v>
      </c>
      <c r="B765" s="572" t="str">
        <f>MID(A765,1,3)&amp;"-"&amp;13</f>
        <v>201-13</v>
      </c>
      <c r="C765" s="572"/>
      <c r="D765" s="619" t="str">
        <f>VLOOKUP(A765,[33]ÍNDICE!$C$6:$N$380,5,FALSE)</f>
        <v>DEMOLICIÓN DE ESTRUCTURAS</v>
      </c>
      <c r="E765" s="629" t="str">
        <f>VLOOKUP(A765,[33]ÍNDICE!$C$6:$N$380,2,FALSE)</f>
        <v>m3</v>
      </c>
      <c r="F765" s="592">
        <v>2</v>
      </c>
      <c r="G765" s="648">
        <f>VLOOKUP(A765,[33]ÍNDICE!$C$6:$N$380,12,FALSE)</f>
        <v>217760.49497573468</v>
      </c>
      <c r="H765" s="573">
        <f>F765*G765</f>
        <v>435520.98995146935</v>
      </c>
    </row>
    <row r="766" spans="1:8" s="565" customFormat="1" ht="15" customHeight="1">
      <c r="A766" s="571" t="s">
        <v>528</v>
      </c>
      <c r="B766" s="571" t="str">
        <f t="shared" ref="B766:B772" si="87">MID(A766,1,3)&amp;"-"&amp;13</f>
        <v>600-13</v>
      </c>
      <c r="C766" s="571"/>
      <c r="D766" s="619" t="str">
        <f>VLOOKUP(A766,[33]ÍNDICE!$C$6:$N$380,5,FALSE)</f>
        <v>EXCAVACIONES VARIAS SIN CLASIFICAR</v>
      </c>
      <c r="E766" s="629" t="str">
        <f>VLOOKUP(A766,[33]ÍNDICE!$C$6:$N$380,2,FALSE)</f>
        <v>m3</v>
      </c>
      <c r="F766" s="585">
        <f>60*0.5</f>
        <v>30</v>
      </c>
      <c r="G766" s="648">
        <f>VLOOKUP(A766,[33]ÍNDICE!$C$6:$N$380,12,FALSE)</f>
        <v>58828.261120639472</v>
      </c>
      <c r="H766" s="583">
        <f t="shared" ref="H766:H772" si="88">F766*G766</f>
        <v>1764847.8336191841</v>
      </c>
    </row>
    <row r="767" spans="1:8" s="565" customFormat="1" ht="15" customHeight="1">
      <c r="A767" s="571" t="s">
        <v>530</v>
      </c>
      <c r="B767" s="571" t="str">
        <f>MID(A767,1,3)&amp;"-"&amp;13</f>
        <v>610-13</v>
      </c>
      <c r="C767" s="571"/>
      <c r="D767" s="619" t="str">
        <f>VLOOKUP(A767,[33]ÍNDICE!$C$6:$N$380,5,FALSE)</f>
        <v>RELLENO PARA ESTRUCTURAS CON SUELO (analizado sin preparación de la superficie base del relleno)</v>
      </c>
      <c r="E767" s="629" t="str">
        <f>VLOOKUP(A767,[33]ÍNDICE!$C$6:$N$380,2,FALSE)</f>
        <v>m3</v>
      </c>
      <c r="F767" s="586">
        <f>60*0.4</f>
        <v>24</v>
      </c>
      <c r="G767" s="648">
        <f>VLOOKUP(A767,[33]ÍNDICE!$C$6:$N$380,12,FALSE)</f>
        <v>162354.11090657322</v>
      </c>
      <c r="H767" s="583">
        <f>F767*G767</f>
        <v>3896498.661757757</v>
      </c>
    </row>
    <row r="768" spans="1:8" s="565" customFormat="1" ht="15" customHeight="1">
      <c r="A768" s="571" t="s">
        <v>531</v>
      </c>
      <c r="B768" s="571" t="str">
        <f t="shared" si="87"/>
        <v>630-13</v>
      </c>
      <c r="C768" s="571"/>
      <c r="D768" s="619" t="str">
        <f>VLOOKUP(A768,[33]ÍNDICE!$C$6:$N$380,5,FALSE)</f>
        <v>CONCRETO SIMPLE RESISTENCIA 17 MPa - MEZCLA IN SITU</v>
      </c>
      <c r="E768" s="629" t="str">
        <f>VLOOKUP(A768,[33]ÍNDICE!$C$6:$N$380,2,FALSE)</f>
        <v>m3</v>
      </c>
      <c r="F768" s="586">
        <f>60*0.55</f>
        <v>33</v>
      </c>
      <c r="G768" s="648">
        <f>VLOOKUP(A768,[33]ÍNDICE!$C$6:$N$380,12,FALSE)</f>
        <v>994779.33062365581</v>
      </c>
      <c r="H768" s="583">
        <f t="shared" si="88"/>
        <v>32827717.910580643</v>
      </c>
    </row>
    <row r="769" spans="1:8" s="565" customFormat="1" ht="15" customHeight="1">
      <c r="A769" s="571" t="s">
        <v>532</v>
      </c>
      <c r="B769" s="571" t="str">
        <f t="shared" si="87"/>
        <v>630-13</v>
      </c>
      <c r="C769" s="571"/>
      <c r="D769" s="619" t="str">
        <f>VLOOKUP(A769,[33]ÍNDICE!$C$6:$N$380,5,FALSE)</f>
        <v>CONCRETO CICLÓPEO RESISTENCIA 14MPa (G)</v>
      </c>
      <c r="E769" s="629" t="str">
        <f>VLOOKUP(A769,[33]ÍNDICE!$C$6:$N$380,2,FALSE)</f>
        <v>m3</v>
      </c>
      <c r="F769" s="598">
        <v>6</v>
      </c>
      <c r="G769" s="648">
        <f>VLOOKUP(A769,[33]ÍNDICE!$C$6:$N$380,12,FALSE)</f>
        <v>680494.66759275761</v>
      </c>
      <c r="H769" s="583">
        <f t="shared" si="88"/>
        <v>4082968.0055565457</v>
      </c>
    </row>
    <row r="770" spans="1:8" s="565" customFormat="1" ht="15" customHeight="1">
      <c r="A770" s="571" t="s">
        <v>541</v>
      </c>
      <c r="B770" s="571" t="str">
        <f t="shared" si="87"/>
        <v>640-13</v>
      </c>
      <c r="C770" s="571"/>
      <c r="D770" s="619" t="str">
        <f>VLOOKUP(A770,[33]ÍNDICE!$C$6:$N$380,5,FALSE)</f>
        <v>ACERO DE REFUERZO Fy 4200 MPa</v>
      </c>
      <c r="E770" s="629" t="str">
        <f>VLOOKUP(A770,[33]ÍNDICE!$C$6:$N$380,2,FALSE)</f>
        <v>kg</v>
      </c>
      <c r="F770" s="585">
        <f>F768*105</f>
        <v>3465</v>
      </c>
      <c r="G770" s="648">
        <f>VLOOKUP(A770,[33]ÍNDICE!$C$6:$N$380,12,FALSE)</f>
        <v>7547.7371417119648</v>
      </c>
      <c r="H770" s="583">
        <f t="shared" si="88"/>
        <v>26152909.196031958</v>
      </c>
    </row>
    <row r="771" spans="1:8" s="565" customFormat="1" ht="15" customHeight="1">
      <c r="A771" s="571" t="s">
        <v>534</v>
      </c>
      <c r="B771" s="571" t="str">
        <f>MID(A771,1,3)&amp;"-"&amp;13</f>
        <v>673-13</v>
      </c>
      <c r="C771" s="571"/>
      <c r="D771" s="619" t="str">
        <f>VLOOKUP(A771,[33]ÍNDICE!$C$6:$N$380,5,FALSE)</f>
        <v xml:space="preserve">GEOTEXTIL TIPO TEJIDO CON RESISTENCIA A LA TENSIÓN GRAB MÍNIMA DE 1400 N </v>
      </c>
      <c r="E771" s="629" t="str">
        <f>VLOOKUP(A771,[33]ÍNDICE!$C$6:$N$380,2,FALSE)</f>
        <v>m2</v>
      </c>
      <c r="F771" s="585">
        <v>30</v>
      </c>
      <c r="G771" s="648">
        <f>VLOOKUP(A771,[33]ÍNDICE!$C$6:$N$380,12,FALSE)</f>
        <v>12861.24633460756</v>
      </c>
      <c r="H771" s="583">
        <f>F771*G771</f>
        <v>385837.39003822679</v>
      </c>
    </row>
    <row r="772" spans="1:8" s="565" customFormat="1" ht="26.1" customHeight="1" thickBot="1">
      <c r="A772" s="571" t="s">
        <v>535</v>
      </c>
      <c r="B772" s="571" t="str">
        <f t="shared" si="87"/>
        <v>681-13</v>
      </c>
      <c r="C772" s="571"/>
      <c r="D772" s="619" t="str">
        <f>VLOOKUP(A772,[33]ÍNDICE!$C$6:$N$380,5,FALSE)</f>
        <v>GAVIONES DE MALLA DE ALAMBRE DE ACERO ENTRELAZADO CLASE 1; RECUBRIMIENTO DE ZINC (GALVANIZADO)</v>
      </c>
      <c r="E772" s="629" t="str">
        <f>VLOOKUP(A772,[33]ÍNDICE!$C$6:$N$380,2,FALSE)</f>
        <v>m3</v>
      </c>
      <c r="F772" s="585">
        <v>15</v>
      </c>
      <c r="G772" s="648">
        <f>VLOOKUP(A772,[33]ÍNDICE!$C$6:$N$380,12,FALSE)</f>
        <v>601666.19528525032</v>
      </c>
      <c r="H772" s="583">
        <f t="shared" si="88"/>
        <v>9024992.9292787556</v>
      </c>
    </row>
    <row r="773" spans="1:8" s="565" customFormat="1" ht="15" customHeight="1" thickTop="1">
      <c r="A773" s="574"/>
      <c r="B773" s="574"/>
      <c r="C773" s="574"/>
      <c r="D773" s="575"/>
      <c r="E773" s="589"/>
      <c r="F773" s="590"/>
      <c r="G773" s="576" t="s">
        <v>524</v>
      </c>
      <c r="H773" s="1507">
        <f>SUM(H765:H772)</f>
        <v>78571292.916814536</v>
      </c>
    </row>
    <row r="774" spans="1:8" s="565" customFormat="1" ht="15" customHeight="1">
      <c r="A774" s="577"/>
      <c r="B774" s="577"/>
      <c r="C774" s="577"/>
      <c r="D774" s="578"/>
      <c r="E774" s="562"/>
      <c r="F774" s="580"/>
      <c r="G774" s="579" t="s">
        <v>525</v>
      </c>
      <c r="H774" s="1508">
        <f>SUM(H773:H773)*0.05*0.19/1.3</f>
        <v>574174.83285364474</v>
      </c>
    </row>
    <row r="775" spans="1:8" s="565" customFormat="1" ht="15" customHeight="1" thickBot="1">
      <c r="A775" s="561"/>
      <c r="B775" s="560"/>
      <c r="C775" s="560"/>
      <c r="D775" s="561"/>
      <c r="E775" s="562"/>
      <c r="F775" s="580"/>
      <c r="G775" s="579" t="s">
        <v>526</v>
      </c>
      <c r="H775" s="1509">
        <f>+ROUND(H773+H774,0)</f>
        <v>79145468</v>
      </c>
    </row>
    <row r="776" spans="1:8" s="565" customFormat="1" ht="15" customHeight="1" thickTop="1">
      <c r="A776" s="561"/>
      <c r="B776" s="560"/>
      <c r="C776" s="560"/>
      <c r="D776" s="561"/>
      <c r="E776" s="562"/>
      <c r="F776" s="563"/>
      <c r="G776" s="617"/>
      <c r="H776" s="1506"/>
    </row>
    <row r="777" spans="1:8" s="565" customFormat="1" ht="15" customHeight="1">
      <c r="A777" s="561"/>
      <c r="B777" s="560"/>
      <c r="C777" s="560"/>
      <c r="D777" s="561"/>
      <c r="E777" s="562"/>
      <c r="F777" s="563"/>
      <c r="G777" s="564"/>
      <c r="H777" s="1506"/>
    </row>
    <row r="778" spans="1:8" s="565" customFormat="1" ht="12.75" customHeight="1" thickBot="1">
      <c r="A778" s="566"/>
      <c r="B778" s="567"/>
      <c r="C778" s="566" t="s">
        <v>630</v>
      </c>
      <c r="D778" s="566"/>
      <c r="E778" s="567"/>
      <c r="F778" s="566"/>
      <c r="G778" s="616"/>
      <c r="H778" s="569"/>
    </row>
    <row r="779" spans="1:8" s="565" customFormat="1" ht="15" customHeight="1" thickTop="1">
      <c r="A779" s="572" t="s">
        <v>549</v>
      </c>
      <c r="B779" s="572" t="str">
        <f>MID(A779,1,3)&amp;"-"&amp;13</f>
        <v>201-13</v>
      </c>
      <c r="C779" s="572"/>
      <c r="D779" s="619" t="str">
        <f>VLOOKUP(A779,[33]ÍNDICE!$C$6:$N$380,5,FALSE)</f>
        <v>DEMOLICIÓN DE ESTRUCTURAS</v>
      </c>
      <c r="E779" s="629" t="str">
        <f>VLOOKUP(A779,[33]ÍNDICE!$C$6:$N$380,2,FALSE)</f>
        <v>m3</v>
      </c>
      <c r="F779" s="592">
        <f>15+10*3.5*0.4</f>
        <v>29</v>
      </c>
      <c r="G779" s="648">
        <f>VLOOKUP(A779,[33]ÍNDICE!$C$6:$N$380,12,FALSE)</f>
        <v>217760.49497573468</v>
      </c>
      <c r="H779" s="573">
        <f t="shared" ref="H779:H790" si="89">F779*G779</f>
        <v>6315054.3542963052</v>
      </c>
    </row>
    <row r="780" spans="1:8" s="565" customFormat="1" ht="15" customHeight="1">
      <c r="A780" s="571" t="s">
        <v>578</v>
      </c>
      <c r="B780" s="571" t="str">
        <f>MID(A780,1,3)&amp;"-"&amp;13</f>
        <v>330-13</v>
      </c>
      <c r="C780" s="571"/>
      <c r="D780" s="619" t="str">
        <f>VLOOKUP(A780,[33]ÍNDICE!$C$6:$N$380,5,FALSE)</f>
        <v>BASE GRANULAR PARA BACHEO CLASE A GRADACION FINA</v>
      </c>
      <c r="E780" s="629" t="str">
        <f>VLOOKUP(A780,[33]ÍNDICE!$C$6:$N$380,2,FALSE)</f>
        <v>m3</v>
      </c>
      <c r="F780" s="618">
        <f>10*2.5*0.5</f>
        <v>12.5</v>
      </c>
      <c r="G780" s="648">
        <f>VLOOKUP(A780,[33]ÍNDICE!$C$6:$N$380,12,FALSE)</f>
        <v>468038.05777015106</v>
      </c>
      <c r="H780" s="583">
        <f>F780*G780</f>
        <v>5850475.7221268881</v>
      </c>
    </row>
    <row r="781" spans="1:8" s="565" customFormat="1" ht="38.1" customHeight="1">
      <c r="A781" s="571" t="s">
        <v>579</v>
      </c>
      <c r="B781" s="571" t="str">
        <f>MID(A781,1,3)&amp;"-"&amp;13</f>
        <v>465-13</v>
      </c>
      <c r="C781" s="571"/>
      <c r="D781" s="619" t="str">
        <f>VLOOKUP(A781,[33]ÍNDICE!$C$6:$N$380,5,FALSE)</f>
        <v>EXCAVACIÓN PARA REPARACIÓN DE PAVIMENTO ASFÁLTICO EXISTENTE INCLUYENDO EL CORTE Y LA REMOCIÓN DE LAS CAPAS ASFÁLTICAS SUBYACENTES</v>
      </c>
      <c r="E781" s="629" t="str">
        <f>VLOOKUP(A781,[33]ÍNDICE!$C$6:$N$380,2,FALSE)</f>
        <v>m3</v>
      </c>
      <c r="F781" s="618">
        <f>10*2.5*0.15</f>
        <v>3.75</v>
      </c>
      <c r="G781" s="648">
        <f>VLOOKUP(A781,[33]ÍNDICE!$C$6:$N$380,12,FALSE)</f>
        <v>100979.71246565928</v>
      </c>
      <c r="H781" s="583">
        <f>F781*G781</f>
        <v>378673.9217462223</v>
      </c>
    </row>
    <row r="782" spans="1:8" s="565" customFormat="1" ht="15" customHeight="1">
      <c r="A782" s="571" t="s">
        <v>528</v>
      </c>
      <c r="B782" s="571" t="str">
        <f t="shared" ref="B782:B790" si="90">MID(A782,1,3)&amp;"-"&amp;13</f>
        <v>600-13</v>
      </c>
      <c r="C782" s="571"/>
      <c r="D782" s="619" t="str">
        <f>VLOOKUP(A782,[33]ÍNDICE!$C$6:$N$380,5,FALSE)</f>
        <v>EXCAVACIONES VARIAS SIN CLASIFICAR</v>
      </c>
      <c r="E782" s="629" t="str">
        <f>VLOOKUP(A782,[33]ÍNDICE!$C$6:$N$380,2,FALSE)</f>
        <v>m3</v>
      </c>
      <c r="F782" s="585">
        <f>15*2.5*4+30</f>
        <v>180</v>
      </c>
      <c r="G782" s="648">
        <f>VLOOKUP(A782,[33]ÍNDICE!$C$6:$N$380,12,FALSE)</f>
        <v>58828.261120639472</v>
      </c>
      <c r="H782" s="583">
        <f t="shared" si="89"/>
        <v>10589087.001715105</v>
      </c>
    </row>
    <row r="783" spans="1:8" s="565" customFormat="1" ht="15" customHeight="1">
      <c r="A783" s="571" t="s">
        <v>530</v>
      </c>
      <c r="B783" s="571" t="str">
        <f>MID(A783,1,3)&amp;"-"&amp;13</f>
        <v>610-13</v>
      </c>
      <c r="C783" s="571"/>
      <c r="D783" s="619" t="str">
        <f>VLOOKUP(A783,[33]ÍNDICE!$C$6:$N$380,5,FALSE)</f>
        <v>RELLENO PARA ESTRUCTURAS CON SUELO (analizado sin preparación de la superficie base del relleno)</v>
      </c>
      <c r="E783" s="629" t="str">
        <f>VLOOKUP(A783,[33]ÍNDICE!$C$6:$N$380,2,FALSE)</f>
        <v>m3</v>
      </c>
      <c r="F783" s="586">
        <f>0.4*F782</f>
        <v>72</v>
      </c>
      <c r="G783" s="648">
        <f>VLOOKUP(A783,[33]ÍNDICE!$C$6:$N$380,12,FALSE)</f>
        <v>162354.11090657322</v>
      </c>
      <c r="H783" s="583">
        <f t="shared" si="89"/>
        <v>11689495.985273272</v>
      </c>
    </row>
    <row r="784" spans="1:8" s="565" customFormat="1" ht="26.1" customHeight="1">
      <c r="A784" s="571" t="s">
        <v>554</v>
      </c>
      <c r="B784" s="571" t="str">
        <f>MID(A784,1,3)&amp;"-"&amp;13</f>
        <v>450-13</v>
      </c>
      <c r="C784" s="571"/>
      <c r="D784" s="619" t="str">
        <f>VLOOKUP(A784,[33]ÍNDICE!$C$6:$N$380,5,FALSE)</f>
        <v xml:space="preserve">MEZCLA DENSA EN CALIENTE TIPO MDC‐19 - COMPRA DE MEZCLA </v>
      </c>
      <c r="E784" s="629" t="str">
        <f>VLOOKUP(A784,[33]ÍNDICE!$C$6:$N$380,2,FALSE)</f>
        <v>m3</v>
      </c>
      <c r="F784" s="618">
        <f>F781</f>
        <v>3.75</v>
      </c>
      <c r="G784" s="648">
        <f>VLOOKUP(A784,[33]ÍNDICE!$C$6:$N$380,12,FALSE)</f>
        <v>1677232.0782508166</v>
      </c>
      <c r="H784" s="583">
        <f t="shared" si="89"/>
        <v>6289620.2934405617</v>
      </c>
    </row>
    <row r="785" spans="1:10" s="565" customFormat="1" ht="15" customHeight="1">
      <c r="A785" s="571" t="s">
        <v>537</v>
      </c>
      <c r="B785" s="571" t="str">
        <f t="shared" si="90"/>
        <v>630-13</v>
      </c>
      <c r="C785" s="571"/>
      <c r="D785" s="619" t="str">
        <f>VLOOKUP(A785,[33]ÍNDICE!$C$6:$N$380,5,FALSE)</f>
        <v>CONCRETO REFORZADO RESISTENCIA 21MPa (D) - MEZCLA IN SITU</v>
      </c>
      <c r="E785" s="629" t="str">
        <f>VLOOKUP(A785,[33]ÍNDICE!$C$6:$N$380,2,FALSE)</f>
        <v>m3</v>
      </c>
      <c r="F785" s="586">
        <f>2*0.2*15*2+2*2.5*0.3*15+6*2.5*3*0.3+5</f>
        <v>53</v>
      </c>
      <c r="G785" s="648">
        <f>VLOOKUP(A785,[33]ÍNDICE!$C$6:$N$380,12,FALSE)</f>
        <v>1243512.4574943627</v>
      </c>
      <c r="H785" s="583">
        <f t="shared" si="89"/>
        <v>65906160.247201227</v>
      </c>
      <c r="J785" s="588"/>
    </row>
    <row r="786" spans="1:10" s="565" customFormat="1" ht="15" customHeight="1">
      <c r="A786" s="571" t="s">
        <v>541</v>
      </c>
      <c r="B786" s="571" t="str">
        <f t="shared" si="90"/>
        <v>640-13</v>
      </c>
      <c r="C786" s="571"/>
      <c r="D786" s="619" t="str">
        <f>VLOOKUP(A786,[33]ÍNDICE!$C$6:$N$380,5,FALSE)</f>
        <v>ACERO DE REFUERZO Fy 4200 MPa</v>
      </c>
      <c r="E786" s="629" t="str">
        <f>VLOOKUP(A786,[33]ÍNDICE!$C$6:$N$380,2,FALSE)</f>
        <v>kg</v>
      </c>
      <c r="F786" s="585">
        <f>F785*105</f>
        <v>5565</v>
      </c>
      <c r="G786" s="648">
        <f>VLOOKUP(A786,[33]ÍNDICE!$C$6:$N$380,12,FALSE)</f>
        <v>7547.7371417119648</v>
      </c>
      <c r="H786" s="583">
        <f t="shared" si="89"/>
        <v>42003157.193627082</v>
      </c>
    </row>
    <row r="787" spans="1:10" s="565" customFormat="1" ht="26.1" customHeight="1">
      <c r="A787" s="571" t="s">
        <v>545</v>
      </c>
      <c r="B787" s="571" t="str">
        <f>MID(A787,1,3)&amp;"-"&amp;13</f>
        <v>671-13</v>
      </c>
      <c r="C787" s="571"/>
      <c r="D787" s="619" t="str">
        <f>VLOOKUP(A787,[33]ÍNDICE!$C$6:$N$380,5,FALSE)</f>
        <v>CUNETA DE CONCRETO VACIADA IN SITU; INCLUYE LA CONFORMACIÓN DE LA SUPERFICIE DE APOYO</v>
      </c>
      <c r="E787" s="629" t="str">
        <f>VLOOKUP(A787,[33]ÍNDICE!$C$6:$N$380,2,FALSE)</f>
        <v>m3</v>
      </c>
      <c r="F787" s="586">
        <f>20*0.138</f>
        <v>2.7600000000000002</v>
      </c>
      <c r="G787" s="648">
        <f>VLOOKUP(A787,[33]ÍNDICE!$C$6:$N$380,12,FALSE)</f>
        <v>1106254.0341245155</v>
      </c>
      <c r="H787" s="583">
        <f t="shared" si="89"/>
        <v>3053261.1341836629</v>
      </c>
    </row>
    <row r="788" spans="1:10" s="565" customFormat="1" ht="15" customHeight="1">
      <c r="A788" s="571" t="s">
        <v>534</v>
      </c>
      <c r="B788" s="571" t="str">
        <f>MID(A788,1,3)&amp;"-"&amp;13</f>
        <v>673-13</v>
      </c>
      <c r="C788" s="571"/>
      <c r="D788" s="619" t="str">
        <f>VLOOKUP(A788,[33]ÍNDICE!$C$6:$N$380,5,FALSE)</f>
        <v xml:space="preserve">GEOTEXTIL TIPO TEJIDO CON RESISTENCIA A LA TENSIÓN GRAB MÍNIMA DE 1400 N </v>
      </c>
      <c r="E788" s="629" t="str">
        <f>VLOOKUP(A788,[33]ÍNDICE!$C$6:$N$380,2,FALSE)</f>
        <v>m2</v>
      </c>
      <c r="F788" s="585">
        <f>15*3*2+4*3*1.5</f>
        <v>108</v>
      </c>
      <c r="G788" s="648">
        <f>VLOOKUP(A788,[33]ÍNDICE!$C$6:$N$380,12,FALSE)</f>
        <v>12861.24633460756</v>
      </c>
      <c r="H788" s="583">
        <f t="shared" si="89"/>
        <v>1389014.6041376165</v>
      </c>
    </row>
    <row r="789" spans="1:10" s="565" customFormat="1" ht="15" customHeight="1">
      <c r="A789" s="571" t="s">
        <v>547</v>
      </c>
      <c r="B789" s="571" t="str">
        <f>MID(A789,1,3)&amp;"-"&amp;13</f>
        <v>673-13</v>
      </c>
      <c r="C789" s="571"/>
      <c r="D789" s="619" t="str">
        <f>VLOOKUP(A789,[33]ÍNDICE!$C$6:$N$380,5,FALSE)</f>
        <v>MATERIAL GRANULAR DRENANTE</v>
      </c>
      <c r="E789" s="629" t="str">
        <f>VLOOKUP(A789,[33]ÍNDICE!$C$6:$N$380,2,FALSE)</f>
        <v>m3</v>
      </c>
      <c r="F789" s="586">
        <f>15*2*2*0.5+4*2*0.5</f>
        <v>34</v>
      </c>
      <c r="G789" s="648">
        <f>VLOOKUP(A789,[33]ÍNDICE!$C$6:$N$380,12,FALSE)</f>
        <v>372207.28893037047</v>
      </c>
      <c r="H789" s="583">
        <f t="shared" si="89"/>
        <v>12655047.823632596</v>
      </c>
    </row>
    <row r="790" spans="1:10" s="565" customFormat="1" ht="26.1" customHeight="1" thickBot="1">
      <c r="A790" s="571" t="s">
        <v>535</v>
      </c>
      <c r="B790" s="571" t="str">
        <f t="shared" si="90"/>
        <v>681-13</v>
      </c>
      <c r="C790" s="571"/>
      <c r="D790" s="619" t="str">
        <f>VLOOKUP(A790,[33]ÍNDICE!$C$6:$N$380,5,FALSE)</f>
        <v>GAVIONES DE MALLA DE ALAMBRE DE ACERO ENTRELAZADO CLASE 1; RECUBRIMIENTO DE ZINC (GALVANIZADO)</v>
      </c>
      <c r="E790" s="629" t="str">
        <f>VLOOKUP(A790,[33]ÍNDICE!$C$6:$N$380,2,FALSE)</f>
        <v>m3</v>
      </c>
      <c r="F790" s="585">
        <v>20</v>
      </c>
      <c r="G790" s="648">
        <f>VLOOKUP(A790,[33]ÍNDICE!$C$6:$N$380,12,FALSE)</f>
        <v>601666.19528525032</v>
      </c>
      <c r="H790" s="583">
        <f t="shared" si="89"/>
        <v>12033323.905705007</v>
      </c>
    </row>
    <row r="791" spans="1:10" s="565" customFormat="1" ht="15" customHeight="1" thickTop="1">
      <c r="A791" s="574"/>
      <c r="B791" s="574"/>
      <c r="C791" s="574"/>
      <c r="D791" s="575"/>
      <c r="E791" s="589"/>
      <c r="F791" s="590"/>
      <c r="G791" s="576" t="s">
        <v>524</v>
      </c>
      <c r="H791" s="1507">
        <f>SUM(H779:H790)</f>
        <v>178152372.18708557</v>
      </c>
    </row>
    <row r="792" spans="1:10" s="565" customFormat="1" ht="15" customHeight="1">
      <c r="A792" s="577"/>
      <c r="B792" s="577"/>
      <c r="C792" s="577"/>
      <c r="D792" s="578"/>
      <c r="E792" s="562"/>
      <c r="F792" s="580"/>
      <c r="G792" s="579" t="s">
        <v>525</v>
      </c>
      <c r="H792" s="1508">
        <f>SUM(H791:H791)*0.05*0.19/1.3</f>
        <v>1301882.7198287023</v>
      </c>
    </row>
    <row r="793" spans="1:10" s="565" customFormat="1" ht="15" customHeight="1" thickBot="1">
      <c r="A793" s="561"/>
      <c r="B793" s="560"/>
      <c r="C793" s="560"/>
      <c r="D793" s="561"/>
      <c r="E793" s="562"/>
      <c r="F793" s="580"/>
      <c r="G793" s="579" t="s">
        <v>526</v>
      </c>
      <c r="H793" s="1509">
        <f>+ROUND(H791+H792,0)</f>
        <v>179454255</v>
      </c>
    </row>
    <row r="794" spans="1:10" s="565" customFormat="1" ht="15" customHeight="1" thickTop="1">
      <c r="A794" s="561"/>
      <c r="B794" s="560"/>
      <c r="C794" s="560"/>
      <c r="D794" s="561"/>
      <c r="E794" s="562"/>
      <c r="F794" s="563"/>
      <c r="G794" s="617"/>
      <c r="H794" s="1506"/>
    </row>
    <row r="795" spans="1:10" s="565" customFormat="1" ht="15" customHeight="1">
      <c r="A795" s="561"/>
      <c r="B795" s="560"/>
      <c r="C795" s="560"/>
      <c r="D795" s="561"/>
      <c r="E795" s="562"/>
      <c r="F795" s="563"/>
      <c r="G795" s="617"/>
      <c r="H795" s="1506"/>
    </row>
    <row r="796" spans="1:10" s="565" customFormat="1" ht="15" customHeight="1">
      <c r="A796" s="561"/>
      <c r="B796" s="560"/>
      <c r="C796" s="560"/>
      <c r="D796" s="561"/>
      <c r="E796" s="562"/>
      <c r="F796" s="563"/>
      <c r="G796" s="617"/>
      <c r="H796" s="1506"/>
    </row>
    <row r="797" spans="1:10" s="565" customFormat="1" ht="13.5" thickBot="1">
      <c r="A797" s="566"/>
      <c r="B797" s="567"/>
      <c r="C797" s="566" t="s">
        <v>631</v>
      </c>
      <c r="D797" s="566"/>
      <c r="E797" s="567"/>
      <c r="F797" s="566"/>
      <c r="G797" s="616"/>
      <c r="H797" s="569"/>
    </row>
    <row r="798" spans="1:10" s="565" customFormat="1" ht="15" customHeight="1" thickTop="1">
      <c r="A798" s="571" t="s">
        <v>528</v>
      </c>
      <c r="B798" s="571" t="str">
        <f t="shared" ref="B798:B804" si="91">MID(A798,1,3)&amp;"-"&amp;13</f>
        <v>600-13</v>
      </c>
      <c r="C798" s="595"/>
      <c r="D798" s="619" t="str">
        <f>VLOOKUP(A798,[33]ÍNDICE!$C$6:$N$380,5,FALSE)</f>
        <v>EXCAVACIONES VARIAS SIN CLASIFICAR</v>
      </c>
      <c r="E798" s="629" t="str">
        <f>VLOOKUP(A798,[33]ÍNDICE!$C$6:$N$380,2,FALSE)</f>
        <v>m3</v>
      </c>
      <c r="F798" s="596">
        <f>120*0.5</f>
        <v>60</v>
      </c>
      <c r="G798" s="648">
        <f>VLOOKUP(A798,[33]ÍNDICE!$C$6:$N$380,12,FALSE)</f>
        <v>58828.261120639472</v>
      </c>
      <c r="H798" s="597">
        <f t="shared" ref="H798:H804" si="92">F798*G798</f>
        <v>3529695.6672383682</v>
      </c>
    </row>
    <row r="799" spans="1:10" s="565" customFormat="1" ht="15" customHeight="1">
      <c r="A799" s="571" t="s">
        <v>530</v>
      </c>
      <c r="B799" s="571" t="str">
        <f>MID(A799,1,3)&amp;"-"&amp;13</f>
        <v>610-13</v>
      </c>
      <c r="C799" s="571"/>
      <c r="D799" s="619" t="str">
        <f>VLOOKUP(A799,[33]ÍNDICE!$C$6:$N$380,5,FALSE)</f>
        <v>RELLENO PARA ESTRUCTURAS CON SUELO (analizado sin preparación de la superficie base del relleno)</v>
      </c>
      <c r="E799" s="629" t="str">
        <f>VLOOKUP(A799,[33]ÍNDICE!$C$6:$N$380,2,FALSE)</f>
        <v>m3</v>
      </c>
      <c r="F799" s="586">
        <f>120*0.4</f>
        <v>48</v>
      </c>
      <c r="G799" s="648">
        <f>VLOOKUP(A799,[33]ÍNDICE!$C$6:$N$380,12,FALSE)</f>
        <v>162354.11090657322</v>
      </c>
      <c r="H799" s="583">
        <f>F799*G799</f>
        <v>7792997.3235155139</v>
      </c>
    </row>
    <row r="800" spans="1:10" s="565" customFormat="1" ht="15" customHeight="1">
      <c r="A800" s="571" t="s">
        <v>531</v>
      </c>
      <c r="B800" s="571" t="str">
        <f t="shared" si="91"/>
        <v>630-13</v>
      </c>
      <c r="C800" s="571"/>
      <c r="D800" s="619" t="str">
        <f>VLOOKUP(A800,[33]ÍNDICE!$C$6:$N$380,5,FALSE)</f>
        <v>CONCRETO SIMPLE RESISTENCIA 17 MPa - MEZCLA IN SITU</v>
      </c>
      <c r="E800" s="629" t="str">
        <f>VLOOKUP(A800,[33]ÍNDICE!$C$6:$N$380,2,FALSE)</f>
        <v>m3</v>
      </c>
      <c r="F800" s="586">
        <f>120*0.55</f>
        <v>66</v>
      </c>
      <c r="G800" s="648">
        <f>VLOOKUP(A800,[33]ÍNDICE!$C$6:$N$380,12,FALSE)</f>
        <v>994779.33062365581</v>
      </c>
      <c r="H800" s="583">
        <f t="shared" si="92"/>
        <v>65655435.821161285</v>
      </c>
    </row>
    <row r="801" spans="1:8" s="565" customFormat="1" ht="15" customHeight="1">
      <c r="A801" s="571" t="s">
        <v>532</v>
      </c>
      <c r="B801" s="571" t="str">
        <f t="shared" si="91"/>
        <v>630-13</v>
      </c>
      <c r="C801" s="571"/>
      <c r="D801" s="619" t="str">
        <f>VLOOKUP(A801,[33]ÍNDICE!$C$6:$N$380,5,FALSE)</f>
        <v>CONCRETO CICLÓPEO RESISTENCIA 14MPa (G)</v>
      </c>
      <c r="E801" s="629" t="str">
        <f>VLOOKUP(A801,[33]ÍNDICE!$C$6:$N$380,2,FALSE)</f>
        <v>m3</v>
      </c>
      <c r="F801" s="598">
        <v>10</v>
      </c>
      <c r="G801" s="648">
        <f>VLOOKUP(A801,[33]ÍNDICE!$C$6:$N$380,12,FALSE)</f>
        <v>680494.66759275761</v>
      </c>
      <c r="H801" s="583">
        <f t="shared" si="92"/>
        <v>6804946.6759275757</v>
      </c>
    </row>
    <row r="802" spans="1:8" s="565" customFormat="1" ht="15" customHeight="1">
      <c r="A802" s="571" t="s">
        <v>541</v>
      </c>
      <c r="B802" s="571" t="str">
        <f t="shared" si="91"/>
        <v>640-13</v>
      </c>
      <c r="C802" s="571"/>
      <c r="D802" s="619" t="str">
        <f>VLOOKUP(A802,[33]ÍNDICE!$C$6:$N$380,5,FALSE)</f>
        <v>ACERO DE REFUERZO Fy 4200 MPa</v>
      </c>
      <c r="E802" s="629" t="str">
        <f>VLOOKUP(A802,[33]ÍNDICE!$C$6:$N$380,2,FALSE)</f>
        <v>kg</v>
      </c>
      <c r="F802" s="585">
        <f>F800*105</f>
        <v>6930</v>
      </c>
      <c r="G802" s="648">
        <f>VLOOKUP(A802,[33]ÍNDICE!$C$6:$N$380,12,FALSE)</f>
        <v>7547.7371417119648</v>
      </c>
      <c r="H802" s="583">
        <f t="shared" si="92"/>
        <v>52305818.392063916</v>
      </c>
    </row>
    <row r="803" spans="1:8" s="565" customFormat="1" ht="15" customHeight="1">
      <c r="A803" s="571" t="s">
        <v>534</v>
      </c>
      <c r="B803" s="571" t="str">
        <f>MID(A803,1,3)&amp;"-"&amp;13</f>
        <v>673-13</v>
      </c>
      <c r="C803" s="571"/>
      <c r="D803" s="619" t="str">
        <f>VLOOKUP(A803,[33]ÍNDICE!$C$6:$N$380,5,FALSE)</f>
        <v xml:space="preserve">GEOTEXTIL TIPO TEJIDO CON RESISTENCIA A LA TENSIÓN GRAB MÍNIMA DE 1400 N </v>
      </c>
      <c r="E803" s="629" t="str">
        <f>VLOOKUP(A803,[33]ÍNDICE!$C$6:$N$380,2,FALSE)</f>
        <v>m2</v>
      </c>
      <c r="F803" s="585">
        <v>90</v>
      </c>
      <c r="G803" s="648">
        <f>VLOOKUP(A803,[33]ÍNDICE!$C$6:$N$380,12,FALSE)</f>
        <v>12861.24633460756</v>
      </c>
      <c r="H803" s="583">
        <f>F803*G803</f>
        <v>1157512.1701146804</v>
      </c>
    </row>
    <row r="804" spans="1:8" s="565" customFormat="1" ht="26.1" customHeight="1" thickBot="1">
      <c r="A804" s="571" t="s">
        <v>535</v>
      </c>
      <c r="B804" s="571" t="str">
        <f t="shared" si="91"/>
        <v>681-13</v>
      </c>
      <c r="C804" s="571"/>
      <c r="D804" s="619" t="str">
        <f>VLOOKUP(A804,[33]ÍNDICE!$C$6:$N$380,5,FALSE)</f>
        <v>GAVIONES DE MALLA DE ALAMBRE DE ACERO ENTRELAZADO CLASE 1; RECUBRIMIENTO DE ZINC (GALVANIZADO)</v>
      </c>
      <c r="E804" s="629" t="str">
        <f>VLOOKUP(A804,[33]ÍNDICE!$C$6:$N$380,2,FALSE)</f>
        <v>m3</v>
      </c>
      <c r="F804" s="585">
        <v>75</v>
      </c>
      <c r="G804" s="648">
        <f>VLOOKUP(A804,[33]ÍNDICE!$C$6:$N$380,12,FALSE)</f>
        <v>601666.19528525032</v>
      </c>
      <c r="H804" s="583">
        <f t="shared" si="92"/>
        <v>45124964.646393776</v>
      </c>
    </row>
    <row r="805" spans="1:8" s="565" customFormat="1" ht="15" customHeight="1" thickTop="1">
      <c r="A805" s="574"/>
      <c r="B805" s="574"/>
      <c r="C805" s="574"/>
      <c r="D805" s="575"/>
      <c r="E805" s="589"/>
      <c r="F805" s="590"/>
      <c r="G805" s="600" t="s">
        <v>524</v>
      </c>
      <c r="H805" s="1507">
        <f>SUM(H798:H804)</f>
        <v>182371370.6964151</v>
      </c>
    </row>
    <row r="806" spans="1:8" s="565" customFormat="1" ht="15" customHeight="1">
      <c r="A806" s="577"/>
      <c r="B806" s="577"/>
      <c r="C806" s="577"/>
      <c r="D806" s="578"/>
      <c r="E806" s="562"/>
      <c r="F806" s="580"/>
      <c r="G806" s="601" t="s">
        <v>525</v>
      </c>
      <c r="H806" s="1508">
        <f>SUM(H805:H805)*0.05*0.19/1.3</f>
        <v>1332713.8627814951</v>
      </c>
    </row>
    <row r="807" spans="1:8" s="565" customFormat="1" ht="15" customHeight="1" thickBot="1">
      <c r="A807" s="561"/>
      <c r="B807" s="560"/>
      <c r="C807" s="560"/>
      <c r="D807" s="561"/>
      <c r="E807" s="562"/>
      <c r="F807" s="580"/>
      <c r="G807" s="601" t="s">
        <v>526</v>
      </c>
      <c r="H807" s="1509">
        <f>+ROUND(H805+H806,0)</f>
        <v>183704085</v>
      </c>
    </row>
    <row r="808" spans="1:8" s="565" customFormat="1" ht="15" customHeight="1" thickTop="1">
      <c r="A808" s="561"/>
      <c r="B808" s="560"/>
      <c r="C808" s="560"/>
      <c r="D808" s="561"/>
      <c r="E808" s="562"/>
      <c r="F808" s="563"/>
      <c r="G808" s="617"/>
      <c r="H808" s="1506"/>
    </row>
    <row r="809" spans="1:8" s="565" customFormat="1" ht="12.75" customHeight="1" thickBot="1">
      <c r="A809" s="566"/>
      <c r="B809" s="567"/>
      <c r="C809" s="566" t="s">
        <v>632</v>
      </c>
      <c r="D809" s="566"/>
      <c r="E809" s="567"/>
      <c r="F809" s="566"/>
      <c r="G809" s="616"/>
      <c r="H809" s="569"/>
    </row>
    <row r="810" spans="1:8" s="565" customFormat="1" ht="15" customHeight="1" thickTop="1">
      <c r="A810" s="572" t="s">
        <v>549</v>
      </c>
      <c r="B810" s="572" t="str">
        <f>MID(A810,1,3)&amp;"-"&amp;13</f>
        <v>201-13</v>
      </c>
      <c r="C810" s="572"/>
      <c r="D810" s="619" t="str">
        <f>VLOOKUP(A810,[33]ÍNDICE!$C$6:$N$380,5,FALSE)</f>
        <v>DEMOLICIÓN DE ESTRUCTURAS</v>
      </c>
      <c r="E810" s="629" t="str">
        <f>VLOOKUP(A810,[33]ÍNDICE!$C$6:$N$380,2,FALSE)</f>
        <v>m3</v>
      </c>
      <c r="F810" s="592">
        <f>2*2*0.2+0.2*3*2+3</f>
        <v>5</v>
      </c>
      <c r="G810" s="648">
        <f>VLOOKUP(A810,[33]ÍNDICE!$C$6:$N$380,12,FALSE)</f>
        <v>217760.49497573468</v>
      </c>
      <c r="H810" s="573">
        <f>F810*G810</f>
        <v>1088802.4748786734</v>
      </c>
    </row>
    <row r="811" spans="1:8" s="565" customFormat="1" ht="15" customHeight="1">
      <c r="A811" s="571" t="s">
        <v>528</v>
      </c>
      <c r="B811" s="571" t="str">
        <f t="shared" ref="B811:B817" si="93">MID(A811,1,3)&amp;"-"&amp;13</f>
        <v>600-13</v>
      </c>
      <c r="C811" s="571"/>
      <c r="D811" s="619" t="str">
        <f>VLOOKUP(A811,[33]ÍNDICE!$C$6:$N$380,5,FALSE)</f>
        <v>EXCAVACIONES VARIAS SIN CLASIFICAR</v>
      </c>
      <c r="E811" s="629" t="str">
        <f>VLOOKUP(A811,[33]ÍNDICE!$C$6:$N$380,2,FALSE)</f>
        <v>m3</v>
      </c>
      <c r="F811" s="585">
        <f>0.5*40</f>
        <v>20</v>
      </c>
      <c r="G811" s="648">
        <f>VLOOKUP(A811,[33]ÍNDICE!$C$6:$N$380,12,FALSE)</f>
        <v>58828.261120639472</v>
      </c>
      <c r="H811" s="583">
        <f t="shared" ref="H811:H817" si="94">F811*G811</f>
        <v>1176565.2224127895</v>
      </c>
    </row>
    <row r="812" spans="1:8" s="565" customFormat="1" ht="15" customHeight="1">
      <c r="A812" s="571" t="s">
        <v>530</v>
      </c>
      <c r="B812" s="571" t="str">
        <f>MID(A812,1,3)&amp;"-"&amp;13</f>
        <v>610-13</v>
      </c>
      <c r="C812" s="571"/>
      <c r="D812" s="619" t="str">
        <f>VLOOKUP(A812,[33]ÍNDICE!$C$6:$N$380,5,FALSE)</f>
        <v>RELLENO PARA ESTRUCTURAS CON SUELO (analizado sin preparación de la superficie base del relleno)</v>
      </c>
      <c r="E812" s="629" t="str">
        <f>VLOOKUP(A812,[33]ÍNDICE!$C$6:$N$380,2,FALSE)</f>
        <v>m3</v>
      </c>
      <c r="F812" s="586">
        <f>0.4*40</f>
        <v>16</v>
      </c>
      <c r="G812" s="648">
        <f>VLOOKUP(A812,[33]ÍNDICE!$C$6:$N$380,12,FALSE)</f>
        <v>162354.11090657322</v>
      </c>
      <c r="H812" s="583">
        <f>F812*G812</f>
        <v>2597665.7745051715</v>
      </c>
    </row>
    <row r="813" spans="1:8" s="565" customFormat="1" ht="15" customHeight="1">
      <c r="A813" s="571" t="s">
        <v>531</v>
      </c>
      <c r="B813" s="571" t="str">
        <f t="shared" si="93"/>
        <v>630-13</v>
      </c>
      <c r="C813" s="571"/>
      <c r="D813" s="619" t="str">
        <f>VLOOKUP(A813,[33]ÍNDICE!$C$6:$N$380,5,FALSE)</f>
        <v>CONCRETO SIMPLE RESISTENCIA 17 MPa - MEZCLA IN SITU</v>
      </c>
      <c r="E813" s="629" t="str">
        <f>VLOOKUP(A813,[33]ÍNDICE!$C$6:$N$380,2,FALSE)</f>
        <v>m3</v>
      </c>
      <c r="F813" s="586">
        <f>0.55*40</f>
        <v>22</v>
      </c>
      <c r="G813" s="648">
        <f>VLOOKUP(A813,[33]ÍNDICE!$C$6:$N$380,12,FALSE)</f>
        <v>994779.33062365581</v>
      </c>
      <c r="H813" s="583">
        <f t="shared" si="94"/>
        <v>21885145.273720428</v>
      </c>
    </row>
    <row r="814" spans="1:8" s="565" customFormat="1" ht="15" customHeight="1">
      <c r="A814" s="571" t="s">
        <v>532</v>
      </c>
      <c r="B814" s="571" t="str">
        <f t="shared" si="93"/>
        <v>630-13</v>
      </c>
      <c r="C814" s="571"/>
      <c r="D814" s="619" t="str">
        <f>VLOOKUP(A814,[33]ÍNDICE!$C$6:$N$380,5,FALSE)</f>
        <v>CONCRETO CICLÓPEO RESISTENCIA 14MPa (G)</v>
      </c>
      <c r="E814" s="629" t="str">
        <f>VLOOKUP(A814,[33]ÍNDICE!$C$6:$N$380,2,FALSE)</f>
        <v>m3</v>
      </c>
      <c r="F814" s="598">
        <v>10</v>
      </c>
      <c r="G814" s="648">
        <f>VLOOKUP(A814,[33]ÍNDICE!$C$6:$N$380,12,FALSE)</f>
        <v>680494.66759275761</v>
      </c>
      <c r="H814" s="583">
        <f t="shared" si="94"/>
        <v>6804946.6759275757</v>
      </c>
    </row>
    <row r="815" spans="1:8" s="565" customFormat="1" ht="15" customHeight="1">
      <c r="A815" s="571" t="s">
        <v>541</v>
      </c>
      <c r="B815" s="571" t="str">
        <f t="shared" si="93"/>
        <v>640-13</v>
      </c>
      <c r="C815" s="571"/>
      <c r="D815" s="619" t="str">
        <f>VLOOKUP(A815,[33]ÍNDICE!$C$6:$N$380,5,FALSE)</f>
        <v>ACERO DE REFUERZO Fy 4200 MPa</v>
      </c>
      <c r="E815" s="629" t="str">
        <f>VLOOKUP(A815,[33]ÍNDICE!$C$6:$N$380,2,FALSE)</f>
        <v>kg</v>
      </c>
      <c r="F815" s="585">
        <f>F813*105</f>
        <v>2310</v>
      </c>
      <c r="G815" s="648">
        <f>VLOOKUP(A815,[33]ÍNDICE!$C$6:$N$380,12,FALSE)</f>
        <v>7547.7371417119648</v>
      </c>
      <c r="H815" s="583">
        <f t="shared" si="94"/>
        <v>17435272.797354639</v>
      </c>
    </row>
    <row r="816" spans="1:8" s="565" customFormat="1" ht="15" customHeight="1">
      <c r="A816" s="571" t="s">
        <v>534</v>
      </c>
      <c r="B816" s="571" t="str">
        <f>MID(A816,1,3)&amp;"-"&amp;13</f>
        <v>673-13</v>
      </c>
      <c r="C816" s="571"/>
      <c r="D816" s="619" t="str">
        <f>VLOOKUP(A816,[33]ÍNDICE!$C$6:$N$380,5,FALSE)</f>
        <v xml:space="preserve">GEOTEXTIL TIPO TEJIDO CON RESISTENCIA A LA TENSIÓN GRAB MÍNIMA DE 1400 N </v>
      </c>
      <c r="E816" s="629" t="str">
        <f>VLOOKUP(A816,[33]ÍNDICE!$C$6:$N$380,2,FALSE)</f>
        <v>m2</v>
      </c>
      <c r="F816" s="585">
        <v>36</v>
      </c>
      <c r="G816" s="648">
        <f>VLOOKUP(A816,[33]ÍNDICE!$C$6:$N$380,12,FALSE)</f>
        <v>12861.24633460756</v>
      </c>
      <c r="H816" s="583">
        <f>F816*G816</f>
        <v>463004.86804587219</v>
      </c>
    </row>
    <row r="817" spans="1:10" s="565" customFormat="1" ht="26.1" customHeight="1" thickBot="1">
      <c r="A817" s="571" t="s">
        <v>535</v>
      </c>
      <c r="B817" s="571" t="str">
        <f t="shared" si="93"/>
        <v>681-13</v>
      </c>
      <c r="C817" s="571"/>
      <c r="D817" s="619" t="str">
        <f>VLOOKUP(A817,[33]ÍNDICE!$C$6:$N$380,5,FALSE)</f>
        <v>GAVIONES DE MALLA DE ALAMBRE DE ACERO ENTRELAZADO CLASE 1; RECUBRIMIENTO DE ZINC (GALVANIZADO)</v>
      </c>
      <c r="E817" s="629" t="str">
        <f>VLOOKUP(A817,[33]ÍNDICE!$C$6:$N$380,2,FALSE)</f>
        <v>m3</v>
      </c>
      <c r="F817" s="585">
        <v>10</v>
      </c>
      <c r="G817" s="648">
        <f>VLOOKUP(A817,[33]ÍNDICE!$C$6:$N$380,12,FALSE)</f>
        <v>601666.19528525032</v>
      </c>
      <c r="H817" s="583">
        <f t="shared" si="94"/>
        <v>6016661.9528525034</v>
      </c>
    </row>
    <row r="818" spans="1:10" s="565" customFormat="1" ht="15" customHeight="1" thickTop="1">
      <c r="A818" s="574"/>
      <c r="B818" s="574"/>
      <c r="C818" s="574"/>
      <c r="D818" s="575"/>
      <c r="E818" s="589"/>
      <c r="F818" s="590"/>
      <c r="G818" s="600" t="s">
        <v>524</v>
      </c>
      <c r="H818" s="1507">
        <f>SUM(H810:H817)</f>
        <v>57468065.039697655</v>
      </c>
    </row>
    <row r="819" spans="1:10" s="565" customFormat="1" ht="15" customHeight="1">
      <c r="A819" s="577"/>
      <c r="B819" s="577"/>
      <c r="C819" s="577"/>
      <c r="D819" s="578"/>
      <c r="E819" s="562"/>
      <c r="F819" s="580"/>
      <c r="G819" s="601" t="s">
        <v>525</v>
      </c>
      <c r="H819" s="1508">
        <f>SUM(H818:H818)*0.05*0.19/1.3</f>
        <v>419958.93682855985</v>
      </c>
    </row>
    <row r="820" spans="1:10" s="565" customFormat="1" ht="15" customHeight="1" thickBot="1">
      <c r="A820" s="561"/>
      <c r="B820" s="560"/>
      <c r="C820" s="560"/>
      <c r="D820" s="561"/>
      <c r="E820" s="562"/>
      <c r="F820" s="580"/>
      <c r="G820" s="601" t="s">
        <v>526</v>
      </c>
      <c r="H820" s="1509">
        <f>+ROUND(H818+H819,0)</f>
        <v>57888024</v>
      </c>
    </row>
    <row r="821" spans="1:10" s="565" customFormat="1" ht="12.75" customHeight="1" thickTop="1">
      <c r="A821" s="561"/>
      <c r="B821" s="560"/>
      <c r="C821" s="560"/>
      <c r="D821" s="561"/>
      <c r="E821" s="562"/>
      <c r="F821" s="563"/>
      <c r="G821" s="564"/>
      <c r="H821" s="1506"/>
    </row>
    <row r="822" spans="1:10" s="565" customFormat="1" ht="13.5" thickBot="1">
      <c r="A822" s="566"/>
      <c r="B822" s="567"/>
      <c r="C822" s="566" t="s">
        <v>633</v>
      </c>
      <c r="D822" s="566"/>
      <c r="E822" s="567"/>
      <c r="F822" s="566"/>
      <c r="G822" s="616"/>
      <c r="H822" s="569"/>
    </row>
    <row r="823" spans="1:10" s="565" customFormat="1" ht="15" customHeight="1" thickTop="1">
      <c r="A823" s="571" t="s">
        <v>578</v>
      </c>
      <c r="B823" s="571" t="str">
        <f>MID(A823,1,3)&amp;"-"&amp;13</f>
        <v>330-13</v>
      </c>
      <c r="C823" s="571"/>
      <c r="D823" s="619" t="str">
        <f>VLOOKUP(A823,[33]ÍNDICE!$C$6:$N$380,5,FALSE)</f>
        <v>BASE GRANULAR PARA BACHEO CLASE A GRADACION FINA</v>
      </c>
      <c r="E823" s="581" t="str">
        <f>VLOOKUP(A823,[33]ÍNDICE!$C$6:$N$380,2,FALSE)</f>
        <v>m3</v>
      </c>
      <c r="F823" s="618">
        <v>18</v>
      </c>
      <c r="G823" s="613">
        <f>VLOOKUP(A823,[33]ÍNDICE!$C$6:$N$380,12,FALSE)</f>
        <v>468038.05777015106</v>
      </c>
      <c r="H823" s="583">
        <f>F823*G823</f>
        <v>8424685.0398627184</v>
      </c>
    </row>
    <row r="824" spans="1:10" s="565" customFormat="1" ht="26.1" customHeight="1">
      <c r="A824" s="571" t="s">
        <v>554</v>
      </c>
      <c r="B824" s="571" t="str">
        <f>MID(A824,1,3)&amp;"-"&amp;13</f>
        <v>450-13</v>
      </c>
      <c r="C824" s="571"/>
      <c r="D824" s="619" t="str">
        <f>VLOOKUP(A824,[33]ÍNDICE!$C$6:$N$380,5,FALSE)</f>
        <v xml:space="preserve">MEZCLA DENSA EN CALIENTE TIPO MDC‐19 - COMPRA DE MEZCLA </v>
      </c>
      <c r="E824" s="581" t="str">
        <f>VLOOKUP(A824,[33]ÍNDICE!$C$6:$N$380,2,FALSE)</f>
        <v>m3</v>
      </c>
      <c r="F824" s="618">
        <v>6</v>
      </c>
      <c r="G824" s="613">
        <f>VLOOKUP(A824,[33]ÍNDICE!$C$6:$N$380,12,FALSE)</f>
        <v>1677232.0782508166</v>
      </c>
      <c r="H824" s="583">
        <f>F824*G824</f>
        <v>10063392.4695049</v>
      </c>
    </row>
    <row r="825" spans="1:10" s="565" customFormat="1" ht="38.1" customHeight="1">
      <c r="A825" s="571" t="s">
        <v>579</v>
      </c>
      <c r="B825" s="571" t="str">
        <f>MID(A825,1,3)&amp;"-"&amp;13</f>
        <v>465-13</v>
      </c>
      <c r="C825" s="571"/>
      <c r="D825" s="619" t="str">
        <f>VLOOKUP(A825,[33]ÍNDICE!$C$6:$N$380,5,FALSE)</f>
        <v>EXCAVACIÓN PARA REPARACIÓN DE PAVIMENTO ASFÁLTICO EXISTENTE INCLUYENDO EL CORTE Y LA REMOCIÓN DE LAS CAPAS ASFÁLTICAS SUBYACENTES</v>
      </c>
      <c r="E825" s="581" t="str">
        <f>VLOOKUP(A825,[33]ÍNDICE!$C$6:$N$380,2,FALSE)</f>
        <v>m3</v>
      </c>
      <c r="F825" s="618">
        <v>6</v>
      </c>
      <c r="G825" s="613">
        <f>VLOOKUP(A825,[33]ÍNDICE!$C$6:$N$380,12,FALSE)</f>
        <v>100979.71246565928</v>
      </c>
      <c r="H825" s="583">
        <f>F825*G825</f>
        <v>605878.27479395573</v>
      </c>
    </row>
    <row r="826" spans="1:10" s="565" customFormat="1" ht="15" customHeight="1">
      <c r="A826" s="571" t="s">
        <v>528</v>
      </c>
      <c r="B826" s="571" t="str">
        <f t="shared" ref="B826:B833" si="95">MID(A826,1,3)&amp;"-"&amp;13</f>
        <v>600-13</v>
      </c>
      <c r="C826" s="571"/>
      <c r="D826" s="619" t="str">
        <f>VLOOKUP(A826,[33]ÍNDICE!$C$6:$N$380,5,FALSE)</f>
        <v>EXCAVACIONES VARIAS SIN CLASIFICAR</v>
      </c>
      <c r="E826" s="581" t="str">
        <f>VLOOKUP(A826,[33]ÍNDICE!$C$6:$N$380,2,FALSE)</f>
        <v>m3</v>
      </c>
      <c r="F826" s="585">
        <f>15*2.6*4</f>
        <v>156</v>
      </c>
      <c r="G826" s="613">
        <f>VLOOKUP(A826,[33]ÍNDICE!$C$6:$N$380,12,FALSE)</f>
        <v>58828.261120639472</v>
      </c>
      <c r="H826" s="583">
        <f t="shared" ref="H826:H833" si="96">F826*G826</f>
        <v>9177208.7348197568</v>
      </c>
    </row>
    <row r="827" spans="1:10" s="565" customFormat="1" ht="15" customHeight="1">
      <c r="A827" s="571" t="s">
        <v>530</v>
      </c>
      <c r="B827" s="571" t="str">
        <f>MID(A827,1,3)&amp;"-"&amp;13</f>
        <v>610-13</v>
      </c>
      <c r="C827" s="571"/>
      <c r="D827" s="619" t="str">
        <f>VLOOKUP(A827,[33]ÍNDICE!$C$6:$N$380,5,FALSE)</f>
        <v>RELLENO PARA ESTRUCTURAS CON SUELO (analizado sin preparación de la superficie base del relleno)</v>
      </c>
      <c r="E827" s="581" t="str">
        <f>VLOOKUP(A827,[33]ÍNDICE!$C$6:$N$380,2,FALSE)</f>
        <v>m3</v>
      </c>
      <c r="F827" s="586">
        <v>89</v>
      </c>
      <c r="G827" s="613">
        <f>VLOOKUP(A827,[33]ÍNDICE!$C$6:$N$380,12,FALSE)</f>
        <v>162354.11090657322</v>
      </c>
      <c r="H827" s="583">
        <f>F827*G827</f>
        <v>14449515.870685017</v>
      </c>
    </row>
    <row r="828" spans="1:10" s="565" customFormat="1" ht="25.5" customHeight="1">
      <c r="A828" s="571" t="s">
        <v>569</v>
      </c>
      <c r="B828" s="571" t="str">
        <f>MID(A828,1,3)&amp;"-"&amp;13</f>
        <v>621-13</v>
      </c>
      <c r="C828" s="587" t="s">
        <v>540</v>
      </c>
      <c r="D828" s="619" t="str">
        <f>VLOOKUP(A828,[33]ÍNDICE!$C$6:$N$380,5,FALSE)</f>
        <v>PILOTE DE CONCRETO VACIADO IN SITU, DE DIÁMETRO 1 m</v>
      </c>
      <c r="E828" s="581" t="str">
        <f>VLOOKUP(A828,[33]ÍNDICE!$C$6:$N$380,2,FALSE)</f>
        <v>m</v>
      </c>
      <c r="F828" s="585">
        <f>(15/3+1)*12</f>
        <v>72</v>
      </c>
      <c r="G828" s="613">
        <f>VLOOKUP(A828,[33]ÍNDICE!$C$6:$N$380,12,FALSE)</f>
        <v>2838401.3288495345</v>
      </c>
      <c r="H828" s="583">
        <f>F828*G828</f>
        <v>204364895.67716649</v>
      </c>
    </row>
    <row r="829" spans="1:10" s="565" customFormat="1" ht="15" customHeight="1">
      <c r="A829" s="571" t="s">
        <v>537</v>
      </c>
      <c r="B829" s="571" t="str">
        <f t="shared" si="95"/>
        <v>630-13</v>
      </c>
      <c r="C829" s="571"/>
      <c r="D829" s="619" t="str">
        <f>VLOOKUP(A829,[33]ÍNDICE!$C$6:$N$380,5,FALSE)</f>
        <v>CONCRETO REFORZADO RESISTENCIA 21MPa (D) - MEZCLA IN SITU</v>
      </c>
      <c r="E829" s="581" t="str">
        <f>VLOOKUP(A829,[33]ÍNDICE!$C$6:$N$380,2,FALSE)</f>
        <v>m3</v>
      </c>
      <c r="F829" s="586">
        <v>36</v>
      </c>
      <c r="G829" s="613">
        <f>VLOOKUP(A829,[33]ÍNDICE!$C$6:$N$380,12,FALSE)</f>
        <v>1243512.4574943627</v>
      </c>
      <c r="H829" s="583">
        <f t="shared" si="96"/>
        <v>44766448.46979706</v>
      </c>
      <c r="J829" s="588"/>
    </row>
    <row r="830" spans="1:10" s="565" customFormat="1" ht="15" customHeight="1">
      <c r="A830" s="571" t="s">
        <v>541</v>
      </c>
      <c r="B830" s="571" t="str">
        <f t="shared" si="95"/>
        <v>640-13</v>
      </c>
      <c r="C830" s="571"/>
      <c r="D830" s="619" t="str">
        <f>VLOOKUP(A830,[33]ÍNDICE!$C$6:$N$380,5,FALSE)</f>
        <v>ACERO DE REFUERZO Fy 4200 MPa</v>
      </c>
      <c r="E830" s="581" t="str">
        <f>VLOOKUP(A830,[33]ÍNDICE!$C$6:$N$380,2,FALSE)</f>
        <v>kg</v>
      </c>
      <c r="F830" s="585">
        <f>F829*105</f>
        <v>3780</v>
      </c>
      <c r="G830" s="613">
        <f>VLOOKUP(A830,[33]ÍNDICE!$C$6:$N$380,12,FALSE)</f>
        <v>7547.7371417119648</v>
      </c>
      <c r="H830" s="583">
        <f t="shared" si="96"/>
        <v>28530446.395671226</v>
      </c>
    </row>
    <row r="831" spans="1:10" s="565" customFormat="1" ht="26.1" customHeight="1">
      <c r="A831" s="571" t="s">
        <v>545</v>
      </c>
      <c r="B831" s="571" t="str">
        <f>MID(A831,1,3)&amp;"-"&amp;13</f>
        <v>671-13</v>
      </c>
      <c r="C831" s="571"/>
      <c r="D831" s="619" t="str">
        <f>VLOOKUP(A831,[33]ÍNDICE!$C$6:$N$380,5,FALSE)</f>
        <v>CUNETA DE CONCRETO VACIADA IN SITU; INCLUYE LA CONFORMACIÓN DE LA SUPERFICIE DE APOYO</v>
      </c>
      <c r="E831" s="581" t="str">
        <f>VLOOKUP(A831,[33]ÍNDICE!$C$6:$N$380,2,FALSE)</f>
        <v>m3</v>
      </c>
      <c r="F831" s="586">
        <v>3</v>
      </c>
      <c r="G831" s="613">
        <f>VLOOKUP(A831,[33]ÍNDICE!$C$6:$N$380,12,FALSE)</f>
        <v>1106254.0341245155</v>
      </c>
      <c r="H831" s="583">
        <f>F831*G831</f>
        <v>3318762.1023735465</v>
      </c>
    </row>
    <row r="832" spans="1:10" s="565" customFormat="1" ht="15" customHeight="1">
      <c r="A832" s="571" t="s">
        <v>534</v>
      </c>
      <c r="B832" s="571" t="str">
        <f t="shared" si="95"/>
        <v>673-13</v>
      </c>
      <c r="C832" s="571"/>
      <c r="D832" s="619" t="str">
        <f>VLOOKUP(A832,[33]ÍNDICE!$C$6:$N$380,5,FALSE)</f>
        <v xml:space="preserve">GEOTEXTIL TIPO TEJIDO CON RESISTENCIA A LA TENSIÓN GRAB MÍNIMA DE 1400 N </v>
      </c>
      <c r="E832" s="581" t="str">
        <f>VLOOKUP(A832,[33]ÍNDICE!$C$6:$N$380,2,FALSE)</f>
        <v>m2</v>
      </c>
      <c r="F832" s="585">
        <f>(15+2)*4</f>
        <v>68</v>
      </c>
      <c r="G832" s="613">
        <f>VLOOKUP(A832,[33]ÍNDICE!$C$6:$N$380,12,FALSE)</f>
        <v>12861.24633460756</v>
      </c>
      <c r="H832" s="583">
        <f t="shared" si="96"/>
        <v>874564.75075331412</v>
      </c>
    </row>
    <row r="833" spans="1:8" s="565" customFormat="1" ht="15" customHeight="1" thickBot="1">
      <c r="A833" s="571" t="s">
        <v>547</v>
      </c>
      <c r="B833" s="571" t="str">
        <f t="shared" si="95"/>
        <v>673-13</v>
      </c>
      <c r="C833" s="571"/>
      <c r="D833" s="619" t="str">
        <f>VLOOKUP(A833,[33]ÍNDICE!$C$6:$N$380,5,FALSE)</f>
        <v>MATERIAL GRANULAR DRENANTE</v>
      </c>
      <c r="E833" s="581" t="str">
        <f>VLOOKUP(A833,[33]ÍNDICE!$C$6:$N$380,2,FALSE)</f>
        <v>m3</v>
      </c>
      <c r="F833" s="586">
        <v>33</v>
      </c>
      <c r="G833" s="613">
        <f>VLOOKUP(A833,[33]ÍNDICE!$C$6:$N$380,12,FALSE)</f>
        <v>372207.28893037047</v>
      </c>
      <c r="H833" s="583">
        <f t="shared" si="96"/>
        <v>12282840.534702227</v>
      </c>
    </row>
    <row r="834" spans="1:8" s="565" customFormat="1" ht="15" customHeight="1" thickTop="1">
      <c r="A834" s="574"/>
      <c r="B834" s="574"/>
      <c r="C834" s="574"/>
      <c r="D834" s="575"/>
      <c r="E834" s="589"/>
      <c r="F834" s="590"/>
      <c r="G834" s="600" t="s">
        <v>524</v>
      </c>
      <c r="H834" s="1507">
        <f>SUM(H823:H833)</f>
        <v>336858638.32013029</v>
      </c>
    </row>
    <row r="835" spans="1:8" s="565" customFormat="1" ht="15" customHeight="1">
      <c r="A835" s="577"/>
      <c r="B835" s="577"/>
      <c r="C835" s="577"/>
      <c r="D835" s="578"/>
      <c r="E835" s="562"/>
      <c r="F835" s="580"/>
      <c r="G835" s="601" t="s">
        <v>525</v>
      </c>
      <c r="H835" s="1508">
        <f>SUM(H834:H834)*0.05*0.19/1.3</f>
        <v>2461659.2800317216</v>
      </c>
    </row>
    <row r="836" spans="1:8" s="565" customFormat="1" ht="15" customHeight="1" thickBot="1">
      <c r="A836" s="561"/>
      <c r="B836" s="560"/>
      <c r="C836" s="560"/>
      <c r="D836" s="561"/>
      <c r="E836" s="562"/>
      <c r="F836" s="580"/>
      <c r="G836" s="601" t="s">
        <v>526</v>
      </c>
      <c r="H836" s="1509">
        <f>+ROUND(H834+H835,0)</f>
        <v>339320298</v>
      </c>
    </row>
    <row r="837" spans="1:8" s="565" customFormat="1" ht="15" customHeight="1" thickTop="1">
      <c r="A837" s="561"/>
      <c r="B837" s="560"/>
      <c r="C837" s="560"/>
      <c r="D837" s="561"/>
      <c r="E837" s="562"/>
      <c r="F837" s="580"/>
      <c r="G837" s="579"/>
      <c r="H837" s="1510"/>
    </row>
    <row r="838" spans="1:8" s="565" customFormat="1" ht="15" customHeight="1" thickBot="1">
      <c r="A838" s="566"/>
      <c r="B838" s="567"/>
      <c r="C838" s="566" t="s">
        <v>634</v>
      </c>
      <c r="D838" s="566"/>
      <c r="E838" s="567"/>
      <c r="F838" s="566"/>
      <c r="G838" s="616"/>
      <c r="H838" s="569"/>
    </row>
    <row r="839" spans="1:8" s="565" customFormat="1" ht="15" customHeight="1" thickTop="1">
      <c r="A839" s="571" t="s">
        <v>549</v>
      </c>
      <c r="B839" s="571" t="str">
        <f>MID(A839,1,3)&amp;"-"&amp;13</f>
        <v>201-13</v>
      </c>
      <c r="C839" s="571"/>
      <c r="D839" s="619" t="str">
        <f>VLOOKUP(A839,[33]ÍNDICE!$C$6:$N$380,5,FALSE)</f>
        <v>DEMOLICIÓN DE ESTRUCTURAS</v>
      </c>
      <c r="E839" s="629" t="str">
        <f>VLOOKUP(A839,[33]ÍNDICE!$C$6:$N$380,2,FALSE)</f>
        <v>m3</v>
      </c>
      <c r="F839" s="582">
        <f>2*(1.4*0.2*1.5+1*0.2*1.5)+1*1*0.15+3*(2*0.4*1.5)</f>
        <v>5.19</v>
      </c>
      <c r="G839" s="648">
        <f>VLOOKUP(A839,[33]ÍNDICE!$C$6:$N$380,12,FALSE)</f>
        <v>217760.49497573468</v>
      </c>
      <c r="H839" s="583">
        <f t="shared" ref="H839:H850" si="97">F839*G839</f>
        <v>1130176.968924063</v>
      </c>
    </row>
    <row r="840" spans="1:8" s="565" customFormat="1" ht="15" customHeight="1">
      <c r="A840" s="571" t="s">
        <v>550</v>
      </c>
      <c r="B840" s="571" t="str">
        <f>MID(A840,1,3)&amp;"-"&amp;13</f>
        <v>330-13</v>
      </c>
      <c r="C840" s="614"/>
      <c r="D840" s="619" t="str">
        <f>VLOOKUP(A840,[33]ÍNDICE!$C$6:$N$380,5,FALSE)</f>
        <v>BASE GRANULAR CLASE A GRADACION FINA</v>
      </c>
      <c r="E840" s="629" t="str">
        <f>VLOOKUP(A840,[33]ÍNDICE!$C$6:$N$380,2,FALSE)</f>
        <v>m3</v>
      </c>
      <c r="F840" s="586">
        <v>9.9</v>
      </c>
      <c r="G840" s="648">
        <f>VLOOKUP(A840,[33]ÍNDICE!$C$6:$N$380,12,FALSE)</f>
        <v>476364.66746335832</v>
      </c>
      <c r="H840" s="583">
        <f t="shared" si="97"/>
        <v>4716010.2078872472</v>
      </c>
    </row>
    <row r="841" spans="1:8" s="565" customFormat="1" ht="26.1" customHeight="1">
      <c r="A841" s="571" t="s">
        <v>554</v>
      </c>
      <c r="B841" s="571" t="str">
        <f>MID(A841,1,3)&amp;"-"&amp;13</f>
        <v>450-13</v>
      </c>
      <c r="C841" s="571"/>
      <c r="D841" s="619" t="str">
        <f>VLOOKUP(A841,[33]ÍNDICE!$C$6:$N$380,5,FALSE)</f>
        <v xml:space="preserve">MEZCLA DENSA EN CALIENTE TIPO MDC‐19 - COMPRA DE MEZCLA </v>
      </c>
      <c r="E841" s="629" t="str">
        <f>VLOOKUP(A841,[33]ÍNDICE!$C$6:$N$380,2,FALSE)</f>
        <v>m3</v>
      </c>
      <c r="F841" s="618">
        <v>4.95</v>
      </c>
      <c r="G841" s="648">
        <f>VLOOKUP(A841,[33]ÍNDICE!$C$6:$N$380,12,FALSE)</f>
        <v>1677232.0782508166</v>
      </c>
      <c r="H841" s="583">
        <f t="shared" si="97"/>
        <v>8302298.7873415425</v>
      </c>
    </row>
    <row r="842" spans="1:8" s="565" customFormat="1" ht="26.1" customHeight="1">
      <c r="A842" s="571" t="s">
        <v>635</v>
      </c>
      <c r="B842" s="571" t="s">
        <v>636</v>
      </c>
      <c r="C842" s="571"/>
      <c r="D842" s="619" t="str">
        <f>VLOOKUP(A842,[33]ÍNDICE!$C$6:$N$380,5,FALSE)</f>
        <v>RIEGO DE LIGA CON EMULSIÓN ASFÁLTICA CRR-60 (anteriormente CRR-1)</v>
      </c>
      <c r="E842" s="629" t="str">
        <f>VLOOKUP(A842,[33]ÍNDICE!$C$6:$N$380,2,FALSE)</f>
        <v>m2</v>
      </c>
      <c r="F842" s="618">
        <v>33</v>
      </c>
      <c r="G842" s="648">
        <f>VLOOKUP(A842,[33]ÍNDICE!$C$6:$N$380,12,FALSE)</f>
        <v>2059.6660334037642</v>
      </c>
      <c r="H842" s="583">
        <f t="shared" si="97"/>
        <v>67968.979102324214</v>
      </c>
    </row>
    <row r="843" spans="1:8" s="565" customFormat="1" ht="43.5" customHeight="1">
      <c r="A843" s="571" t="s">
        <v>579</v>
      </c>
      <c r="B843" s="571" t="str">
        <f>MID(A843,1,3)&amp;"-"&amp;13</f>
        <v>465-13</v>
      </c>
      <c r="C843" s="571"/>
      <c r="D843" s="619" t="str">
        <f>VLOOKUP(A843,[33]ÍNDICE!$C$6:$N$380,5,FALSE)</f>
        <v>EXCAVACIÓN PARA REPARACIÓN DE PAVIMENTO ASFÁLTICO EXISTENTE INCLUYENDO EL CORTE Y LA REMOCIÓN DE LAS CAPAS ASFÁLTICAS SUBYACENTES</v>
      </c>
      <c r="E843" s="629" t="str">
        <f>VLOOKUP(A843,[33]ÍNDICE!$C$6:$N$380,2,FALSE)</f>
        <v>m3</v>
      </c>
      <c r="F843" s="618">
        <v>9.9</v>
      </c>
      <c r="G843" s="648">
        <f>VLOOKUP(A843,[33]ÍNDICE!$C$6:$N$380,12,FALSE)</f>
        <v>100979.71246565928</v>
      </c>
      <c r="H843" s="583">
        <f t="shared" si="97"/>
        <v>999699.15341002692</v>
      </c>
    </row>
    <row r="844" spans="1:8" s="565" customFormat="1" ht="15" customHeight="1">
      <c r="A844" s="571" t="s">
        <v>528</v>
      </c>
      <c r="B844" s="571" t="str">
        <f>MID(A844,1,3)&amp;"-"&amp;13</f>
        <v>600-13</v>
      </c>
      <c r="C844" s="571"/>
      <c r="D844" s="619" t="str">
        <f>VLOOKUP(A844,[33]ÍNDICE!$C$6:$N$380,5,FALSE)</f>
        <v>EXCAVACIONES VARIAS SIN CLASIFICAR</v>
      </c>
      <c r="E844" s="629" t="str">
        <f>VLOOKUP(A844,[33]ÍNDICE!$C$6:$N$380,2,FALSE)</f>
        <v>m3</v>
      </c>
      <c r="F844" s="585">
        <v>66</v>
      </c>
      <c r="G844" s="648">
        <f>VLOOKUP(A844,[33]ÍNDICE!$C$6:$N$380,12,FALSE)</f>
        <v>58828.261120639472</v>
      </c>
      <c r="H844" s="583">
        <f t="shared" si="97"/>
        <v>3882665.2339622052</v>
      </c>
    </row>
    <row r="845" spans="1:8" s="565" customFormat="1" ht="15" customHeight="1">
      <c r="A845" s="571" t="s">
        <v>530</v>
      </c>
      <c r="B845" s="571" t="str">
        <f>MID(A845,1,3)&amp;"-"&amp;13</f>
        <v>610-13</v>
      </c>
      <c r="C845" s="571"/>
      <c r="D845" s="619" t="str">
        <f>VLOOKUP(A845,[33]ÍNDICE!$C$6:$N$380,5,FALSE)</f>
        <v>RELLENO PARA ESTRUCTURAS CON SUELO (analizado sin preparación de la superficie base del relleno)</v>
      </c>
      <c r="E845" s="629" t="str">
        <f>VLOOKUP(A845,[33]ÍNDICE!$C$6:$N$380,2,FALSE)</f>
        <v>m3</v>
      </c>
      <c r="F845" s="586">
        <v>66</v>
      </c>
      <c r="G845" s="648">
        <f>VLOOKUP(A845,[33]ÍNDICE!$C$6:$N$380,12,FALSE)</f>
        <v>162354.11090657322</v>
      </c>
      <c r="H845" s="583">
        <f t="shared" si="97"/>
        <v>10715371.319833832</v>
      </c>
    </row>
    <row r="846" spans="1:8" s="565" customFormat="1" ht="15" customHeight="1">
      <c r="A846" s="571" t="s">
        <v>537</v>
      </c>
      <c r="B846" s="571">
        <v>630</v>
      </c>
      <c r="C846" s="571"/>
      <c r="D846" s="619" t="str">
        <f>VLOOKUP(A846,[33]ÍNDICE!$C$6:$N$380,5,FALSE)</f>
        <v>CONCRETO REFORZADO RESISTENCIA 21MPa (D) - MEZCLA IN SITU</v>
      </c>
      <c r="E846" s="629" t="str">
        <f>VLOOKUP(A846,[33]ÍNDICE!$C$6:$N$380,2,FALSE)</f>
        <v>m3</v>
      </c>
      <c r="F846" s="586">
        <v>28.291</v>
      </c>
      <c r="G846" s="648">
        <f>VLOOKUP(A846,[33]ÍNDICE!$C$6:$N$380,12,FALSE)</f>
        <v>1243512.4574943627</v>
      </c>
      <c r="H846" s="583">
        <f t="shared" si="97"/>
        <v>35180210.934973016</v>
      </c>
    </row>
    <row r="847" spans="1:8" s="565" customFormat="1" ht="15" customHeight="1">
      <c r="A847" s="571" t="s">
        <v>531</v>
      </c>
      <c r="B847" s="571" t="str">
        <f>MID(A847,1,3)&amp;"-"&amp;13</f>
        <v>630-13</v>
      </c>
      <c r="C847" s="571"/>
      <c r="D847" s="619" t="str">
        <f>VLOOKUP(A847,[33]ÍNDICE!$C$6:$N$380,5,FALSE)</f>
        <v>CONCRETO SIMPLE RESISTENCIA 17 MPa - MEZCLA IN SITU</v>
      </c>
      <c r="E847" s="629" t="str">
        <f>VLOOKUP(A847,[33]ÍNDICE!$C$6:$N$380,2,FALSE)</f>
        <v>m3</v>
      </c>
      <c r="F847" s="586">
        <v>2.13</v>
      </c>
      <c r="G847" s="648">
        <f>VLOOKUP(A847,[33]ÍNDICE!$C$6:$N$380,12,FALSE)</f>
        <v>994779.33062365581</v>
      </c>
      <c r="H847" s="583">
        <f t="shared" si="97"/>
        <v>2118879.9742283868</v>
      </c>
    </row>
    <row r="848" spans="1:8" s="565" customFormat="1" ht="15" customHeight="1">
      <c r="A848" s="571" t="s">
        <v>532</v>
      </c>
      <c r="B848" s="571" t="str">
        <f>MID(A848,1,3)&amp;"-"&amp;13</f>
        <v>630-13</v>
      </c>
      <c r="C848" s="571"/>
      <c r="D848" s="619" t="str">
        <f>VLOOKUP(A848,[33]ÍNDICE!$C$6:$N$380,5,FALSE)</f>
        <v>CONCRETO CICLÓPEO RESISTENCIA 14MPa (G)</v>
      </c>
      <c r="E848" s="629" t="str">
        <f>VLOOKUP(A848,[33]ÍNDICE!$C$6:$N$380,2,FALSE)</f>
        <v>m3</v>
      </c>
      <c r="F848" s="598">
        <v>2</v>
      </c>
      <c r="G848" s="648">
        <f>VLOOKUP(A848,[33]ÍNDICE!$C$6:$N$380,12,FALSE)</f>
        <v>680494.66759275761</v>
      </c>
      <c r="H848" s="583">
        <f t="shared" si="97"/>
        <v>1360989.3351855152</v>
      </c>
    </row>
    <row r="849" spans="1:8" s="565" customFormat="1" ht="15" customHeight="1">
      <c r="A849" s="571" t="s">
        <v>541</v>
      </c>
      <c r="B849" s="571" t="str">
        <f>MID(A849,1,3)&amp;"-"&amp;13</f>
        <v>640-13</v>
      </c>
      <c r="C849" s="571"/>
      <c r="D849" s="619" t="str">
        <f>VLOOKUP(A849,[33]ÍNDICE!$C$6:$N$380,5,FALSE)</f>
        <v>ACERO DE REFUERZO Fy 4200 MPa</v>
      </c>
      <c r="E849" s="629" t="str">
        <f>VLOOKUP(A849,[33]ÍNDICE!$C$6:$N$380,2,FALSE)</f>
        <v>kg</v>
      </c>
      <c r="F849" s="585">
        <v>1131.6400000000001</v>
      </c>
      <c r="G849" s="648">
        <f>VLOOKUP(A849,[33]ÍNDICE!$C$6:$N$380,12,FALSE)</f>
        <v>7547.7371417119648</v>
      </c>
      <c r="H849" s="583">
        <f t="shared" si="97"/>
        <v>8541321.259046929</v>
      </c>
    </row>
    <row r="850" spans="1:8" s="565" customFormat="1" ht="26.1" customHeight="1">
      <c r="A850" s="571" t="s">
        <v>580</v>
      </c>
      <c r="B850" s="571" t="str">
        <f>MID(A850,1,3)&amp;"-"&amp;13</f>
        <v>661-13</v>
      </c>
      <c r="C850" s="571"/>
      <c r="D850" s="619" t="str">
        <f>VLOOKUP(A850,[33]ÍNDICE!$C$6:$N$380,5,FALSE)</f>
        <v>TUBERIA DE CONCRETO REFORZADO, CLASE III DE 900mm DE DIAMETRO INTERIOR</v>
      </c>
      <c r="E850" s="629" t="str">
        <f>VLOOKUP(A850,[33]ÍNDICE!$C$6:$N$380,2,FALSE)</f>
        <v>m</v>
      </c>
      <c r="F850" s="582">
        <v>22</v>
      </c>
      <c r="G850" s="648">
        <f>VLOOKUP(A850,[33]ÍNDICE!$C$6:$N$380,12,FALSE)</f>
        <v>1451200.3231315203</v>
      </c>
      <c r="H850" s="583">
        <f t="shared" si="97"/>
        <v>31926407.108893447</v>
      </c>
    </row>
    <row r="851" spans="1:8" s="565" customFormat="1" ht="26.1" customHeight="1">
      <c r="A851" s="571" t="s">
        <v>534</v>
      </c>
      <c r="B851" s="571" t="str">
        <f t="shared" ref="B851:B852" si="98">MID(A851,1,3)&amp;"-"&amp;13</f>
        <v>673-13</v>
      </c>
      <c r="C851" s="571"/>
      <c r="D851" s="619" t="str">
        <f>VLOOKUP(A851,[33]ÍNDICE!$C$6:$N$380,5,FALSE)</f>
        <v xml:space="preserve">GEOTEXTIL TIPO TEJIDO CON RESISTENCIA A LA TENSIÓN GRAB MÍNIMA DE 1400 N </v>
      </c>
      <c r="E851" s="629" t="str">
        <f>VLOOKUP(A851,[33]ÍNDICE!$C$6:$N$380,2,FALSE)</f>
        <v>m2</v>
      </c>
      <c r="F851" s="582"/>
      <c r="G851" s="648">
        <f>VLOOKUP(A851,[33]ÍNDICE!$C$6:$N$380,12,FALSE)</f>
        <v>12861.24633460756</v>
      </c>
      <c r="H851" s="583"/>
    </row>
    <row r="852" spans="1:8" s="565" customFormat="1" ht="26.1" customHeight="1">
      <c r="A852" s="571" t="s">
        <v>535</v>
      </c>
      <c r="B852" s="571" t="str">
        <f t="shared" si="98"/>
        <v>681-13</v>
      </c>
      <c r="C852" s="571"/>
      <c r="D852" s="619" t="str">
        <f>VLOOKUP(A852,[33]ÍNDICE!$C$6:$N$380,5,FALSE)</f>
        <v>GAVIONES DE MALLA DE ALAMBRE DE ACERO ENTRELAZADO CLASE 1; RECUBRIMIENTO DE ZINC (GALVANIZADO)</v>
      </c>
      <c r="E852" s="629" t="str">
        <f>VLOOKUP(A852,[33]ÍNDICE!$C$6:$N$380,2,FALSE)</f>
        <v>m3</v>
      </c>
      <c r="F852" s="582"/>
      <c r="G852" s="648">
        <f>VLOOKUP(A852,[33]ÍNDICE!$C$6:$N$380,12,FALSE)</f>
        <v>601666.19528525032</v>
      </c>
      <c r="H852" s="583"/>
    </row>
    <row r="853" spans="1:8" s="565" customFormat="1" ht="26.1" customHeight="1" thickBot="1">
      <c r="A853" s="571" t="s">
        <v>545</v>
      </c>
      <c r="B853" s="571" t="str">
        <f>MID(A853,1,3)&amp;"-"&amp;13</f>
        <v>671-13</v>
      </c>
      <c r="C853" s="571"/>
      <c r="D853" s="619" t="str">
        <f>VLOOKUP(A853,[33]ÍNDICE!$C$6:$N$380,5,FALSE)</f>
        <v>CUNETA DE CONCRETO VACIADA IN SITU; INCLUYE LA CONFORMACIÓN DE LA SUPERFICIE DE APOYO</v>
      </c>
      <c r="E853" s="629" t="str">
        <f>VLOOKUP(A853,[33]ÍNDICE!$C$6:$N$380,2,FALSE)</f>
        <v>m3</v>
      </c>
      <c r="F853" s="586">
        <f>4*0.138</f>
        <v>0.55200000000000005</v>
      </c>
      <c r="G853" s="648">
        <f>VLOOKUP(A853,[33]ÍNDICE!$C$6:$N$380,12,FALSE)</f>
        <v>1106254.0341245155</v>
      </c>
      <c r="H853" s="583">
        <f>F853*G853</f>
        <v>610652.22683673259</v>
      </c>
    </row>
    <row r="854" spans="1:8" s="565" customFormat="1" ht="15" customHeight="1" thickTop="1">
      <c r="A854" s="574"/>
      <c r="B854" s="574"/>
      <c r="C854" s="574"/>
      <c r="D854" s="575"/>
      <c r="E854" s="589"/>
      <c r="F854" s="590"/>
      <c r="G854" s="600" t="s">
        <v>524</v>
      </c>
      <c r="H854" s="1507">
        <f>SUM(H839:H853)</f>
        <v>109552651.48962526</v>
      </c>
    </row>
    <row r="855" spans="1:8" s="565" customFormat="1" ht="15" customHeight="1">
      <c r="A855" s="577"/>
      <c r="B855" s="577"/>
      <c r="C855" s="577"/>
      <c r="D855" s="578"/>
      <c r="E855" s="562"/>
      <c r="F855" s="580"/>
      <c r="G855" s="601" t="s">
        <v>525</v>
      </c>
      <c r="H855" s="1508">
        <f>SUM(H854:H854)*0.05*0.19/1.3</f>
        <v>800577.06857803091</v>
      </c>
    </row>
    <row r="856" spans="1:8" s="565" customFormat="1" ht="15" customHeight="1" thickBot="1">
      <c r="A856" s="561"/>
      <c r="B856" s="560"/>
      <c r="C856" s="560"/>
      <c r="D856" s="561"/>
      <c r="E856" s="562"/>
      <c r="F856" s="580"/>
      <c r="G856" s="601" t="s">
        <v>526</v>
      </c>
      <c r="H856" s="1509">
        <f>+ROUND(H854+H855,0)</f>
        <v>110353229</v>
      </c>
    </row>
    <row r="857" spans="1:8" s="565" customFormat="1" ht="15" customHeight="1" thickTop="1">
      <c r="A857" s="561"/>
      <c r="B857" s="560"/>
      <c r="C857" s="560"/>
      <c r="D857" s="561"/>
      <c r="E857" s="562"/>
      <c r="F857" s="580"/>
      <c r="G857" s="579"/>
      <c r="H857" s="1510"/>
    </row>
    <row r="858" spans="1:8" s="565" customFormat="1" ht="13.5" thickBot="1">
      <c r="A858" s="566"/>
      <c r="B858" s="567"/>
      <c r="C858" s="566" t="s">
        <v>637</v>
      </c>
      <c r="D858" s="566"/>
      <c r="E858" s="567"/>
      <c r="F858" s="566"/>
      <c r="G858" s="568"/>
      <c r="H858" s="569"/>
    </row>
    <row r="859" spans="1:8" s="565" customFormat="1" ht="15" customHeight="1" thickTop="1">
      <c r="A859" s="571" t="s">
        <v>549</v>
      </c>
      <c r="B859" s="571" t="str">
        <f>MID(A859,1,3)&amp;"-"&amp;13</f>
        <v>201-13</v>
      </c>
      <c r="C859" s="571"/>
      <c r="D859" s="619" t="str">
        <f>VLOOKUP(A859,[33]ÍNDICE!$C$6:$N$380,5,FALSE)</f>
        <v>DEMOLICIÓN DE ESTRUCTURAS</v>
      </c>
      <c r="E859" s="629" t="str">
        <f>VLOOKUP(A859,[33]ÍNDICE!$C$6:$N$380,2,FALSE)</f>
        <v>m3</v>
      </c>
      <c r="F859" s="582">
        <v>15</v>
      </c>
      <c r="G859" s="648">
        <f>VLOOKUP(A859,[33]ÍNDICE!$C$6:$N$380,12,FALSE)</f>
        <v>217760.49497573468</v>
      </c>
      <c r="H859" s="583">
        <f t="shared" ref="H859:H871" si="99">F859*G859</f>
        <v>3266407.4246360203</v>
      </c>
    </row>
    <row r="860" spans="1:8" s="565" customFormat="1" ht="15" customHeight="1">
      <c r="A860" s="571" t="s">
        <v>638</v>
      </c>
      <c r="B860" s="571" t="str">
        <f>MID(A860,1,3)&amp;"-"&amp;13</f>
        <v>220-13</v>
      </c>
      <c r="C860" s="571"/>
      <c r="D860" s="619" t="str">
        <f>VLOOKUP(A860,[33]ÍNDICE!$C$6:$N$380,5,FALSE)</f>
        <v>TERRAPLENES</v>
      </c>
      <c r="E860" s="629" t="str">
        <f>VLOOKUP(A860,[33]ÍNDICE!$C$6:$N$380,2,FALSE)</f>
        <v>m3</v>
      </c>
      <c r="F860" s="618">
        <f>30*20*6</f>
        <v>3600</v>
      </c>
      <c r="G860" s="648">
        <f>VLOOKUP(A860,[33]ÍNDICE!$C$6:$N$380,12,FALSE)</f>
        <v>18907.305298866038</v>
      </c>
      <c r="H860" s="583">
        <f t="shared" si="99"/>
        <v>68066299.075917736</v>
      </c>
    </row>
    <row r="861" spans="1:8" s="565" customFormat="1" ht="15" customHeight="1">
      <c r="A861" s="571" t="s">
        <v>578</v>
      </c>
      <c r="B861" s="571" t="str">
        <f>MID(A861,1,3)&amp;"-"&amp;13</f>
        <v>330-13</v>
      </c>
      <c r="C861" s="571"/>
      <c r="D861" s="619" t="str">
        <f>VLOOKUP(A861,[33]ÍNDICE!$C$6:$N$380,5,FALSE)</f>
        <v>BASE GRANULAR PARA BACHEO CLASE A GRADACION FINA</v>
      </c>
      <c r="E861" s="629" t="str">
        <f>VLOOKUP(A861,[33]ÍNDICE!$C$6:$N$380,2,FALSE)</f>
        <v>m3</v>
      </c>
      <c r="F861" s="618">
        <f>10*2.5*0.5</f>
        <v>12.5</v>
      </c>
      <c r="G861" s="648">
        <f>VLOOKUP(A861,[33]ÍNDICE!$C$6:$N$380,12,FALSE)</f>
        <v>468038.05777015106</v>
      </c>
      <c r="H861" s="583">
        <f t="shared" si="99"/>
        <v>5850475.7221268881</v>
      </c>
    </row>
    <row r="862" spans="1:8" s="565" customFormat="1" ht="26.1" customHeight="1">
      <c r="A862" s="571" t="s">
        <v>554</v>
      </c>
      <c r="B862" s="571" t="str">
        <f>MID(A862,1,3)&amp;"-"&amp;13</f>
        <v>450-13</v>
      </c>
      <c r="C862" s="571"/>
      <c r="D862" s="619" t="str">
        <f>VLOOKUP(A862,[33]ÍNDICE!$C$6:$N$380,5,FALSE)</f>
        <v xml:space="preserve">MEZCLA DENSA EN CALIENTE TIPO MDC‐19 - COMPRA DE MEZCLA </v>
      </c>
      <c r="E862" s="629" t="str">
        <f>VLOOKUP(A862,[33]ÍNDICE!$C$6:$N$380,2,FALSE)</f>
        <v>m3</v>
      </c>
      <c r="F862" s="618">
        <f>F863</f>
        <v>3.75</v>
      </c>
      <c r="G862" s="648">
        <f>VLOOKUP(A862,[33]ÍNDICE!$C$6:$N$380,12,FALSE)</f>
        <v>1677232.0782508166</v>
      </c>
      <c r="H862" s="583">
        <f t="shared" si="99"/>
        <v>6289620.2934405617</v>
      </c>
    </row>
    <row r="863" spans="1:8" s="565" customFormat="1" ht="38.1" customHeight="1">
      <c r="A863" s="571" t="s">
        <v>579</v>
      </c>
      <c r="B863" s="571" t="str">
        <f t="shared" ref="B863:B871" si="100">MID(A863,1,3)&amp;"-"&amp;13</f>
        <v>465-13</v>
      </c>
      <c r="C863" s="571"/>
      <c r="D863" s="619" t="str">
        <f>VLOOKUP(A863,[33]ÍNDICE!$C$6:$N$380,5,FALSE)</f>
        <v>EXCAVACIÓN PARA REPARACIÓN DE PAVIMENTO ASFÁLTICO EXISTENTE INCLUYENDO EL CORTE Y LA REMOCIÓN DE LAS CAPAS ASFÁLTICAS SUBYACENTES</v>
      </c>
      <c r="E863" s="629" t="str">
        <f>VLOOKUP(A863,[33]ÍNDICE!$C$6:$N$380,2,FALSE)</f>
        <v>m3</v>
      </c>
      <c r="F863" s="618">
        <f>10*2.5*0.15</f>
        <v>3.75</v>
      </c>
      <c r="G863" s="648">
        <f>VLOOKUP(A863,[33]ÍNDICE!$C$6:$N$380,12,FALSE)</f>
        <v>100979.71246565928</v>
      </c>
      <c r="H863" s="583">
        <f t="shared" si="99"/>
        <v>378673.9217462223</v>
      </c>
    </row>
    <row r="864" spans="1:8" s="565" customFormat="1" ht="15" customHeight="1">
      <c r="A864" s="571" t="s">
        <v>528</v>
      </c>
      <c r="B864" s="571" t="str">
        <f>MID(A864,1,3)&amp;"-"&amp;13</f>
        <v>600-13</v>
      </c>
      <c r="C864" s="571"/>
      <c r="D864" s="619" t="str">
        <f>VLOOKUP(A864,[33]ÍNDICE!$C$6:$N$380,5,FALSE)</f>
        <v>EXCAVACIONES VARIAS SIN CLASIFICAR</v>
      </c>
      <c r="E864" s="629" t="str">
        <f>VLOOKUP(A864,[33]ÍNDICE!$C$6:$N$380,2,FALSE)</f>
        <v>m3</v>
      </c>
      <c r="F864" s="585">
        <f>25*5*7+30</f>
        <v>905</v>
      </c>
      <c r="G864" s="648">
        <f>VLOOKUP(A864,[33]ÍNDICE!$C$6:$N$380,12,FALSE)</f>
        <v>58828.261120639472</v>
      </c>
      <c r="H864" s="583">
        <f t="shared" si="99"/>
        <v>53239576.31417872</v>
      </c>
    </row>
    <row r="865" spans="1:10" s="565" customFormat="1" ht="15" customHeight="1">
      <c r="A865" s="571" t="s">
        <v>530</v>
      </c>
      <c r="B865" s="571" t="str">
        <f>MID(A865,1,3)&amp;"-"&amp;13</f>
        <v>610-13</v>
      </c>
      <c r="C865" s="571"/>
      <c r="D865" s="619" t="str">
        <f>VLOOKUP(A865,[33]ÍNDICE!$C$6:$N$380,5,FALSE)</f>
        <v>RELLENO PARA ESTRUCTURAS CON SUELO (analizado sin preparación de la superficie base del relleno)</v>
      </c>
      <c r="E865" s="629" t="str">
        <f>VLOOKUP(A865,[33]ÍNDICE!$C$6:$N$380,2,FALSE)</f>
        <v>m3</v>
      </c>
      <c r="F865" s="586">
        <f>0.4*F864</f>
        <v>362</v>
      </c>
      <c r="G865" s="648">
        <f>VLOOKUP(A865,[33]ÍNDICE!$C$6:$N$380,12,FALSE)</f>
        <v>162354.11090657322</v>
      </c>
      <c r="H865" s="583">
        <f t="shared" si="99"/>
        <v>58772188.148179501</v>
      </c>
    </row>
    <row r="866" spans="1:10" s="565" customFormat="1" ht="15" customHeight="1">
      <c r="A866" s="571" t="s">
        <v>537</v>
      </c>
      <c r="B866" s="571" t="str">
        <f t="shared" si="100"/>
        <v>630-13</v>
      </c>
      <c r="C866" s="571"/>
      <c r="D866" s="619" t="str">
        <f>VLOOKUP(A866,[33]ÍNDICE!$C$6:$N$380,5,FALSE)</f>
        <v>CONCRETO REFORZADO RESISTENCIA 21MPa (D) - MEZCLA IN SITU</v>
      </c>
      <c r="E866" s="629" t="str">
        <f>VLOOKUP(A866,[33]ÍNDICE!$C$6:$N$380,2,FALSE)</f>
        <v>m3</v>
      </c>
      <c r="F866" s="586">
        <f>2*0.2*25*2+2*2.5*0.3*25+6*2.5*3*0.3+5</f>
        <v>76</v>
      </c>
      <c r="G866" s="648">
        <f>VLOOKUP(A866,[33]ÍNDICE!$C$6:$N$380,12,FALSE)</f>
        <v>1243512.4574943627</v>
      </c>
      <c r="H866" s="583">
        <f t="shared" si="99"/>
        <v>94506946.769571573</v>
      </c>
      <c r="J866" s="588"/>
    </row>
    <row r="867" spans="1:10" s="565" customFormat="1" ht="15" customHeight="1">
      <c r="A867" s="571" t="s">
        <v>541</v>
      </c>
      <c r="B867" s="571" t="str">
        <f t="shared" si="100"/>
        <v>640-13</v>
      </c>
      <c r="C867" s="571"/>
      <c r="D867" s="619" t="str">
        <f>VLOOKUP(A867,[33]ÍNDICE!$C$6:$N$380,5,FALSE)</f>
        <v>ACERO DE REFUERZO Fy 4200 MPa</v>
      </c>
      <c r="E867" s="629" t="str">
        <f>VLOOKUP(A867,[33]ÍNDICE!$C$6:$N$380,2,FALSE)</f>
        <v>kg</v>
      </c>
      <c r="F867" s="585">
        <f>F866*105</f>
        <v>7980</v>
      </c>
      <c r="G867" s="648">
        <f>VLOOKUP(A867,[33]ÍNDICE!$C$6:$N$380,12,FALSE)</f>
        <v>7547.7371417119648</v>
      </c>
      <c r="H867" s="583">
        <f t="shared" si="99"/>
        <v>60230942.390861481</v>
      </c>
    </row>
    <row r="868" spans="1:10" s="565" customFormat="1" ht="26.1" customHeight="1">
      <c r="A868" s="571" t="s">
        <v>545</v>
      </c>
      <c r="B868" s="571" t="str">
        <f>MID(A868,1,3)&amp;"-"&amp;13</f>
        <v>671-13</v>
      </c>
      <c r="C868" s="571"/>
      <c r="D868" s="619" t="str">
        <f>VLOOKUP(A868,[33]ÍNDICE!$C$6:$N$380,5,FALSE)</f>
        <v>CUNETA DE CONCRETO VACIADA IN SITU; INCLUYE LA CONFORMACIÓN DE LA SUPERFICIE DE APOYO</v>
      </c>
      <c r="E868" s="629" t="str">
        <f>VLOOKUP(A868,[33]ÍNDICE!$C$6:$N$380,2,FALSE)</f>
        <v>m3</v>
      </c>
      <c r="F868" s="586">
        <f>40*0.138</f>
        <v>5.5200000000000005</v>
      </c>
      <c r="G868" s="648">
        <f>VLOOKUP(A868,[33]ÍNDICE!$C$6:$N$380,12,FALSE)</f>
        <v>1106254.0341245155</v>
      </c>
      <c r="H868" s="583">
        <f>F868*G868</f>
        <v>6106522.2683673259</v>
      </c>
    </row>
    <row r="869" spans="1:10" s="565" customFormat="1" ht="15" customHeight="1">
      <c r="A869" s="571" t="s">
        <v>534</v>
      </c>
      <c r="B869" s="571" t="str">
        <f>MID(A869,1,3)&amp;"-"&amp;13</f>
        <v>673-13</v>
      </c>
      <c r="C869" s="571"/>
      <c r="D869" s="619" t="str">
        <f>VLOOKUP(A869,[33]ÍNDICE!$C$6:$N$380,5,FALSE)</f>
        <v xml:space="preserve">GEOTEXTIL TIPO TEJIDO CON RESISTENCIA A LA TENSIÓN GRAB MÍNIMA DE 1400 N </v>
      </c>
      <c r="E869" s="629" t="str">
        <f>VLOOKUP(A869,[33]ÍNDICE!$C$6:$N$380,2,FALSE)</f>
        <v>m2</v>
      </c>
      <c r="F869" s="585">
        <f>25*3*2+4*3*1.5</f>
        <v>168</v>
      </c>
      <c r="G869" s="648">
        <f>VLOOKUP(A869,[33]ÍNDICE!$C$6:$N$380,12,FALSE)</f>
        <v>12861.24633460756</v>
      </c>
      <c r="H869" s="583">
        <f>F869*G869</f>
        <v>2160689.3842140702</v>
      </c>
    </row>
    <row r="870" spans="1:10" s="565" customFormat="1" ht="15" customHeight="1">
      <c r="A870" s="571" t="s">
        <v>547</v>
      </c>
      <c r="B870" s="571" t="str">
        <f>MID(A870,1,3)&amp;"-"&amp;13</f>
        <v>673-13</v>
      </c>
      <c r="C870" s="571"/>
      <c r="D870" s="619" t="str">
        <f>VLOOKUP(A870,[33]ÍNDICE!$C$6:$N$380,5,FALSE)</f>
        <v>MATERIAL GRANULAR DRENANTE</v>
      </c>
      <c r="E870" s="629" t="str">
        <f>VLOOKUP(A870,[33]ÍNDICE!$C$6:$N$380,2,FALSE)</f>
        <v>m3</v>
      </c>
      <c r="F870" s="586">
        <f>25*2*2*0.5+4*2*0.5</f>
        <v>54</v>
      </c>
      <c r="G870" s="648">
        <f>VLOOKUP(A870,[33]ÍNDICE!$C$6:$N$380,12,FALSE)</f>
        <v>372207.28893037047</v>
      </c>
      <c r="H870" s="583">
        <f>F870*G870</f>
        <v>20099193.602240004</v>
      </c>
    </row>
    <row r="871" spans="1:10" s="565" customFormat="1" ht="26.1" customHeight="1" thickBot="1">
      <c r="A871" s="571" t="s">
        <v>535</v>
      </c>
      <c r="B871" s="571" t="str">
        <f t="shared" si="100"/>
        <v>681-13</v>
      </c>
      <c r="C871" s="571"/>
      <c r="D871" s="619" t="str">
        <f>VLOOKUP(A871,[33]ÍNDICE!$C$6:$N$380,5,FALSE)</f>
        <v>GAVIONES DE MALLA DE ALAMBRE DE ACERO ENTRELAZADO CLASE 1; RECUBRIMIENTO DE ZINC (GALVANIZADO)</v>
      </c>
      <c r="E871" s="629" t="str">
        <f>VLOOKUP(A871,[33]ÍNDICE!$C$6:$N$380,2,FALSE)</f>
        <v>m3</v>
      </c>
      <c r="F871" s="585">
        <v>80</v>
      </c>
      <c r="G871" s="648">
        <f>VLOOKUP(A871,[33]ÍNDICE!$C$6:$N$380,12,FALSE)</f>
        <v>601666.19528525032</v>
      </c>
      <c r="H871" s="583">
        <f t="shared" si="99"/>
        <v>48133295.622820027</v>
      </c>
    </row>
    <row r="872" spans="1:10" s="565" customFormat="1" ht="15" customHeight="1" thickTop="1">
      <c r="A872" s="574"/>
      <c r="B872" s="574"/>
      <c r="C872" s="574"/>
      <c r="D872" s="575"/>
      <c r="E872" s="589"/>
      <c r="F872" s="590"/>
      <c r="G872" s="600" t="s">
        <v>524</v>
      </c>
      <c r="H872" s="1507">
        <f>SUM(H859:H871)</f>
        <v>427100830.93830013</v>
      </c>
    </row>
    <row r="873" spans="1:10" s="565" customFormat="1" ht="15" customHeight="1">
      <c r="A873" s="577"/>
      <c r="B873" s="577"/>
      <c r="C873" s="577"/>
      <c r="D873" s="578"/>
      <c r="E873" s="562"/>
      <c r="F873" s="580"/>
      <c r="G873" s="601" t="s">
        <v>525</v>
      </c>
      <c r="H873" s="1508">
        <f>SUM(H872:H872)*0.05*0.19/1.3</f>
        <v>3121121.4568568091</v>
      </c>
    </row>
    <row r="874" spans="1:10" s="565" customFormat="1" ht="15" customHeight="1" thickBot="1">
      <c r="A874" s="561"/>
      <c r="B874" s="560"/>
      <c r="C874" s="560"/>
      <c r="D874" s="561"/>
      <c r="E874" s="562"/>
      <c r="F874" s="580"/>
      <c r="G874" s="601" t="s">
        <v>526</v>
      </c>
      <c r="H874" s="1509">
        <f>+ROUND(H872+H873,0)</f>
        <v>430221952</v>
      </c>
    </row>
    <row r="875" spans="1:10" s="565" customFormat="1" ht="15" customHeight="1" thickTop="1">
      <c r="A875" s="561"/>
      <c r="B875" s="560"/>
      <c r="C875" s="560"/>
      <c r="D875" s="561"/>
      <c r="E875" s="562"/>
      <c r="F875" s="580"/>
      <c r="G875" s="579"/>
      <c r="H875" s="1506"/>
    </row>
    <row r="876" spans="1:10" s="565" customFormat="1" ht="12.75" customHeight="1">
      <c r="A876" s="561"/>
      <c r="B876" s="560"/>
      <c r="C876" s="560"/>
      <c r="D876" s="561"/>
      <c r="E876" s="562"/>
      <c r="F876" s="563"/>
      <c r="G876" s="564"/>
      <c r="H876" s="1506"/>
    </row>
    <row r="877" spans="1:10" s="565" customFormat="1" ht="13.5" thickBot="1">
      <c r="A877" s="566"/>
      <c r="B877" s="567"/>
      <c r="C877" s="566" t="s">
        <v>639</v>
      </c>
      <c r="D877" s="566"/>
      <c r="E877" s="567"/>
      <c r="F877" s="566"/>
      <c r="G877" s="568"/>
      <c r="H877" s="569"/>
    </row>
    <row r="878" spans="1:10" s="565" customFormat="1" ht="15" customHeight="1" thickTop="1">
      <c r="A878" s="595" t="s">
        <v>549</v>
      </c>
      <c r="B878" s="595" t="str">
        <f>MID(A878,1,3)&amp;"-"&amp;13</f>
        <v>201-13</v>
      </c>
      <c r="C878" s="595"/>
      <c r="D878" s="619" t="str">
        <f>VLOOKUP(A878,[33]ÍNDICE!$C$6:$N$380,5,FALSE)</f>
        <v>DEMOLICIÓN DE ESTRUCTURAS</v>
      </c>
      <c r="E878" s="629" t="str">
        <f>VLOOKUP(A878,[33]ÍNDICE!$C$6:$N$380,2,FALSE)</f>
        <v>m3</v>
      </c>
      <c r="F878" s="608">
        <v>0.5</v>
      </c>
      <c r="G878" s="648">
        <f>VLOOKUP(A878,[33]ÍNDICE!$C$6:$N$380,12,FALSE)</f>
        <v>217760.49497573468</v>
      </c>
      <c r="H878" s="597">
        <f>F878*G878</f>
        <v>108880.24748786734</v>
      </c>
    </row>
    <row r="879" spans="1:10" s="565" customFormat="1" ht="15" customHeight="1">
      <c r="A879" s="571" t="s">
        <v>528</v>
      </c>
      <c r="B879" s="571" t="str">
        <f t="shared" ref="B879:B885" si="101">MID(A879,1,3)&amp;"-"&amp;13</f>
        <v>600-13</v>
      </c>
      <c r="C879" s="571"/>
      <c r="D879" s="619" t="str">
        <f>VLOOKUP(A879,[33]ÍNDICE!$C$6:$N$380,5,FALSE)</f>
        <v>EXCAVACIONES VARIAS SIN CLASIFICAR</v>
      </c>
      <c r="E879" s="629" t="str">
        <f>VLOOKUP(A879,[33]ÍNDICE!$C$6:$N$380,2,FALSE)</f>
        <v>m3</v>
      </c>
      <c r="F879" s="585">
        <f>12*0.5</f>
        <v>6</v>
      </c>
      <c r="G879" s="648">
        <f>VLOOKUP(A879,[33]ÍNDICE!$C$6:$N$380,12,FALSE)</f>
        <v>58828.261120639472</v>
      </c>
      <c r="H879" s="583">
        <f t="shared" ref="H879:H885" si="102">F879*G879</f>
        <v>352969.56672383682</v>
      </c>
    </row>
    <row r="880" spans="1:10" s="565" customFormat="1" ht="15" customHeight="1">
      <c r="A880" s="571" t="s">
        <v>530</v>
      </c>
      <c r="B880" s="571" t="str">
        <f>MID(A880,1,3)&amp;"-"&amp;13</f>
        <v>610-13</v>
      </c>
      <c r="C880" s="571"/>
      <c r="D880" s="619" t="str">
        <f>VLOOKUP(A880,[33]ÍNDICE!$C$6:$N$380,5,FALSE)</f>
        <v>RELLENO PARA ESTRUCTURAS CON SUELO (analizado sin preparación de la superficie base del relleno)</v>
      </c>
      <c r="E880" s="629" t="str">
        <f>VLOOKUP(A880,[33]ÍNDICE!$C$6:$N$380,2,FALSE)</f>
        <v>m3</v>
      </c>
      <c r="F880" s="586">
        <f>12*0.4</f>
        <v>4.8000000000000007</v>
      </c>
      <c r="G880" s="648">
        <f>VLOOKUP(A880,[33]ÍNDICE!$C$6:$N$380,12,FALSE)</f>
        <v>162354.11090657322</v>
      </c>
      <c r="H880" s="583">
        <f>F880*G880</f>
        <v>779299.73235155153</v>
      </c>
    </row>
    <row r="881" spans="1:8" s="565" customFormat="1" ht="15" customHeight="1">
      <c r="A881" s="571" t="s">
        <v>531</v>
      </c>
      <c r="B881" s="571" t="str">
        <f t="shared" si="101"/>
        <v>630-13</v>
      </c>
      <c r="C881" s="571"/>
      <c r="D881" s="619" t="str">
        <f>VLOOKUP(A881,[33]ÍNDICE!$C$6:$N$380,5,FALSE)</f>
        <v>CONCRETO SIMPLE RESISTENCIA 17 MPa - MEZCLA IN SITU</v>
      </c>
      <c r="E881" s="629" t="str">
        <f>VLOOKUP(A881,[33]ÍNDICE!$C$6:$N$380,2,FALSE)</f>
        <v>m3</v>
      </c>
      <c r="F881" s="586">
        <f>12*0.55</f>
        <v>6.6000000000000005</v>
      </c>
      <c r="G881" s="648">
        <f>VLOOKUP(A881,[33]ÍNDICE!$C$6:$N$380,12,FALSE)</f>
        <v>994779.33062365581</v>
      </c>
      <c r="H881" s="583">
        <f t="shared" si="102"/>
        <v>6565543.5821161289</v>
      </c>
    </row>
    <row r="882" spans="1:8" s="565" customFormat="1" ht="15" customHeight="1">
      <c r="A882" s="571" t="s">
        <v>532</v>
      </c>
      <c r="B882" s="571" t="str">
        <f t="shared" si="101"/>
        <v>630-13</v>
      </c>
      <c r="C882" s="571"/>
      <c r="D882" s="619" t="str">
        <f>VLOOKUP(A882,[33]ÍNDICE!$C$6:$N$380,5,FALSE)</f>
        <v>CONCRETO CICLÓPEO RESISTENCIA 14MPa (G)</v>
      </c>
      <c r="E882" s="629" t="str">
        <f>VLOOKUP(A882,[33]ÍNDICE!$C$6:$N$380,2,FALSE)</f>
        <v>m3</v>
      </c>
      <c r="F882" s="598">
        <v>4</v>
      </c>
      <c r="G882" s="648">
        <f>VLOOKUP(A882,[33]ÍNDICE!$C$6:$N$380,12,FALSE)</f>
        <v>680494.66759275761</v>
      </c>
      <c r="H882" s="583">
        <f t="shared" si="102"/>
        <v>2721978.6703710305</v>
      </c>
    </row>
    <row r="883" spans="1:8" s="565" customFormat="1" ht="15" customHeight="1">
      <c r="A883" s="571" t="s">
        <v>541</v>
      </c>
      <c r="B883" s="571" t="str">
        <f t="shared" si="101"/>
        <v>640-13</v>
      </c>
      <c r="C883" s="571"/>
      <c r="D883" s="619" t="str">
        <f>VLOOKUP(A883,[33]ÍNDICE!$C$6:$N$380,5,FALSE)</f>
        <v>ACERO DE REFUERZO Fy 4200 MPa</v>
      </c>
      <c r="E883" s="629" t="str">
        <f>VLOOKUP(A883,[33]ÍNDICE!$C$6:$N$380,2,FALSE)</f>
        <v>kg</v>
      </c>
      <c r="F883" s="585">
        <f>F881*105</f>
        <v>693</v>
      </c>
      <c r="G883" s="648">
        <f>VLOOKUP(A883,[33]ÍNDICE!$C$6:$N$380,12,FALSE)</f>
        <v>7547.7371417119648</v>
      </c>
      <c r="H883" s="583">
        <f t="shared" si="102"/>
        <v>5230581.8392063919</v>
      </c>
    </row>
    <row r="884" spans="1:8" s="565" customFormat="1" ht="15" customHeight="1">
      <c r="A884" s="571" t="s">
        <v>534</v>
      </c>
      <c r="B884" s="571" t="str">
        <f>MID(A884,1,3)&amp;"-"&amp;13</f>
        <v>673-13</v>
      </c>
      <c r="C884" s="571"/>
      <c r="D884" s="619" t="str">
        <f>VLOOKUP(A884,[33]ÍNDICE!$C$6:$N$380,5,FALSE)</f>
        <v xml:space="preserve">GEOTEXTIL TIPO TEJIDO CON RESISTENCIA A LA TENSIÓN GRAB MÍNIMA DE 1400 N </v>
      </c>
      <c r="E884" s="629" t="str">
        <f>VLOOKUP(A884,[33]ÍNDICE!$C$6:$N$380,2,FALSE)</f>
        <v>m2</v>
      </c>
      <c r="F884" s="585">
        <v>22</v>
      </c>
      <c r="G884" s="648">
        <f>VLOOKUP(A884,[33]ÍNDICE!$C$6:$N$380,12,FALSE)</f>
        <v>12861.24633460756</v>
      </c>
      <c r="H884" s="583">
        <f>F884*G884</f>
        <v>282947.41936136631</v>
      </c>
    </row>
    <row r="885" spans="1:8" s="565" customFormat="1" ht="26.1" customHeight="1" thickBot="1">
      <c r="A885" s="602" t="s">
        <v>535</v>
      </c>
      <c r="B885" s="602" t="str">
        <f t="shared" si="101"/>
        <v>681-13</v>
      </c>
      <c r="C885" s="602"/>
      <c r="D885" s="619" t="str">
        <f>VLOOKUP(A885,[33]ÍNDICE!$C$6:$N$380,5,FALSE)</f>
        <v>GAVIONES DE MALLA DE ALAMBRE DE ACERO ENTRELAZADO CLASE 1; RECUBRIMIENTO DE ZINC (GALVANIZADO)</v>
      </c>
      <c r="E885" s="629" t="str">
        <f>VLOOKUP(A885,[33]ÍNDICE!$C$6:$N$380,2,FALSE)</f>
        <v>m3</v>
      </c>
      <c r="F885" s="603">
        <v>28</v>
      </c>
      <c r="G885" s="648">
        <f>VLOOKUP(A885,[33]ÍNDICE!$C$6:$N$380,12,FALSE)</f>
        <v>601666.19528525032</v>
      </c>
      <c r="H885" s="606">
        <f t="shared" si="102"/>
        <v>16846653.467987008</v>
      </c>
    </row>
    <row r="886" spans="1:8" s="565" customFormat="1" ht="15" customHeight="1" thickTop="1">
      <c r="A886" s="574"/>
      <c r="B886" s="574"/>
      <c r="C886" s="574"/>
      <c r="D886" s="575"/>
      <c r="E886" s="589"/>
      <c r="F886" s="590"/>
      <c r="G886" s="600" t="s">
        <v>524</v>
      </c>
      <c r="H886" s="1507">
        <f>SUM(H878:H885)</f>
        <v>32888854.525605179</v>
      </c>
    </row>
    <row r="887" spans="1:8" s="565" customFormat="1" ht="15" customHeight="1">
      <c r="A887" s="577"/>
      <c r="B887" s="577"/>
      <c r="C887" s="577"/>
      <c r="D887" s="578"/>
      <c r="E887" s="562"/>
      <c r="F887" s="580"/>
      <c r="G887" s="601" t="s">
        <v>525</v>
      </c>
      <c r="H887" s="1508">
        <f>SUM(H886:H886)*0.05*0.19/1.3</f>
        <v>240341.6292255763</v>
      </c>
    </row>
    <row r="888" spans="1:8" s="565" customFormat="1" ht="15" customHeight="1" thickBot="1">
      <c r="A888" s="561"/>
      <c r="B888" s="560"/>
      <c r="C888" s="560"/>
      <c r="D888" s="561"/>
      <c r="E888" s="562"/>
      <c r="F888" s="580"/>
      <c r="G888" s="601" t="s">
        <v>526</v>
      </c>
      <c r="H888" s="1509">
        <f>+ROUND(H886+H887,0)</f>
        <v>33129196</v>
      </c>
    </row>
    <row r="889" spans="1:8" s="565" customFormat="1" ht="12" customHeight="1" thickTop="1">
      <c r="A889" s="561"/>
      <c r="B889" s="560"/>
      <c r="C889" s="560"/>
      <c r="D889" s="561"/>
      <c r="E889" s="562"/>
      <c r="F889" s="563"/>
      <c r="G889" s="617"/>
      <c r="H889" s="1506"/>
    </row>
    <row r="890" spans="1:8" s="565" customFormat="1" ht="13.5" thickBot="1">
      <c r="A890" s="566"/>
      <c r="B890" s="567"/>
      <c r="C890" s="566" t="s">
        <v>640</v>
      </c>
      <c r="D890" s="566"/>
      <c r="E890" s="567"/>
      <c r="F890" s="566"/>
      <c r="G890" s="568"/>
      <c r="H890" s="569"/>
    </row>
    <row r="891" spans="1:8" s="565" customFormat="1" ht="15" customHeight="1" thickTop="1">
      <c r="A891" s="595" t="s">
        <v>549</v>
      </c>
      <c r="B891" s="595" t="str">
        <f>MID(A891,1,3)&amp;"-"&amp;13</f>
        <v>201-13</v>
      </c>
      <c r="C891" s="595"/>
      <c r="D891" s="619" t="str">
        <f>VLOOKUP(A891,[33]ÍNDICE!$C$6:$N$380,5,FALSE)</f>
        <v>DEMOLICIÓN DE ESTRUCTURAS</v>
      </c>
      <c r="E891" s="629" t="str">
        <f>VLOOKUP(A891,[33]ÍNDICE!$C$6:$N$380,2,FALSE)</f>
        <v>m3</v>
      </c>
      <c r="F891" s="608">
        <v>2</v>
      </c>
      <c r="G891" s="648">
        <f>VLOOKUP(A891,[33]ÍNDICE!$C$6:$N$380,12,FALSE)</f>
        <v>217760.49497573468</v>
      </c>
      <c r="H891" s="597">
        <f>F891*G891</f>
        <v>435520.98995146935</v>
      </c>
    </row>
    <row r="892" spans="1:8" s="565" customFormat="1" ht="15" customHeight="1">
      <c r="A892" s="571" t="s">
        <v>528</v>
      </c>
      <c r="B892" s="571" t="str">
        <f t="shared" ref="B892:B898" si="103">MID(A892,1,3)&amp;"-"&amp;13</f>
        <v>600-13</v>
      </c>
      <c r="C892" s="571"/>
      <c r="D892" s="619" t="str">
        <f>VLOOKUP(A892,[33]ÍNDICE!$C$6:$N$380,5,FALSE)</f>
        <v>EXCAVACIONES VARIAS SIN CLASIFICAR</v>
      </c>
      <c r="E892" s="629" t="str">
        <f>VLOOKUP(A892,[33]ÍNDICE!$C$6:$N$380,2,FALSE)</f>
        <v>m3</v>
      </c>
      <c r="F892" s="585">
        <f>40*0.5</f>
        <v>20</v>
      </c>
      <c r="G892" s="648">
        <f>VLOOKUP(A892,[33]ÍNDICE!$C$6:$N$380,12,FALSE)</f>
        <v>58828.261120639472</v>
      </c>
      <c r="H892" s="583">
        <f t="shared" ref="H892:H898" si="104">F892*G892</f>
        <v>1176565.2224127895</v>
      </c>
    </row>
    <row r="893" spans="1:8" s="565" customFormat="1" ht="15" customHeight="1">
      <c r="A893" s="571" t="s">
        <v>530</v>
      </c>
      <c r="B893" s="571" t="str">
        <f>MID(A893,1,3)&amp;"-"&amp;13</f>
        <v>610-13</v>
      </c>
      <c r="C893" s="571"/>
      <c r="D893" s="619" t="str">
        <f>VLOOKUP(A893,[33]ÍNDICE!$C$6:$N$380,5,FALSE)</f>
        <v>RELLENO PARA ESTRUCTURAS CON SUELO (analizado sin preparación de la superficie base del relleno)</v>
      </c>
      <c r="E893" s="629" t="str">
        <f>VLOOKUP(A893,[33]ÍNDICE!$C$6:$N$380,2,FALSE)</f>
        <v>m3</v>
      </c>
      <c r="F893" s="586">
        <f>40*0.4</f>
        <v>16</v>
      </c>
      <c r="G893" s="648">
        <f>VLOOKUP(A893,[33]ÍNDICE!$C$6:$N$380,12,FALSE)</f>
        <v>162354.11090657322</v>
      </c>
      <c r="H893" s="583">
        <f>F893*G893</f>
        <v>2597665.7745051715</v>
      </c>
    </row>
    <row r="894" spans="1:8" s="565" customFormat="1" ht="15" customHeight="1">
      <c r="A894" s="571" t="s">
        <v>531</v>
      </c>
      <c r="B894" s="571" t="str">
        <f t="shared" si="103"/>
        <v>630-13</v>
      </c>
      <c r="C894" s="571"/>
      <c r="D894" s="619" t="str">
        <f>VLOOKUP(A894,[33]ÍNDICE!$C$6:$N$380,5,FALSE)</f>
        <v>CONCRETO SIMPLE RESISTENCIA 17 MPa - MEZCLA IN SITU</v>
      </c>
      <c r="E894" s="629" t="str">
        <f>VLOOKUP(A894,[33]ÍNDICE!$C$6:$N$380,2,FALSE)</f>
        <v>m3</v>
      </c>
      <c r="F894" s="586">
        <f>40*0.55</f>
        <v>22</v>
      </c>
      <c r="G894" s="648">
        <f>VLOOKUP(A894,[33]ÍNDICE!$C$6:$N$380,12,FALSE)</f>
        <v>994779.33062365581</v>
      </c>
      <c r="H894" s="583">
        <f t="shared" si="104"/>
        <v>21885145.273720428</v>
      </c>
    </row>
    <row r="895" spans="1:8" s="565" customFormat="1" ht="15" customHeight="1">
      <c r="A895" s="571" t="s">
        <v>532</v>
      </c>
      <c r="B895" s="571" t="str">
        <f t="shared" si="103"/>
        <v>630-13</v>
      </c>
      <c r="C895" s="571"/>
      <c r="D895" s="619" t="str">
        <f>VLOOKUP(A895,[33]ÍNDICE!$C$6:$N$380,5,FALSE)</f>
        <v>CONCRETO CICLÓPEO RESISTENCIA 14MPa (G)</v>
      </c>
      <c r="E895" s="629" t="str">
        <f>VLOOKUP(A895,[33]ÍNDICE!$C$6:$N$380,2,FALSE)</f>
        <v>m3</v>
      </c>
      <c r="F895" s="598">
        <v>7</v>
      </c>
      <c r="G895" s="648">
        <f>VLOOKUP(A895,[33]ÍNDICE!$C$6:$N$380,12,FALSE)</f>
        <v>680494.66759275761</v>
      </c>
      <c r="H895" s="583">
        <f t="shared" si="104"/>
        <v>4763462.6731493035</v>
      </c>
    </row>
    <row r="896" spans="1:8" s="565" customFormat="1" ht="15" customHeight="1">
      <c r="A896" s="571" t="s">
        <v>541</v>
      </c>
      <c r="B896" s="571" t="str">
        <f t="shared" si="103"/>
        <v>640-13</v>
      </c>
      <c r="C896" s="571"/>
      <c r="D896" s="619" t="str">
        <f>VLOOKUP(A896,[33]ÍNDICE!$C$6:$N$380,5,FALSE)</f>
        <v>ACERO DE REFUERZO Fy 4200 MPa</v>
      </c>
      <c r="E896" s="629" t="str">
        <f>VLOOKUP(A896,[33]ÍNDICE!$C$6:$N$380,2,FALSE)</f>
        <v>kg</v>
      </c>
      <c r="F896" s="585">
        <f>F894*105</f>
        <v>2310</v>
      </c>
      <c r="G896" s="648">
        <f>VLOOKUP(A896,[33]ÍNDICE!$C$6:$N$380,12,FALSE)</f>
        <v>7547.7371417119648</v>
      </c>
      <c r="H896" s="583">
        <f t="shared" si="104"/>
        <v>17435272.797354639</v>
      </c>
    </row>
    <row r="897" spans="1:9" s="565" customFormat="1" ht="15" customHeight="1">
      <c r="A897" s="571" t="s">
        <v>534</v>
      </c>
      <c r="B897" s="571" t="str">
        <f>MID(A897,1,3)&amp;"-"&amp;13</f>
        <v>673-13</v>
      </c>
      <c r="C897" s="571"/>
      <c r="D897" s="619" t="str">
        <f>VLOOKUP(A897,[33]ÍNDICE!$C$6:$N$380,5,FALSE)</f>
        <v xml:space="preserve">GEOTEXTIL TIPO TEJIDO CON RESISTENCIA A LA TENSIÓN GRAB MÍNIMA DE 1400 N </v>
      </c>
      <c r="E897" s="629" t="str">
        <f>VLOOKUP(A897,[33]ÍNDICE!$C$6:$N$380,2,FALSE)</f>
        <v>m2</v>
      </c>
      <c r="F897" s="585">
        <v>70</v>
      </c>
      <c r="G897" s="648">
        <f>VLOOKUP(A897,[33]ÍNDICE!$C$6:$N$380,12,FALSE)</f>
        <v>12861.24633460756</v>
      </c>
      <c r="H897" s="583">
        <f>F897*G897</f>
        <v>900287.24342252919</v>
      </c>
    </row>
    <row r="898" spans="1:9" s="565" customFormat="1" ht="26.1" customHeight="1" thickBot="1">
      <c r="A898" s="602" t="s">
        <v>535</v>
      </c>
      <c r="B898" s="602" t="str">
        <f t="shared" si="103"/>
        <v>681-13</v>
      </c>
      <c r="C898" s="602"/>
      <c r="D898" s="619" t="str">
        <f>VLOOKUP(A898,[33]ÍNDICE!$C$6:$N$380,5,FALSE)</f>
        <v>GAVIONES DE MALLA DE ALAMBRE DE ACERO ENTRELAZADO CLASE 1; RECUBRIMIENTO DE ZINC (GALVANIZADO)</v>
      </c>
      <c r="E898" s="629" t="str">
        <f>VLOOKUP(A898,[33]ÍNDICE!$C$6:$N$380,2,FALSE)</f>
        <v>m3</v>
      </c>
      <c r="F898" s="603">
        <v>60</v>
      </c>
      <c r="G898" s="648">
        <f>VLOOKUP(A898,[33]ÍNDICE!$C$6:$N$380,12,FALSE)</f>
        <v>601666.19528525032</v>
      </c>
      <c r="H898" s="606">
        <f t="shared" si="104"/>
        <v>36099971.717115022</v>
      </c>
    </row>
    <row r="899" spans="1:9" s="565" customFormat="1" ht="15" customHeight="1" thickTop="1">
      <c r="A899" s="574"/>
      <c r="B899" s="574"/>
      <c r="C899" s="574"/>
      <c r="D899" s="575"/>
      <c r="E899" s="589"/>
      <c r="F899" s="590"/>
      <c r="G899" s="600" t="s">
        <v>524</v>
      </c>
      <c r="H899" s="1507">
        <f>SUM(H891:H898)</f>
        <v>85293891.691631347</v>
      </c>
    </row>
    <row r="900" spans="1:9" s="565" customFormat="1" ht="15" customHeight="1">
      <c r="A900" s="577"/>
      <c r="B900" s="577"/>
      <c r="C900" s="577"/>
      <c r="D900" s="578"/>
      <c r="E900" s="562"/>
      <c r="F900" s="580"/>
      <c r="G900" s="601" t="s">
        <v>525</v>
      </c>
      <c r="H900" s="1508">
        <f>SUM(H899:H899)*0.05*0.19/1.3</f>
        <v>623301.51620807522</v>
      </c>
    </row>
    <row r="901" spans="1:9" s="565" customFormat="1" ht="15" customHeight="1" thickBot="1">
      <c r="A901" s="561"/>
      <c r="B901" s="560"/>
      <c r="C901" s="560"/>
      <c r="D901" s="561"/>
      <c r="E901" s="562"/>
      <c r="F901" s="580"/>
      <c r="G901" s="601" t="s">
        <v>526</v>
      </c>
      <c r="H901" s="1509">
        <f>+ROUND(H899+H900,0)</f>
        <v>85917193</v>
      </c>
    </row>
    <row r="902" spans="1:9" s="565" customFormat="1" ht="12.75" customHeight="1" thickTop="1" thickBot="1">
      <c r="A902" s="561"/>
      <c r="B902" s="560"/>
      <c r="C902" s="560"/>
      <c r="D902" s="561"/>
      <c r="E902" s="562"/>
      <c r="F902" s="563"/>
      <c r="G902" s="617"/>
      <c r="H902" s="1506"/>
    </row>
    <row r="903" spans="1:9" s="565" customFormat="1" ht="15.95" customHeight="1" thickTop="1">
      <c r="A903" s="561"/>
      <c r="B903" s="560"/>
      <c r="C903" s="560"/>
      <c r="D903" s="561"/>
      <c r="E903" s="562"/>
      <c r="F903" s="580"/>
      <c r="G903" s="579"/>
      <c r="H903" s="1510"/>
    </row>
    <row r="904" spans="1:9" s="565" customFormat="1" ht="15" customHeight="1" thickBot="1">
      <c r="A904" s="566"/>
      <c r="B904" s="567"/>
      <c r="C904" s="566" t="s">
        <v>641</v>
      </c>
      <c r="D904" s="566"/>
      <c r="E904" s="567"/>
      <c r="F904" s="566"/>
      <c r="G904" s="568"/>
      <c r="H904" s="569"/>
      <c r="I904" s="1512"/>
    </row>
    <row r="905" spans="1:9" s="565" customFormat="1" ht="15" customHeight="1" thickTop="1">
      <c r="A905" s="571" t="s">
        <v>549</v>
      </c>
      <c r="B905" s="571" t="str">
        <f>MID(A905,1,3)&amp;"-"&amp;13</f>
        <v>201-13</v>
      </c>
      <c r="C905" s="571"/>
      <c r="D905" s="619" t="str">
        <f>VLOOKUP(A905,[33]ÍNDICE!$C$6:$N$380,5,FALSE)</f>
        <v>DEMOLICIÓN DE ESTRUCTURAS</v>
      </c>
      <c r="E905" s="629" t="str">
        <f>VLOOKUP(A905,[33]ÍNDICE!$C$6:$N$380,2,FALSE)</f>
        <v>m3</v>
      </c>
      <c r="F905" s="582">
        <f>2*(1.4*0.2*1.5+1*0.2*1.5)+1*1*0.15+3*(2*0.4*1.5)</f>
        <v>5.19</v>
      </c>
      <c r="G905" s="648">
        <f>VLOOKUP(A905,[33]ÍNDICE!$C$6:$N$380,12,FALSE)</f>
        <v>217760.49497573468</v>
      </c>
      <c r="H905" s="583">
        <f>F905*G905</f>
        <v>1130176.968924063</v>
      </c>
    </row>
    <row r="906" spans="1:9" s="565" customFormat="1" ht="15" customHeight="1">
      <c r="A906" s="571" t="s">
        <v>550</v>
      </c>
      <c r="B906" s="571" t="str">
        <f>MID(A906,1,3)&amp;"-"&amp;13</f>
        <v>330-13</v>
      </c>
      <c r="C906" s="614"/>
      <c r="D906" s="619" t="str">
        <f>VLOOKUP(A906,[33]ÍNDICE!$C$6:$N$380,5,FALSE)</f>
        <v>BASE GRANULAR CLASE A GRADACION FINA</v>
      </c>
      <c r="E906" s="629" t="str">
        <f>VLOOKUP(A906,[33]ÍNDICE!$C$6:$N$380,2,FALSE)</f>
        <v>m3</v>
      </c>
      <c r="F906" s="586">
        <f>11*1.2*0.5</f>
        <v>6.6</v>
      </c>
      <c r="G906" s="648">
        <f>VLOOKUP(A906,[33]ÍNDICE!$C$6:$N$380,12,FALSE)</f>
        <v>476364.66746335832</v>
      </c>
      <c r="H906" s="583">
        <f>F906*G906</f>
        <v>3144006.8052581646</v>
      </c>
    </row>
    <row r="907" spans="1:9" s="565" customFormat="1" ht="26.1" customHeight="1">
      <c r="A907" s="571" t="s">
        <v>554</v>
      </c>
      <c r="B907" s="571" t="str">
        <f>MID(A907,1,3)&amp;"-"&amp;13</f>
        <v>450-13</v>
      </c>
      <c r="C907" s="571"/>
      <c r="D907" s="619" t="str">
        <f>VLOOKUP(A907,[33]ÍNDICE!$C$6:$N$380,5,FALSE)</f>
        <v xml:space="preserve">MEZCLA DENSA EN CALIENTE TIPO MDC‐19 - COMPRA DE MEZCLA </v>
      </c>
      <c r="E907" s="629" t="str">
        <f>VLOOKUP(A907,[33]ÍNDICE!$C$6:$N$380,2,FALSE)</f>
        <v>m3</v>
      </c>
      <c r="F907" s="618">
        <f>8*1.4*0.12</f>
        <v>1.3439999999999999</v>
      </c>
      <c r="G907" s="648">
        <f>VLOOKUP(A907,[33]ÍNDICE!$C$6:$N$380,12,FALSE)</f>
        <v>1677232.0782508166</v>
      </c>
      <c r="H907" s="583">
        <f>F907*G907</f>
        <v>2254199.9131690972</v>
      </c>
    </row>
    <row r="908" spans="1:9" s="565" customFormat="1" ht="51.95" customHeight="1">
      <c r="A908" s="571" t="s">
        <v>579</v>
      </c>
      <c r="B908" s="571" t="str">
        <f t="shared" ref="B908:B915" si="105">MID(A908,1,3)&amp;"-"&amp;13</f>
        <v>465-13</v>
      </c>
      <c r="C908" s="571"/>
      <c r="D908" s="619" t="str">
        <f>VLOOKUP(A908,[33]ÍNDICE!$C$6:$N$380,5,FALSE)</f>
        <v>EXCAVACIÓN PARA REPARACIÓN DE PAVIMENTO ASFÁLTICO EXISTENTE INCLUYENDO EL CORTE Y LA REMOCIÓN DE LAS CAPAS ASFÁLTICAS SUBYACENTES</v>
      </c>
      <c r="E908" s="629" t="str">
        <f>VLOOKUP(A908,[33]ÍNDICE!$C$6:$N$380,2,FALSE)</f>
        <v>m3</v>
      </c>
      <c r="F908" s="618">
        <f>1.4*9*0.1</f>
        <v>1.26</v>
      </c>
      <c r="G908" s="648">
        <f>VLOOKUP(A908,[33]ÍNDICE!$C$6:$N$380,12,FALSE)</f>
        <v>100979.71246565928</v>
      </c>
      <c r="H908" s="583">
        <f t="shared" ref="H908:H915" si="106">F908*G908</f>
        <v>127234.43770673069</v>
      </c>
    </row>
    <row r="909" spans="1:9" s="565" customFormat="1" ht="15" customHeight="1">
      <c r="A909" s="571" t="s">
        <v>528</v>
      </c>
      <c r="B909" s="571" t="str">
        <f t="shared" si="105"/>
        <v>600-13</v>
      </c>
      <c r="C909" s="571"/>
      <c r="D909" s="619" t="str">
        <f>VLOOKUP(A909,[33]ÍNDICE!$C$6:$N$380,5,FALSE)</f>
        <v>EXCAVACIONES VARIAS SIN CLASIFICAR</v>
      </c>
      <c r="E909" s="629" t="str">
        <f>VLOOKUP(A909,[33]ÍNDICE!$C$6:$N$380,2,FALSE)</f>
        <v>m3</v>
      </c>
      <c r="F909" s="585">
        <f>11*1.2*1+6</f>
        <v>19.2</v>
      </c>
      <c r="G909" s="648">
        <f>VLOOKUP(A909,[33]ÍNDICE!$C$6:$N$380,12,FALSE)</f>
        <v>58828.261120639472</v>
      </c>
      <c r="H909" s="583">
        <f t="shared" si="106"/>
        <v>1129502.6135162779</v>
      </c>
    </row>
    <row r="910" spans="1:9" s="565" customFormat="1" ht="15" customHeight="1">
      <c r="A910" s="571" t="s">
        <v>530</v>
      </c>
      <c r="B910" s="571" t="str">
        <f>MID(A910,1,3)&amp;"-"&amp;13</f>
        <v>610-13</v>
      </c>
      <c r="C910" s="571"/>
      <c r="D910" s="619" t="str">
        <f>VLOOKUP(A910,[33]ÍNDICE!$C$6:$N$380,5,FALSE)</f>
        <v>RELLENO PARA ESTRUCTURAS CON SUELO (analizado sin preparación de la superficie base del relleno)</v>
      </c>
      <c r="E910" s="629" t="str">
        <f>VLOOKUP(A910,[33]ÍNDICE!$C$6:$N$380,2,FALSE)</f>
        <v>m3</v>
      </c>
      <c r="F910" s="586">
        <f>11*1.2*1+4</f>
        <v>17.2</v>
      </c>
      <c r="G910" s="648">
        <f>VLOOKUP(A910,[33]ÍNDICE!$C$6:$N$380,12,FALSE)</f>
        <v>162354.11090657322</v>
      </c>
      <c r="H910" s="583">
        <f>F910*G910</f>
        <v>2792490.7075930592</v>
      </c>
    </row>
    <row r="911" spans="1:9" s="565" customFormat="1" ht="15" customHeight="1">
      <c r="A911" s="571" t="s">
        <v>531</v>
      </c>
      <c r="B911" s="571" t="str">
        <f t="shared" si="105"/>
        <v>630-13</v>
      </c>
      <c r="C911" s="571"/>
      <c r="D911" s="619" t="str">
        <f>VLOOKUP(A911,[33]ÍNDICE!$C$6:$N$380,5,FALSE)</f>
        <v>CONCRETO SIMPLE RESISTENCIA 17 MPa - MEZCLA IN SITU</v>
      </c>
      <c r="E911" s="629" t="str">
        <f>VLOOKUP(A911,[33]ÍNDICE!$C$6:$N$380,2,FALSE)</f>
        <v>m3</v>
      </c>
      <c r="F911" s="586">
        <f>2*(1.8*0.2*2+1.4*0.2*2)+1.4*1.4*0.2+3*(2*1.8*0.4)+(1.8+3.6)/2*0.2*1.5+11*0.15*1.2</f>
        <v>10.062000000000001</v>
      </c>
      <c r="G911" s="648">
        <f>VLOOKUP(A911,[33]ÍNDICE!$C$6:$N$380,12,FALSE)</f>
        <v>994779.33062365581</v>
      </c>
      <c r="H911" s="583">
        <f t="shared" si="106"/>
        <v>10009469.624735227</v>
      </c>
    </row>
    <row r="912" spans="1:9" s="565" customFormat="1" ht="15" customHeight="1">
      <c r="A912" s="571" t="s">
        <v>532</v>
      </c>
      <c r="B912" s="571" t="str">
        <f t="shared" si="105"/>
        <v>630-13</v>
      </c>
      <c r="C912" s="571"/>
      <c r="D912" s="619" t="str">
        <f>VLOOKUP(A912,[33]ÍNDICE!$C$6:$N$380,5,FALSE)</f>
        <v>CONCRETO CICLÓPEO RESISTENCIA 14MPa (G)</v>
      </c>
      <c r="E912" s="629" t="str">
        <f>VLOOKUP(A912,[33]ÍNDICE!$C$6:$N$380,2,FALSE)</f>
        <v>m3</v>
      </c>
      <c r="F912" s="598">
        <f>1.2*11*0.15+20</f>
        <v>21.98</v>
      </c>
      <c r="G912" s="648">
        <f>VLOOKUP(A912,[33]ÍNDICE!$C$6:$N$380,12,FALSE)</f>
        <v>680494.66759275761</v>
      </c>
      <c r="H912" s="583">
        <f t="shared" si="106"/>
        <v>14957272.793688813</v>
      </c>
    </row>
    <row r="913" spans="1:9" s="565" customFormat="1" ht="15" customHeight="1">
      <c r="A913" s="571" t="s">
        <v>541</v>
      </c>
      <c r="B913" s="571" t="str">
        <f t="shared" si="105"/>
        <v>640-13</v>
      </c>
      <c r="C913" s="571"/>
      <c r="D913" s="619" t="str">
        <f>VLOOKUP(A913,[33]ÍNDICE!$C$6:$N$380,5,FALSE)</f>
        <v>ACERO DE REFUERZO Fy 4200 MPa</v>
      </c>
      <c r="E913" s="629" t="str">
        <f>VLOOKUP(A913,[33]ÍNDICE!$C$6:$N$380,2,FALSE)</f>
        <v>kg</v>
      </c>
      <c r="F913" s="585">
        <f>F911*105</f>
        <v>1056.5100000000002</v>
      </c>
      <c r="G913" s="648">
        <f>VLOOKUP(A913,[33]ÍNDICE!$C$6:$N$380,12,FALSE)</f>
        <v>7547.7371417119648</v>
      </c>
      <c r="H913" s="583">
        <f t="shared" si="106"/>
        <v>7974259.7675901093</v>
      </c>
    </row>
    <row r="914" spans="1:9" s="565" customFormat="1" ht="26.1" customHeight="1">
      <c r="A914" s="571" t="s">
        <v>580</v>
      </c>
      <c r="B914" s="571" t="str">
        <f>MID(A914,1,3)&amp;"-"&amp;13</f>
        <v>661-13</v>
      </c>
      <c r="C914" s="571"/>
      <c r="D914" s="619" t="str">
        <f>VLOOKUP(A914,[33]ÍNDICE!$C$6:$N$380,5,FALSE)</f>
        <v>TUBERIA DE CONCRETO REFORZADO, CLASE III DE 900mm DE DIAMETRO INTERIOR</v>
      </c>
      <c r="E914" s="629" t="str">
        <f>VLOOKUP(A914,[33]ÍNDICE!$C$6:$N$380,2,FALSE)</f>
        <v>m</v>
      </c>
      <c r="F914" s="582">
        <v>11</v>
      </c>
      <c r="G914" s="648">
        <f>VLOOKUP(A914,[33]ÍNDICE!$C$6:$N$380,12,FALSE)</f>
        <v>1451200.3231315203</v>
      </c>
      <c r="H914" s="583">
        <f>F914*G914</f>
        <v>15963203.554446723</v>
      </c>
    </row>
    <row r="915" spans="1:9" s="565" customFormat="1" ht="26.1" customHeight="1" thickBot="1">
      <c r="A915" s="571" t="s">
        <v>545</v>
      </c>
      <c r="B915" s="571" t="str">
        <f t="shared" si="105"/>
        <v>671-13</v>
      </c>
      <c r="C915" s="571"/>
      <c r="D915" s="619" t="str">
        <f>VLOOKUP(A915,[33]ÍNDICE!$C$6:$N$380,5,FALSE)</f>
        <v>CUNETA DE CONCRETO VACIADA IN SITU; INCLUYE LA CONFORMACIÓN DE LA SUPERFICIE DE APOYO</v>
      </c>
      <c r="E915" s="629" t="str">
        <f>VLOOKUP(A915,[33]ÍNDICE!$C$6:$N$380,2,FALSE)</f>
        <v>m3</v>
      </c>
      <c r="F915" s="586">
        <f>20*0.138</f>
        <v>2.7600000000000002</v>
      </c>
      <c r="G915" s="648">
        <f>VLOOKUP(A915,[33]ÍNDICE!$C$6:$N$380,12,FALSE)</f>
        <v>1106254.0341245155</v>
      </c>
      <c r="H915" s="583">
        <f t="shared" si="106"/>
        <v>3053261.1341836629</v>
      </c>
    </row>
    <row r="916" spans="1:9" s="565" customFormat="1" ht="15" customHeight="1" thickTop="1">
      <c r="A916" s="574"/>
      <c r="B916" s="574"/>
      <c r="C916" s="574"/>
      <c r="D916" s="575"/>
      <c r="E916" s="589"/>
      <c r="F916" s="590"/>
      <c r="G916" s="600" t="s">
        <v>524</v>
      </c>
      <c r="H916" s="1507">
        <f>SUM(H905:H915)</f>
        <v>62535078.320811927</v>
      </c>
    </row>
    <row r="917" spans="1:9" s="565" customFormat="1" ht="15" customHeight="1">
      <c r="A917" s="577"/>
      <c r="B917" s="577"/>
      <c r="C917" s="577"/>
      <c r="D917" s="578"/>
      <c r="E917" s="562"/>
      <c r="F917" s="580"/>
      <c r="G917" s="601" t="s">
        <v>525</v>
      </c>
      <c r="H917" s="1508">
        <f>SUM(H916:H916)*0.05*0.19/1.3</f>
        <v>456987.11080593331</v>
      </c>
    </row>
    <row r="918" spans="1:9" s="565" customFormat="1" ht="15" customHeight="1" thickBot="1">
      <c r="A918" s="561"/>
      <c r="B918" s="560"/>
      <c r="C918" s="560"/>
      <c r="D918" s="561"/>
      <c r="E918" s="562"/>
      <c r="F918" s="580"/>
      <c r="G918" s="601" t="s">
        <v>526</v>
      </c>
      <c r="H918" s="1509">
        <f>+ROUND(H916+H917,0)</f>
        <v>62992065</v>
      </c>
      <c r="I918" s="1512"/>
    </row>
    <row r="919" spans="1:9" s="565" customFormat="1" ht="15" customHeight="1" thickTop="1">
      <c r="A919" s="561"/>
      <c r="B919" s="560"/>
      <c r="C919" s="560"/>
      <c r="D919" s="561"/>
      <c r="E919" s="562"/>
      <c r="F919" s="580"/>
      <c r="G919" s="579"/>
      <c r="H919" s="1510"/>
      <c r="I919" s="1512"/>
    </row>
    <row r="920" spans="1:9" s="565" customFormat="1" ht="15" customHeight="1" thickBot="1">
      <c r="A920" s="566"/>
      <c r="B920" s="567"/>
      <c r="C920" s="566" t="s">
        <v>642</v>
      </c>
      <c r="D920" s="566"/>
      <c r="E920" s="567"/>
      <c r="F920" s="566"/>
      <c r="G920" s="568"/>
      <c r="H920" s="569"/>
    </row>
    <row r="921" spans="1:9" s="565" customFormat="1" ht="15" customHeight="1" thickTop="1">
      <c r="A921" s="572" t="s">
        <v>549</v>
      </c>
      <c r="B921" s="572" t="str">
        <f>MID(A921,1,3)&amp;"-"&amp;13</f>
        <v>201-13</v>
      </c>
      <c r="C921" s="572"/>
      <c r="D921" s="619" t="str">
        <f>VLOOKUP(A921,[33]ÍNDICE!$C$6:$N$380,5,FALSE)</f>
        <v>DEMOLICIÓN DE ESTRUCTURAS</v>
      </c>
      <c r="E921" s="629" t="str">
        <f>VLOOKUP(A921,[33]ÍNDICE!$C$6:$N$380,2,FALSE)</f>
        <v>m3</v>
      </c>
      <c r="F921" s="592">
        <v>2</v>
      </c>
      <c r="G921" s="648">
        <f>VLOOKUP(A921,[33]ÍNDICE!$C$6:$N$380,12,FALSE)</f>
        <v>217760.49497573468</v>
      </c>
      <c r="H921" s="573">
        <f>F921*G921</f>
        <v>435520.98995146935</v>
      </c>
    </row>
    <row r="922" spans="1:9" s="565" customFormat="1" ht="15" customHeight="1">
      <c r="A922" s="571" t="s">
        <v>528</v>
      </c>
      <c r="B922" s="571" t="str">
        <f t="shared" ref="B922:B928" si="107">MID(A922,1,3)&amp;"-"&amp;13</f>
        <v>600-13</v>
      </c>
      <c r="C922" s="571"/>
      <c r="D922" s="619" t="str">
        <f>VLOOKUP(A922,[33]ÍNDICE!$C$6:$N$380,5,FALSE)</f>
        <v>EXCAVACIONES VARIAS SIN CLASIFICAR</v>
      </c>
      <c r="E922" s="629" t="str">
        <f>VLOOKUP(A922,[33]ÍNDICE!$C$6:$N$380,2,FALSE)</f>
        <v>m3</v>
      </c>
      <c r="F922" s="585">
        <f>10*0.5</f>
        <v>5</v>
      </c>
      <c r="G922" s="648">
        <f>VLOOKUP(A922,[33]ÍNDICE!$C$6:$N$380,12,FALSE)</f>
        <v>58828.261120639472</v>
      </c>
      <c r="H922" s="583">
        <f t="shared" ref="H922:H928" si="108">F922*G922</f>
        <v>294141.30560319737</v>
      </c>
    </row>
    <row r="923" spans="1:9" s="565" customFormat="1" ht="15" customHeight="1">
      <c r="A923" s="571" t="s">
        <v>530</v>
      </c>
      <c r="B923" s="571" t="str">
        <f>MID(A923,1,3)&amp;"-"&amp;13</f>
        <v>610-13</v>
      </c>
      <c r="C923" s="571"/>
      <c r="D923" s="619" t="str">
        <f>VLOOKUP(A923,[33]ÍNDICE!$C$6:$N$380,5,FALSE)</f>
        <v>RELLENO PARA ESTRUCTURAS CON SUELO (analizado sin preparación de la superficie base del relleno)</v>
      </c>
      <c r="E923" s="629" t="str">
        <f>VLOOKUP(A923,[33]ÍNDICE!$C$6:$N$380,2,FALSE)</f>
        <v>m3</v>
      </c>
      <c r="F923" s="586">
        <f>10*0.4</f>
        <v>4</v>
      </c>
      <c r="G923" s="648">
        <f>VLOOKUP(A923,[33]ÍNDICE!$C$6:$N$380,12,FALSE)</f>
        <v>162354.11090657322</v>
      </c>
      <c r="H923" s="583">
        <f>F923*G923</f>
        <v>649416.44362629286</v>
      </c>
    </row>
    <row r="924" spans="1:9" s="565" customFormat="1" ht="15" customHeight="1">
      <c r="A924" s="571" t="s">
        <v>531</v>
      </c>
      <c r="B924" s="571" t="str">
        <f t="shared" si="107"/>
        <v>630-13</v>
      </c>
      <c r="C924" s="571"/>
      <c r="D924" s="619" t="str">
        <f>VLOOKUP(A924,[33]ÍNDICE!$C$6:$N$380,5,FALSE)</f>
        <v>CONCRETO SIMPLE RESISTENCIA 17 MPa - MEZCLA IN SITU</v>
      </c>
      <c r="E924" s="629" t="str">
        <f>VLOOKUP(A924,[33]ÍNDICE!$C$6:$N$380,2,FALSE)</f>
        <v>m3</v>
      </c>
      <c r="F924" s="586">
        <f>10*0.55</f>
        <v>5.5</v>
      </c>
      <c r="G924" s="648">
        <f>VLOOKUP(A924,[33]ÍNDICE!$C$6:$N$380,12,FALSE)</f>
        <v>994779.33062365581</v>
      </c>
      <c r="H924" s="583">
        <f t="shared" si="108"/>
        <v>5471286.3184301071</v>
      </c>
    </row>
    <row r="925" spans="1:9" s="565" customFormat="1" ht="15" customHeight="1">
      <c r="A925" s="571" t="s">
        <v>532</v>
      </c>
      <c r="B925" s="571" t="str">
        <f t="shared" si="107"/>
        <v>630-13</v>
      </c>
      <c r="C925" s="571"/>
      <c r="D925" s="619" t="str">
        <f>VLOOKUP(A925,[33]ÍNDICE!$C$6:$N$380,5,FALSE)</f>
        <v>CONCRETO CICLÓPEO RESISTENCIA 14MPa (G)</v>
      </c>
      <c r="E925" s="629" t="str">
        <f>VLOOKUP(A925,[33]ÍNDICE!$C$6:$N$380,2,FALSE)</f>
        <v>m3</v>
      </c>
      <c r="F925" s="598">
        <v>3</v>
      </c>
      <c r="G925" s="648">
        <f>VLOOKUP(A925,[33]ÍNDICE!$C$6:$N$380,12,FALSE)</f>
        <v>680494.66759275761</v>
      </c>
      <c r="H925" s="583">
        <f t="shared" si="108"/>
        <v>2041484.0027782728</v>
      </c>
    </row>
    <row r="926" spans="1:9" s="565" customFormat="1" ht="15" customHeight="1">
      <c r="A926" s="571" t="s">
        <v>541</v>
      </c>
      <c r="B926" s="571" t="str">
        <f t="shared" si="107"/>
        <v>640-13</v>
      </c>
      <c r="C926" s="571"/>
      <c r="D926" s="619" t="str">
        <f>VLOOKUP(A926,[33]ÍNDICE!$C$6:$N$380,5,FALSE)</f>
        <v>ACERO DE REFUERZO Fy 4200 MPa</v>
      </c>
      <c r="E926" s="629" t="str">
        <f>VLOOKUP(A926,[33]ÍNDICE!$C$6:$N$380,2,FALSE)</f>
        <v>kg</v>
      </c>
      <c r="F926" s="585">
        <f>F924*105</f>
        <v>577.5</v>
      </c>
      <c r="G926" s="648">
        <f>VLOOKUP(A926,[33]ÍNDICE!$C$6:$N$380,12,FALSE)</f>
        <v>7547.7371417119648</v>
      </c>
      <c r="H926" s="583">
        <f t="shared" si="108"/>
        <v>4358818.1993386596</v>
      </c>
    </row>
    <row r="927" spans="1:9" s="565" customFormat="1" ht="15" customHeight="1">
      <c r="A927" s="571" t="s">
        <v>534</v>
      </c>
      <c r="B927" s="571" t="str">
        <f>MID(A927,1,3)&amp;"-"&amp;13</f>
        <v>673-13</v>
      </c>
      <c r="C927" s="571"/>
      <c r="D927" s="619" t="str">
        <f>VLOOKUP(A927,[33]ÍNDICE!$C$6:$N$380,5,FALSE)</f>
        <v xml:space="preserve">GEOTEXTIL TIPO TEJIDO CON RESISTENCIA A LA TENSIÓN GRAB MÍNIMA DE 1400 N </v>
      </c>
      <c r="E927" s="629" t="str">
        <f>VLOOKUP(A927,[33]ÍNDICE!$C$6:$N$380,2,FALSE)</f>
        <v>m2</v>
      </c>
      <c r="F927" s="585">
        <v>15</v>
      </c>
      <c r="G927" s="648">
        <f>VLOOKUP(A927,[33]ÍNDICE!$C$6:$N$380,12,FALSE)</f>
        <v>12861.24633460756</v>
      </c>
      <c r="H927" s="583">
        <f>F927*G927</f>
        <v>192918.69501911339</v>
      </c>
    </row>
    <row r="928" spans="1:9" s="565" customFormat="1" ht="26.1" customHeight="1" thickBot="1">
      <c r="A928" s="571" t="s">
        <v>643</v>
      </c>
      <c r="B928" s="571" t="str">
        <f t="shared" si="107"/>
        <v>681-13</v>
      </c>
      <c r="C928" s="571"/>
      <c r="D928" s="619" t="str">
        <f>VLOOKUP(A928,[33]ÍNDICE!$C$6:$N$380,5,FALSE)</f>
        <v>GAVIONES DE MALLA DE ALAMBRE DE ACERO ENTRELAZADO  CLASE 2; RECUBRIMIENTO DE ALEACIÓN Zn-5A1-MM</v>
      </c>
      <c r="E928" s="629" t="str">
        <f>VLOOKUP(A928,[33]ÍNDICE!$C$6:$N$380,2,FALSE)</f>
        <v>m3</v>
      </c>
      <c r="F928" s="585">
        <v>6</v>
      </c>
      <c r="G928" s="648">
        <f>VLOOKUP(A928,[33]ÍNDICE!$C$6:$N$380,12,FALSE)</f>
        <v>333791.70387946791</v>
      </c>
      <c r="H928" s="583">
        <f t="shared" si="108"/>
        <v>2002750.2232768075</v>
      </c>
    </row>
    <row r="929" spans="1:8" s="565" customFormat="1" ht="15" customHeight="1" thickTop="1">
      <c r="A929" s="574"/>
      <c r="B929" s="574"/>
      <c r="C929" s="574"/>
      <c r="D929" s="575"/>
      <c r="E929" s="589"/>
      <c r="F929" s="590"/>
      <c r="G929" s="600" t="s">
        <v>524</v>
      </c>
      <c r="H929" s="1507">
        <f>SUM(H921:H928)</f>
        <v>15446336.178023919</v>
      </c>
    </row>
    <row r="930" spans="1:8" s="565" customFormat="1" ht="15" customHeight="1">
      <c r="A930" s="577"/>
      <c r="B930" s="577"/>
      <c r="C930" s="577"/>
      <c r="D930" s="578"/>
      <c r="E930" s="562"/>
      <c r="F930" s="580"/>
      <c r="G930" s="601" t="s">
        <v>525</v>
      </c>
      <c r="H930" s="1508">
        <f>SUM(H929:H929)*0.05*0.19/1.3</f>
        <v>112877.07207017479</v>
      </c>
    </row>
    <row r="931" spans="1:8" s="565" customFormat="1" ht="15" customHeight="1" thickBot="1">
      <c r="A931" s="561"/>
      <c r="B931" s="560"/>
      <c r="C931" s="560"/>
      <c r="D931" s="561"/>
      <c r="E931" s="562"/>
      <c r="F931" s="580"/>
      <c r="G931" s="601" t="s">
        <v>526</v>
      </c>
      <c r="H931" s="1509">
        <f>+ROUND(H929+H930,0)</f>
        <v>15559213</v>
      </c>
    </row>
    <row r="932" spans="1:8" s="565" customFormat="1" ht="12.75" customHeight="1" thickTop="1">
      <c r="A932" s="561"/>
      <c r="B932" s="560"/>
      <c r="C932" s="560"/>
      <c r="D932" s="561"/>
      <c r="E932" s="562"/>
      <c r="F932" s="563"/>
      <c r="G932" s="563"/>
      <c r="H932" s="1506"/>
    </row>
    <row r="933" spans="1:8" s="565" customFormat="1" ht="15" customHeight="1" thickBot="1">
      <c r="A933" s="566"/>
      <c r="B933" s="567"/>
      <c r="C933" s="566" t="s">
        <v>622</v>
      </c>
      <c r="D933" s="566"/>
      <c r="E933" s="567"/>
      <c r="F933" s="566"/>
      <c r="G933" s="616"/>
      <c r="H933" s="569"/>
    </row>
    <row r="934" spans="1:8" s="565" customFormat="1" ht="15" customHeight="1" thickTop="1">
      <c r="A934" s="595" t="s">
        <v>549</v>
      </c>
      <c r="B934" s="571" t="str">
        <f>MID(A934,1,3)&amp;"-"&amp;13</f>
        <v>201-13</v>
      </c>
      <c r="C934" s="595"/>
      <c r="D934" s="619" t="str">
        <f>VLOOKUP(A934,[33]ÍNDICE!$C$6:$N$380,5,FALSE)</f>
        <v>DEMOLICIÓN DE ESTRUCTURAS</v>
      </c>
      <c r="E934" s="581" t="str">
        <f>VLOOKUP(A934,[33]ÍNDICE!$C$6:$N$380,2,FALSE)</f>
        <v>m3</v>
      </c>
      <c r="F934" s="608">
        <f>3*2*0.4</f>
        <v>2.4000000000000004</v>
      </c>
      <c r="G934" s="613">
        <f>VLOOKUP(A934,[33]ÍNDICE!$C$6:$N$380,12,FALSE)</f>
        <v>217760.49497573468</v>
      </c>
      <c r="H934" s="597">
        <f>F934*G934</f>
        <v>522625.18794176332</v>
      </c>
    </row>
    <row r="935" spans="1:8" s="565" customFormat="1" ht="15" customHeight="1" thickBot="1">
      <c r="A935" s="602" t="s">
        <v>531</v>
      </c>
      <c r="B935" s="602" t="str">
        <f>MID(A935,1,3)&amp;"-"&amp;13</f>
        <v>630-13</v>
      </c>
      <c r="C935" s="602"/>
      <c r="D935" s="619" t="str">
        <f>VLOOKUP(A935,[33]ÍNDICE!$C$6:$N$380,5,FALSE)</f>
        <v>CONCRETO SIMPLE RESISTENCIA 17 MPa - MEZCLA IN SITU</v>
      </c>
      <c r="E935" s="581" t="str">
        <f>VLOOKUP(A935,[33]ÍNDICE!$C$6:$N$380,2,FALSE)</f>
        <v>m3</v>
      </c>
      <c r="F935" s="593">
        <v>0.5</v>
      </c>
      <c r="G935" s="613">
        <f>VLOOKUP(A935,[33]ÍNDICE!$C$6:$N$380,12,FALSE)</f>
        <v>994779.33062365581</v>
      </c>
      <c r="H935" s="606">
        <f>F935*G935</f>
        <v>497389.66531182791</v>
      </c>
    </row>
    <row r="936" spans="1:8" s="565" customFormat="1" ht="15" customHeight="1" thickTop="1">
      <c r="A936" s="574"/>
      <c r="B936" s="574"/>
      <c r="C936" s="574"/>
      <c r="D936" s="575"/>
      <c r="E936" s="589"/>
      <c r="F936" s="590"/>
      <c r="G936" s="576" t="s">
        <v>524</v>
      </c>
      <c r="H936" s="1511">
        <f>SUM(H934:H935)</f>
        <v>1020014.8532535912</v>
      </c>
    </row>
    <row r="937" spans="1:8" s="565" customFormat="1" ht="15" customHeight="1">
      <c r="A937" s="577"/>
      <c r="B937" s="577"/>
      <c r="C937" s="577"/>
      <c r="D937" s="578"/>
      <c r="E937" s="562"/>
      <c r="F937" s="580"/>
      <c r="G937" s="579" t="s">
        <v>525</v>
      </c>
      <c r="H937" s="1508">
        <f>ROUND((+H936*0.05*0.19)/(1+0.3),0)</f>
        <v>7454</v>
      </c>
    </row>
    <row r="938" spans="1:8" s="565" customFormat="1" ht="15" customHeight="1" thickBot="1">
      <c r="A938" s="561"/>
      <c r="B938" s="560"/>
      <c r="C938" s="560"/>
      <c r="D938" s="561"/>
      <c r="E938" s="562"/>
      <c r="F938" s="580"/>
      <c r="G938" s="579" t="s">
        <v>526</v>
      </c>
      <c r="H938" s="1509">
        <f>+ROUND(H936+H937,0)</f>
        <v>1027469</v>
      </c>
    </row>
    <row r="939" spans="1:8" s="565" customFormat="1" ht="15" customHeight="1" thickTop="1">
      <c r="A939" s="561"/>
      <c r="B939" s="560"/>
      <c r="C939" s="560"/>
      <c r="D939" s="561"/>
      <c r="E939" s="562"/>
      <c r="F939" s="580"/>
      <c r="G939" s="579"/>
      <c r="H939" s="1510"/>
    </row>
    <row r="940" spans="1:8" s="565" customFormat="1" ht="15" customHeight="1">
      <c r="A940" s="561" t="s">
        <v>644</v>
      </c>
      <c r="B940" s="560"/>
      <c r="C940" s="560"/>
      <c r="D940" s="561"/>
      <c r="E940" s="562"/>
      <c r="F940" s="563"/>
      <c r="G940" s="564"/>
      <c r="H940" s="1506"/>
    </row>
    <row r="941" spans="1:8" s="565" customFormat="1" ht="15" customHeight="1">
      <c r="A941" s="561"/>
      <c r="B941" s="560"/>
      <c r="C941" s="560"/>
      <c r="D941" s="561"/>
      <c r="E941" s="562"/>
      <c r="F941" s="563"/>
      <c r="G941" s="564"/>
      <c r="H941" s="1506"/>
    </row>
    <row r="942" spans="1:8" s="565" customFormat="1" ht="12.75" customHeight="1" thickBot="1">
      <c r="A942" s="566"/>
      <c r="B942" s="567"/>
      <c r="C942" s="566" t="s">
        <v>645</v>
      </c>
      <c r="D942" s="566"/>
      <c r="E942" s="567"/>
      <c r="F942" s="566"/>
      <c r="G942" s="568"/>
      <c r="H942" s="569"/>
    </row>
    <row r="943" spans="1:8" s="565" customFormat="1" ht="15" customHeight="1" thickTop="1">
      <c r="A943" s="572" t="s">
        <v>549</v>
      </c>
      <c r="B943" s="572" t="str">
        <f>MID(A943,1,3)&amp;"-"&amp;13</f>
        <v>201-13</v>
      </c>
      <c r="C943" s="572"/>
      <c r="D943" s="619" t="str">
        <f>VLOOKUP(A943,[33]ÍNDICE!$C$6:$N$380,5,FALSE)</f>
        <v>DEMOLICIÓN DE ESTRUCTURAS</v>
      </c>
      <c r="E943" s="629" t="str">
        <f>VLOOKUP(A943,[33]ÍNDICE!$C$6:$N$380,2,FALSE)</f>
        <v>m3</v>
      </c>
      <c r="F943" s="592">
        <f>10600*0.15*1</f>
        <v>1590</v>
      </c>
      <c r="G943" s="613">
        <f>VLOOKUP(A943,[33]ÍNDICE!$C$6:$N$380,12,FALSE)</f>
        <v>217760.49497573468</v>
      </c>
      <c r="H943" s="573">
        <f>F943*G943</f>
        <v>346239187.01141816</v>
      </c>
    </row>
    <row r="944" spans="1:8" s="565" customFormat="1" ht="15" customHeight="1">
      <c r="A944" s="571" t="s">
        <v>528</v>
      </c>
      <c r="B944" s="571" t="str">
        <f t="shared" ref="B944:B949" si="109">MID(A944,1,3)&amp;"-"&amp;13</f>
        <v>600-13</v>
      </c>
      <c r="C944" s="571"/>
      <c r="D944" s="619" t="str">
        <f>VLOOKUP(A944,[33]ÍNDICE!$C$6:$N$380,5,FALSE)</f>
        <v>EXCAVACIONES VARIAS SIN CLASIFICAR</v>
      </c>
      <c r="E944" s="629" t="str">
        <f>VLOOKUP(A944,[33]ÍNDICE!$C$6:$N$380,2,FALSE)</f>
        <v>m3</v>
      </c>
      <c r="F944" s="585">
        <f>10600*0.5*1.2</f>
        <v>6360</v>
      </c>
      <c r="G944" s="613">
        <f>VLOOKUP(A944,[33]ÍNDICE!$C$6:$N$380,12,FALSE)</f>
        <v>58828.261120639472</v>
      </c>
      <c r="H944" s="583">
        <f t="shared" ref="H944:H949" si="110">F944*G944</f>
        <v>374147740.72726703</v>
      </c>
    </row>
    <row r="945" spans="1:8" s="565" customFormat="1" ht="15" customHeight="1">
      <c r="A945" s="571" t="s">
        <v>530</v>
      </c>
      <c r="B945" s="571" t="str">
        <f>MID(A945,1,3)&amp;"-"&amp;13</f>
        <v>610-13</v>
      </c>
      <c r="C945" s="571"/>
      <c r="D945" s="619" t="str">
        <f>VLOOKUP(A945,[33]ÍNDICE!$C$6:$N$380,5,FALSE)</f>
        <v>RELLENO PARA ESTRUCTURAS CON SUELO (analizado sin preparación de la superficie base del relleno)</v>
      </c>
      <c r="E945" s="629" t="str">
        <f>VLOOKUP(A945,[33]ÍNDICE!$C$6:$N$380,2,FALSE)</f>
        <v>m3</v>
      </c>
      <c r="F945" s="586">
        <f>10600*0.2*1</f>
        <v>2120</v>
      </c>
      <c r="G945" s="613">
        <f>VLOOKUP(A945,[33]ÍNDICE!$C$6:$N$380,12,FALSE)</f>
        <v>162354.11090657322</v>
      </c>
      <c r="H945" s="583">
        <f>F945*G945</f>
        <v>344190715.12193519</v>
      </c>
    </row>
    <row r="946" spans="1:8" s="565" customFormat="1" ht="26.1" customHeight="1">
      <c r="A946" s="571" t="s">
        <v>646</v>
      </c>
      <c r="B946" s="571" t="str">
        <f>MID(A946,1,3)&amp;"-"&amp;13</f>
        <v>663-13</v>
      </c>
      <c r="C946" s="571"/>
      <c r="D946" s="619" t="str">
        <f>VLOOKUP(A946,[33]ÍNDICE!$C$6:$N$380,5,FALSE)</f>
        <v>TUBERÍA DE PERFORADA TIPO PVC NORMA NTC-5055 DE DIAMETRO 2 PULG</v>
      </c>
      <c r="E946" s="629" t="str">
        <f>VLOOKUP(A946,[33]ÍNDICE!$C$6:$N$380,2,FALSE)</f>
        <v>m</v>
      </c>
      <c r="F946" s="586">
        <v>10600</v>
      </c>
      <c r="G946" s="613">
        <f>VLOOKUP(A946,[33]ÍNDICE!$C$6:$N$380,12,FALSE)</f>
        <v>32940.073523871368</v>
      </c>
      <c r="H946" s="583">
        <f>F946*G946</f>
        <v>349164779.35303652</v>
      </c>
    </row>
    <row r="947" spans="1:8" s="565" customFormat="1" ht="26.1" customHeight="1">
      <c r="A947" s="571" t="s">
        <v>545</v>
      </c>
      <c r="B947" s="571" t="str">
        <f>MID(A947,1,3)&amp;"-"&amp;13</f>
        <v>671-13</v>
      </c>
      <c r="C947" s="571"/>
      <c r="D947" s="619" t="str">
        <f>VLOOKUP(A947,[33]ÍNDICE!$C$6:$N$380,5,FALSE)</f>
        <v>CUNETA DE CONCRETO VACIADA IN SITU; INCLUYE LA CONFORMACIÓN DE LA SUPERFICIE DE APOYO</v>
      </c>
      <c r="E947" s="629" t="str">
        <f>VLOOKUP(A947,[33]ÍNDICE!$C$6:$N$380,2,FALSE)</f>
        <v>m3</v>
      </c>
      <c r="F947" s="586">
        <f>10600*0.138</f>
        <v>1462.8000000000002</v>
      </c>
      <c r="G947" s="613">
        <f>VLOOKUP(A947,[33]ÍNDICE!$C$6:$N$380,12,FALSE)</f>
        <v>1106254.0341245155</v>
      </c>
      <c r="H947" s="583">
        <f>F947*G947</f>
        <v>1618228401.1173415</v>
      </c>
    </row>
    <row r="948" spans="1:8" s="565" customFormat="1" ht="15" customHeight="1">
      <c r="A948" s="571" t="s">
        <v>534</v>
      </c>
      <c r="B948" s="571" t="str">
        <f t="shared" si="109"/>
        <v>673-13</v>
      </c>
      <c r="C948" s="571"/>
      <c r="D948" s="619" t="str">
        <f>VLOOKUP(A948,[33]ÍNDICE!$C$6:$N$380,5,FALSE)</f>
        <v xml:space="preserve">GEOTEXTIL TIPO TEJIDO CON RESISTENCIA A LA TENSIÓN GRAB MÍNIMA DE 1400 N </v>
      </c>
      <c r="E948" s="629" t="str">
        <f>VLOOKUP(A948,[33]ÍNDICE!$C$6:$N$380,2,FALSE)</f>
        <v>m2</v>
      </c>
      <c r="F948" s="585">
        <f>10600*3.5</f>
        <v>37100</v>
      </c>
      <c r="G948" s="613">
        <f>VLOOKUP(A948,[33]ÍNDICE!$C$6:$N$380,12,FALSE)</f>
        <v>12861.24633460756</v>
      </c>
      <c r="H948" s="583">
        <f t="shared" si="110"/>
        <v>477152239.01394045</v>
      </c>
    </row>
    <row r="949" spans="1:8" s="565" customFormat="1" ht="15" customHeight="1" thickBot="1">
      <c r="A949" s="602" t="s">
        <v>547</v>
      </c>
      <c r="B949" s="602" t="str">
        <f t="shared" si="109"/>
        <v>673-13</v>
      </c>
      <c r="C949" s="602"/>
      <c r="D949" s="630" t="str">
        <f>VLOOKUP(A949,[33]ÍNDICE!$C$6:$N$380,5,FALSE)</f>
        <v>MATERIAL GRANULAR DRENANTE</v>
      </c>
      <c r="E949" s="631" t="str">
        <f>VLOOKUP(A949,[33]ÍNDICE!$C$6:$N$380,2,FALSE)</f>
        <v>m3</v>
      </c>
      <c r="F949" s="593">
        <f>10600*0.5*1</f>
        <v>5300</v>
      </c>
      <c r="G949" s="632">
        <f>VLOOKUP(A949,[33]ÍNDICE!$C$6:$N$380,12,FALSE)</f>
        <v>372207.28893037047</v>
      </c>
      <c r="H949" s="606">
        <f t="shared" si="110"/>
        <v>1972698631.3309636</v>
      </c>
    </row>
    <row r="950" spans="1:8" s="565" customFormat="1" ht="15" customHeight="1" thickTop="1">
      <c r="A950" s="577"/>
      <c r="B950" s="577"/>
      <c r="C950" s="607"/>
      <c r="D950" s="607"/>
      <c r="E950" s="562"/>
      <c r="F950" s="633"/>
      <c r="G950" s="601" t="s">
        <v>524</v>
      </c>
      <c r="H950" s="1517">
        <f>SUM(H943:H949)</f>
        <v>5481821693.6759024</v>
      </c>
    </row>
    <row r="951" spans="1:8" s="565" customFormat="1" ht="15" customHeight="1">
      <c r="A951" s="577"/>
      <c r="B951" s="577"/>
      <c r="C951" s="578"/>
      <c r="D951" s="578"/>
      <c r="E951" s="562"/>
      <c r="F951" s="580"/>
      <c r="G951" s="601" t="s">
        <v>525</v>
      </c>
      <c r="H951" s="1508">
        <f>ROUND((+H950*0.05*0.19)/(1+0.3),0)</f>
        <v>40059466</v>
      </c>
    </row>
    <row r="952" spans="1:8" s="565" customFormat="1" ht="15" customHeight="1" thickBot="1">
      <c r="A952" s="578"/>
      <c r="B952" s="577"/>
      <c r="C952" s="578"/>
      <c r="D952" s="626"/>
      <c r="E952" s="562"/>
      <c r="F952" s="634"/>
      <c r="G952" s="601" t="s">
        <v>526</v>
      </c>
      <c r="H952" s="1509">
        <f>+ROUND(H950+H951,0)</f>
        <v>5521881160</v>
      </c>
    </row>
    <row r="953" spans="1:8" s="565" customFormat="1" ht="15" customHeight="1" thickTop="1">
      <c r="A953" s="578"/>
      <c r="B953" s="577"/>
      <c r="C953" s="578"/>
      <c r="D953" s="626"/>
      <c r="E953" s="562"/>
      <c r="F953" s="634"/>
      <c r="G953" s="579"/>
      <c r="H953" s="1510"/>
    </row>
    <row r="954" spans="1:8" s="565" customFormat="1" ht="13.5" thickBot="1">
      <c r="A954" s="566"/>
      <c r="B954" s="567"/>
      <c r="C954" s="566" t="s">
        <v>647</v>
      </c>
      <c r="D954" s="566"/>
      <c r="E954" s="567"/>
      <c r="F954" s="566"/>
      <c r="G954" s="616"/>
      <c r="H954" s="569"/>
    </row>
    <row r="955" spans="1:8" s="565" customFormat="1" ht="15" customHeight="1" thickTop="1">
      <c r="A955" s="595" t="s">
        <v>549</v>
      </c>
      <c r="B955" s="571" t="str">
        <f>MID(A955,1,3)&amp;"-"&amp;13</f>
        <v>201-13</v>
      </c>
      <c r="C955" s="595"/>
      <c r="D955" s="619" t="str">
        <f>VLOOKUP(A955,[33]ÍNDICE!$C$6:$N$380,5,FALSE)</f>
        <v>DEMOLICIÓN DE ESTRUCTURAS</v>
      </c>
      <c r="E955" s="629" t="str">
        <f>VLOOKUP(A955,[33]ÍNDICE!$C$6:$N$380,2,FALSE)</f>
        <v>m3</v>
      </c>
      <c r="F955" s="608">
        <f>14*1*0.15</f>
        <v>2.1</v>
      </c>
      <c r="G955" s="613">
        <f>VLOOKUP(A955,[33]ÍNDICE!$C$6:$N$380,12,FALSE)</f>
        <v>217760.49497573468</v>
      </c>
      <c r="H955" s="597">
        <f>F955*G955</f>
        <v>457297.03944904282</v>
      </c>
    </row>
    <row r="956" spans="1:8" s="565" customFormat="1" ht="15" customHeight="1">
      <c r="A956" s="571" t="s">
        <v>528</v>
      </c>
      <c r="B956" s="571" t="str">
        <f>MID(A956,1,3)&amp;"-"&amp;13</f>
        <v>600-13</v>
      </c>
      <c r="C956" s="571"/>
      <c r="D956" s="619" t="str">
        <f>VLOOKUP(A956,[33]ÍNDICE!$C$6:$N$380,5,FALSE)</f>
        <v>EXCAVACIONES VARIAS SIN CLASIFICAR</v>
      </c>
      <c r="E956" s="629" t="str">
        <f>VLOOKUP(A956,[33]ÍNDICE!$C$6:$N$380,2,FALSE)</f>
        <v>m3</v>
      </c>
      <c r="F956" s="585">
        <v>3</v>
      </c>
      <c r="G956" s="613">
        <f>VLOOKUP(A956,[33]ÍNDICE!$C$6:$N$380,12,FALSE)</f>
        <v>58828.261120639472</v>
      </c>
      <c r="H956" s="583">
        <f>F956*G956</f>
        <v>176484.78336191841</v>
      </c>
    </row>
    <row r="957" spans="1:8" s="565" customFormat="1" ht="15" customHeight="1">
      <c r="A957" s="572" t="s">
        <v>530</v>
      </c>
      <c r="B957" s="572" t="str">
        <f>MID(A957,1,3)&amp;"-"&amp;13</f>
        <v>610-13</v>
      </c>
      <c r="C957" s="572"/>
      <c r="D957" s="619" t="str">
        <f>VLOOKUP(A957,[33]ÍNDICE!$C$6:$N$380,5,FALSE)</f>
        <v>RELLENO PARA ESTRUCTURAS CON SUELO (analizado sin preparación de la superficie base del relleno)</v>
      </c>
      <c r="E957" s="629" t="str">
        <f>VLOOKUP(A957,[33]ÍNDICE!$C$6:$N$380,2,FALSE)</f>
        <v>m3</v>
      </c>
      <c r="F957" s="584">
        <v>1</v>
      </c>
      <c r="G957" s="613">
        <f>VLOOKUP(A957,[33]ÍNDICE!$C$6:$N$380,12,FALSE)</f>
        <v>162354.11090657322</v>
      </c>
      <c r="H957" s="573">
        <f>F957*G957</f>
        <v>162354.11090657322</v>
      </c>
    </row>
    <row r="958" spans="1:8" s="565" customFormat="1" ht="26.1" customHeight="1" thickBot="1">
      <c r="A958" s="602" t="s">
        <v>545</v>
      </c>
      <c r="B958" s="602" t="str">
        <f>MID(A958,1,3)&amp;"-"&amp;13</f>
        <v>671-13</v>
      </c>
      <c r="C958" s="602"/>
      <c r="D958" s="630" t="str">
        <f>VLOOKUP(A958,[33]ÍNDICE!$C$6:$N$380,5,FALSE)</f>
        <v>CUNETA DE CONCRETO VACIADA IN SITU; INCLUYE LA CONFORMACIÓN DE LA SUPERFICIE DE APOYO</v>
      </c>
      <c r="E958" s="631" t="str">
        <f>VLOOKUP(A958,[33]ÍNDICE!$C$6:$N$380,2,FALSE)</f>
        <v>m3</v>
      </c>
      <c r="F958" s="593">
        <f>14*0.138</f>
        <v>1.9320000000000002</v>
      </c>
      <c r="G958" s="632">
        <f>VLOOKUP(A958,[33]ÍNDICE!$C$6:$N$380,12,FALSE)</f>
        <v>1106254.0341245155</v>
      </c>
      <c r="H958" s="606">
        <f>F958*G958</f>
        <v>2137282.7939285641</v>
      </c>
    </row>
    <row r="959" spans="1:8" s="565" customFormat="1" ht="15" customHeight="1" thickTop="1">
      <c r="A959" s="577"/>
      <c r="B959" s="577"/>
      <c r="C959" s="577"/>
      <c r="D959" s="607"/>
      <c r="E959" s="562"/>
      <c r="G959" s="579" t="s">
        <v>524</v>
      </c>
      <c r="H959" s="1511">
        <f>SUM(H955:H958)</f>
        <v>2933418.7276460985</v>
      </c>
    </row>
    <row r="960" spans="1:8" s="565" customFormat="1" ht="15" customHeight="1">
      <c r="A960" s="577"/>
      <c r="B960" s="577"/>
      <c r="C960" s="577"/>
      <c r="D960" s="578"/>
      <c r="E960" s="562"/>
      <c r="G960" s="579" t="s">
        <v>525</v>
      </c>
      <c r="H960" s="1508">
        <f>ROUND((+H959*0.05*0.19)/(1+0.3),0)</f>
        <v>21437</v>
      </c>
    </row>
    <row r="961" spans="1:8" s="565" customFormat="1" ht="15" customHeight="1" thickBot="1">
      <c r="A961" s="561"/>
      <c r="B961" s="560"/>
      <c r="C961" s="560"/>
      <c r="D961" s="561"/>
      <c r="E961" s="562"/>
      <c r="G961" s="579" t="s">
        <v>526</v>
      </c>
      <c r="H961" s="1509">
        <f>+ROUND(H959+H960,0)</f>
        <v>2954856</v>
      </c>
    </row>
    <row r="962" spans="1:8" s="565" customFormat="1" ht="15" customHeight="1" thickTop="1">
      <c r="A962" s="561"/>
      <c r="B962" s="560"/>
      <c r="C962" s="560"/>
      <c r="D962" s="561"/>
      <c r="E962" s="562"/>
      <c r="F962" s="580"/>
      <c r="G962" s="580"/>
      <c r="H962" s="1506"/>
    </row>
    <row r="963" spans="1:8" s="565" customFormat="1" ht="15" customHeight="1" thickBot="1">
      <c r="A963" s="566"/>
      <c r="B963" s="567"/>
      <c r="C963" s="566" t="s">
        <v>648</v>
      </c>
      <c r="D963" s="566"/>
      <c r="E963" s="567"/>
      <c r="F963" s="566"/>
      <c r="G963" s="616"/>
      <c r="H963" s="569"/>
    </row>
    <row r="964" spans="1:8" s="565" customFormat="1" ht="15" customHeight="1" thickTop="1">
      <c r="A964" s="595" t="s">
        <v>549</v>
      </c>
      <c r="B964" s="571" t="str">
        <f>MID(A964,1,3)&amp;"-"&amp;13</f>
        <v>201-13</v>
      </c>
      <c r="C964" s="595"/>
      <c r="D964" s="619" t="str">
        <f>VLOOKUP(A964,[33]ÍNDICE!$C$6:$N$380,5,FALSE)</f>
        <v>DEMOLICIÓN DE ESTRUCTURAS</v>
      </c>
      <c r="E964" s="629" t="str">
        <f>VLOOKUP(A964,[33]ÍNDICE!$C$6:$N$380,2,FALSE)</f>
        <v>m3</v>
      </c>
      <c r="F964" s="608">
        <f>10*1*0.15</f>
        <v>1.5</v>
      </c>
      <c r="G964" s="613">
        <f>VLOOKUP(A964,[33]ÍNDICE!$C$6:$N$380,12,FALSE)</f>
        <v>217760.49497573468</v>
      </c>
      <c r="H964" s="597">
        <f>F964*G964</f>
        <v>326640.74246360199</v>
      </c>
    </row>
    <row r="965" spans="1:8" s="565" customFormat="1" ht="15" customHeight="1">
      <c r="A965" s="571" t="s">
        <v>528</v>
      </c>
      <c r="B965" s="571" t="str">
        <f>MID(A965,1,3)&amp;"-"&amp;13</f>
        <v>600-13</v>
      </c>
      <c r="C965" s="571"/>
      <c r="D965" s="619" t="str">
        <f>VLOOKUP(A965,[33]ÍNDICE!$C$6:$N$380,5,FALSE)</f>
        <v>EXCAVACIONES VARIAS SIN CLASIFICAR</v>
      </c>
      <c r="E965" s="629" t="str">
        <f>VLOOKUP(A965,[33]ÍNDICE!$C$6:$N$380,2,FALSE)</f>
        <v>m3</v>
      </c>
      <c r="F965" s="585">
        <v>2.5</v>
      </c>
      <c r="G965" s="613">
        <f>VLOOKUP(A965,[33]ÍNDICE!$C$6:$N$380,12,FALSE)</f>
        <v>58828.261120639472</v>
      </c>
      <c r="H965" s="583">
        <f>F965*G965</f>
        <v>147070.65280159868</v>
      </c>
    </row>
    <row r="966" spans="1:8" s="565" customFormat="1" ht="15" customHeight="1">
      <c r="A966" s="572" t="s">
        <v>530</v>
      </c>
      <c r="B966" s="572" t="str">
        <f>MID(A966,1,3)&amp;"-"&amp;13</f>
        <v>610-13</v>
      </c>
      <c r="C966" s="572"/>
      <c r="D966" s="619" t="str">
        <f>VLOOKUP(A966,[33]ÍNDICE!$C$6:$N$380,5,FALSE)</f>
        <v>RELLENO PARA ESTRUCTURAS CON SUELO (analizado sin preparación de la superficie base del relleno)</v>
      </c>
      <c r="E966" s="629" t="str">
        <f>VLOOKUP(A966,[33]ÍNDICE!$C$6:$N$380,2,FALSE)</f>
        <v>m3</v>
      </c>
      <c r="F966" s="584">
        <v>1</v>
      </c>
      <c r="G966" s="613">
        <f>VLOOKUP(A966,[33]ÍNDICE!$C$6:$N$380,12,FALSE)</f>
        <v>162354.11090657322</v>
      </c>
      <c r="H966" s="573">
        <f>F966*G966</f>
        <v>162354.11090657322</v>
      </c>
    </row>
    <row r="967" spans="1:8" s="565" customFormat="1" ht="26.1" customHeight="1" thickBot="1">
      <c r="A967" s="602" t="s">
        <v>545</v>
      </c>
      <c r="B967" s="602" t="str">
        <f>MID(A967,1,3)&amp;"-"&amp;13</f>
        <v>671-13</v>
      </c>
      <c r="C967" s="602"/>
      <c r="D967" s="630" t="str">
        <f>VLOOKUP(A967,[33]ÍNDICE!$C$6:$N$380,5,FALSE)</f>
        <v>CUNETA DE CONCRETO VACIADA IN SITU; INCLUYE LA CONFORMACIÓN DE LA SUPERFICIE DE APOYO</v>
      </c>
      <c r="E967" s="631" t="str">
        <f>VLOOKUP(A967,[33]ÍNDICE!$C$6:$N$380,2,FALSE)</f>
        <v>m3</v>
      </c>
      <c r="F967" s="593">
        <f>10*0.138</f>
        <v>1.3800000000000001</v>
      </c>
      <c r="G967" s="632">
        <f>VLOOKUP(A967,[33]ÍNDICE!$C$6:$N$380,12,FALSE)</f>
        <v>1106254.0341245155</v>
      </c>
      <c r="H967" s="606">
        <f>F967*G967</f>
        <v>1526630.5670918315</v>
      </c>
    </row>
    <row r="968" spans="1:8" s="565" customFormat="1" ht="15" customHeight="1" thickTop="1">
      <c r="A968" s="577"/>
      <c r="B968" s="577"/>
      <c r="C968" s="577"/>
      <c r="D968" s="607"/>
      <c r="E968" s="562"/>
      <c r="G968" s="579" t="s">
        <v>524</v>
      </c>
      <c r="H968" s="1511">
        <f>SUM(H964:H967)</f>
        <v>2162696.0732636051</v>
      </c>
    </row>
    <row r="969" spans="1:8" s="565" customFormat="1" ht="15" customHeight="1">
      <c r="A969" s="577"/>
      <c r="B969" s="577"/>
      <c r="C969" s="577"/>
      <c r="D969" s="578"/>
      <c r="E969" s="562"/>
      <c r="G969" s="579" t="s">
        <v>525</v>
      </c>
      <c r="H969" s="1508">
        <f>ROUND((+H968*0.05*0.19)/(1+0.3),0)</f>
        <v>15804</v>
      </c>
    </row>
    <row r="970" spans="1:8" s="565" customFormat="1" ht="15" customHeight="1" thickBot="1">
      <c r="A970" s="561"/>
      <c r="B970" s="560"/>
      <c r="C970" s="560"/>
      <c r="D970" s="561"/>
      <c r="E970" s="562"/>
      <c r="G970" s="579" t="s">
        <v>526</v>
      </c>
      <c r="H970" s="1509">
        <f>+ROUND(H968+H969,0)</f>
        <v>2178500</v>
      </c>
    </row>
    <row r="971" spans="1:8" s="565" customFormat="1" ht="12.95" customHeight="1" thickTop="1">
      <c r="A971" s="635"/>
      <c r="B971" s="635"/>
      <c r="C971" s="635"/>
      <c r="D971" s="626"/>
      <c r="E971" s="635"/>
      <c r="F971" s="635"/>
      <c r="G971" s="636"/>
      <c r="H971" s="637"/>
    </row>
    <row r="972" spans="1:8" s="565" customFormat="1" ht="15" customHeight="1">
      <c r="A972" s="561"/>
      <c r="B972" s="560"/>
      <c r="C972" s="560"/>
      <c r="D972" s="561"/>
      <c r="E972" s="562"/>
      <c r="F972" s="580"/>
      <c r="G972" s="579"/>
      <c r="H972" s="1506"/>
    </row>
    <row r="973" spans="1:8" s="565" customFormat="1" ht="15" customHeight="1" thickBot="1">
      <c r="A973" s="566"/>
      <c r="B973" s="567"/>
      <c r="C973" s="566" t="s">
        <v>649</v>
      </c>
      <c r="D973" s="566"/>
      <c r="E973" s="567"/>
      <c r="F973" s="566"/>
      <c r="G973" s="616" t="s">
        <v>650</v>
      </c>
      <c r="H973" s="569"/>
    </row>
    <row r="974" spans="1:8" s="565" customFormat="1" ht="15" customHeight="1" thickTop="1">
      <c r="A974" s="595" t="s">
        <v>616</v>
      </c>
      <c r="B974" s="571" t="str">
        <f>MID(A974,1,3)&amp;"-"&amp;13</f>
        <v>201-13</v>
      </c>
      <c r="C974" s="638"/>
      <c r="D974" s="619" t="str">
        <f>VLOOKUP(A974,[33]ÍNDICE!$C$6:$N$380,5,FALSE)</f>
        <v>DEMOLICIÓN DE PAVIMENTOS RÍGIDOS</v>
      </c>
      <c r="E974" s="629" t="str">
        <f>VLOOKUP(A974,[33]ÍNDICE!$C$6:$N$380,2,FALSE)</f>
        <v>m2</v>
      </c>
      <c r="F974" s="596">
        <f>20*3.5</f>
        <v>70</v>
      </c>
      <c r="G974" s="613">
        <f>VLOOKUP(A974,[33]ÍNDICE!$C$6:$N$380,12,FALSE)</f>
        <v>38465.171913503909</v>
      </c>
      <c r="H974" s="597">
        <f>F974*G974</f>
        <v>2692562.0339452736</v>
      </c>
    </row>
    <row r="975" spans="1:8" s="565" customFormat="1" ht="15" customHeight="1">
      <c r="A975" s="571" t="s">
        <v>550</v>
      </c>
      <c r="B975" s="571" t="str">
        <f>MID(A975,1,3)&amp;"-"&amp;13</f>
        <v>330-13</v>
      </c>
      <c r="C975" s="614"/>
      <c r="D975" s="619" t="str">
        <f>VLOOKUP(A975,[33]ÍNDICE!$C$6:$N$380,5,FALSE)</f>
        <v>BASE GRANULAR CLASE A GRADACION FINA</v>
      </c>
      <c r="E975" s="629" t="str">
        <f>VLOOKUP(A975,[33]ÍNDICE!$C$6:$N$380,2,FALSE)</f>
        <v>m3</v>
      </c>
      <c r="F975" s="586">
        <f>20*3.5*0.2</f>
        <v>14</v>
      </c>
      <c r="G975" s="613">
        <f>VLOOKUP(A975,[33]ÍNDICE!$C$6:$N$380,12,FALSE)</f>
        <v>476364.66746335832</v>
      </c>
      <c r="H975" s="583">
        <f>F975*G975</f>
        <v>6669105.3444870161</v>
      </c>
    </row>
    <row r="976" spans="1:8" s="565" customFormat="1" ht="15" customHeight="1">
      <c r="A976" s="571" t="s">
        <v>617</v>
      </c>
      <c r="B976" s="571" t="str">
        <f>MID(A976,1,3)&amp;"-"&amp;13</f>
        <v>500-13</v>
      </c>
      <c r="C976" s="639"/>
      <c r="D976" s="619" t="str">
        <f>VLOOKUP(A976,[33]ÍNDICE!$C$6:$N$380,5,FALSE)</f>
        <v>PAVIMENTO DE CONCRETO HIDRÁULICO - NT3</v>
      </c>
      <c r="E976" s="629" t="str">
        <f>VLOOKUP(A976,[33]ÍNDICE!$C$6:$N$380,2,FALSE)</f>
        <v>m3</v>
      </c>
      <c r="F976" s="586">
        <f>20*3.5*0.2</f>
        <v>14</v>
      </c>
      <c r="G976" s="613">
        <f>VLOOKUP(A976,[33]ÍNDICE!$C$6:$N$380,12,FALSE)</f>
        <v>1305106.8395586153</v>
      </c>
      <c r="H976" s="583">
        <f>F976*G976</f>
        <v>18271495.753820613</v>
      </c>
    </row>
    <row r="977" spans="1:8" s="565" customFormat="1" ht="15" customHeight="1" thickBot="1">
      <c r="A977" s="571" t="s">
        <v>528</v>
      </c>
      <c r="B977" s="571" t="str">
        <f>MID(A977,1,3)&amp;"-"&amp;13</f>
        <v>600-13</v>
      </c>
      <c r="C977" s="571"/>
      <c r="D977" s="619" t="str">
        <f>VLOOKUP(A977,[33]ÍNDICE!$C$6:$N$380,5,FALSE)</f>
        <v>EXCAVACIONES VARIAS SIN CLASIFICAR</v>
      </c>
      <c r="E977" s="629" t="str">
        <f>VLOOKUP(A977,[33]ÍNDICE!$C$6:$N$380,2,FALSE)</f>
        <v>m3</v>
      </c>
      <c r="F977" s="585">
        <f>20*3.5*0.2</f>
        <v>14</v>
      </c>
      <c r="G977" s="613">
        <f>VLOOKUP(A977,[33]ÍNDICE!$C$6:$N$380,12,FALSE)</f>
        <v>58828.261120639472</v>
      </c>
      <c r="H977" s="583">
        <f>F977*G977</f>
        <v>823595.65568895265</v>
      </c>
    </row>
    <row r="978" spans="1:8" s="565" customFormat="1" ht="15" customHeight="1" thickTop="1">
      <c r="A978" s="574"/>
      <c r="B978" s="574"/>
      <c r="C978" s="574"/>
      <c r="D978" s="575"/>
      <c r="E978" s="589"/>
      <c r="F978" s="590"/>
      <c r="G978" s="576" t="s">
        <v>524</v>
      </c>
      <c r="H978" s="1507">
        <f>SUM(H974:H977)</f>
        <v>28456758.787941854</v>
      </c>
    </row>
    <row r="979" spans="1:8" s="565" customFormat="1" ht="15" customHeight="1">
      <c r="A979" s="577"/>
      <c r="B979" s="577"/>
      <c r="C979" s="577"/>
      <c r="D979" s="578"/>
      <c r="E979" s="562"/>
      <c r="F979" s="580"/>
      <c r="G979" s="579" t="s">
        <v>651</v>
      </c>
      <c r="H979" s="1508">
        <f>ROUND((+H978*0.05*0.19)/(1+0.3),0)</f>
        <v>207953</v>
      </c>
    </row>
    <row r="980" spans="1:8" s="565" customFormat="1" ht="15" customHeight="1" thickBot="1">
      <c r="A980" s="561"/>
      <c r="B980" s="560"/>
      <c r="C980" s="560"/>
      <c r="D980" s="561"/>
      <c r="E980" s="562"/>
      <c r="F980" s="580"/>
      <c r="G980" s="579" t="s">
        <v>526</v>
      </c>
      <c r="H980" s="1509">
        <f>+ROUND(H978+H979,0)</f>
        <v>28664712</v>
      </c>
    </row>
    <row r="981" spans="1:8" s="565" customFormat="1" ht="15" customHeight="1" thickTop="1">
      <c r="A981" s="561"/>
      <c r="B981" s="560"/>
      <c r="C981" s="560"/>
      <c r="D981" s="561"/>
      <c r="E981" s="562"/>
      <c r="F981" s="580"/>
      <c r="G981" s="579"/>
      <c r="H981" s="1510"/>
    </row>
    <row r="982" spans="1:8" s="565" customFormat="1" ht="13.5" thickBot="1">
      <c r="A982" s="566"/>
      <c r="B982" s="567"/>
      <c r="C982" s="566" t="s">
        <v>652</v>
      </c>
      <c r="D982" s="566"/>
      <c r="E982" s="567"/>
      <c r="F982" s="566"/>
      <c r="G982" s="568"/>
      <c r="H982" s="569"/>
    </row>
    <row r="983" spans="1:8" s="565" customFormat="1" ht="15" customHeight="1" thickTop="1">
      <c r="A983" s="572" t="s">
        <v>549</v>
      </c>
      <c r="B983" s="572" t="str">
        <f>MID(A983,1,3)&amp;"-"&amp;13</f>
        <v>201-13</v>
      </c>
      <c r="C983" s="572"/>
      <c r="D983" s="619" t="str">
        <f>VLOOKUP(A983,[33]ÍNDICE!$C$6:$N$380,5,FALSE)</f>
        <v>DEMOLICIÓN DE ESTRUCTURAS</v>
      </c>
      <c r="E983" s="629" t="str">
        <f>VLOOKUP(A983,[33]ÍNDICE!$C$6:$N$380,2,FALSE)</f>
        <v>m3</v>
      </c>
      <c r="F983" s="592">
        <v>4</v>
      </c>
      <c r="G983" s="613">
        <f>VLOOKUP(A983,[33]ÍNDICE!$C$6:$N$380,12,FALSE)</f>
        <v>217760.49497573468</v>
      </c>
      <c r="H983" s="573">
        <f>F983*G983</f>
        <v>871041.97990293871</v>
      </c>
    </row>
    <row r="984" spans="1:8" s="565" customFormat="1" ht="15" customHeight="1">
      <c r="A984" s="571" t="s">
        <v>528</v>
      </c>
      <c r="B984" s="571" t="str">
        <f t="shared" ref="B984:B992" si="111">MID(A984,1,3)&amp;"-"&amp;13</f>
        <v>600-13</v>
      </c>
      <c r="C984" s="571"/>
      <c r="D984" s="619" t="str">
        <f>VLOOKUP(A984,[33]ÍNDICE!$C$6:$N$380,5,FALSE)</f>
        <v>EXCAVACIONES VARIAS SIN CLASIFICAR</v>
      </c>
      <c r="E984" s="629" t="str">
        <f>VLOOKUP(A984,[33]ÍNDICE!$C$6:$N$380,2,FALSE)</f>
        <v>m3</v>
      </c>
      <c r="F984" s="585">
        <f>15*0.5</f>
        <v>7.5</v>
      </c>
      <c r="G984" s="613">
        <f>VLOOKUP(A984,[33]ÍNDICE!$C$6:$N$380,12,FALSE)</f>
        <v>58828.261120639472</v>
      </c>
      <c r="H984" s="583">
        <f t="shared" ref="H984:H992" si="112">F984*G984</f>
        <v>441211.95840479602</v>
      </c>
    </row>
    <row r="985" spans="1:8" s="565" customFormat="1" ht="15" customHeight="1">
      <c r="A985" s="571" t="s">
        <v>530</v>
      </c>
      <c r="B985" s="571" t="str">
        <f>MID(A985,1,3)&amp;"-"&amp;13</f>
        <v>610-13</v>
      </c>
      <c r="C985" s="571"/>
      <c r="D985" s="619" t="str">
        <f>VLOOKUP(A985,[33]ÍNDICE!$C$6:$N$380,5,FALSE)</f>
        <v>RELLENO PARA ESTRUCTURAS CON SUELO (analizado sin preparación de la superficie base del relleno)</v>
      </c>
      <c r="E985" s="629" t="str">
        <f>VLOOKUP(A985,[33]ÍNDICE!$C$6:$N$380,2,FALSE)</f>
        <v>m3</v>
      </c>
      <c r="F985" s="586">
        <f>15*0.4</f>
        <v>6</v>
      </c>
      <c r="G985" s="613">
        <f>VLOOKUP(A985,[33]ÍNDICE!$C$6:$N$380,12,FALSE)</f>
        <v>162354.11090657322</v>
      </c>
      <c r="H985" s="583">
        <f>F985*G985</f>
        <v>974124.66543943924</v>
      </c>
    </row>
    <row r="986" spans="1:8" s="565" customFormat="1" ht="15" customHeight="1">
      <c r="A986" s="571" t="s">
        <v>531</v>
      </c>
      <c r="B986" s="571" t="str">
        <f>MID(A986,1,3)&amp;"-"&amp;13</f>
        <v>630-13</v>
      </c>
      <c r="C986" s="571"/>
      <c r="D986" s="619" t="str">
        <f>VLOOKUP(A986,[33]ÍNDICE!$C$6:$N$380,5,FALSE)</f>
        <v>CONCRETO SIMPLE RESISTENCIA 17 MPa - MEZCLA IN SITU</v>
      </c>
      <c r="E986" s="629" t="str">
        <f>VLOOKUP(A986,[33]ÍNDICE!$C$6:$N$380,2,FALSE)</f>
        <v>m3</v>
      </c>
      <c r="F986" s="586">
        <f>15*0.55</f>
        <v>8.25</v>
      </c>
      <c r="G986" s="613">
        <f>VLOOKUP(A986,[33]ÍNDICE!$C$6:$N$380,12,FALSE)</f>
        <v>994779.33062365581</v>
      </c>
      <c r="H986" s="583">
        <f>F986*G986</f>
        <v>8206929.4776451606</v>
      </c>
    </row>
    <row r="987" spans="1:8" s="565" customFormat="1" ht="15" customHeight="1">
      <c r="A987" s="571" t="s">
        <v>532</v>
      </c>
      <c r="B987" s="571" t="str">
        <f t="shared" si="111"/>
        <v>630-13</v>
      </c>
      <c r="C987" s="571"/>
      <c r="D987" s="619" t="str">
        <f>VLOOKUP(A987,[33]ÍNDICE!$C$6:$N$380,5,FALSE)</f>
        <v>CONCRETO CICLÓPEO RESISTENCIA 14MPa (G)</v>
      </c>
      <c r="E987" s="629" t="str">
        <f>VLOOKUP(A987,[33]ÍNDICE!$C$6:$N$380,2,FALSE)</f>
        <v>m3</v>
      </c>
      <c r="F987" s="598">
        <v>5</v>
      </c>
      <c r="G987" s="613">
        <f>VLOOKUP(A987,[33]ÍNDICE!$C$6:$N$380,12,FALSE)</f>
        <v>680494.66759275761</v>
      </c>
      <c r="H987" s="583">
        <f t="shared" si="112"/>
        <v>3402473.3379637878</v>
      </c>
    </row>
    <row r="988" spans="1:8" s="565" customFormat="1" ht="15" customHeight="1">
      <c r="A988" s="571" t="s">
        <v>541</v>
      </c>
      <c r="B988" s="571" t="str">
        <f t="shared" si="111"/>
        <v>640-13</v>
      </c>
      <c r="C988" s="571"/>
      <c r="D988" s="619" t="str">
        <f>VLOOKUP(A988,[33]ÍNDICE!$C$6:$N$380,5,FALSE)</f>
        <v>ACERO DE REFUERZO Fy 4200 MPa</v>
      </c>
      <c r="E988" s="629" t="str">
        <f>VLOOKUP(A988,[33]ÍNDICE!$C$6:$N$380,2,FALSE)</f>
        <v>kg</v>
      </c>
      <c r="F988" s="585">
        <f>F986*105</f>
        <v>866.25</v>
      </c>
      <c r="G988" s="613">
        <f>VLOOKUP(A988,[33]ÍNDICE!$C$6:$N$380,12,FALSE)</f>
        <v>7547.7371417119648</v>
      </c>
      <c r="H988" s="583">
        <f t="shared" si="112"/>
        <v>6538227.2990079895</v>
      </c>
    </row>
    <row r="989" spans="1:8" s="565" customFormat="1" ht="26.1" customHeight="1">
      <c r="A989" s="571" t="s">
        <v>580</v>
      </c>
      <c r="B989" s="571" t="str">
        <f>MID(A989,1,3)&amp;"-"&amp;13</f>
        <v>661-13</v>
      </c>
      <c r="C989" s="571"/>
      <c r="D989" s="619" t="str">
        <f>VLOOKUP(A989,[33]ÍNDICE!$C$6:$N$380,5,FALSE)</f>
        <v>TUBERIA DE CONCRETO REFORZADO, CLASE III DE 900mm DE DIAMETRO INTERIOR</v>
      </c>
      <c r="E989" s="629" t="str">
        <f>VLOOKUP(A989,[33]ÍNDICE!$C$6:$N$380,2,FALSE)</f>
        <v>m</v>
      </c>
      <c r="F989" s="582">
        <v>1</v>
      </c>
      <c r="G989" s="613">
        <f>VLOOKUP(A989,[33]ÍNDICE!$C$6:$N$380,12,FALSE)</f>
        <v>1451200.3231315203</v>
      </c>
      <c r="H989" s="583">
        <f>F989*G989</f>
        <v>1451200.3231315203</v>
      </c>
    </row>
    <row r="990" spans="1:8" s="565" customFormat="1" ht="26.1" customHeight="1">
      <c r="A990" s="571" t="s">
        <v>545</v>
      </c>
      <c r="B990" s="571" t="str">
        <f>MID(A990,1,3)&amp;"-"&amp;13</f>
        <v>671-13</v>
      </c>
      <c r="C990" s="571"/>
      <c r="D990" s="619" t="str">
        <f>VLOOKUP(A990,[33]ÍNDICE!$C$6:$N$380,5,FALSE)</f>
        <v>CUNETA DE CONCRETO VACIADA IN SITU; INCLUYE LA CONFORMACIÓN DE LA SUPERFICIE DE APOYO</v>
      </c>
      <c r="E990" s="629" t="str">
        <f>VLOOKUP(A990,[33]ÍNDICE!$C$6:$N$380,2,FALSE)</f>
        <v>m3</v>
      </c>
      <c r="F990" s="586">
        <f>5*0.138</f>
        <v>0.69000000000000006</v>
      </c>
      <c r="G990" s="613">
        <f>VLOOKUP(A990,[33]ÍNDICE!$C$6:$N$380,12,FALSE)</f>
        <v>1106254.0341245155</v>
      </c>
      <c r="H990" s="583">
        <f>F990*G990</f>
        <v>763315.28354591574</v>
      </c>
    </row>
    <row r="991" spans="1:8" s="565" customFormat="1" ht="15" customHeight="1">
      <c r="A991" s="609" t="s">
        <v>534</v>
      </c>
      <c r="B991" s="609" t="str">
        <f>MID(A991,1,3)&amp;"-"&amp;13</f>
        <v>673-13</v>
      </c>
      <c r="C991" s="609"/>
      <c r="D991" s="619" t="str">
        <f>VLOOKUP(A991,[33]ÍNDICE!$C$6:$N$380,5,FALSE)</f>
        <v xml:space="preserve">GEOTEXTIL TIPO TEJIDO CON RESISTENCIA A LA TENSIÓN GRAB MÍNIMA DE 1400 N </v>
      </c>
      <c r="E991" s="629" t="str">
        <f>VLOOKUP(A991,[33]ÍNDICE!$C$6:$N$380,2,FALSE)</f>
        <v>m2</v>
      </c>
      <c r="F991" s="612">
        <v>20</v>
      </c>
      <c r="G991" s="613">
        <f>VLOOKUP(A991,[33]ÍNDICE!$C$6:$N$380,12,FALSE)</f>
        <v>12861.24633460756</v>
      </c>
      <c r="H991" s="611">
        <f>F991*G991</f>
        <v>257224.9266921512</v>
      </c>
    </row>
    <row r="992" spans="1:8" s="565" customFormat="1" ht="33.75" customHeight="1" thickBot="1">
      <c r="A992" s="571" t="s">
        <v>535</v>
      </c>
      <c r="B992" s="571" t="str">
        <f t="shared" si="111"/>
        <v>681-13</v>
      </c>
      <c r="C992" s="571"/>
      <c r="D992" s="619" t="str">
        <f>VLOOKUP(A992,[33]ÍNDICE!$C$6:$N$380,5,FALSE)</f>
        <v>GAVIONES DE MALLA DE ALAMBRE DE ACERO ENTRELAZADO CLASE 1; RECUBRIMIENTO DE ZINC (GALVANIZADO)</v>
      </c>
      <c r="E992" s="629" t="str">
        <f>VLOOKUP(A992,[33]ÍNDICE!$C$6:$N$380,2,FALSE)</f>
        <v>m3</v>
      </c>
      <c r="F992" s="585">
        <v>10</v>
      </c>
      <c r="G992" s="613">
        <f>VLOOKUP(A992,[33]ÍNDICE!$C$6:$N$380,12,FALSE)</f>
        <v>601666.19528525032</v>
      </c>
      <c r="H992" s="583">
        <f t="shared" si="112"/>
        <v>6016661.9528525034</v>
      </c>
    </row>
    <row r="993" spans="1:8" s="565" customFormat="1" ht="15" customHeight="1" thickTop="1">
      <c r="A993" s="574"/>
      <c r="B993" s="574"/>
      <c r="C993" s="574"/>
      <c r="D993" s="575"/>
      <c r="E993" s="589"/>
      <c r="F993" s="590"/>
      <c r="G993" s="600" t="s">
        <v>524</v>
      </c>
      <c r="H993" s="1507">
        <f>SUM(H983:H992)</f>
        <v>28922411.2045862</v>
      </c>
    </row>
    <row r="994" spans="1:8" s="565" customFormat="1" ht="15" customHeight="1">
      <c r="A994" s="577"/>
      <c r="B994" s="577"/>
      <c r="C994" s="577"/>
      <c r="D994" s="578"/>
      <c r="E994" s="562"/>
      <c r="F994" s="580"/>
      <c r="G994" s="601" t="s">
        <v>525</v>
      </c>
      <c r="H994" s="1508">
        <f>ROUND((+H993*0.05*0.19)/(1+0.3),0)</f>
        <v>211356</v>
      </c>
    </row>
    <row r="995" spans="1:8" s="565" customFormat="1" ht="15" customHeight="1" thickBot="1">
      <c r="A995" s="561"/>
      <c r="B995" s="560"/>
      <c r="C995" s="560"/>
      <c r="D995" s="561"/>
      <c r="E995" s="562"/>
      <c r="F995" s="580"/>
      <c r="G995" s="601" t="s">
        <v>526</v>
      </c>
      <c r="H995" s="1509">
        <f>+ROUND(H993+H994,0)</f>
        <v>29133767</v>
      </c>
    </row>
    <row r="996" spans="1:8" s="565" customFormat="1" ht="15" customHeight="1" thickTop="1">
      <c r="A996" s="1112" t="s">
        <v>653</v>
      </c>
      <c r="B996" s="560"/>
      <c r="C996" s="560"/>
      <c r="D996" s="561"/>
      <c r="E996" s="562"/>
      <c r="F996" s="580"/>
      <c r="G996" s="579"/>
      <c r="H996" s="1506"/>
    </row>
    <row r="997" spans="1:8" s="565" customFormat="1" ht="12.75" customHeight="1" thickBot="1">
      <c r="A997" s="566"/>
      <c r="B997" s="567"/>
      <c r="C997" s="566" t="s">
        <v>654</v>
      </c>
      <c r="D997" s="566"/>
      <c r="E997" s="567"/>
      <c r="F997" s="566"/>
      <c r="G997" s="568"/>
      <c r="H997" s="569"/>
    </row>
    <row r="998" spans="1:8" s="565" customFormat="1" ht="29.25" customHeight="1" thickTop="1">
      <c r="A998" s="571" t="s">
        <v>578</v>
      </c>
      <c r="B998" s="571" t="str">
        <f>MID(A998,1,3)&amp;"-"&amp;13</f>
        <v>330-13</v>
      </c>
      <c r="C998" s="571"/>
      <c r="D998" s="619" t="str">
        <f>VLOOKUP(A998,[33]ÍNDICE!$C$6:$N$380,5,FALSE)</f>
        <v>BASE GRANULAR PARA BACHEO CLASE A GRADACION FINA</v>
      </c>
      <c r="E998" s="629" t="str">
        <f>VLOOKUP(A998,[33]ÍNDICE!$C$6:$N$380,2,FALSE)</f>
        <v>m3</v>
      </c>
      <c r="F998" s="618">
        <f>F1002*0.4</f>
        <v>316</v>
      </c>
      <c r="G998" s="613">
        <f>VLOOKUP(A998,[33]ÍNDICE!$C$6:$N$380,12,FALSE)</f>
        <v>468038.05777015106</v>
      </c>
      <c r="H998" s="583">
        <f>F998*G998</f>
        <v>147900026.25536773</v>
      </c>
    </row>
    <row r="999" spans="1:8" s="565" customFormat="1" ht="29.25" customHeight="1">
      <c r="A999" s="571" t="s">
        <v>655</v>
      </c>
      <c r="B999" s="571" t="str">
        <f>MID(A999,1,3)&amp;"-"&amp;13</f>
        <v>420-13</v>
      </c>
      <c r="C999" s="571"/>
      <c r="D999" s="619" t="str">
        <f>VLOOKUP(A999,[33]ÍNDICE!$C$6:$N$380,5,FALSE)</f>
        <v>RIEGO DE IMPRIMACIÓN CON EMULSIÓN ASFÁLTICA CRL-40 (anteriormente CRL-0)</v>
      </c>
      <c r="E999" s="629" t="str">
        <f>VLOOKUP(A999,[33]ÍNDICE!$C$6:$N$380,2,FALSE)</f>
        <v>m2</v>
      </c>
      <c r="F999" s="618">
        <f>+F1000/0.15</f>
        <v>29325.600000000002</v>
      </c>
      <c r="G999" s="613">
        <f>VLOOKUP(A999,[33]ÍNDICE!$C$6:$N$380,12,FALSE)</f>
        <v>3912.2339175840457</v>
      </c>
      <c r="H999" s="583">
        <f>F999*G999</f>
        <v>114728606.9735027</v>
      </c>
    </row>
    <row r="1000" spans="1:8" s="565" customFormat="1" ht="26.1" customHeight="1">
      <c r="A1000" s="571" t="s">
        <v>554</v>
      </c>
      <c r="B1000" s="571" t="str">
        <f>MID(A1000,1,3)&amp;"-"&amp;13</f>
        <v>450-13</v>
      </c>
      <c r="C1000" s="571"/>
      <c r="D1000" s="619" t="str">
        <f>VLOOKUP(A1000,[33]ÍNDICE!$C$6:$N$380,5,FALSE)</f>
        <v xml:space="preserve">MEZCLA DENSA EN CALIENTE TIPO MDC‐19 - COMPRA DE MEZCLA </v>
      </c>
      <c r="E1000" s="629" t="str">
        <f>VLOOKUP(A1000,[33]ÍNDICE!$C$6:$N$380,2,FALSE)</f>
        <v>m3</v>
      </c>
      <c r="F1000" s="618">
        <f>(885+(71323-68613)+(101900-85130))*0.075*7.2*0.4</f>
        <v>4398.84</v>
      </c>
      <c r="G1000" s="613">
        <f>VLOOKUP(A1000,[33]ÍNDICE!$C$6:$N$380,12,FALSE)</f>
        <v>1677232.0782508166</v>
      </c>
      <c r="H1000" s="583">
        <f>F1000*G1000</f>
        <v>7377875555.0928221</v>
      </c>
    </row>
    <row r="1001" spans="1:8" s="565" customFormat="1" ht="24" customHeight="1">
      <c r="A1001" s="571" t="s">
        <v>656</v>
      </c>
      <c r="B1001" s="571" t="str">
        <f>MID(A1001,1,3)&amp;"-"&amp;13</f>
        <v>460-13</v>
      </c>
      <c r="C1001" s="639"/>
      <c r="D1001" s="619" t="str">
        <f>VLOOKUP(A1001,[33]ÍNDICE!$C$6:$N$380,5,FALSE)</f>
        <v>FRESADO DE PAVIMENTO ASFÁLTICO EN ESPESOR DE 10 cm</v>
      </c>
      <c r="E1001" s="629" t="str">
        <f>VLOOKUP(A1001,[33]ÍNDICE!$C$6:$N$380,2,FALSE)</f>
        <v>m2</v>
      </c>
      <c r="F1001" s="618">
        <f>(885+(71323-68613)+(101900-85130))*0.01</f>
        <v>203.65</v>
      </c>
      <c r="G1001" s="613">
        <f>VLOOKUP(A1001,[33]ÍNDICE!$C$6:$N$380,12,FALSE)</f>
        <v>12837.340469690555</v>
      </c>
      <c r="H1001" s="583">
        <f>F1001*G1001</f>
        <v>2614324.3866524813</v>
      </c>
    </row>
    <row r="1002" spans="1:8" s="565" customFormat="1" ht="36.950000000000003" customHeight="1" thickBot="1">
      <c r="A1002" s="609" t="s">
        <v>579</v>
      </c>
      <c r="B1002" s="609" t="str">
        <f>MID(A1002,1,3)&amp;"-"&amp;13</f>
        <v>465-13</v>
      </c>
      <c r="C1002" s="609"/>
      <c r="D1002" s="619" t="str">
        <f>VLOOKUP(A1002,[33]ÍNDICE!$C$6:$N$380,5,FALSE)</f>
        <v>EXCAVACIÓN PARA REPARACIÓN DE PAVIMENTO ASFÁLTICO EXISTENTE INCLUYENDO EL CORTE Y LA REMOCIÓN DE LAS CAPAS ASFÁLTICAS SUBYACENTES</v>
      </c>
      <c r="E1002" s="629" t="str">
        <f>VLOOKUP(A1002,[33]ÍNDICE!$C$6:$N$380,2,FALSE)</f>
        <v>m3</v>
      </c>
      <c r="F1002" s="640">
        <v>790</v>
      </c>
      <c r="G1002" s="613">
        <f>VLOOKUP(A1002,[33]ÍNDICE!$C$6:$N$380,12,FALSE)</f>
        <v>100979.71246565928</v>
      </c>
      <c r="H1002" s="606">
        <f>F1002*G1002</f>
        <v>79773972.847870827</v>
      </c>
    </row>
    <row r="1003" spans="1:8" s="565" customFormat="1" ht="15" customHeight="1" thickTop="1">
      <c r="A1003" s="574"/>
      <c r="B1003" s="574"/>
      <c r="C1003" s="575"/>
      <c r="D1003" s="575"/>
      <c r="E1003" s="589"/>
      <c r="F1003" s="641"/>
      <c r="G1003" s="600" t="s">
        <v>524</v>
      </c>
      <c r="H1003" s="1517">
        <f>SUM(H998:H1002)</f>
        <v>7722892485.5562162</v>
      </c>
    </row>
    <row r="1004" spans="1:8" s="565" customFormat="1" ht="15" customHeight="1">
      <c r="A1004" s="577"/>
      <c r="B1004" s="577"/>
      <c r="C1004" s="578"/>
      <c r="D1004" s="578"/>
      <c r="E1004" s="562"/>
      <c r="F1004" s="580"/>
      <c r="G1004" s="601" t="s">
        <v>525</v>
      </c>
      <c r="H1004" s="1508">
        <f>ROUND((+H1003*0.05*0.19)/(1+0.3),0)</f>
        <v>56436522</v>
      </c>
    </row>
    <row r="1005" spans="1:8" s="565" customFormat="1" ht="15" customHeight="1" thickBot="1">
      <c r="A1005" s="578"/>
      <c r="B1005" s="577"/>
      <c r="C1005" s="578"/>
      <c r="D1005" s="626"/>
      <c r="E1005" s="562"/>
      <c r="F1005" s="634"/>
      <c r="G1005" s="601" t="s">
        <v>526</v>
      </c>
      <c r="H1005" s="1509">
        <f>+ROUND(H1003+H1004,0)</f>
        <v>7779329008</v>
      </c>
    </row>
    <row r="1006" spans="1:8" s="565" customFormat="1" ht="15" customHeight="1" thickTop="1">
      <c r="A1006" s="628"/>
      <c r="B1006" s="560"/>
      <c r="C1006" s="560"/>
      <c r="D1006" s="561"/>
      <c r="E1006" s="562"/>
      <c r="F1006" s="580"/>
      <c r="G1006" s="579"/>
      <c r="H1006" s="1506"/>
    </row>
    <row r="1007" spans="1:8" s="565" customFormat="1" ht="15" customHeight="1">
      <c r="A1007" s="628" t="s">
        <v>657</v>
      </c>
      <c r="B1007" s="560"/>
      <c r="C1007" s="560"/>
      <c r="D1007" s="561"/>
      <c r="E1007" s="562"/>
      <c r="F1007" s="580"/>
      <c r="G1007" s="579"/>
      <c r="H1007" s="1506"/>
    </row>
    <row r="1008" spans="1:8" s="565" customFormat="1" ht="15" customHeight="1">
      <c r="A1008" s="628"/>
      <c r="B1008" s="560"/>
      <c r="C1008" s="560"/>
      <c r="D1008" s="561"/>
      <c r="E1008" s="562"/>
      <c r="F1008" s="580"/>
      <c r="G1008" s="579"/>
      <c r="H1008" s="1506"/>
    </row>
    <row r="1009" spans="1:14" s="565" customFormat="1" ht="12.75" customHeight="1" thickBot="1">
      <c r="A1009" s="566"/>
      <c r="B1009" s="567"/>
      <c r="C1009" s="566" t="s">
        <v>658</v>
      </c>
      <c r="D1009" s="566"/>
      <c r="E1009" s="567"/>
      <c r="F1009" s="566"/>
      <c r="G1009" s="568"/>
      <c r="H1009" s="569"/>
      <c r="I1009" s="570"/>
    </row>
    <row r="1010" spans="1:14" s="565" customFormat="1" ht="15" customHeight="1" thickTop="1">
      <c r="A1010" s="595" t="s">
        <v>659</v>
      </c>
      <c r="B1010" s="571" t="str">
        <f>MID(A1010,1,3)&amp;"-"&amp;13</f>
        <v>211-13</v>
      </c>
      <c r="C1010" s="642"/>
      <c r="D1010" s="619" t="str">
        <f>VLOOKUP(A1010,[33]ÍNDICE!$C$6:$N$380,5,FALSE)</f>
        <v>REMOCIÓN DE DERRUMBES</v>
      </c>
      <c r="E1010" s="629" t="str">
        <f>VLOOKUP(A1010,[33]ÍNDICE!$C$6:$N$380,2,FALSE)</f>
        <v>m3</v>
      </c>
      <c r="F1010" s="643">
        <v>3000</v>
      </c>
      <c r="G1010" s="613">
        <f>VLOOKUP(A1010,[33]ÍNDICE!$C$6:$N$380,12,FALSE)</f>
        <v>24673.820892537409</v>
      </c>
      <c r="H1010" s="644">
        <f>F1010*G1010</f>
        <v>74021462.67761223</v>
      </c>
    </row>
    <row r="1011" spans="1:14" s="565" customFormat="1" ht="26.1" customHeight="1" thickBot="1">
      <c r="A1011" s="602" t="s">
        <v>660</v>
      </c>
      <c r="B1011" s="571" t="str">
        <f>MID(A1011,1,3)&amp;"-"&amp;13</f>
        <v>900-13</v>
      </c>
      <c r="C1011" s="645"/>
      <c r="D1011" s="619" t="str">
        <f>VLOOKUP(A1011,[33]ÍNDICE!$C$6:$N$380,5,FALSE)</f>
        <v>TRANSPORTE DE MATERIALES PROVENIENTES DE DERRUMBES, MEDIDO A PARTIR DE CIEN METROS (100 m)-TRANSPORTE CON VOLQUETA DE 6m3</v>
      </c>
      <c r="E1011" s="629" t="str">
        <f>VLOOKUP(A1011,[33]ÍNDICE!$C$6:$N$380,2,FALSE)</f>
        <v>m3/km</v>
      </c>
      <c r="F1011" s="646">
        <v>20000</v>
      </c>
      <c r="G1011" s="613">
        <f>VLOOKUP(A1011,[33]ÍNDICE!$C$6:$N$380,12,FALSE)</f>
        <v>3782.6408354948335</v>
      </c>
      <c r="H1011" s="647">
        <f>F1011*G1011</f>
        <v>75652816.709896669</v>
      </c>
    </row>
    <row r="1012" spans="1:14" s="565" customFormat="1" ht="15" customHeight="1" thickTop="1">
      <c r="A1012" s="574"/>
      <c r="B1012" s="574"/>
      <c r="C1012" s="575"/>
      <c r="D1012" s="575"/>
      <c r="E1012" s="589"/>
      <c r="F1012" s="590"/>
      <c r="G1012" s="600" t="s">
        <v>524</v>
      </c>
      <c r="H1012" s="1518">
        <f>SUM(H1010:H1011)</f>
        <v>149674279.3875089</v>
      </c>
    </row>
    <row r="1013" spans="1:14" s="565" customFormat="1" ht="15" customHeight="1">
      <c r="A1013" s="577"/>
      <c r="B1013" s="577"/>
      <c r="C1013" s="578"/>
      <c r="D1013" s="578"/>
      <c r="E1013" s="562"/>
      <c r="F1013" s="580"/>
      <c r="G1013" s="601" t="s">
        <v>525</v>
      </c>
      <c r="H1013" s="1508">
        <f>ROUND((+H1012*0.05*0.19)/(1+0.3),0)</f>
        <v>1093774</v>
      </c>
    </row>
    <row r="1014" spans="1:14" s="565" customFormat="1" ht="15" customHeight="1" thickBot="1">
      <c r="A1014" s="578"/>
      <c r="B1014" s="577"/>
      <c r="C1014" s="578"/>
      <c r="D1014" s="626"/>
      <c r="E1014" s="562"/>
      <c r="F1014" s="580"/>
      <c r="G1014" s="601" t="s">
        <v>526</v>
      </c>
      <c r="H1014" s="1509">
        <f>+ROUND(H1012+H1013,0)</f>
        <v>150768053</v>
      </c>
      <c r="I1014" s="570"/>
    </row>
    <row r="1015" spans="1:14" s="565" customFormat="1" ht="15" customHeight="1" thickTop="1"/>
    <row r="1016" spans="1:14" s="565" customFormat="1" ht="15" customHeight="1">
      <c r="A1016" s="628"/>
      <c r="B1016" s="560"/>
      <c r="C1016" s="560"/>
      <c r="D1016" s="561"/>
      <c r="E1016" s="562"/>
      <c r="F1016" s="580"/>
      <c r="G1016" s="579"/>
      <c r="H1016" s="1506"/>
    </row>
    <row r="1017" spans="1:14" s="565" customFormat="1" ht="15" customHeight="1">
      <c r="A1017" s="628" t="s">
        <v>661</v>
      </c>
      <c r="B1017" s="560"/>
      <c r="C1017" s="560"/>
      <c r="D1017" s="561"/>
      <c r="E1017" s="562"/>
      <c r="F1017" s="580"/>
      <c r="G1017" s="579"/>
      <c r="H1017" s="1506"/>
    </row>
    <row r="1018" spans="1:14" s="565" customFormat="1" ht="15" customHeight="1">
      <c r="A1018" s="628" t="s">
        <v>662</v>
      </c>
      <c r="B1018" s="560"/>
      <c r="C1018" s="560"/>
      <c r="D1018" s="561"/>
      <c r="E1018" s="562"/>
      <c r="F1018" s="580"/>
      <c r="G1018" s="579"/>
      <c r="H1018" s="1506"/>
    </row>
    <row r="1019" spans="1:14" s="565" customFormat="1" ht="15" customHeight="1">
      <c r="A1019" s="628"/>
      <c r="B1019" s="560"/>
      <c r="C1019" s="560"/>
      <c r="D1019" s="561"/>
      <c r="E1019" s="562"/>
      <c r="F1019" s="580"/>
      <c r="G1019" s="579"/>
      <c r="H1019" s="1506"/>
      <c r="N1019" s="565">
        <v>3147411056</v>
      </c>
    </row>
    <row r="1020" spans="1:14" s="565" customFormat="1" ht="12.75" customHeight="1" thickBot="1">
      <c r="A1020" s="566"/>
      <c r="B1020" s="567"/>
      <c r="C1020" s="566" t="s">
        <v>663</v>
      </c>
      <c r="D1020" s="566"/>
      <c r="E1020" s="567"/>
      <c r="F1020" s="566"/>
      <c r="G1020" s="568"/>
      <c r="H1020" s="569"/>
    </row>
    <row r="1021" spans="1:14" s="565" customFormat="1" ht="15" customHeight="1" thickTop="1">
      <c r="A1021" s="571" t="s">
        <v>578</v>
      </c>
      <c r="B1021" s="571" t="str">
        <f t="shared" ref="B1021:B1026" si="113">MID(A1021,1,3)&amp;"-"&amp;13</f>
        <v>330-13</v>
      </c>
      <c r="C1021" s="571"/>
      <c r="D1021" s="619" t="str">
        <f>VLOOKUP(A1021,[33]ÍNDICE!$C$6:$N$380,5,FALSE)</f>
        <v>BASE GRANULAR PARA BACHEO CLASE A GRADACION FINA</v>
      </c>
      <c r="E1021" s="629" t="str">
        <f>VLOOKUP(A1021,[33]ÍNDICE!$C$6:$N$380,2,FALSE)</f>
        <v>m3</v>
      </c>
      <c r="F1021" s="618">
        <f>F1026*0.4</f>
        <v>316</v>
      </c>
      <c r="G1021" s="648">
        <f>VLOOKUP(A1021,[33]ÍNDICE!$C$6:$N$380,12,FALSE)</f>
        <v>468038.05777015106</v>
      </c>
      <c r="H1021" s="583">
        <f t="shared" ref="H1021:H1026" si="114">F1021*G1021</f>
        <v>147900026.25536773</v>
      </c>
    </row>
    <row r="1022" spans="1:14" s="565" customFormat="1" ht="24">
      <c r="A1022" s="571" t="s">
        <v>655</v>
      </c>
      <c r="B1022" s="571" t="str">
        <f t="shared" si="113"/>
        <v>420-13</v>
      </c>
      <c r="C1022" s="571"/>
      <c r="D1022" s="619" t="str">
        <f>VLOOKUP(A1022,[33]ÍNDICE!$C$6:$N$380,5,FALSE)</f>
        <v>RIEGO DE IMPRIMACIÓN CON EMULSIÓN ASFÁLTICA CRL-40 (anteriormente CRL-0)</v>
      </c>
      <c r="E1022" s="629" t="str">
        <f>VLOOKUP(A1022,[33]ÍNDICE!$C$6:$N$380,2,FALSE)</f>
        <v>m2</v>
      </c>
      <c r="F1022" s="618">
        <f>+(F1023+F1024)/0.1</f>
        <v>117871</v>
      </c>
      <c r="G1022" s="648">
        <f>VLOOKUP(A1022,[33]ÍNDICE!$C$6:$N$380,12,FALSE)</f>
        <v>3912.2339175840457</v>
      </c>
      <c r="H1022" s="583">
        <f t="shared" si="114"/>
        <v>461138924.09954906</v>
      </c>
    </row>
    <row r="1023" spans="1:14" s="565" customFormat="1" ht="26.1" customHeight="1">
      <c r="A1023" s="571" t="s">
        <v>554</v>
      </c>
      <c r="B1023" s="571" t="str">
        <f t="shared" si="113"/>
        <v>450-13</v>
      </c>
      <c r="C1023" s="571"/>
      <c r="D1023" s="619" t="str">
        <f>VLOOKUP(A1023,[33]ÍNDICE!$C$6:$N$380,5,FALSE)</f>
        <v xml:space="preserve">MEZCLA DENSA EN CALIENTE TIPO MDC‐19 - COMPRA DE MEZCLA </v>
      </c>
      <c r="E1023" s="629" t="str">
        <f>VLOOKUP(A1023,[33]ÍNDICE!$C$6:$N$380,2,FALSE)</f>
        <v>m3</v>
      </c>
      <c r="F1023" s="618">
        <f>(885+(71323-68613)+(101900-85130))*0.075*7.2</f>
        <v>10997.1</v>
      </c>
      <c r="G1023" s="648">
        <f>VLOOKUP(A1023,[33]ÍNDICE!$C$6:$N$380,12,FALSE)</f>
        <v>1677232.0782508166</v>
      </c>
      <c r="H1023" s="583">
        <f t="shared" si="114"/>
        <v>18444688887.732056</v>
      </c>
    </row>
    <row r="1024" spans="1:14" s="565" customFormat="1" ht="26.1" customHeight="1">
      <c r="A1024" s="571" t="s">
        <v>554</v>
      </c>
      <c r="B1024" s="571" t="str">
        <f t="shared" si="113"/>
        <v>450-13</v>
      </c>
      <c r="C1024" s="571"/>
      <c r="D1024" s="619" t="str">
        <f>VLOOKUP(A1024,[33]ÍNDICE!$C$6:$N$380,5,FALSE)</f>
        <v xml:space="preserve">MEZCLA DENSA EN CALIENTE TIPO MDC‐19 - COMPRA DE MEZCLA </v>
      </c>
      <c r="E1024" s="629" t="str">
        <f>VLOOKUP(A1024,[33]ÍNDICE!$C$6:$N$380,2,FALSE)</f>
        <v>m3</v>
      </c>
      <c r="F1024" s="618">
        <f>F1026</f>
        <v>790</v>
      </c>
      <c r="G1024" s="648">
        <f>VLOOKUP(A1024,[33]ÍNDICE!$C$6:$N$380,12,FALSE)</f>
        <v>1677232.0782508166</v>
      </c>
      <c r="H1024" s="583">
        <f t="shared" si="114"/>
        <v>1325013341.818145</v>
      </c>
    </row>
    <row r="1025" spans="1:8" s="565" customFormat="1" ht="24" customHeight="1">
      <c r="A1025" s="571" t="s">
        <v>656</v>
      </c>
      <c r="B1025" s="571" t="str">
        <f t="shared" si="113"/>
        <v>460-13</v>
      </c>
      <c r="C1025" s="639"/>
      <c r="D1025" s="619" t="str">
        <f>VLOOKUP(A1025,[33]ÍNDICE!$C$6:$N$380,5,FALSE)</f>
        <v>FRESADO DE PAVIMENTO ASFÁLTICO EN ESPESOR DE 10 cm</v>
      </c>
      <c r="E1025" s="629" t="str">
        <f>VLOOKUP(A1025,[33]ÍNDICE!$C$6:$N$380,2,FALSE)</f>
        <v>m2</v>
      </c>
      <c r="F1025" s="618">
        <f>F1023/0.07*0.22</f>
        <v>34562.314285714281</v>
      </c>
      <c r="G1025" s="648">
        <f>VLOOKUP(A1025,[33]ÍNDICE!$C$6:$N$380,12,FALSE)</f>
        <v>12837.340469690555</v>
      </c>
      <c r="H1025" s="583">
        <f t="shared" si="114"/>
        <v>443688195.90616393</v>
      </c>
    </row>
    <row r="1026" spans="1:8" s="565" customFormat="1" ht="36.950000000000003" customHeight="1" thickBot="1">
      <c r="A1026" s="571" t="s">
        <v>579</v>
      </c>
      <c r="B1026" s="571" t="str">
        <f t="shared" si="113"/>
        <v>465-13</v>
      </c>
      <c r="C1026" s="571"/>
      <c r="D1026" s="619" t="str">
        <f>VLOOKUP(A1026,[33]ÍNDICE!$C$6:$N$380,5,FALSE)</f>
        <v>EXCAVACIÓN PARA REPARACIÓN DE PAVIMENTO ASFÁLTICO EXISTENTE INCLUYENDO EL CORTE Y LA REMOCIÓN DE LAS CAPAS ASFÁLTICAS SUBYACENTES</v>
      </c>
      <c r="E1026" s="629" t="str">
        <f>VLOOKUP(A1026,[33]ÍNDICE!$C$6:$N$380,2,FALSE)</f>
        <v>m3</v>
      </c>
      <c r="F1026" s="618">
        <v>790</v>
      </c>
      <c r="G1026" s="648">
        <f>VLOOKUP(A1026,[33]ÍNDICE!$C$6:$N$380,12,FALSE)</f>
        <v>100979.71246565928</v>
      </c>
      <c r="H1026" s="606">
        <f t="shared" si="114"/>
        <v>79773972.847870827</v>
      </c>
    </row>
    <row r="1027" spans="1:8" s="565" customFormat="1" ht="15" customHeight="1" thickTop="1">
      <c r="A1027" s="574"/>
      <c r="B1027" s="574"/>
      <c r="C1027" s="575"/>
      <c r="D1027" s="575"/>
      <c r="E1027" s="589"/>
      <c r="F1027" s="641"/>
      <c r="G1027" s="600" t="s">
        <v>524</v>
      </c>
      <c r="H1027" s="1517">
        <f>SUM(H1021:H1026)</f>
        <v>20902203348.659149</v>
      </c>
    </row>
    <row r="1028" spans="1:8" s="565" customFormat="1" ht="15" customHeight="1">
      <c r="A1028" s="577"/>
      <c r="B1028" s="577"/>
      <c r="C1028" s="578"/>
      <c r="D1028" s="578"/>
      <c r="E1028" s="562"/>
      <c r="F1028" s="580"/>
      <c r="G1028" s="601" t="s">
        <v>525</v>
      </c>
      <c r="H1028" s="1508">
        <f>ROUND((+H1027*0.05*0.19)/(1+0.3),0)</f>
        <v>152746871</v>
      </c>
    </row>
    <row r="1029" spans="1:8" s="565" customFormat="1" ht="15" customHeight="1" thickBot="1">
      <c r="A1029" s="578"/>
      <c r="B1029" s="577"/>
      <c r="C1029" s="578"/>
      <c r="D1029" s="626"/>
      <c r="E1029" s="562"/>
      <c r="F1029" s="634"/>
      <c r="G1029" s="601" t="s">
        <v>526</v>
      </c>
      <c r="H1029" s="1509">
        <f>+ROUND(H1027+H1028,0)</f>
        <v>21054950220</v>
      </c>
    </row>
    <row r="1030" spans="1:8" s="565" customFormat="1" ht="15" customHeight="1" thickTop="1">
      <c r="A1030" s="628"/>
      <c r="B1030" s="560"/>
      <c r="C1030" s="560"/>
      <c r="D1030" s="561"/>
      <c r="E1030" s="562"/>
      <c r="F1030" s="580"/>
      <c r="G1030" s="579"/>
      <c r="H1030" s="1506"/>
    </row>
    <row r="1031" spans="1:8" s="565" customFormat="1" ht="12.75" customHeight="1" thickBot="1">
      <c r="A1031" s="566"/>
      <c r="B1031" s="567"/>
      <c r="C1031" s="566" t="s">
        <v>664</v>
      </c>
      <c r="D1031" s="566"/>
      <c r="E1031" s="567"/>
      <c r="F1031" s="566"/>
      <c r="G1031" s="568"/>
      <c r="H1031" s="569"/>
    </row>
    <row r="1032" spans="1:8" s="565" customFormat="1" ht="24" customHeight="1" thickTop="1" thickBot="1">
      <c r="A1032" s="571" t="s">
        <v>665</v>
      </c>
      <c r="B1032" s="571" t="str">
        <f>MID(A1032,1,3)&amp;"-"&amp;13</f>
        <v>466-13</v>
      </c>
      <c r="C1032" s="571"/>
      <c r="D1032" s="619" t="str">
        <f>VLOOKUP(A1032,[33]ÍNDICE!$C$6:$N$380,5,FALSE)</f>
        <v>SELLO DE GRIETAS EN PAVIMENTO ASFÁLTICO CON RUTEO</v>
      </c>
      <c r="E1032" s="629" t="str">
        <f>VLOOKUP(A1032,[33]ÍNDICE!$C$6:$N$380,2,FALSE)</f>
        <v>m</v>
      </c>
      <c r="F1032" s="585">
        <f>2566.7/0.25</f>
        <v>10266.799999999999</v>
      </c>
      <c r="G1032" s="613">
        <f>VLOOKUP(A1032,[33]ÍNDICE!$C$6:$N$380,12,FALSE)</f>
        <v>18937.756375707577</v>
      </c>
      <c r="H1032" s="583">
        <f>F1032*G1032</f>
        <v>194430157.15811452</v>
      </c>
    </row>
    <row r="1033" spans="1:8" s="565" customFormat="1" ht="15" customHeight="1" thickTop="1">
      <c r="A1033" s="574"/>
      <c r="B1033" s="574"/>
      <c r="C1033" s="574"/>
      <c r="D1033" s="575"/>
      <c r="E1033" s="589"/>
      <c r="F1033" s="590"/>
      <c r="G1033" s="600" t="s">
        <v>524</v>
      </c>
      <c r="H1033" s="1507">
        <f>SUM(H1032:H1032)</f>
        <v>194430157.15811452</v>
      </c>
    </row>
    <row r="1034" spans="1:8" s="565" customFormat="1" ht="15" customHeight="1">
      <c r="A1034" s="577"/>
      <c r="B1034" s="577"/>
      <c r="C1034" s="577"/>
      <c r="D1034" s="578"/>
      <c r="E1034" s="562"/>
      <c r="F1034" s="580"/>
      <c r="G1034" s="601" t="s">
        <v>525</v>
      </c>
      <c r="H1034" s="1508">
        <f>ROUND((+H1033*0.05*0.19)/(1+0.3),0)</f>
        <v>1420836</v>
      </c>
    </row>
    <row r="1035" spans="1:8" s="565" customFormat="1" ht="15" customHeight="1" thickBot="1">
      <c r="A1035" s="561"/>
      <c r="B1035" s="560"/>
      <c r="C1035" s="560"/>
      <c r="D1035" s="561"/>
      <c r="E1035" s="562"/>
      <c r="F1035" s="580"/>
      <c r="G1035" s="601" t="s">
        <v>526</v>
      </c>
      <c r="H1035" s="1509">
        <f>+ROUND(H1033+H1034,0)</f>
        <v>195850993</v>
      </c>
    </row>
    <row r="1036" spans="1:8" s="565" customFormat="1" ht="14.1" customHeight="1" thickTop="1">
      <c r="A1036" s="561"/>
      <c r="B1036" s="560"/>
      <c r="C1036" s="560"/>
      <c r="D1036" s="561"/>
      <c r="E1036" s="562"/>
      <c r="F1036" s="563"/>
      <c r="G1036" s="563"/>
      <c r="H1036" s="1506"/>
    </row>
    <row r="1037" spans="1:8" s="565" customFormat="1" ht="15" customHeight="1">
      <c r="A1037" s="628"/>
      <c r="B1037" s="560"/>
      <c r="C1037" s="560"/>
      <c r="D1037" s="561"/>
      <c r="E1037" s="562"/>
      <c r="F1037" s="580"/>
      <c r="G1037" s="579"/>
      <c r="H1037" s="1506"/>
    </row>
    <row r="1038" spans="1:8" s="565" customFormat="1" ht="15" customHeight="1">
      <c r="A1038" s="649" t="s">
        <v>666</v>
      </c>
      <c r="B1038" s="560"/>
      <c r="C1038" s="560"/>
      <c r="D1038" s="561"/>
      <c r="E1038" s="562"/>
      <c r="F1038" s="580"/>
      <c r="G1038" s="579"/>
      <c r="H1038" s="1506"/>
    </row>
    <row r="1039" spans="1:8" s="565" customFormat="1" ht="15" customHeight="1">
      <c r="A1039" s="649"/>
      <c r="B1039" s="560"/>
      <c r="C1039" s="560"/>
      <c r="D1039" s="561"/>
      <c r="E1039" s="562"/>
      <c r="F1039" s="580"/>
      <c r="G1039" s="579"/>
      <c r="H1039" s="1506"/>
    </row>
    <row r="1040" spans="1:8" s="565" customFormat="1" ht="12.75" customHeight="1" thickBot="1">
      <c r="A1040" s="566"/>
      <c r="B1040" s="567"/>
      <c r="C1040" s="566" t="s">
        <v>667</v>
      </c>
      <c r="D1040" s="566"/>
      <c r="E1040" s="567"/>
      <c r="F1040" s="566"/>
      <c r="G1040" s="568"/>
      <c r="H1040" s="569"/>
    </row>
    <row r="1041" spans="1:8" s="565" customFormat="1" ht="15" customHeight="1" thickTop="1">
      <c r="A1041" s="595" t="s">
        <v>616</v>
      </c>
      <c r="B1041" s="571" t="str">
        <f>MID(A1041,1,3)&amp;"-"&amp;13</f>
        <v>201-13</v>
      </c>
      <c r="C1041" s="638"/>
      <c r="D1041" s="619" t="str">
        <f>VLOOKUP(A1041,[33]ÍNDICE!$C$6:$N$380,5,FALSE)</f>
        <v>DEMOLICIÓN DE PAVIMENTOS RÍGIDOS</v>
      </c>
      <c r="E1041" s="629" t="str">
        <f>VLOOKUP(A1041,[33]ÍNDICE!$C$6:$N$380,2,FALSE)</f>
        <v>m2</v>
      </c>
      <c r="F1041" s="596">
        <v>250</v>
      </c>
      <c r="G1041" s="613">
        <f>VLOOKUP(A1041,[33]ÍNDICE!$C$6:$N$380,12,FALSE)</f>
        <v>38465.171913503909</v>
      </c>
      <c r="H1041" s="597">
        <f>F1041*G1041</f>
        <v>9616292.9783759769</v>
      </c>
    </row>
    <row r="1042" spans="1:8" s="565" customFormat="1" ht="15" customHeight="1">
      <c r="A1042" s="571" t="s">
        <v>550</v>
      </c>
      <c r="B1042" s="571" t="str">
        <f>MID(A1042,1,3)&amp;"-"&amp;13</f>
        <v>330-13</v>
      </c>
      <c r="C1042" s="614"/>
      <c r="D1042" s="619" t="str">
        <f>VLOOKUP(A1042,[33]ÍNDICE!$C$6:$N$380,5,FALSE)</f>
        <v>BASE GRANULAR CLASE A GRADACION FINA</v>
      </c>
      <c r="E1042" s="629" t="str">
        <f>VLOOKUP(A1042,[33]ÍNDICE!$C$6:$N$380,2,FALSE)</f>
        <v>m3</v>
      </c>
      <c r="F1042" s="586">
        <f>+F1043</f>
        <v>250</v>
      </c>
      <c r="G1042" s="613">
        <f>VLOOKUP(A1042,[33]ÍNDICE!$C$6:$N$380,12,FALSE)</f>
        <v>476364.66746335832</v>
      </c>
      <c r="H1042" s="583">
        <f>F1042*G1042</f>
        <v>119091166.86583959</v>
      </c>
    </row>
    <row r="1043" spans="1:8" s="565" customFormat="1" ht="15" customHeight="1">
      <c r="A1043" s="571" t="s">
        <v>617</v>
      </c>
      <c r="B1043" s="571" t="str">
        <f>MID(A1043,1,3)&amp;"-"&amp;13</f>
        <v>500-13</v>
      </c>
      <c r="C1043" s="639"/>
      <c r="D1043" s="619" t="str">
        <f>VLOOKUP(A1043,[33]ÍNDICE!$C$6:$N$380,5,FALSE)</f>
        <v>PAVIMENTO DE CONCRETO HIDRÁULICO - NT3</v>
      </c>
      <c r="E1043" s="629" t="str">
        <f>VLOOKUP(A1043,[33]ÍNDICE!$C$6:$N$380,2,FALSE)</f>
        <v>m3</v>
      </c>
      <c r="F1043" s="586">
        <v>250</v>
      </c>
      <c r="G1043" s="613">
        <f>VLOOKUP(A1043,[33]ÍNDICE!$C$6:$N$380,12,FALSE)</f>
        <v>1305106.8395586153</v>
      </c>
      <c r="H1043" s="583">
        <f>F1043*G1043</f>
        <v>326276709.88965386</v>
      </c>
    </row>
    <row r="1044" spans="1:8" s="565" customFormat="1" ht="15" customHeight="1" thickBot="1">
      <c r="A1044" s="571" t="s">
        <v>528</v>
      </c>
      <c r="B1044" s="571" t="str">
        <f>MID(A1044,1,3)&amp;"-"&amp;13</f>
        <v>600-13</v>
      </c>
      <c r="C1044" s="571"/>
      <c r="D1044" s="619" t="str">
        <f>VLOOKUP(A1044,[33]ÍNDICE!$C$6:$N$380,5,FALSE)</f>
        <v>EXCAVACIONES VARIAS SIN CLASIFICAR</v>
      </c>
      <c r="E1044" s="629" t="str">
        <f>VLOOKUP(A1044,[33]ÍNDICE!$C$6:$N$380,2,FALSE)</f>
        <v>m3</v>
      </c>
      <c r="F1044" s="585">
        <v>250</v>
      </c>
      <c r="G1044" s="613">
        <f>VLOOKUP(A1044,[33]ÍNDICE!$C$6:$N$380,12,FALSE)</f>
        <v>58828.261120639472</v>
      </c>
      <c r="H1044" s="583">
        <f>F1044*G1044</f>
        <v>14707065.280159868</v>
      </c>
    </row>
    <row r="1045" spans="1:8" s="565" customFormat="1" ht="15" customHeight="1" thickTop="1">
      <c r="A1045" s="574"/>
      <c r="B1045" s="574"/>
      <c r="C1045" s="574"/>
      <c r="D1045" s="575"/>
      <c r="E1045" s="589"/>
      <c r="F1045" s="590"/>
      <c r="G1045" s="600" t="s">
        <v>524</v>
      </c>
      <c r="H1045" s="1507">
        <f>SUM(H1041:H1044)</f>
        <v>469691235.01402932</v>
      </c>
    </row>
    <row r="1046" spans="1:8" s="565" customFormat="1" ht="15" customHeight="1">
      <c r="A1046" s="577"/>
      <c r="B1046" s="577"/>
      <c r="C1046" s="577"/>
      <c r="D1046" s="578"/>
      <c r="E1046" s="562"/>
      <c r="F1046" s="580"/>
      <c r="G1046" s="601" t="s">
        <v>525</v>
      </c>
      <c r="H1046" s="1508">
        <f>ROUND((+H1045*0.05*0.19)/(1+0.3),0)</f>
        <v>3432359</v>
      </c>
    </row>
    <row r="1047" spans="1:8" s="565" customFormat="1" ht="15" customHeight="1" thickBot="1">
      <c r="A1047" s="561"/>
      <c r="B1047" s="560"/>
      <c r="C1047" s="560"/>
      <c r="D1047" s="561"/>
      <c r="E1047" s="562"/>
      <c r="F1047" s="580"/>
      <c r="G1047" s="601" t="s">
        <v>526</v>
      </c>
      <c r="H1047" s="1509">
        <f>+ROUND(H1045+H1046,0)</f>
        <v>473123594</v>
      </c>
    </row>
    <row r="1048" spans="1:8" s="565" customFormat="1" ht="15" customHeight="1" thickTop="1">
      <c r="A1048" s="649"/>
      <c r="B1048" s="560"/>
      <c r="C1048" s="560"/>
      <c r="D1048" s="561"/>
      <c r="E1048" s="562"/>
      <c r="F1048" s="580"/>
      <c r="G1048" s="579"/>
      <c r="H1048" s="1506"/>
    </row>
    <row r="1049" spans="1:8" s="565" customFormat="1" ht="14.1" customHeight="1">
      <c r="A1049" s="561"/>
      <c r="B1049" s="560"/>
      <c r="C1049" s="560"/>
      <c r="D1049" s="561"/>
      <c r="E1049" s="562"/>
      <c r="F1049" s="563"/>
      <c r="G1049" s="563"/>
      <c r="H1049" s="1506"/>
    </row>
    <row r="1050" spans="1:8" s="565" customFormat="1" ht="12.75" hidden="1" customHeight="1" thickBot="1">
      <c r="A1050" s="651"/>
      <c r="B1050" s="652"/>
      <c r="C1050" s="651" t="s">
        <v>668</v>
      </c>
      <c r="D1050" s="651"/>
      <c r="E1050" s="652"/>
      <c r="F1050" s="651"/>
      <c r="G1050" s="653"/>
      <c r="H1050" s="654"/>
    </row>
    <row r="1051" spans="1:8" s="565" customFormat="1" ht="61.5" hidden="1" thickTop="1" thickBot="1">
      <c r="A1051" s="655" t="s">
        <v>669</v>
      </c>
      <c r="B1051" s="655"/>
      <c r="C1051" s="655"/>
      <c r="D1051" s="656" t="s">
        <v>670</v>
      </c>
      <c r="E1051" s="657" t="s">
        <v>671</v>
      </c>
      <c r="F1051" s="658">
        <f>20000*3.14*(0.31)</f>
        <v>19468</v>
      </c>
      <c r="G1051" s="659">
        <v>21892</v>
      </c>
      <c r="H1051" s="660">
        <f>F1051*G1051</f>
        <v>426193456</v>
      </c>
    </row>
    <row r="1052" spans="1:8" s="565" customFormat="1" ht="15" hidden="1" customHeight="1" thickTop="1">
      <c r="A1052" s="661"/>
      <c r="B1052" s="661"/>
      <c r="C1052" s="661"/>
      <c r="D1052" s="662"/>
      <c r="E1052" s="663"/>
      <c r="F1052" s="664"/>
      <c r="G1052" s="665" t="s">
        <v>524</v>
      </c>
      <c r="H1052" s="1519">
        <f>SUM(H1051:H1051)</f>
        <v>426193456</v>
      </c>
    </row>
    <row r="1053" spans="1:8" s="565" customFormat="1" ht="15" hidden="1" customHeight="1">
      <c r="A1053" s="666"/>
      <c r="B1053" s="666"/>
      <c r="C1053" s="666"/>
      <c r="D1053" s="667"/>
      <c r="E1053" s="668"/>
      <c r="F1053" s="669"/>
      <c r="G1053" s="670" t="s">
        <v>525</v>
      </c>
      <c r="H1053" s="1520">
        <f>SUM(H1052:H1052)*0.05*0.19/1.3</f>
        <v>3114490.64</v>
      </c>
    </row>
    <row r="1054" spans="1:8" s="565" customFormat="1" ht="15" hidden="1" customHeight="1" thickBot="1">
      <c r="A1054" s="671"/>
      <c r="B1054" s="672"/>
      <c r="C1054" s="672"/>
      <c r="D1054" s="671"/>
      <c r="E1054" s="668"/>
      <c r="F1054" s="669"/>
      <c r="G1054" s="670" t="s">
        <v>526</v>
      </c>
      <c r="H1054" s="1521">
        <f>+ROUND(H1052+H1053,0)</f>
        <v>429307947</v>
      </c>
    </row>
    <row r="1055" spans="1:8" s="565" customFormat="1" ht="14.1" customHeight="1">
      <c r="A1055" s="561"/>
      <c r="B1055" s="560"/>
      <c r="C1055" s="560"/>
      <c r="D1055" s="561"/>
      <c r="E1055" s="562"/>
      <c r="F1055" s="563"/>
      <c r="G1055" s="563"/>
      <c r="H1055" s="1506"/>
    </row>
    <row r="1056" spans="1:8" s="565" customFormat="1" ht="15" customHeight="1">
      <c r="A1056" s="628" t="s">
        <v>672</v>
      </c>
      <c r="B1056" s="560"/>
      <c r="C1056" s="560"/>
      <c r="D1056" s="561"/>
      <c r="E1056" s="562"/>
      <c r="F1056" s="580"/>
      <c r="G1056" s="579"/>
      <c r="H1056" s="1506"/>
    </row>
    <row r="1057" spans="1:13" s="565" customFormat="1" ht="13.5" thickBot="1">
      <c r="A1057" s="566"/>
      <c r="B1057" s="567"/>
      <c r="C1057" s="566" t="s">
        <v>673</v>
      </c>
      <c r="D1057" s="566"/>
      <c r="E1057" s="567"/>
      <c r="F1057" s="566"/>
      <c r="G1057" s="568"/>
      <c r="H1057" s="569"/>
    </row>
    <row r="1058" spans="1:13" s="565" customFormat="1" ht="13.5" customHeight="1" thickTop="1">
      <c r="A1058" s="595" t="s">
        <v>674</v>
      </c>
      <c r="B1058" s="595" t="str">
        <f>MID(A1058,1,3)&amp;"-"&amp;13</f>
        <v>700-13</v>
      </c>
      <c r="C1058" s="673"/>
      <c r="D1058" s="619" t="str">
        <f>VLOOKUP(A1058,[33]ÍNDICE!$C$6:$N$380,5,FALSE)</f>
        <v>LÍNEA DE DEMARCACIÓN CON PINTURA EN FRÍO</v>
      </c>
      <c r="E1058" s="629" t="str">
        <f>VLOOKUP(A1058,[33]ÍNDICE!$C$6:$N$380,2,FALSE)</f>
        <v>m</v>
      </c>
      <c r="F1058" s="674">
        <f>+'Señalización Horizontal'!F14</f>
        <v>38349</v>
      </c>
      <c r="G1058" s="613">
        <f>VLOOKUP(A1058,[33]ÍNDICE!$C$6:$N$380,12,FALSE)</f>
        <v>3275.6784259242277</v>
      </c>
      <c r="H1058" s="597">
        <f t="shared" ref="H1058:H1065" si="115">F1058*G1058</f>
        <v>125618991.95576821</v>
      </c>
    </row>
    <row r="1059" spans="1:13" s="565" customFormat="1" ht="23.25" customHeight="1">
      <c r="A1059" s="609" t="s">
        <v>675</v>
      </c>
      <c r="B1059" s="609" t="str">
        <f>MID(A1059,1,3)&amp;"-"&amp;13</f>
        <v>700-13</v>
      </c>
      <c r="C1059" s="1074"/>
      <c r="D1059" s="619" t="str">
        <f>VLOOKUP(A1059,[33]ÍNDICE!$C$6:$N$380,5,FALSE)</f>
        <v>SUMINISTRO Y APLICACIÓN DE IMPRIMANTE PARA PAVIMENTO RIGIDO, PREVIO A LA DEMARCACIÓN.</v>
      </c>
      <c r="E1059" s="629" t="str">
        <f>VLOOKUP(A1059,[33]ÍNDICE!$C$6:$N$380,2,FALSE)</f>
        <v>m</v>
      </c>
      <c r="F1059" s="640">
        <v>56913</v>
      </c>
      <c r="G1059" s="613">
        <f>VLOOKUP(A1059,[33]ÍNDICE!$C$6:$N$380,12,FALSE)</f>
        <v>2378.6829925576362</v>
      </c>
      <c r="H1059" s="611">
        <f t="shared" si="115"/>
        <v>135377985.15543276</v>
      </c>
      <c r="L1059" s="565">
        <v>20191</v>
      </c>
    </row>
    <row r="1060" spans="1:13" s="565" customFormat="1" ht="13.5" customHeight="1">
      <c r="A1060" s="571" t="s">
        <v>676</v>
      </c>
      <c r="B1060" s="571" t="str">
        <f>MID(A1060,1,3)&amp;"-"&amp;13</f>
        <v>700-13</v>
      </c>
      <c r="C1060" s="614"/>
      <c r="D1060" s="619" t="str">
        <f>VLOOKUP(A1060,[33]ÍNDICE!$C$6:$N$380,5,FALSE)</f>
        <v>MARCA VIAL CON PINTURA EN FRÍO</v>
      </c>
      <c r="E1060" s="629" t="str">
        <f>VLOOKUP(A1060,[33]ÍNDICE!$C$6:$N$380,2,FALSE)</f>
        <v>m2</v>
      </c>
      <c r="F1060" s="618">
        <f>SUM(+'Señalización Horizontal'!O14,'Señalización Horizontal'!N14)</f>
        <v>2638</v>
      </c>
      <c r="G1060" s="613">
        <f>VLOOKUP(A1060,[33]ÍNDICE!$C$6:$N$380,12,FALSE)</f>
        <v>47216.368046668256</v>
      </c>
      <c r="H1060" s="611">
        <f t="shared" si="115"/>
        <v>124556778.90711085</v>
      </c>
      <c r="L1060" s="565">
        <v>1220</v>
      </c>
    </row>
    <row r="1061" spans="1:13" s="565" customFormat="1" ht="24">
      <c r="A1061" s="571" t="s">
        <v>677</v>
      </c>
      <c r="B1061" s="571" t="str">
        <f t="shared" ref="B1061:B1065" si="116">MID(A1061,1,3)&amp;"-"&amp;13</f>
        <v>700-13</v>
      </c>
      <c r="C1061" s="614"/>
      <c r="D1061" s="619" t="str">
        <f>VLOOKUP(A1061,[33]ÍNDICE!$C$6:$N$380,5,FALSE)</f>
        <v>SUMINISTRO Y APLICACIÓN DE MARCA IMPRIMANTE PARA PAVIMENTO RIGIDO</v>
      </c>
      <c r="E1061" s="629" t="str">
        <f>VLOOKUP(A1061,[33]ÍNDICE!$C$6:$N$380,2,FALSE)</f>
        <v>m2</v>
      </c>
      <c r="F1061" s="618">
        <v>700</v>
      </c>
      <c r="G1061" s="613">
        <f>VLOOKUP(A1061,[33]ÍNDICE!$C$6:$N$380,12,FALSE)</f>
        <v>32299.220421834176</v>
      </c>
      <c r="H1061" s="611">
        <f t="shared" si="115"/>
        <v>22609454.295283925</v>
      </c>
      <c r="L1061" s="565">
        <f>+L1059-L1060</f>
        <v>18971</v>
      </c>
      <c r="M1061" s="565">
        <f>+L1061*3</f>
        <v>56913</v>
      </c>
    </row>
    <row r="1062" spans="1:13" s="565" customFormat="1" ht="13.5" customHeight="1">
      <c r="A1062" s="571" t="s">
        <v>678</v>
      </c>
      <c r="B1062" s="571" t="str">
        <f t="shared" si="116"/>
        <v>701-13</v>
      </c>
      <c r="C1062" s="614"/>
      <c r="D1062" s="619" t="str">
        <f>VLOOKUP(A1062,[33]ÍNDICE!$C$6:$N$380,5,FALSE)</f>
        <v>TACHA REFLECTIVA - ADHESIVO EPÓXICO</v>
      </c>
      <c r="E1062" s="629" t="str">
        <f>VLOOKUP(A1062,[33]ÍNDICE!$C$6:$N$380,2,FALSE)</f>
        <v>u</v>
      </c>
      <c r="F1062" s="618">
        <v>8418</v>
      </c>
      <c r="G1062" s="613">
        <f>VLOOKUP(A1062,[33]ÍNDICE!$C$6:$N$380,12,FALSE)</f>
        <v>11291.862418465153</v>
      </c>
      <c r="H1062" s="611">
        <f t="shared" si="115"/>
        <v>95054897.838639662</v>
      </c>
    </row>
    <row r="1063" spans="1:13" s="565" customFormat="1" ht="24.95" customHeight="1">
      <c r="A1063" s="571" t="s">
        <v>679</v>
      </c>
      <c r="B1063" s="571" t="str">
        <f t="shared" si="116"/>
        <v>710-13</v>
      </c>
      <c r="C1063" s="614"/>
      <c r="D1063" s="619" t="str">
        <f>VLOOKUP(A1063,[33]ÍNDICE!$C$6:$N$380,5,FALSE)</f>
        <v xml:space="preserve">SEÑAL VERTICAL DE TRANSITO TIPO SR, SP Y/O SI, TABLERO EN LÁMINA CON LAMINA RETRORREFLECTIVA TIPO IX (75X75 cm) </v>
      </c>
      <c r="E1063" s="629" t="str">
        <f>VLOOKUP(A1063,[33]ÍNDICE!$C$6:$N$380,2,FALSE)</f>
        <v>u</v>
      </c>
      <c r="F1063" s="618">
        <v>914</v>
      </c>
      <c r="G1063" s="613">
        <f>VLOOKUP(A1063,[33]ÍNDICE!$C$6:$N$380,12,FALSE)</f>
        <v>798975.81617375859</v>
      </c>
      <c r="H1063" s="611">
        <f t="shared" si="115"/>
        <v>730263895.98281538</v>
      </c>
    </row>
    <row r="1064" spans="1:13" s="565" customFormat="1" ht="24.95" customHeight="1">
      <c r="A1064" s="571" t="s">
        <v>680</v>
      </c>
      <c r="B1064" s="571" t="str">
        <f t="shared" si="116"/>
        <v>710-13</v>
      </c>
      <c r="C1064" s="614"/>
      <c r="D1064" s="619" t="str">
        <f>VLOOKUP(A1064,[33]ÍNDICE!$C$6:$N$380,5,FALSE)</f>
        <v xml:space="preserve">SEÑAL VERTICAL DE TRANSITO TIPO INFORMATIVA ELEVADA (SI-05 Y/O SI-06)  CON LAMINA RETRORREFLECTIVA TIPO IX. </v>
      </c>
      <c r="E1064" s="629" t="str">
        <f>VLOOKUP(A1064,[33]ÍNDICE!$C$6:$N$380,2,FALSE)</f>
        <v>m2</v>
      </c>
      <c r="F1064" s="618">
        <v>2.6</v>
      </c>
      <c r="G1064" s="613">
        <f>VLOOKUP(A1064,[33]ÍNDICE!$C$6:$N$380,12,FALSE)</f>
        <v>702578.55562125286</v>
      </c>
      <c r="H1064" s="611">
        <f t="shared" si="115"/>
        <v>1826704.2446152575</v>
      </c>
    </row>
    <row r="1065" spans="1:13" s="565" customFormat="1" ht="19.5" customHeight="1" thickBot="1">
      <c r="A1065" s="602" t="s">
        <v>681</v>
      </c>
      <c r="B1065" s="571" t="str">
        <f t="shared" si="116"/>
        <v>730-13</v>
      </c>
      <c r="C1065" s="675"/>
      <c r="D1065" s="619" t="str">
        <f>VLOOKUP(A1065,[33]ÍNDICE!$C$6:$N$380,5,FALSE)</f>
        <v>DEFENSA METÁLICA</v>
      </c>
      <c r="E1065" s="629" t="str">
        <f>VLOOKUP(A1065,[33]ÍNDICE!$C$6:$N$380,2,FALSE)</f>
        <v>m</v>
      </c>
      <c r="F1065" s="676">
        <v>6352</v>
      </c>
      <c r="G1065" s="613">
        <f>VLOOKUP(A1065,[33]ÍNDICE!$C$6:$N$380,12,FALSE)</f>
        <v>318354.16204800416</v>
      </c>
      <c r="H1065" s="611">
        <f t="shared" si="115"/>
        <v>2022185637.3289225</v>
      </c>
    </row>
    <row r="1066" spans="1:13" s="565" customFormat="1" ht="14.1" customHeight="1" thickTop="1">
      <c r="A1066" s="574"/>
      <c r="B1066" s="574"/>
      <c r="C1066" s="575"/>
      <c r="D1066" s="575"/>
      <c r="E1066" s="589"/>
      <c r="F1066" s="641"/>
      <c r="G1066" s="600" t="s">
        <v>524</v>
      </c>
      <c r="H1066" s="1517">
        <f>SUM(H1058:H1065)</f>
        <v>3257494345.7085886</v>
      </c>
    </row>
    <row r="1067" spans="1:13" s="565" customFormat="1" ht="14.1" customHeight="1">
      <c r="A1067" s="577"/>
      <c r="B1067" s="577"/>
      <c r="C1067" s="578"/>
      <c r="D1067" s="578"/>
      <c r="E1067" s="562"/>
      <c r="F1067" s="580"/>
      <c r="G1067" s="601" t="s">
        <v>525</v>
      </c>
      <c r="H1067" s="1508">
        <f>ROUND((+H1066*0.05*0.19)/(1+0.3),0)</f>
        <v>23804766</v>
      </c>
    </row>
    <row r="1068" spans="1:13" s="565" customFormat="1" ht="15" customHeight="1" thickBot="1">
      <c r="A1068" s="578"/>
      <c r="B1068" s="577"/>
      <c r="C1068" s="578"/>
      <c r="D1068" s="626"/>
      <c r="E1068" s="562"/>
      <c r="F1068" s="634"/>
      <c r="G1068" s="601" t="s">
        <v>526</v>
      </c>
      <c r="H1068" s="1509">
        <f>+ROUND(H1066+H1067,0)</f>
        <v>3281299112</v>
      </c>
    </row>
    <row r="1069" spans="1:13" s="565" customFormat="1" ht="15" customHeight="1" thickTop="1">
      <c r="A1069" s="628"/>
      <c r="B1069" s="560"/>
      <c r="C1069" s="560"/>
      <c r="D1069" s="561"/>
      <c r="E1069" s="562"/>
      <c r="F1069" s="580"/>
      <c r="G1069" s="579"/>
      <c r="H1069" s="1506"/>
    </row>
    <row r="1070" spans="1:13" s="565" customFormat="1" ht="15" customHeight="1">
      <c r="A1070" s="60" t="s">
        <v>682</v>
      </c>
      <c r="B1070" s="560"/>
      <c r="C1070" s="560"/>
      <c r="D1070" s="561"/>
      <c r="E1070" s="562"/>
      <c r="F1070" s="563"/>
      <c r="G1070" s="564"/>
      <c r="H1070" s="1506"/>
    </row>
    <row r="1071" spans="1:13" s="565" customFormat="1" ht="13.5" thickBot="1">
      <c r="A1071" s="566"/>
      <c r="B1071" s="567"/>
      <c r="C1071" s="566" t="s">
        <v>683</v>
      </c>
      <c r="D1071" s="566"/>
      <c r="E1071" s="567"/>
      <c r="F1071" s="566"/>
      <c r="G1071" s="616"/>
      <c r="H1071" s="569"/>
    </row>
    <row r="1072" spans="1:13" s="565" customFormat="1" ht="15" customHeight="1" thickTop="1">
      <c r="A1072" s="571" t="s">
        <v>528</v>
      </c>
      <c r="B1072" s="571" t="str">
        <f>MID(A1072,1,3)&amp;"-"&amp;13</f>
        <v>600-13</v>
      </c>
      <c r="C1072" s="595"/>
      <c r="D1072" s="619" t="str">
        <f>VLOOKUP(A1072,[33]ÍNDICE!$C$6:$N$380,5,FALSE)</f>
        <v>EXCAVACIONES VARIAS SIN CLASIFICAR</v>
      </c>
      <c r="E1072" s="629" t="str">
        <f>VLOOKUP(A1072,[33]ÍNDICE!$C$6:$N$380,2,FALSE)</f>
        <v>m3</v>
      </c>
      <c r="F1072" s="596">
        <f>5*2*3</f>
        <v>30</v>
      </c>
      <c r="G1072" s="613">
        <f>VLOOKUP(A1072,[33]ÍNDICE!$C$6:$N$380,12,FALSE)</f>
        <v>58828.261120639472</v>
      </c>
      <c r="H1072" s="597">
        <f>F1072*G1072</f>
        <v>1764847.8336191841</v>
      </c>
    </row>
    <row r="1073" spans="1:13" s="565" customFormat="1" ht="15" customHeight="1">
      <c r="A1073" s="571" t="s">
        <v>529</v>
      </c>
      <c r="B1073" s="571" t="str">
        <f t="shared" ref="B1073:B1079" si="117">MID(A1073,1,3)&amp;"-"&amp;13</f>
        <v>600-13</v>
      </c>
      <c r="C1073" s="571"/>
      <c r="D1073" s="619" t="str">
        <f>VLOOKUP(A1073,[33]ÍNDICE!$C$6:$N$380,5,FALSE)</f>
        <v>EXCAVACIONES VARIAS EN MATERIAL COMÚN BAJO AGUA</v>
      </c>
      <c r="E1073" s="629" t="str">
        <f>VLOOKUP(A1073,[33]ÍNDICE!$C$6:$N$380,2,FALSE)</f>
        <v>m3</v>
      </c>
      <c r="F1073" s="586">
        <v>20</v>
      </c>
      <c r="G1073" s="613">
        <f>VLOOKUP(A1073,[33]ÍNDICE!$C$6:$N$380,12,FALSE)</f>
        <v>59036.507942085271</v>
      </c>
      <c r="H1073" s="583">
        <f t="shared" ref="H1073:H1079" si="118">F1073*G1073</f>
        <v>1180730.1588417054</v>
      </c>
    </row>
    <row r="1074" spans="1:13" s="565" customFormat="1" ht="15" customHeight="1">
      <c r="A1074" s="571" t="s">
        <v>530</v>
      </c>
      <c r="B1074" s="571" t="str">
        <f>MID(A1074,1,3)&amp;"-"&amp;13</f>
        <v>610-13</v>
      </c>
      <c r="C1074" s="571"/>
      <c r="D1074" s="619" t="str">
        <f>VLOOKUP(A1074,[33]ÍNDICE!$C$6:$N$380,5,FALSE)</f>
        <v>RELLENO PARA ESTRUCTURAS CON SUELO (analizado sin preparación de la superficie base del relleno)</v>
      </c>
      <c r="E1074" s="629" t="str">
        <f>VLOOKUP(A1074,[33]ÍNDICE!$C$6:$N$380,2,FALSE)</f>
        <v>m3</v>
      </c>
      <c r="F1074" s="586">
        <f>5*1*1</f>
        <v>5</v>
      </c>
      <c r="G1074" s="613">
        <f>VLOOKUP(A1074,[33]ÍNDICE!$C$6:$N$380,12,FALSE)</f>
        <v>162354.11090657322</v>
      </c>
      <c r="H1074" s="583">
        <f>F1074*G1074</f>
        <v>811770.55453286611</v>
      </c>
    </row>
    <row r="1075" spans="1:13" s="565" customFormat="1" ht="15" customHeight="1">
      <c r="A1075" s="609" t="s">
        <v>531</v>
      </c>
      <c r="B1075" s="609" t="str">
        <f>MID(A1075,1,3)&amp;"-"&amp;13</f>
        <v>630-13</v>
      </c>
      <c r="C1075" s="609"/>
      <c r="D1075" s="619" t="str">
        <f>VLOOKUP(A1075,[33]ÍNDICE!$C$6:$N$380,5,FALSE)</f>
        <v>CONCRETO SIMPLE RESISTENCIA 17 MPa - MEZCLA IN SITU</v>
      </c>
      <c r="E1075" s="629" t="str">
        <f>VLOOKUP(A1075,[33]ÍNDICE!$C$6:$N$380,2,FALSE)</f>
        <v>m3</v>
      </c>
      <c r="F1075" s="610">
        <f>+(5*1)*6*0.1</f>
        <v>3</v>
      </c>
      <c r="G1075" s="613">
        <f>VLOOKUP(A1075,[33]ÍNDICE!$C$6:$N$380,12,FALSE)</f>
        <v>994779.33062365581</v>
      </c>
      <c r="H1075" s="611">
        <f>F1075*G1075</f>
        <v>2984337.9918709677</v>
      </c>
    </row>
    <row r="1076" spans="1:13" s="565" customFormat="1" ht="15" customHeight="1">
      <c r="A1076" s="571" t="s">
        <v>532</v>
      </c>
      <c r="B1076" s="571" t="str">
        <f>MID(A1076,1,3)&amp;"-"&amp;13</f>
        <v>630-13</v>
      </c>
      <c r="C1076" s="571"/>
      <c r="D1076" s="619" t="str">
        <f>VLOOKUP(A1076,[33]ÍNDICE!$C$6:$N$380,5,FALSE)</f>
        <v>CONCRETO CICLÓPEO RESISTENCIA 14MPa (G)</v>
      </c>
      <c r="E1076" s="629" t="str">
        <f>VLOOKUP(A1076,[33]ÍNDICE!$C$6:$N$380,2,FALSE)</f>
        <v>m3</v>
      </c>
      <c r="F1076" s="586">
        <v>5</v>
      </c>
      <c r="G1076" s="613">
        <f>VLOOKUP(A1076,[33]ÍNDICE!$C$6:$N$380,12,FALSE)</f>
        <v>680494.66759275761</v>
      </c>
      <c r="H1076" s="583">
        <f>F1076*G1076</f>
        <v>3402473.3379637878</v>
      </c>
    </row>
    <row r="1077" spans="1:13" s="565" customFormat="1" ht="15" customHeight="1">
      <c r="A1077" s="571" t="s">
        <v>533</v>
      </c>
      <c r="B1077" s="571" t="str">
        <f t="shared" si="117"/>
        <v>630-13</v>
      </c>
      <c r="C1077" s="571"/>
      <c r="D1077" s="619" t="str">
        <f>VLOOKUP(A1077,[33]ÍNDICE!$C$6:$N$380,5,FALSE)</f>
        <v>BOLSACRETO CONCRETO 210 MPA</v>
      </c>
      <c r="E1077" s="629" t="str">
        <f>VLOOKUP(A1077,[33]ÍNDICE!$C$6:$N$380,2,FALSE)</f>
        <v>m3</v>
      </c>
      <c r="F1077" s="618">
        <v>30</v>
      </c>
      <c r="G1077" s="613">
        <f>VLOOKUP(A1077,[33]ÍNDICE!$C$6:$N$380,12,FALSE)</f>
        <v>858421.77896308829</v>
      </c>
      <c r="H1077" s="583">
        <f t="shared" si="118"/>
        <v>25752653.368892647</v>
      </c>
    </row>
    <row r="1078" spans="1:13" s="565" customFormat="1" ht="15" customHeight="1">
      <c r="A1078" s="571" t="s">
        <v>534</v>
      </c>
      <c r="B1078" s="571" t="str">
        <f>MID(A1078,1,3)&amp;"-"&amp;13</f>
        <v>673-13</v>
      </c>
      <c r="C1078" s="571"/>
      <c r="D1078" s="619" t="str">
        <f>VLOOKUP(A1078,[33]ÍNDICE!$C$6:$N$380,5,FALSE)</f>
        <v xml:space="preserve">GEOTEXTIL TIPO TEJIDO CON RESISTENCIA A LA TENSIÓN GRAB MÍNIMA DE 1400 N </v>
      </c>
      <c r="E1078" s="629" t="str">
        <f>VLOOKUP(A1078,[33]ÍNDICE!$C$6:$N$380,2,FALSE)</f>
        <v>m2</v>
      </c>
      <c r="F1078" s="585">
        <f>5*4</f>
        <v>20</v>
      </c>
      <c r="G1078" s="613">
        <f>VLOOKUP(A1078,[33]ÍNDICE!$C$6:$N$380,12,FALSE)</f>
        <v>12861.24633460756</v>
      </c>
      <c r="H1078" s="583">
        <f>F1078*G1078</f>
        <v>257224.9266921512</v>
      </c>
    </row>
    <row r="1079" spans="1:13" s="565" customFormat="1" ht="26.1" customHeight="1" thickBot="1">
      <c r="A1079" s="571" t="s">
        <v>535</v>
      </c>
      <c r="B1079" s="571" t="str">
        <f t="shared" si="117"/>
        <v>681-13</v>
      </c>
      <c r="C1079" s="571"/>
      <c r="D1079" s="619" t="str">
        <f>VLOOKUP(A1079,[33]ÍNDICE!$C$6:$N$380,5,FALSE)</f>
        <v>GAVIONES DE MALLA DE ALAMBRE DE ACERO ENTRELAZADO CLASE 1; RECUBRIMIENTO DE ZINC (GALVANIZADO)</v>
      </c>
      <c r="E1079" s="629" t="str">
        <f>VLOOKUP(A1079,[33]ÍNDICE!$C$6:$N$380,2,FALSE)</f>
        <v>m3</v>
      </c>
      <c r="F1079" s="585">
        <f>5*3*1+5*3*1+5*2*1+5*1*1</f>
        <v>45</v>
      </c>
      <c r="G1079" s="613">
        <f>VLOOKUP(A1079,[33]ÍNDICE!$C$6:$N$380,12,FALSE)</f>
        <v>601666.19528525032</v>
      </c>
      <c r="H1079" s="583">
        <f t="shared" si="118"/>
        <v>27074978.787836265</v>
      </c>
    </row>
    <row r="1080" spans="1:13" s="565" customFormat="1" ht="15" customHeight="1" thickTop="1">
      <c r="A1080" s="574"/>
      <c r="B1080" s="574"/>
      <c r="C1080" s="574"/>
      <c r="D1080" s="575"/>
      <c r="E1080" s="589"/>
      <c r="F1080" s="590"/>
      <c r="G1080" s="576" t="s">
        <v>524</v>
      </c>
      <c r="H1080" s="1511">
        <f>SUM(H1072:H1079)</f>
        <v>63229016.960249573</v>
      </c>
    </row>
    <row r="1081" spans="1:13" s="565" customFormat="1" ht="15" customHeight="1">
      <c r="A1081" s="577"/>
      <c r="B1081" s="577"/>
      <c r="C1081" s="577"/>
      <c r="D1081" s="578"/>
      <c r="E1081" s="562"/>
      <c r="F1081" s="580"/>
      <c r="G1081" s="579" t="s">
        <v>525</v>
      </c>
      <c r="H1081" s="1508">
        <f>ROUND((+H1080*0.05*0.19)/(1+0.3),0)</f>
        <v>462058</v>
      </c>
    </row>
    <row r="1082" spans="1:13" s="565" customFormat="1" ht="15" customHeight="1" thickBot="1">
      <c r="A1082" s="561"/>
      <c r="B1082" s="560"/>
      <c r="C1082" s="560"/>
      <c r="D1082" s="561"/>
      <c r="E1082" s="562"/>
      <c r="F1082" s="580"/>
      <c r="G1082" s="579" t="s">
        <v>526</v>
      </c>
      <c r="H1082" s="1509">
        <f>+ROUND(H1080+H1081,0)</f>
        <v>63691075</v>
      </c>
    </row>
    <row r="1083" spans="1:13" s="565" customFormat="1" ht="15" customHeight="1" thickTop="1">
      <c r="A1083" s="561"/>
      <c r="B1083" s="560"/>
      <c r="C1083" s="560"/>
      <c r="D1083" s="561"/>
      <c r="E1083" s="562"/>
      <c r="F1083" s="580"/>
      <c r="G1083" s="580"/>
      <c r="H1083" s="1506"/>
    </row>
    <row r="1084" spans="1:13" s="565" customFormat="1" ht="14.1" customHeight="1" thickBot="1">
      <c r="A1084" s="566"/>
      <c r="B1084" s="604"/>
      <c r="C1084" s="566" t="s">
        <v>684</v>
      </c>
      <c r="D1084" s="566"/>
      <c r="E1084" s="566"/>
      <c r="F1084" s="566"/>
      <c r="G1084" s="566"/>
      <c r="H1084" s="566"/>
    </row>
    <row r="1085" spans="1:13" s="565" customFormat="1" ht="15" customHeight="1" thickTop="1">
      <c r="A1085" s="571" t="s">
        <v>528</v>
      </c>
      <c r="B1085" s="571" t="str">
        <f t="shared" ref="B1085:B1091" si="119">MID(A1085,1,3)&amp;"-"&amp;13</f>
        <v>600-13</v>
      </c>
      <c r="C1085" s="571"/>
      <c r="D1085" s="619" t="str">
        <f>VLOOKUP(A1085,[33]ÍNDICE!$C$6:$N$380,5,FALSE)</f>
        <v>EXCAVACIONES VARIAS SIN CLASIFICAR</v>
      </c>
      <c r="E1085" s="629" t="str">
        <f>VLOOKUP(A1085,[33]ÍNDICE!$C$6:$N$380,2,FALSE)</f>
        <v>m3</v>
      </c>
      <c r="F1085" s="585">
        <f>20*2*3</f>
        <v>120</v>
      </c>
      <c r="G1085" s="613">
        <f>VLOOKUP(A1085,[33]ÍNDICE!$C$6:$N$380,12,FALSE)</f>
        <v>58828.261120639472</v>
      </c>
      <c r="H1085" s="583">
        <f t="shared" ref="H1085:H1091" si="120">F1085*G1085</f>
        <v>7059391.3344767364</v>
      </c>
      <c r="J1085" s="565">
        <v>2014</v>
      </c>
      <c r="K1085" s="677" t="s">
        <v>607</v>
      </c>
      <c r="L1085" s="677" t="s">
        <v>599</v>
      </c>
      <c r="M1085" s="565" t="s">
        <v>685</v>
      </c>
    </row>
    <row r="1086" spans="1:13" s="565" customFormat="1" ht="15" customHeight="1">
      <c r="A1086" s="571" t="s">
        <v>530</v>
      </c>
      <c r="B1086" s="571" t="str">
        <f t="shared" si="119"/>
        <v>610-13</v>
      </c>
      <c r="C1086" s="571"/>
      <c r="D1086" s="619" t="str">
        <f>VLOOKUP(A1086,[33]ÍNDICE!$C$6:$N$380,5,FALSE)</f>
        <v>RELLENO PARA ESTRUCTURAS CON SUELO (analizado sin preparación de la superficie base del relleno)</v>
      </c>
      <c r="E1086" s="629" t="str">
        <f>VLOOKUP(A1086,[33]ÍNDICE!$C$6:$N$380,2,FALSE)</f>
        <v>m3</v>
      </c>
      <c r="F1086" s="586">
        <f>0.3*F1085</f>
        <v>36</v>
      </c>
      <c r="G1086" s="613">
        <f>VLOOKUP(A1086,[33]ÍNDICE!$C$6:$N$380,12,FALSE)</f>
        <v>162354.11090657322</v>
      </c>
      <c r="H1086" s="583">
        <f t="shared" si="120"/>
        <v>5844747.9926366359</v>
      </c>
      <c r="M1086" s="565">
        <v>610.1</v>
      </c>
    </row>
    <row r="1087" spans="1:13" s="565" customFormat="1" ht="15" customHeight="1">
      <c r="A1087" s="571" t="s">
        <v>531</v>
      </c>
      <c r="B1087" s="571" t="str">
        <f t="shared" si="119"/>
        <v>630-13</v>
      </c>
      <c r="C1087" s="571"/>
      <c r="D1087" s="619" t="str">
        <f>VLOOKUP(A1087,[33]ÍNDICE!$C$6:$N$380,5,FALSE)</f>
        <v>CONCRETO SIMPLE RESISTENCIA 17 MPa - MEZCLA IN SITU</v>
      </c>
      <c r="E1087" s="629" t="str">
        <f>VLOOKUP(A1087,[33]ÍNDICE!$C$6:$N$380,2,FALSE)</f>
        <v>m3</v>
      </c>
      <c r="F1087" s="586">
        <f>40*3*0.1</f>
        <v>12</v>
      </c>
      <c r="G1087" s="613">
        <f>VLOOKUP(A1087,[33]ÍNDICE!$C$6:$N$380,12,FALSE)</f>
        <v>994779.33062365581</v>
      </c>
      <c r="H1087" s="583">
        <f t="shared" si="120"/>
        <v>11937351.967483871</v>
      </c>
      <c r="M1087" s="565">
        <v>630.5</v>
      </c>
    </row>
    <row r="1088" spans="1:13" s="565" customFormat="1" ht="15" customHeight="1">
      <c r="A1088" s="571" t="s">
        <v>533</v>
      </c>
      <c r="B1088" s="571" t="str">
        <f t="shared" si="119"/>
        <v>630-13</v>
      </c>
      <c r="C1088" s="571"/>
      <c r="D1088" s="619" t="str">
        <f>VLOOKUP(A1088,[33]ÍNDICE!$C$6:$N$380,5,FALSE)</f>
        <v>BOLSACRETO CONCRETO 210 MPA</v>
      </c>
      <c r="E1088" s="629" t="str">
        <f>VLOOKUP(A1088,[33]ÍNDICE!$C$6:$N$380,2,FALSE)</f>
        <v>m3</v>
      </c>
      <c r="F1088" s="618">
        <f>80</f>
        <v>80</v>
      </c>
      <c r="G1088" s="613">
        <f>VLOOKUP(A1088,[33]ÍNDICE!$C$6:$N$380,12,FALSE)</f>
        <v>858421.77896308829</v>
      </c>
      <c r="H1088" s="583">
        <f t="shared" si="120"/>
        <v>68673742.31704706</v>
      </c>
      <c r="M1088" s="565" t="s">
        <v>686</v>
      </c>
    </row>
    <row r="1089" spans="1:13" s="565" customFormat="1" ht="15" customHeight="1">
      <c r="A1089" s="571" t="s">
        <v>534</v>
      </c>
      <c r="B1089" s="571" t="str">
        <f t="shared" si="119"/>
        <v>673-13</v>
      </c>
      <c r="C1089" s="571"/>
      <c r="D1089" s="619" t="str">
        <f>VLOOKUP(A1089,[33]ÍNDICE!$C$6:$N$380,5,FALSE)</f>
        <v xml:space="preserve">GEOTEXTIL TIPO TEJIDO CON RESISTENCIA A LA TENSIÓN GRAB MÍNIMA DE 1400 N </v>
      </c>
      <c r="E1089" s="629" t="str">
        <f>VLOOKUP(A1089,[33]ÍNDICE!$C$6:$N$380,2,FALSE)</f>
        <v>m2</v>
      </c>
      <c r="F1089" s="585">
        <v>120</v>
      </c>
      <c r="G1089" s="613">
        <f>VLOOKUP(A1089,[33]ÍNDICE!$C$6:$N$380,12,FALSE)</f>
        <v>12861.24633460756</v>
      </c>
      <c r="H1089" s="583">
        <f t="shared" si="120"/>
        <v>1543349.5601529072</v>
      </c>
      <c r="J1089" s="622">
        <f>K1089*L1089</f>
        <v>800</v>
      </c>
      <c r="K1089" s="623">
        <v>20</v>
      </c>
      <c r="L1089" s="624">
        <v>40</v>
      </c>
      <c r="M1089" s="565">
        <v>673.1</v>
      </c>
    </row>
    <row r="1090" spans="1:13" s="565" customFormat="1" ht="15" customHeight="1">
      <c r="A1090" s="571" t="s">
        <v>547</v>
      </c>
      <c r="B1090" s="571" t="str">
        <f t="shared" si="119"/>
        <v>673-13</v>
      </c>
      <c r="C1090" s="571"/>
      <c r="D1090" s="619" t="str">
        <f>VLOOKUP(A1090,[33]ÍNDICE!$C$6:$N$380,5,FALSE)</f>
        <v>MATERIAL GRANULAR DRENANTE</v>
      </c>
      <c r="E1090" s="629" t="str">
        <f>VLOOKUP(A1090,[33]ÍNDICE!$C$6:$N$380,2,FALSE)</f>
        <v>m3</v>
      </c>
      <c r="F1090" s="586">
        <f>7*20*0.2</f>
        <v>28</v>
      </c>
      <c r="G1090" s="613">
        <f>VLOOKUP(A1090,[33]ÍNDICE!$C$6:$N$380,12,FALSE)</f>
        <v>372207.28893037047</v>
      </c>
      <c r="H1090" s="583">
        <f t="shared" si="120"/>
        <v>10421804.090050373</v>
      </c>
      <c r="M1090" s="565">
        <v>673.2</v>
      </c>
    </row>
    <row r="1091" spans="1:13" s="565" customFormat="1" ht="26.1" customHeight="1" thickBot="1">
      <c r="A1091" s="602" t="s">
        <v>535</v>
      </c>
      <c r="B1091" s="571" t="str">
        <f t="shared" si="119"/>
        <v>681-13</v>
      </c>
      <c r="C1091" s="602"/>
      <c r="D1091" s="619" t="str">
        <f>VLOOKUP(A1091,[33]ÍNDICE!$C$6:$N$380,5,FALSE)</f>
        <v>GAVIONES DE MALLA DE ALAMBRE DE ACERO ENTRELAZADO CLASE 1; RECUBRIMIENTO DE ZINC (GALVANIZADO)</v>
      </c>
      <c r="E1091" s="629" t="str">
        <f>VLOOKUP(A1091,[33]ÍNDICE!$C$6:$N$380,2,FALSE)</f>
        <v>m3</v>
      </c>
      <c r="F1091" s="678">
        <f>3*20*2*1+2*2*1*1+1*1*1</f>
        <v>125</v>
      </c>
      <c r="G1091" s="613">
        <f>VLOOKUP(A1091,[33]ÍNDICE!$C$6:$N$380,12,FALSE)</f>
        <v>601666.19528525032</v>
      </c>
      <c r="H1091" s="606">
        <f t="shared" si="120"/>
        <v>75208274.410656288</v>
      </c>
      <c r="K1091" s="565">
        <v>2014</v>
      </c>
      <c r="M1091" s="565">
        <v>681.1</v>
      </c>
    </row>
    <row r="1092" spans="1:13" s="565" customFormat="1" ht="15" customHeight="1" thickTop="1">
      <c r="A1092" s="574"/>
      <c r="B1092" s="574"/>
      <c r="C1092" s="575"/>
      <c r="D1092" s="575"/>
      <c r="E1092" s="589"/>
      <c r="G1092" s="576" t="s">
        <v>524</v>
      </c>
      <c r="H1092" s="1515">
        <f>SUM(H1085:H1091)</f>
        <v>180688661.67250386</v>
      </c>
    </row>
    <row r="1093" spans="1:13" s="565" customFormat="1" ht="15" customHeight="1">
      <c r="A1093" s="577"/>
      <c r="B1093" s="577"/>
      <c r="C1093" s="578"/>
      <c r="D1093" s="578"/>
      <c r="E1093" s="562"/>
      <c r="G1093" s="579" t="s">
        <v>651</v>
      </c>
      <c r="H1093" s="1508">
        <f>ROUND((+H1092*0.05*0.19)/(1+0.3),0)</f>
        <v>1320417</v>
      </c>
    </row>
    <row r="1094" spans="1:13" s="565" customFormat="1" ht="15" customHeight="1" thickBot="1">
      <c r="A1094" s="578"/>
      <c r="B1094" s="577"/>
      <c r="C1094" s="578"/>
      <c r="D1094" s="626"/>
      <c r="E1094" s="562"/>
      <c r="G1094" s="579" t="s">
        <v>526</v>
      </c>
      <c r="H1094" s="1509">
        <f>+ROUND(H1092+H1093,0)</f>
        <v>182009079</v>
      </c>
    </row>
    <row r="1095" spans="1:13" s="565" customFormat="1" ht="15" customHeight="1" thickTop="1">
      <c r="A1095" s="578"/>
      <c r="B1095" s="577"/>
      <c r="C1095" s="578"/>
      <c r="D1095" s="626"/>
      <c r="E1095" s="562"/>
      <c r="G1095" s="579"/>
      <c r="H1095" s="1510"/>
    </row>
    <row r="1096" spans="1:13" s="680" customFormat="1" ht="13.5" hidden="1" thickBot="1">
      <c r="A1096" s="651"/>
      <c r="B1096" s="652"/>
      <c r="C1096" s="651" t="s">
        <v>687</v>
      </c>
      <c r="D1096" s="651"/>
      <c r="E1096" s="652"/>
      <c r="F1096" s="651"/>
      <c r="G1096" s="679"/>
      <c r="H1096" s="654"/>
      <c r="I1096" s="1522"/>
    </row>
    <row r="1097" spans="1:13" s="680" customFormat="1" ht="28.5" hidden="1" customHeight="1">
      <c r="A1097" s="681" t="s">
        <v>688</v>
      </c>
      <c r="B1097" s="655"/>
      <c r="C1097" s="655" t="s">
        <v>688</v>
      </c>
      <c r="D1097" s="682" t="s">
        <v>689</v>
      </c>
      <c r="E1097" s="657" t="s">
        <v>690</v>
      </c>
      <c r="F1097" s="683">
        <v>10</v>
      </c>
      <c r="G1097" s="684">
        <v>490480</v>
      </c>
      <c r="H1097" s="685">
        <f>F1097*G1097</f>
        <v>4904800</v>
      </c>
    </row>
    <row r="1098" spans="1:13" s="680" customFormat="1" ht="15" hidden="1" customHeight="1">
      <c r="A1098" s="661"/>
      <c r="B1098" s="661"/>
      <c r="C1098" s="661"/>
      <c r="D1098" s="662"/>
      <c r="E1098" s="663"/>
      <c r="F1098" s="664"/>
      <c r="G1098" s="665" t="s">
        <v>524</v>
      </c>
      <c r="H1098" s="1523">
        <f>SUM(H1097:H1097)</f>
        <v>4904800</v>
      </c>
    </row>
    <row r="1099" spans="1:13" s="680" customFormat="1" ht="15" hidden="1" customHeight="1">
      <c r="A1099" s="666"/>
      <c r="B1099" s="666"/>
      <c r="C1099" s="666"/>
      <c r="D1099" s="667"/>
      <c r="E1099" s="668"/>
      <c r="F1099" s="669"/>
      <c r="G1099" s="670" t="s">
        <v>525</v>
      </c>
      <c r="H1099" s="1520">
        <f>SUM(H1098:H1098)*0.05*0.19/1.3</f>
        <v>35842.769230769227</v>
      </c>
    </row>
    <row r="1100" spans="1:13" s="680" customFormat="1" ht="15" hidden="1" customHeight="1">
      <c r="A1100" s="671"/>
      <c r="B1100" s="672"/>
      <c r="C1100" s="672"/>
      <c r="D1100" s="671"/>
      <c r="E1100" s="668"/>
      <c r="F1100" s="669"/>
      <c r="G1100" s="670" t="s">
        <v>526</v>
      </c>
      <c r="H1100" s="1521">
        <f>+ROUND(H1098+H1099,0)</f>
        <v>4940643</v>
      </c>
      <c r="I1100" s="1522"/>
    </row>
    <row r="1101" spans="1:13" s="565" customFormat="1" ht="15" customHeight="1">
      <c r="A1101" s="561"/>
      <c r="B1101" s="560"/>
      <c r="C1101" s="560"/>
      <c r="D1101" s="561"/>
      <c r="E1101" s="562"/>
      <c r="F1101" s="563"/>
      <c r="G1101" s="564"/>
      <c r="H1101" s="1506"/>
    </row>
    <row r="1102" spans="1:13" s="565" customFormat="1" ht="13.5" thickBot="1">
      <c r="A1102" s="566"/>
      <c r="B1102" s="567"/>
      <c r="C1102" s="566" t="s">
        <v>691</v>
      </c>
      <c r="D1102" s="566"/>
      <c r="E1102" s="567"/>
      <c r="F1102" s="566"/>
      <c r="G1102" s="616"/>
      <c r="H1102" s="569"/>
      <c r="I1102" s="570"/>
    </row>
    <row r="1103" spans="1:13" s="565" customFormat="1" ht="15" customHeight="1" thickTop="1">
      <c r="A1103" s="571" t="s">
        <v>529</v>
      </c>
      <c r="B1103" s="571" t="str">
        <f>MID(A1103,1,3)&amp;"-"&amp;13</f>
        <v>600-13</v>
      </c>
      <c r="C1103" s="571"/>
      <c r="D1103" s="619" t="str">
        <f>VLOOKUP(A1103,[33]ÍNDICE!$C$6:$N$380,5,FALSE)</f>
        <v>EXCAVACIONES VARIAS EN MATERIAL COMÚN BAJO AGUA</v>
      </c>
      <c r="E1103" s="629" t="str">
        <f>VLOOKUP(A1103,[33]ÍNDICE!$C$6:$N$380,2,FALSE)</f>
        <v>m3</v>
      </c>
      <c r="F1103" s="586">
        <f>12*0.5*0.5</f>
        <v>3</v>
      </c>
      <c r="G1103" s="613">
        <f>VLOOKUP(A1103,[33]ÍNDICE!$C$6:$N$380,12,FALSE)</f>
        <v>59036.507942085271</v>
      </c>
      <c r="H1103" s="583">
        <f>F1103*G1103</f>
        <v>177109.52382625581</v>
      </c>
    </row>
    <row r="1104" spans="1:13" s="565" customFormat="1" ht="15" customHeight="1">
      <c r="A1104" s="571" t="s">
        <v>531</v>
      </c>
      <c r="B1104" s="571" t="str">
        <f>MID(A1104,1,3)&amp;"-"&amp;13</f>
        <v>630-13</v>
      </c>
      <c r="C1104" s="571"/>
      <c r="D1104" s="619" t="str">
        <f>VLOOKUP(A1104,[33]ÍNDICE!$C$6:$N$380,5,FALSE)</f>
        <v>CONCRETO SIMPLE RESISTENCIA 17 MPa - MEZCLA IN SITU</v>
      </c>
      <c r="E1104" s="629" t="str">
        <f>VLOOKUP(A1104,[33]ÍNDICE!$C$6:$N$380,2,FALSE)</f>
        <v>m3</v>
      </c>
      <c r="F1104" s="586">
        <f>12*1*0.5</f>
        <v>6</v>
      </c>
      <c r="G1104" s="613">
        <f>VLOOKUP(A1104,[33]ÍNDICE!$C$6:$N$380,12,FALSE)</f>
        <v>994779.33062365581</v>
      </c>
      <c r="H1104" s="583">
        <f>F1104*G1104</f>
        <v>5968675.9837419353</v>
      </c>
    </row>
    <row r="1105" spans="1:9" s="565" customFormat="1" ht="15" customHeight="1" thickBot="1">
      <c r="A1105" s="602" t="s">
        <v>532</v>
      </c>
      <c r="B1105" s="602" t="str">
        <f>MID(A1105,1,3)&amp;"-"&amp;13</f>
        <v>630-13</v>
      </c>
      <c r="C1105" s="602"/>
      <c r="D1105" s="619" t="str">
        <f>VLOOKUP(A1105,[33]ÍNDICE!$C$6:$N$380,5,FALSE)</f>
        <v>CONCRETO CICLÓPEO RESISTENCIA 14MPa (G)</v>
      </c>
      <c r="E1105" s="629" t="str">
        <f>VLOOKUP(A1105,[33]ÍNDICE!$C$6:$N$380,2,FALSE)</f>
        <v>m3</v>
      </c>
      <c r="F1105" s="593">
        <v>5</v>
      </c>
      <c r="G1105" s="613">
        <f>VLOOKUP(A1105,[33]ÍNDICE!$C$6:$N$380,12,FALSE)</f>
        <v>680494.66759275761</v>
      </c>
      <c r="H1105" s="606">
        <f>F1105*G1105</f>
        <v>3402473.3379637878</v>
      </c>
    </row>
    <row r="1106" spans="1:9" s="565" customFormat="1" ht="15" customHeight="1" thickTop="1">
      <c r="A1106" s="574"/>
      <c r="B1106" s="574"/>
      <c r="C1106" s="574"/>
      <c r="D1106" s="575"/>
      <c r="E1106" s="589"/>
      <c r="F1106" s="590"/>
      <c r="G1106" s="600" t="s">
        <v>524</v>
      </c>
      <c r="H1106" s="1511">
        <f>SUM(H1103:H1105)</f>
        <v>9548258.8455319777</v>
      </c>
    </row>
    <row r="1107" spans="1:9" s="565" customFormat="1" ht="15" customHeight="1">
      <c r="A1107" s="577"/>
      <c r="B1107" s="577"/>
      <c r="C1107" s="577"/>
      <c r="D1107" s="578"/>
      <c r="E1107" s="562"/>
      <c r="F1107" s="580"/>
      <c r="G1107" s="601" t="s">
        <v>525</v>
      </c>
      <c r="H1107" s="1508">
        <f>ROUND((+H1106*0.05*0.19)/(1+0.3),0)</f>
        <v>69776</v>
      </c>
    </row>
    <row r="1108" spans="1:9" s="565" customFormat="1" ht="15" customHeight="1" thickBot="1">
      <c r="A1108" s="561"/>
      <c r="B1108" s="560"/>
      <c r="C1108" s="560"/>
      <c r="D1108" s="561"/>
      <c r="E1108" s="562"/>
      <c r="F1108" s="580"/>
      <c r="G1108" s="601" t="s">
        <v>526</v>
      </c>
      <c r="H1108" s="1509">
        <f>+ROUND(H1106+H1107,0)</f>
        <v>9618035</v>
      </c>
      <c r="I1108" s="570"/>
    </row>
    <row r="1109" spans="1:9" s="565" customFormat="1" ht="12.75" customHeight="1" thickTop="1">
      <c r="A1109" s="561"/>
      <c r="B1109" s="560"/>
      <c r="C1109" s="560"/>
      <c r="D1109" s="561"/>
      <c r="E1109" s="562"/>
      <c r="F1109" s="563"/>
      <c r="G1109" s="564"/>
      <c r="H1109" s="1506"/>
    </row>
    <row r="1110" spans="1:9" s="565" customFormat="1" ht="13.5" thickBot="1">
      <c r="A1110" s="566"/>
      <c r="B1110" s="567"/>
      <c r="C1110" s="566" t="s">
        <v>692</v>
      </c>
      <c r="D1110" s="566"/>
      <c r="E1110" s="567"/>
      <c r="F1110" s="566"/>
      <c r="G1110" s="616"/>
      <c r="H1110" s="569"/>
      <c r="I1110" s="570"/>
    </row>
    <row r="1111" spans="1:9" s="565" customFormat="1" ht="15" customHeight="1" thickTop="1">
      <c r="A1111" s="571" t="s">
        <v>529</v>
      </c>
      <c r="B1111" s="571" t="str">
        <f>MID(A1111,1,3)&amp;"-"&amp;13</f>
        <v>600-13</v>
      </c>
      <c r="C1111" s="571"/>
      <c r="D1111" s="619" t="str">
        <f>VLOOKUP(A1111,[33]ÍNDICE!$C$6:$N$380,5,FALSE)</f>
        <v>EXCAVACIONES VARIAS EN MATERIAL COMÚN BAJO AGUA</v>
      </c>
      <c r="E1111" s="629" t="str">
        <f>VLOOKUP(A1111,[33]ÍNDICE!$C$6:$N$380,2,FALSE)</f>
        <v>m3</v>
      </c>
      <c r="F1111" s="586">
        <f>7*1*1</f>
        <v>7</v>
      </c>
      <c r="G1111" s="613">
        <f>VLOOKUP(A1111,[33]ÍNDICE!$C$6:$N$380,12,FALSE)</f>
        <v>59036.507942085271</v>
      </c>
      <c r="H1111" s="583">
        <f>F1111*G1111</f>
        <v>413255.5555945969</v>
      </c>
    </row>
    <row r="1112" spans="1:9" s="565" customFormat="1" ht="15" customHeight="1">
      <c r="A1112" s="571" t="s">
        <v>531</v>
      </c>
      <c r="B1112" s="571" t="str">
        <f>MID(A1112,1,3)&amp;"-"&amp;13</f>
        <v>630-13</v>
      </c>
      <c r="C1112" s="571"/>
      <c r="D1112" s="619" t="str">
        <f>VLOOKUP(A1112,[33]ÍNDICE!$C$6:$N$380,5,FALSE)</f>
        <v>CONCRETO SIMPLE RESISTENCIA 17 MPa - MEZCLA IN SITU</v>
      </c>
      <c r="E1112" s="629" t="str">
        <f>VLOOKUP(A1112,[33]ÍNDICE!$C$6:$N$380,2,FALSE)</f>
        <v>m3</v>
      </c>
      <c r="F1112" s="586">
        <f>7*1*0.2</f>
        <v>1.4000000000000001</v>
      </c>
      <c r="G1112" s="613">
        <f>VLOOKUP(A1112,[33]ÍNDICE!$C$6:$N$380,12,FALSE)</f>
        <v>994779.33062365581</v>
      </c>
      <c r="H1112" s="583">
        <f>F1112*G1112</f>
        <v>1392691.0628731183</v>
      </c>
    </row>
    <row r="1113" spans="1:9" s="565" customFormat="1" ht="15" customHeight="1" thickBot="1">
      <c r="A1113" s="602" t="s">
        <v>532</v>
      </c>
      <c r="B1113" s="602" t="str">
        <f>MID(A1113,1,3)&amp;"-"&amp;13</f>
        <v>630-13</v>
      </c>
      <c r="C1113" s="602"/>
      <c r="D1113" s="619" t="str">
        <f>VLOOKUP(A1113,[33]ÍNDICE!$C$6:$N$380,5,FALSE)</f>
        <v>CONCRETO CICLÓPEO RESISTENCIA 14MPa (G)</v>
      </c>
      <c r="E1113" s="629" t="str">
        <f>VLOOKUP(A1113,[33]ÍNDICE!$C$6:$N$380,2,FALSE)</f>
        <v>m3</v>
      </c>
      <c r="F1113" s="593">
        <v>5</v>
      </c>
      <c r="G1113" s="613">
        <f>VLOOKUP(A1113,[33]ÍNDICE!$C$6:$N$380,12,FALSE)</f>
        <v>680494.66759275761</v>
      </c>
      <c r="H1113" s="606">
        <f>F1113*G1113</f>
        <v>3402473.3379637878</v>
      </c>
    </row>
    <row r="1114" spans="1:9" s="565" customFormat="1" ht="15" customHeight="1" thickTop="1">
      <c r="A1114" s="574"/>
      <c r="B1114" s="574"/>
      <c r="C1114" s="574"/>
      <c r="D1114" s="575"/>
      <c r="E1114" s="589"/>
      <c r="G1114" s="576" t="s">
        <v>524</v>
      </c>
      <c r="H1114" s="1511">
        <f>SUM(H1111:H1113)</f>
        <v>5208419.9564315025</v>
      </c>
    </row>
    <row r="1115" spans="1:9" s="565" customFormat="1" ht="15" customHeight="1">
      <c r="A1115" s="577"/>
      <c r="B1115" s="577"/>
      <c r="C1115" s="577"/>
      <c r="D1115" s="578"/>
      <c r="E1115" s="562"/>
      <c r="G1115" s="579" t="s">
        <v>525</v>
      </c>
      <c r="H1115" s="1508">
        <f>ROUND((+H1114*0.05*0.19)/(1+0.3),0)</f>
        <v>38062</v>
      </c>
    </row>
    <row r="1116" spans="1:9" s="565" customFormat="1" ht="15" customHeight="1" thickBot="1">
      <c r="A1116" s="561"/>
      <c r="B1116" s="560"/>
      <c r="C1116" s="560"/>
      <c r="D1116" s="561"/>
      <c r="E1116" s="562"/>
      <c r="G1116" s="579" t="s">
        <v>526</v>
      </c>
      <c r="H1116" s="1509">
        <f>+ROUND(H1114+H1115,0)</f>
        <v>5246482</v>
      </c>
      <c r="I1116" s="570"/>
    </row>
    <row r="1117" spans="1:9" s="565" customFormat="1" ht="12.75" customHeight="1" thickTop="1">
      <c r="A1117" s="561"/>
      <c r="B1117" s="560"/>
      <c r="C1117" s="560"/>
      <c r="D1117" s="561"/>
      <c r="E1117" s="562"/>
      <c r="F1117" s="563"/>
      <c r="G1117" s="564"/>
      <c r="H1117" s="1506"/>
    </row>
    <row r="1118" spans="1:9" s="565" customFormat="1" ht="13.5" thickBot="1">
      <c r="A1118" s="566"/>
      <c r="B1118" s="567"/>
      <c r="C1118" s="566" t="s">
        <v>693</v>
      </c>
      <c r="D1118" s="566"/>
      <c r="E1118" s="567"/>
      <c r="F1118" s="566"/>
      <c r="G1118" s="616"/>
      <c r="H1118" s="569"/>
    </row>
    <row r="1119" spans="1:9" s="565" customFormat="1" ht="15" customHeight="1" thickTop="1">
      <c r="A1119" s="571" t="s">
        <v>549</v>
      </c>
      <c r="B1119" s="571" t="str">
        <f>MID(A1119,1,3)&amp;"-"&amp;13</f>
        <v>201-13</v>
      </c>
      <c r="C1119" s="572"/>
      <c r="D1119" s="619" t="str">
        <f>VLOOKUP(A1119,[33]ÍNDICE!$C$6:$N$380,5,FALSE)</f>
        <v>DEMOLICIÓN DE ESTRUCTURAS</v>
      </c>
      <c r="E1119" s="629" t="str">
        <f>VLOOKUP(A1119,[33]ÍNDICE!$C$6:$N$380,2,FALSE)</f>
        <v>m3</v>
      </c>
      <c r="F1119" s="592">
        <f>10*2.5*0.8</f>
        <v>20</v>
      </c>
      <c r="G1119" s="613">
        <f>VLOOKUP(A1119,[33]ÍNDICE!$C$6:$N$380,12,FALSE)</f>
        <v>217760.49497573468</v>
      </c>
      <c r="H1119" s="573">
        <f>F1119*G1119</f>
        <v>4355209.8995146938</v>
      </c>
    </row>
    <row r="1120" spans="1:9" s="565" customFormat="1" ht="15" customHeight="1">
      <c r="A1120" s="571" t="s">
        <v>528</v>
      </c>
      <c r="B1120" s="571" t="str">
        <f t="shared" ref="B1120:B1128" si="121">MID(A1120,1,3)&amp;"-"&amp;13</f>
        <v>600-13</v>
      </c>
      <c r="C1120" s="571"/>
      <c r="D1120" s="619" t="str">
        <f>VLOOKUP(A1120,[33]ÍNDICE!$C$6:$N$380,5,FALSE)</f>
        <v>EXCAVACIONES VARIAS SIN CLASIFICAR</v>
      </c>
      <c r="E1120" s="629" t="str">
        <f>VLOOKUP(A1120,[33]ÍNDICE!$C$6:$N$380,2,FALSE)</f>
        <v>m3</v>
      </c>
      <c r="F1120" s="585">
        <v>50</v>
      </c>
      <c r="G1120" s="613">
        <f>VLOOKUP(A1120,[33]ÍNDICE!$C$6:$N$380,12,FALSE)</f>
        <v>58828.261120639472</v>
      </c>
      <c r="H1120" s="583">
        <f t="shared" ref="H1120:H1128" si="122">F1120*G1120</f>
        <v>2941413.0560319736</v>
      </c>
    </row>
    <row r="1121" spans="1:10" s="565" customFormat="1" ht="15" customHeight="1">
      <c r="A1121" s="571" t="s">
        <v>529</v>
      </c>
      <c r="B1121" s="571" t="str">
        <f t="shared" si="121"/>
        <v>600-13</v>
      </c>
      <c r="C1121" s="571"/>
      <c r="D1121" s="619" t="str">
        <f>VLOOKUP(A1121,[33]ÍNDICE!$C$6:$N$380,5,FALSE)</f>
        <v>EXCAVACIONES VARIAS EN MATERIAL COMÚN BAJO AGUA</v>
      </c>
      <c r="E1121" s="629" t="str">
        <f>VLOOKUP(A1121,[33]ÍNDICE!$C$6:$N$380,2,FALSE)</f>
        <v>m3</v>
      </c>
      <c r="F1121" s="586">
        <v>20</v>
      </c>
      <c r="G1121" s="613">
        <f>VLOOKUP(A1121,[33]ÍNDICE!$C$6:$N$380,12,FALSE)</f>
        <v>59036.507942085271</v>
      </c>
      <c r="H1121" s="583">
        <f t="shared" si="122"/>
        <v>1180730.1588417054</v>
      </c>
    </row>
    <row r="1122" spans="1:10" s="565" customFormat="1" ht="15" customHeight="1">
      <c r="A1122" s="571" t="s">
        <v>530</v>
      </c>
      <c r="B1122" s="571" t="str">
        <f>MID(A1122,1,3)&amp;"-"&amp;13</f>
        <v>610-13</v>
      </c>
      <c r="C1122" s="571"/>
      <c r="D1122" s="619" t="str">
        <f>VLOOKUP(A1122,[33]ÍNDICE!$C$6:$N$380,5,FALSE)</f>
        <v>RELLENO PARA ESTRUCTURAS CON SUELO (analizado sin preparación de la superficie base del relleno)</v>
      </c>
      <c r="E1122" s="629" t="str">
        <f>VLOOKUP(A1122,[33]ÍNDICE!$C$6:$N$380,2,FALSE)</f>
        <v>m3</v>
      </c>
      <c r="F1122" s="586">
        <f>+F1120*1.5</f>
        <v>75</v>
      </c>
      <c r="G1122" s="613">
        <f>VLOOKUP(A1122,[33]ÍNDICE!$C$6:$N$380,12,FALSE)</f>
        <v>162354.11090657322</v>
      </c>
      <c r="H1122" s="583">
        <f t="shared" si="122"/>
        <v>12176558.317992991</v>
      </c>
    </row>
    <row r="1123" spans="1:10" s="565" customFormat="1" ht="15" customHeight="1">
      <c r="A1123" s="571" t="s">
        <v>537</v>
      </c>
      <c r="B1123" s="571" t="str">
        <f t="shared" si="121"/>
        <v>630-13</v>
      </c>
      <c r="C1123" s="571"/>
      <c r="D1123" s="619" t="str">
        <f>VLOOKUP(A1123,[33]ÍNDICE!$C$6:$N$380,5,FALSE)</f>
        <v>CONCRETO REFORZADO RESISTENCIA 21MPa (D) - MEZCLA IN SITU</v>
      </c>
      <c r="E1123" s="629" t="str">
        <f>VLOOKUP(A1123,[33]ÍNDICE!$C$6:$N$380,2,FALSE)</f>
        <v>m3</v>
      </c>
      <c r="F1123" s="586">
        <f>0.25*5*2</f>
        <v>2.5</v>
      </c>
      <c r="G1123" s="613">
        <f>VLOOKUP(A1123,[33]ÍNDICE!$C$6:$N$380,12,FALSE)</f>
        <v>1243512.4574943627</v>
      </c>
      <c r="H1123" s="583">
        <f t="shared" si="122"/>
        <v>3108781.143735907</v>
      </c>
      <c r="J1123" s="588"/>
    </row>
    <row r="1124" spans="1:10" s="565" customFormat="1" ht="15" customHeight="1">
      <c r="A1124" s="571" t="s">
        <v>531</v>
      </c>
      <c r="B1124" s="571" t="str">
        <f t="shared" si="121"/>
        <v>630-13</v>
      </c>
      <c r="C1124" s="571"/>
      <c r="D1124" s="619" t="str">
        <f>VLOOKUP(A1124,[33]ÍNDICE!$C$6:$N$380,5,FALSE)</f>
        <v>CONCRETO SIMPLE RESISTENCIA 17 MPa - MEZCLA IN SITU</v>
      </c>
      <c r="E1124" s="629" t="str">
        <f>VLOOKUP(A1124,[33]ÍNDICE!$C$6:$N$380,2,FALSE)</f>
        <v>m3</v>
      </c>
      <c r="F1124" s="586">
        <f>20*1*1</f>
        <v>20</v>
      </c>
      <c r="G1124" s="613">
        <f>VLOOKUP(A1124,[33]ÍNDICE!$C$6:$N$380,12,FALSE)</f>
        <v>994779.33062365581</v>
      </c>
      <c r="H1124" s="583">
        <f t="shared" si="122"/>
        <v>19895586.612473115</v>
      </c>
    </row>
    <row r="1125" spans="1:10" s="565" customFormat="1" ht="15" customHeight="1">
      <c r="A1125" s="686" t="s">
        <v>533</v>
      </c>
      <c r="B1125" s="571" t="str">
        <f>MID(A1125,1,3)&amp;"-"&amp;13</f>
        <v>630-13</v>
      </c>
      <c r="C1125" s="571"/>
      <c r="D1125" s="619" t="str">
        <f>VLOOKUP(A1125,[33]ÍNDICE!$C$6:$N$380,5,FALSE)</f>
        <v>BOLSACRETO CONCRETO 210 MPA</v>
      </c>
      <c r="E1125" s="629" t="str">
        <f>VLOOKUP(A1125,[33]ÍNDICE!$C$6:$N$380,2,FALSE)</f>
        <v>m3</v>
      </c>
      <c r="F1125" s="640">
        <f>5*5</f>
        <v>25</v>
      </c>
      <c r="G1125" s="613">
        <f>VLOOKUP(A1125,[33]ÍNDICE!$C$6:$N$380,12,FALSE)</f>
        <v>858421.77896308829</v>
      </c>
      <c r="H1125" s="611">
        <f>F1125*G1125</f>
        <v>21460544.474077206</v>
      </c>
    </row>
    <row r="1126" spans="1:10" s="565" customFormat="1" ht="15" customHeight="1">
      <c r="A1126" s="571" t="s">
        <v>541</v>
      </c>
      <c r="B1126" s="571" t="str">
        <f t="shared" si="121"/>
        <v>640-13</v>
      </c>
      <c r="C1126" s="571"/>
      <c r="D1126" s="619" t="str">
        <f>VLOOKUP(A1126,[33]ÍNDICE!$C$6:$N$380,5,FALSE)</f>
        <v>ACERO DE REFUERZO Fy 4200 MPa</v>
      </c>
      <c r="E1126" s="629" t="str">
        <f>VLOOKUP(A1126,[33]ÍNDICE!$C$6:$N$380,2,FALSE)</f>
        <v>kg</v>
      </c>
      <c r="F1126" s="585">
        <f>(F1123+F1124)*105</f>
        <v>2362.5</v>
      </c>
      <c r="G1126" s="613">
        <f>VLOOKUP(A1126,[33]ÍNDICE!$C$6:$N$380,12,FALSE)</f>
        <v>7547.7371417119648</v>
      </c>
      <c r="H1126" s="583">
        <f t="shared" si="122"/>
        <v>17831528.997294515</v>
      </c>
    </row>
    <row r="1127" spans="1:10" s="565" customFormat="1" ht="15" customHeight="1">
      <c r="A1127" s="571" t="s">
        <v>534</v>
      </c>
      <c r="B1127" s="571" t="str">
        <f>MID(A1127,1,3)&amp;"-"&amp;13</f>
        <v>673-13</v>
      </c>
      <c r="C1127" s="571"/>
      <c r="D1127" s="619" t="str">
        <f>VLOOKUP(A1127,[33]ÍNDICE!$C$6:$N$380,5,FALSE)</f>
        <v xml:space="preserve">GEOTEXTIL TIPO TEJIDO CON RESISTENCIA A LA TENSIÓN GRAB MÍNIMA DE 1400 N </v>
      </c>
      <c r="E1127" s="629" t="str">
        <f>VLOOKUP(A1127,[33]ÍNDICE!$C$6:$N$380,2,FALSE)</f>
        <v>m2</v>
      </c>
      <c r="F1127" s="585">
        <f>20*3*1</f>
        <v>60</v>
      </c>
      <c r="G1127" s="613">
        <f>VLOOKUP(A1127,[33]ÍNDICE!$C$6:$N$380,12,FALSE)</f>
        <v>12861.24633460756</v>
      </c>
      <c r="H1127" s="583">
        <f t="shared" si="122"/>
        <v>771674.78007645358</v>
      </c>
    </row>
    <row r="1128" spans="1:10" s="565" customFormat="1" ht="26.1" customHeight="1" thickBot="1">
      <c r="A1128" s="572" t="s">
        <v>535</v>
      </c>
      <c r="B1128" s="571" t="str">
        <f t="shared" si="121"/>
        <v>681-13</v>
      </c>
      <c r="C1128" s="571"/>
      <c r="D1128" s="619" t="str">
        <f>VLOOKUP(A1128,[33]ÍNDICE!$C$6:$N$380,5,FALSE)</f>
        <v>GAVIONES DE MALLA DE ALAMBRE DE ACERO ENTRELAZADO CLASE 1; RECUBRIMIENTO DE ZINC (GALVANIZADO)</v>
      </c>
      <c r="E1128" s="629" t="str">
        <f>VLOOKUP(A1128,[33]ÍNDICE!$C$6:$N$380,2,FALSE)</f>
        <v>m3</v>
      </c>
      <c r="F1128" s="585">
        <f>20*3*3*1</f>
        <v>180</v>
      </c>
      <c r="G1128" s="613">
        <f>VLOOKUP(A1128,[33]ÍNDICE!$C$6:$N$380,12,FALSE)</f>
        <v>601666.19528525032</v>
      </c>
      <c r="H1128" s="583">
        <f t="shared" si="122"/>
        <v>108299915.15134506</v>
      </c>
    </row>
    <row r="1129" spans="1:10" s="565" customFormat="1" ht="15" customHeight="1" thickTop="1">
      <c r="A1129" s="574"/>
      <c r="B1129" s="574"/>
      <c r="C1129" s="574"/>
      <c r="D1129" s="575"/>
      <c r="E1129" s="589"/>
      <c r="F1129" s="590"/>
      <c r="G1129" s="576" t="s">
        <v>524</v>
      </c>
      <c r="H1129" s="1507">
        <f>SUM(H1119:H1128)</f>
        <v>192021942.59138364</v>
      </c>
    </row>
    <row r="1130" spans="1:10" s="565" customFormat="1" ht="15" customHeight="1">
      <c r="A1130" s="577"/>
      <c r="B1130" s="577"/>
      <c r="C1130" s="577"/>
      <c r="D1130" s="578"/>
      <c r="E1130" s="562"/>
      <c r="F1130" s="580"/>
      <c r="G1130" s="579" t="s">
        <v>525</v>
      </c>
      <c r="H1130" s="1508">
        <f>ROUND((+H1129*0.05*0.19)/(1+0.3),0)</f>
        <v>1403237</v>
      </c>
    </row>
    <row r="1131" spans="1:10" s="565" customFormat="1" ht="15" customHeight="1" thickBot="1">
      <c r="A1131" s="561"/>
      <c r="B1131" s="560"/>
      <c r="C1131" s="560"/>
      <c r="D1131" s="561"/>
      <c r="E1131" s="562"/>
      <c r="F1131" s="580"/>
      <c r="G1131" s="579" t="s">
        <v>526</v>
      </c>
      <c r="H1131" s="1509">
        <f>+ROUND(H1129+H1130,0)</f>
        <v>193425180</v>
      </c>
    </row>
    <row r="1132" spans="1:10" s="565" customFormat="1" ht="14.25" thickTop="1" thickBot="1">
      <c r="A1132" s="566"/>
      <c r="B1132" s="567"/>
      <c r="C1132" s="566" t="s">
        <v>694</v>
      </c>
      <c r="D1132" s="566"/>
      <c r="E1132" s="567"/>
      <c r="F1132" s="566"/>
      <c r="G1132" s="568"/>
      <c r="H1132" s="569"/>
      <c r="I1132" s="570"/>
    </row>
    <row r="1133" spans="1:10" s="565" customFormat="1" ht="25.5" thickTop="1" thickBot="1">
      <c r="A1133" s="571" t="s">
        <v>554</v>
      </c>
      <c r="B1133" s="571" t="str">
        <f>MID(A1133,1,3)&amp;"-"&amp;13</f>
        <v>450-13</v>
      </c>
      <c r="C1133" s="571"/>
      <c r="D1133" s="619" t="str">
        <f>VLOOKUP(A1133,[33]ÍNDICE!$C$6:$N$380,5,FALSE)</f>
        <v xml:space="preserve">MEZCLA DENSA EN CALIENTE TIPO MDC‐19 - COMPRA DE MEZCLA </v>
      </c>
      <c r="E1133" s="629" t="str">
        <f>VLOOKUP(A1133,[33]ÍNDICE!$C$6:$N$380,2,FALSE)</f>
        <v>m3</v>
      </c>
      <c r="F1133" s="596">
        <f>11.5*7.4*0.08</f>
        <v>6.8080000000000007</v>
      </c>
      <c r="G1133" s="613">
        <f>VLOOKUP(A1133,[33]ÍNDICE!$C$6:$N$380,12,FALSE)</f>
        <v>1677232.0782508166</v>
      </c>
      <c r="H1133" s="597">
        <f>F1133*G1133</f>
        <v>11418595.988731561</v>
      </c>
    </row>
    <row r="1134" spans="1:10" s="565" customFormat="1" ht="15" customHeight="1" thickTop="1">
      <c r="A1134" s="574"/>
      <c r="B1134" s="574"/>
      <c r="C1134" s="574"/>
      <c r="D1134" s="575"/>
      <c r="E1134" s="589"/>
      <c r="F1134" s="590"/>
      <c r="G1134" s="600" t="s">
        <v>524</v>
      </c>
      <c r="H1134" s="1507">
        <f>SUM(H1133:H1133)</f>
        <v>11418595.988731561</v>
      </c>
    </row>
    <row r="1135" spans="1:10" s="565" customFormat="1" ht="15" customHeight="1">
      <c r="A1135" s="577"/>
      <c r="B1135" s="577"/>
      <c r="C1135" s="577"/>
      <c r="D1135" s="578"/>
      <c r="E1135" s="562"/>
      <c r="F1135" s="580"/>
      <c r="G1135" s="601" t="s">
        <v>525</v>
      </c>
      <c r="H1135" s="1508">
        <f>ROUND((+H1134*0.05*0.19)/(1+0.3),0)</f>
        <v>83444</v>
      </c>
    </row>
    <row r="1136" spans="1:10" s="565" customFormat="1" ht="15" customHeight="1" thickBot="1">
      <c r="A1136" s="561"/>
      <c r="B1136" s="560"/>
      <c r="C1136" s="560"/>
      <c r="D1136" s="561"/>
      <c r="E1136" s="562"/>
      <c r="F1136" s="580"/>
      <c r="G1136" s="601" t="s">
        <v>526</v>
      </c>
      <c r="H1136" s="1509">
        <f>+ROUND(H1134+H1135,0)</f>
        <v>11502040</v>
      </c>
      <c r="I1136" s="570"/>
    </row>
    <row r="1137" spans="1:18" s="565" customFormat="1" ht="15" customHeight="1" thickTop="1">
      <c r="A1137" s="561"/>
      <c r="B1137" s="560"/>
      <c r="C1137" s="560"/>
      <c r="D1137" s="561"/>
      <c r="E1137" s="562"/>
      <c r="F1137" s="563"/>
      <c r="G1137" s="617"/>
      <c r="H1137" s="1506"/>
    </row>
    <row r="1138" spans="1:18" s="565" customFormat="1" ht="12.75" customHeight="1">
      <c r="A1138" s="561"/>
      <c r="B1138" s="560"/>
      <c r="C1138" s="560"/>
      <c r="D1138" s="561"/>
      <c r="E1138" s="562"/>
      <c r="F1138" s="563"/>
      <c r="G1138" s="617"/>
      <c r="H1138" s="1506"/>
    </row>
    <row r="1139" spans="1:18" s="565" customFormat="1" ht="15" customHeight="1">
      <c r="A1139" s="561" t="s">
        <v>695</v>
      </c>
      <c r="B1139" s="560"/>
      <c r="C1139" s="560"/>
      <c r="D1139" s="561"/>
      <c r="E1139" s="562"/>
      <c r="F1139" s="580"/>
      <c r="G1139" s="580"/>
      <c r="H1139" s="1506"/>
    </row>
    <row r="1140" spans="1:18" s="565" customFormat="1" ht="13.5" thickBot="1">
      <c r="A1140" s="566"/>
      <c r="B1140" s="567"/>
      <c r="C1140" s="566" t="s">
        <v>696</v>
      </c>
      <c r="D1140" s="566"/>
      <c r="E1140" s="567"/>
      <c r="F1140" s="566"/>
      <c r="G1140" s="616"/>
      <c r="H1140" s="569"/>
    </row>
    <row r="1141" spans="1:18" s="565" customFormat="1" ht="15" customHeight="1" thickTop="1">
      <c r="A1141" s="609" t="s">
        <v>528</v>
      </c>
      <c r="B1141" s="571" t="str">
        <f>MID(A1141,1,3)&amp;"-"&amp;13</f>
        <v>600-13</v>
      </c>
      <c r="C1141" s="609"/>
      <c r="D1141" s="619" t="str">
        <f>VLOOKUP(A1141,[33]ÍNDICE!$C$6:$N$380,5,FALSE)</f>
        <v>EXCAVACIONES VARIAS SIN CLASIFICAR</v>
      </c>
      <c r="E1141" s="629" t="str">
        <f>VLOOKUP(A1141,[33]ÍNDICE!$C$6:$N$380,2,FALSE)</f>
        <v>m3</v>
      </c>
      <c r="F1141" s="612">
        <v>4</v>
      </c>
      <c r="G1141" s="613">
        <f>VLOOKUP(A1141,[33]ÍNDICE!$C$6:$N$380,12,FALSE)</f>
        <v>58828.261120639472</v>
      </c>
      <c r="H1141" s="611">
        <f>F1141*G1141</f>
        <v>235313.04448255789</v>
      </c>
    </row>
    <row r="1142" spans="1:18" s="565" customFormat="1" ht="15" customHeight="1">
      <c r="A1142" s="571" t="s">
        <v>529</v>
      </c>
      <c r="B1142" s="571" t="str">
        <f>MID(A1142,1,3)&amp;"-"&amp;13</f>
        <v>600-13</v>
      </c>
      <c r="C1142" s="571"/>
      <c r="D1142" s="619" t="str">
        <f>VLOOKUP(A1142,[33]ÍNDICE!$C$6:$N$380,5,FALSE)</f>
        <v>EXCAVACIONES VARIAS EN MATERIAL COMÚN BAJO AGUA</v>
      </c>
      <c r="E1142" s="629" t="str">
        <f>VLOOKUP(A1142,[33]ÍNDICE!$C$6:$N$380,2,FALSE)</f>
        <v>m3</v>
      </c>
      <c r="F1142" s="586">
        <v>5</v>
      </c>
      <c r="G1142" s="613">
        <f>VLOOKUP(A1142,[33]ÍNDICE!$C$6:$N$380,12,FALSE)</f>
        <v>59036.507942085271</v>
      </c>
      <c r="H1142" s="583">
        <f>F1142*G1142</f>
        <v>295182.53971042635</v>
      </c>
    </row>
    <row r="1143" spans="1:18" s="565" customFormat="1" ht="15" customHeight="1">
      <c r="A1143" s="571" t="s">
        <v>531</v>
      </c>
      <c r="B1143" s="571" t="str">
        <f>MID(A1143,1,3)&amp;"-"&amp;13</f>
        <v>630-13</v>
      </c>
      <c r="C1143" s="571"/>
      <c r="D1143" s="619" t="str">
        <f>VLOOKUP(A1143,[33]ÍNDICE!$C$6:$N$380,5,FALSE)</f>
        <v>CONCRETO SIMPLE RESISTENCIA 17 MPa - MEZCLA IN SITU</v>
      </c>
      <c r="E1143" s="629" t="str">
        <f>VLOOKUP(A1143,[33]ÍNDICE!$C$6:$N$380,2,FALSE)</f>
        <v>m3</v>
      </c>
      <c r="F1143" s="586">
        <f>6*0.8*0.5</f>
        <v>2.4000000000000004</v>
      </c>
      <c r="G1143" s="613">
        <f>VLOOKUP(A1143,[33]ÍNDICE!$C$6:$N$380,12,FALSE)</f>
        <v>994779.33062365581</v>
      </c>
      <c r="H1143" s="583">
        <f>F1143*G1143</f>
        <v>2387470.3934967741</v>
      </c>
    </row>
    <row r="1144" spans="1:18" s="565" customFormat="1" ht="15" customHeight="1" thickBot="1">
      <c r="A1144" s="602" t="s">
        <v>532</v>
      </c>
      <c r="B1144" s="602" t="str">
        <f>MID(A1144,1,3)&amp;"-"&amp;13</f>
        <v>630-13</v>
      </c>
      <c r="C1144" s="602"/>
      <c r="D1144" s="619" t="str">
        <f>VLOOKUP(A1144,[33]ÍNDICE!$C$6:$N$380,5,FALSE)</f>
        <v>CONCRETO CICLÓPEO RESISTENCIA 14MPa (G)</v>
      </c>
      <c r="E1144" s="629" t="str">
        <f>VLOOKUP(A1144,[33]ÍNDICE!$C$6:$N$380,2,FALSE)</f>
        <v>m3</v>
      </c>
      <c r="F1144" s="593">
        <v>2</v>
      </c>
      <c r="G1144" s="613">
        <f>VLOOKUP(A1144,[33]ÍNDICE!$C$6:$N$380,12,FALSE)</f>
        <v>680494.66759275761</v>
      </c>
      <c r="H1144" s="606">
        <f>F1144*G1144</f>
        <v>1360989.3351855152</v>
      </c>
    </row>
    <row r="1145" spans="1:18" s="565" customFormat="1" ht="15" customHeight="1" thickTop="1">
      <c r="A1145" s="574"/>
      <c r="B1145" s="574"/>
      <c r="C1145" s="574"/>
      <c r="D1145" s="575"/>
      <c r="E1145" s="589"/>
      <c r="F1145" s="590"/>
      <c r="G1145" s="576" t="s">
        <v>524</v>
      </c>
      <c r="H1145" s="1511">
        <f>SUM(H1141:H1144)</f>
        <v>4278955.3128752736</v>
      </c>
      <c r="J1145" s="1323"/>
      <c r="K1145" s="1323"/>
      <c r="L1145" s="1323"/>
      <c r="M1145" s="1506"/>
      <c r="N1145" s="688"/>
    </row>
    <row r="1146" spans="1:18" s="565" customFormat="1" ht="15" customHeight="1">
      <c r="A1146" s="577"/>
      <c r="B1146" s="577"/>
      <c r="C1146" s="577"/>
      <c r="D1146" s="578"/>
      <c r="E1146" s="562"/>
      <c r="F1146" s="580"/>
      <c r="G1146" s="579" t="s">
        <v>525</v>
      </c>
      <c r="H1146" s="1508">
        <f>SUM(H1145:H1145)*0.05*0.19/1.3</f>
        <v>31269.288824857773</v>
      </c>
      <c r="J1146" s="1324"/>
      <c r="K1146" s="1324"/>
      <c r="L1146" s="1324"/>
      <c r="M1146" s="677"/>
    </row>
    <row r="1147" spans="1:18" s="565" customFormat="1" ht="15" customHeight="1" thickBot="1">
      <c r="A1147" s="561"/>
      <c r="B1147" s="560"/>
      <c r="C1147" s="560"/>
      <c r="D1147" s="561"/>
      <c r="E1147" s="562"/>
      <c r="F1147" s="580"/>
      <c r="G1147" s="579" t="s">
        <v>526</v>
      </c>
      <c r="H1147" s="1509">
        <f>+ROUND(H1145+H1146,0)</f>
        <v>4310225</v>
      </c>
      <c r="J1147" s="1323"/>
      <c r="K1147" s="1323"/>
      <c r="L1147" s="1323"/>
      <c r="M1147" s="688"/>
      <c r="N1147" s="689"/>
      <c r="O1147" s="688"/>
      <c r="P1147" s="688"/>
      <c r="Q1147" s="689"/>
      <c r="R1147" s="690"/>
    </row>
    <row r="1148" spans="1:18" s="565" customFormat="1" ht="15" customHeight="1" thickTop="1">
      <c r="A1148" s="561"/>
      <c r="B1148" s="560"/>
      <c r="C1148" s="560"/>
      <c r="D1148" s="561"/>
      <c r="E1148" s="562"/>
      <c r="F1148" s="580"/>
      <c r="G1148" s="579"/>
      <c r="H1148" s="1506"/>
      <c r="J1148" s="687"/>
      <c r="K1148" s="687"/>
      <c r="L1148" s="687"/>
      <c r="M1148" s="688"/>
      <c r="N1148" s="689"/>
      <c r="O1148" s="688"/>
      <c r="P1148" s="688"/>
      <c r="Q1148" s="689"/>
    </row>
    <row r="1149" spans="1:18" s="565" customFormat="1" ht="13.5" thickBot="1">
      <c r="A1149" s="566"/>
      <c r="B1149" s="567"/>
      <c r="C1149" s="566" t="s">
        <v>697</v>
      </c>
      <c r="D1149" s="566"/>
      <c r="E1149" s="567"/>
      <c r="F1149" s="566"/>
      <c r="G1149" s="616"/>
      <c r="H1149" s="569"/>
    </row>
    <row r="1150" spans="1:18" s="565" customFormat="1" ht="24.75" thickTop="1">
      <c r="A1150" s="571" t="s">
        <v>529</v>
      </c>
      <c r="B1150" s="571" t="str">
        <f>MID(A1150,1,3)&amp;"-"&amp;13</f>
        <v>600-13</v>
      </c>
      <c r="C1150" s="571"/>
      <c r="D1150" s="619" t="str">
        <f>VLOOKUP(A1150,[33]ÍNDICE!$C$6:$N$380,5,FALSE)</f>
        <v>EXCAVACIONES VARIAS EN MATERIAL COMÚN BAJO AGUA</v>
      </c>
      <c r="E1150" s="629" t="str">
        <f>VLOOKUP(A1150,[33]ÍNDICE!$C$6:$N$380,2,FALSE)</f>
        <v>m3</v>
      </c>
      <c r="F1150" s="586">
        <v>1</v>
      </c>
      <c r="G1150" s="613">
        <f>VLOOKUP(A1150,[33]ÍNDICE!$C$6:$N$380,12,FALSE)</f>
        <v>59036.507942085271</v>
      </c>
      <c r="H1150" s="583">
        <f>F1150*G1150</f>
        <v>59036.507942085271</v>
      </c>
    </row>
    <row r="1151" spans="1:18" s="565" customFormat="1" ht="15" customHeight="1">
      <c r="A1151" s="571" t="s">
        <v>531</v>
      </c>
      <c r="B1151" s="571" t="str">
        <f>MID(A1151,1,3)&amp;"-"&amp;13</f>
        <v>630-13</v>
      </c>
      <c r="C1151" s="571"/>
      <c r="D1151" s="619" t="str">
        <f>VLOOKUP(A1151,[33]ÍNDICE!$C$6:$N$380,5,FALSE)</f>
        <v>CONCRETO SIMPLE RESISTENCIA 17 MPa - MEZCLA IN SITU</v>
      </c>
      <c r="E1151" s="629" t="str">
        <f>VLOOKUP(A1151,[33]ÍNDICE!$C$6:$N$380,2,FALSE)</f>
        <v>m3</v>
      </c>
      <c r="F1151" s="586">
        <v>1</v>
      </c>
      <c r="G1151" s="613">
        <f>VLOOKUP(A1151,[33]ÍNDICE!$C$6:$N$380,12,FALSE)</f>
        <v>994779.33062365581</v>
      </c>
      <c r="H1151" s="583">
        <f>F1151*G1151</f>
        <v>994779.33062365581</v>
      </c>
    </row>
    <row r="1152" spans="1:18" s="565" customFormat="1" ht="15" customHeight="1" thickBot="1">
      <c r="A1152" s="602" t="s">
        <v>532</v>
      </c>
      <c r="B1152" s="602" t="str">
        <f>MID(A1152,1,3)&amp;"-"&amp;13</f>
        <v>630-13</v>
      </c>
      <c r="C1152" s="602"/>
      <c r="D1152" s="619" t="str">
        <f>VLOOKUP(A1152,[33]ÍNDICE!$C$6:$N$380,5,FALSE)</f>
        <v>CONCRETO CICLÓPEO RESISTENCIA 14MPa (G)</v>
      </c>
      <c r="E1152" s="629" t="str">
        <f>VLOOKUP(A1152,[33]ÍNDICE!$C$6:$N$380,2,FALSE)</f>
        <v>m3</v>
      </c>
      <c r="F1152" s="593">
        <v>3</v>
      </c>
      <c r="G1152" s="613">
        <f>VLOOKUP(A1152,[33]ÍNDICE!$C$6:$N$380,12,FALSE)</f>
        <v>680494.66759275761</v>
      </c>
      <c r="H1152" s="606">
        <f>F1152*G1152</f>
        <v>2041484.0027782728</v>
      </c>
      <c r="J1152" s="565">
        <v>7</v>
      </c>
      <c r="K1152" s="565">
        <v>0.4</v>
      </c>
      <c r="L1152" s="565">
        <v>1</v>
      </c>
      <c r="M1152" s="565">
        <f>+J1152*K1152*L1152</f>
        <v>2.8000000000000003</v>
      </c>
    </row>
    <row r="1153" spans="1:18" s="565" customFormat="1" ht="15" customHeight="1" thickTop="1">
      <c r="A1153" s="574"/>
      <c r="B1153" s="574"/>
      <c r="C1153" s="574"/>
      <c r="D1153" s="575"/>
      <c r="E1153" s="589"/>
      <c r="F1153" s="590"/>
      <c r="G1153" s="576" t="s">
        <v>524</v>
      </c>
      <c r="H1153" s="1511">
        <f>SUM(H1150:H1152)</f>
        <v>3095299.8413440138</v>
      </c>
      <c r="J1153" s="1323"/>
      <c r="K1153" s="1323"/>
      <c r="L1153" s="1323"/>
      <c r="M1153" s="1506"/>
      <c r="N1153" s="688"/>
    </row>
    <row r="1154" spans="1:18" s="565" customFormat="1" ht="15" customHeight="1">
      <c r="A1154" s="577"/>
      <c r="B1154" s="577"/>
      <c r="C1154" s="577"/>
      <c r="D1154" s="578"/>
      <c r="E1154" s="562"/>
      <c r="F1154" s="580"/>
      <c r="G1154" s="579" t="s">
        <v>525</v>
      </c>
      <c r="H1154" s="1508">
        <f>SUM(H1153:H1153)*0.05*0.19/1.3</f>
        <v>22619.49884059087</v>
      </c>
      <c r="J1154" s="1324"/>
      <c r="K1154" s="1324"/>
      <c r="L1154" s="1324"/>
      <c r="M1154" s="677"/>
    </row>
    <row r="1155" spans="1:18" s="565" customFormat="1" ht="15" customHeight="1" thickBot="1">
      <c r="A1155" s="561"/>
      <c r="B1155" s="560"/>
      <c r="C1155" s="560"/>
      <c r="D1155" s="561"/>
      <c r="E1155" s="562"/>
      <c r="F1155" s="580"/>
      <c r="G1155" s="579" t="s">
        <v>526</v>
      </c>
      <c r="H1155" s="1509">
        <f>+ROUND(H1153+H1154,0)</f>
        <v>3117919</v>
      </c>
      <c r="J1155" s="1323"/>
      <c r="K1155" s="1323"/>
      <c r="L1155" s="1323"/>
      <c r="M1155" s="688"/>
      <c r="N1155" s="689"/>
      <c r="O1155" s="688"/>
      <c r="P1155" s="688"/>
      <c r="Q1155" s="689"/>
      <c r="R1155" s="690"/>
    </row>
    <row r="1156" spans="1:18" s="565" customFormat="1" ht="15" customHeight="1" thickTop="1">
      <c r="A1156" s="561"/>
      <c r="B1156" s="560"/>
      <c r="C1156" s="560"/>
      <c r="D1156" s="561"/>
      <c r="E1156" s="562"/>
      <c r="F1156" s="580"/>
      <c r="G1156" s="579"/>
      <c r="H1156" s="1506"/>
      <c r="J1156" s="687"/>
      <c r="K1156" s="687"/>
      <c r="L1156" s="687"/>
      <c r="M1156" s="688"/>
      <c r="N1156" s="689"/>
      <c r="O1156" s="688"/>
      <c r="P1156" s="688"/>
      <c r="Q1156" s="689"/>
    </row>
    <row r="1157" spans="1:18" s="565" customFormat="1" ht="15" customHeight="1">
      <c r="A1157" s="561"/>
      <c r="B1157" s="560"/>
      <c r="C1157" s="560"/>
      <c r="D1157" s="561"/>
      <c r="E1157" s="562"/>
      <c r="F1157" s="580"/>
      <c r="G1157" s="579"/>
      <c r="H1157" s="1506"/>
      <c r="J1157" s="687"/>
      <c r="K1157" s="687"/>
      <c r="L1157" s="687"/>
      <c r="M1157" s="688"/>
      <c r="N1157" s="689"/>
      <c r="O1157" s="688"/>
      <c r="P1157" s="688"/>
      <c r="Q1157" s="689"/>
    </row>
    <row r="1158" spans="1:18" s="565" customFormat="1" ht="15" customHeight="1">
      <c r="A1158" s="561"/>
      <c r="B1158" s="560"/>
      <c r="C1158" s="560"/>
      <c r="D1158" s="561"/>
      <c r="E1158" s="562"/>
      <c r="F1158" s="580"/>
      <c r="G1158" s="579"/>
      <c r="H1158" s="1506"/>
      <c r="J1158" s="687"/>
      <c r="K1158" s="687"/>
      <c r="L1158" s="687"/>
      <c r="M1158" s="688"/>
      <c r="N1158" s="689"/>
      <c r="O1158" s="688"/>
      <c r="P1158" s="688"/>
      <c r="Q1158" s="689"/>
    </row>
    <row r="1159" spans="1:18" s="565" customFormat="1" ht="15" customHeight="1">
      <c r="A1159" s="561"/>
      <c r="B1159" s="560"/>
      <c r="C1159" s="560"/>
      <c r="D1159" s="561"/>
      <c r="E1159" s="562"/>
      <c r="F1159" s="580"/>
      <c r="G1159" s="579"/>
      <c r="H1159" s="1506"/>
      <c r="J1159" s="687"/>
      <c r="K1159" s="687"/>
      <c r="L1159" s="687"/>
      <c r="M1159" s="688"/>
      <c r="N1159" s="689"/>
      <c r="O1159" s="688"/>
      <c r="P1159" s="688"/>
      <c r="Q1159" s="689"/>
    </row>
    <row r="1160" spans="1:18" s="565" customFormat="1" ht="15" customHeight="1" thickBot="1">
      <c r="A1160" s="561"/>
      <c r="B1160" s="560"/>
      <c r="C1160" s="100" t="s">
        <v>698</v>
      </c>
      <c r="D1160"/>
      <c r="E1160" s="691"/>
      <c r="F1160" s="691"/>
      <c r="G1160" s="692"/>
      <c r="H1160" s="693"/>
      <c r="I1160"/>
      <c r="J1160" s="687"/>
      <c r="K1160" s="687"/>
      <c r="L1160" s="687"/>
      <c r="M1160" s="688"/>
      <c r="N1160" s="689"/>
      <c r="O1160" s="688"/>
      <c r="P1160" s="688"/>
      <c r="Q1160" s="689"/>
    </row>
    <row r="1161" spans="1:18" s="565" customFormat="1" ht="15" customHeight="1">
      <c r="A1161" s="561"/>
      <c r="B1161" s="560"/>
      <c r="C1161" s="694"/>
      <c r="D1161" s="695"/>
      <c r="E1161" s="1325" t="s">
        <v>699</v>
      </c>
      <c r="F1161" s="1326"/>
      <c r="G1161" s="696" t="s">
        <v>700</v>
      </c>
      <c r="H1161" s="697" t="s">
        <v>701</v>
      </c>
      <c r="I1161" s="698"/>
      <c r="J1161" s="687"/>
      <c r="K1161" s="699"/>
      <c r="L1161" s="699"/>
      <c r="M1161" s="699"/>
      <c r="N1161" s="689"/>
      <c r="O1161" s="688"/>
      <c r="P1161" s="688"/>
      <c r="Q1161" s="689"/>
    </row>
    <row r="1162" spans="1:18" s="565" customFormat="1" ht="15" customHeight="1">
      <c r="A1162" s="561"/>
      <c r="B1162" s="560"/>
      <c r="C1162" s="89" t="s">
        <v>702</v>
      </c>
      <c r="D1162" s="700" t="s">
        <v>703</v>
      </c>
      <c r="E1162" s="1319" t="s">
        <v>704</v>
      </c>
      <c r="F1162" s="1320"/>
      <c r="G1162" s="701" t="s">
        <v>705</v>
      </c>
      <c r="H1162" s="702" t="s">
        <v>706</v>
      </c>
      <c r="I1162" s="703"/>
      <c r="J1162" s="687"/>
      <c r="K1162" s="687"/>
      <c r="L1162" s="687"/>
      <c r="M1162" s="688"/>
      <c r="N1162" s="689"/>
      <c r="O1162" s="688"/>
      <c r="P1162" s="688"/>
      <c r="Q1162" s="689"/>
    </row>
    <row r="1163" spans="1:18" s="565" customFormat="1" ht="15" customHeight="1" thickBot="1">
      <c r="A1163" s="561"/>
      <c r="B1163" s="560"/>
      <c r="C1163" s="704"/>
      <c r="D1163" s="554"/>
      <c r="E1163" s="1329" t="s">
        <v>707</v>
      </c>
      <c r="F1163" s="1330"/>
      <c r="G1163" s="705" t="s">
        <v>708</v>
      </c>
      <c r="H1163" s="706" t="s">
        <v>709</v>
      </c>
      <c r="I1163" s="707"/>
      <c r="J1163" s="687"/>
      <c r="K1163" s="687"/>
      <c r="L1163" s="687"/>
      <c r="M1163" s="688"/>
      <c r="N1163" s="689"/>
      <c r="O1163" s="688"/>
      <c r="P1163" s="688"/>
      <c r="Q1163" s="689"/>
    </row>
    <row r="1164" spans="1:18" s="565" customFormat="1" ht="15" customHeight="1">
      <c r="A1164" s="561"/>
      <c r="B1164" s="560"/>
      <c r="C1164" s="708"/>
      <c r="D1164" s="92" t="s">
        <v>710</v>
      </c>
      <c r="E1164" s="1327"/>
      <c r="F1164" s="1328"/>
      <c r="G1164" s="709"/>
      <c r="H1164" s="710"/>
      <c r="I1164" s="711"/>
      <c r="J1164" s="687"/>
      <c r="K1164" s="687"/>
      <c r="L1164" s="687"/>
      <c r="M1164" s="688"/>
      <c r="N1164" s="689"/>
      <c r="O1164" s="688"/>
      <c r="P1164" s="688"/>
      <c r="Q1164" s="689"/>
    </row>
    <row r="1165" spans="1:18" s="565" customFormat="1" ht="15" customHeight="1">
      <c r="A1165" s="561"/>
      <c r="B1165" s="560"/>
      <c r="C1165" s="87"/>
      <c r="D1165" s="450" t="s">
        <v>711</v>
      </c>
      <c r="E1165" s="1524"/>
      <c r="F1165" s="1525"/>
      <c r="G1165" s="712"/>
      <c r="H1165" s="713"/>
      <c r="I1165" s="714"/>
      <c r="J1165" s="687"/>
      <c r="K1165" s="687"/>
      <c r="L1165" s="687"/>
      <c r="M1165" s="688"/>
      <c r="N1165" s="689"/>
      <c r="O1165" s="688"/>
      <c r="P1165" s="688"/>
      <c r="Q1165" s="689"/>
    </row>
    <row r="1166" spans="1:18" s="565" customFormat="1" ht="15" customHeight="1">
      <c r="A1166" s="561"/>
      <c r="B1166" s="560"/>
      <c r="C1166" s="715">
        <v>1</v>
      </c>
      <c r="D1166" s="716" t="s">
        <v>712</v>
      </c>
      <c r="E1166" s="1336">
        <v>10000000</v>
      </c>
      <c r="F1166" s="1336"/>
      <c r="G1166" s="718"/>
      <c r="H1166" s="719">
        <v>1</v>
      </c>
      <c r="I1166" s="720"/>
      <c r="J1166" s="687"/>
      <c r="K1166" s="687"/>
      <c r="L1166" s="687"/>
      <c r="M1166" s="688"/>
      <c r="N1166" s="689"/>
      <c r="O1166" s="688"/>
      <c r="P1166" s="688"/>
      <c r="Q1166" s="689"/>
    </row>
    <row r="1167" spans="1:18" s="565" customFormat="1" ht="15" customHeight="1">
      <c r="A1167" s="561"/>
      <c r="B1167" s="560"/>
      <c r="C1167" s="715">
        <v>1</v>
      </c>
      <c r="D1167" s="716" t="s">
        <v>713</v>
      </c>
      <c r="E1167" s="717">
        <v>7000000</v>
      </c>
      <c r="F1167" s="717"/>
      <c r="G1167" s="717">
        <v>460000</v>
      </c>
      <c r="H1167" s="719">
        <v>1</v>
      </c>
      <c r="I1167" s="720"/>
      <c r="J1167" s="687"/>
      <c r="K1167" s="687"/>
      <c r="L1167" s="687"/>
      <c r="M1167" s="688"/>
      <c r="N1167" s="689"/>
      <c r="O1167" s="688"/>
      <c r="P1167" s="688"/>
      <c r="Q1167" s="689"/>
    </row>
    <row r="1168" spans="1:18" s="565" customFormat="1" ht="15" customHeight="1">
      <c r="A1168" s="561"/>
      <c r="B1168" s="560"/>
      <c r="C1168" s="715">
        <v>1</v>
      </c>
      <c r="D1168" s="716" t="s">
        <v>714</v>
      </c>
      <c r="E1168" s="717">
        <f>+E1166</f>
        <v>10000000</v>
      </c>
      <c r="F1168" s="717"/>
      <c r="G1168" s="1212">
        <f>+G1167</f>
        <v>460000</v>
      </c>
      <c r="H1168" s="719">
        <v>1</v>
      </c>
      <c r="I1168" s="720"/>
      <c r="J1168" s="687"/>
      <c r="K1168" s="687"/>
      <c r="L1168" s="687"/>
      <c r="M1168" s="688"/>
      <c r="N1168" s="689"/>
      <c r="O1168" s="688"/>
      <c r="P1168" s="688"/>
      <c r="Q1168" s="689"/>
    </row>
    <row r="1169" spans="1:17" s="565" customFormat="1" ht="15" customHeight="1">
      <c r="A1169" s="561"/>
      <c r="B1169" s="560"/>
      <c r="C1169" s="715"/>
      <c r="D1169" s="716" t="s">
        <v>715</v>
      </c>
      <c r="E1169" s="1336">
        <f>+E1166</f>
        <v>10000000</v>
      </c>
      <c r="F1169" s="1336"/>
      <c r="G1169" s="721"/>
      <c r="H1169" s="719">
        <v>1</v>
      </c>
      <c r="I1169" s="720"/>
      <c r="J1169" s="687"/>
      <c r="K1169" s="687"/>
      <c r="L1169" s="687"/>
      <c r="M1169" s="688"/>
      <c r="N1169" s="689"/>
      <c r="O1169" s="688"/>
      <c r="P1169" s="688"/>
      <c r="Q1169" s="689"/>
    </row>
    <row r="1170" spans="1:17" s="565" customFormat="1" ht="15" customHeight="1">
      <c r="A1170" s="561"/>
      <c r="B1170" s="560"/>
      <c r="C1170" s="715"/>
      <c r="D1170" s="716" t="s">
        <v>716</v>
      </c>
      <c r="E1170" s="1526"/>
      <c r="F1170" s="1527"/>
      <c r="G1170" s="722"/>
      <c r="H1170" s="723"/>
      <c r="I1170" s="720"/>
      <c r="J1170" s="687"/>
      <c r="K1170" s="687"/>
      <c r="L1170" s="687"/>
      <c r="M1170" s="688"/>
      <c r="N1170" s="689"/>
      <c r="O1170" s="688"/>
      <c r="P1170" s="688"/>
      <c r="Q1170" s="689"/>
    </row>
    <row r="1171" spans="1:17" s="565" customFormat="1" ht="15" customHeight="1">
      <c r="A1171" s="561"/>
      <c r="B1171" s="560"/>
      <c r="C1171" s="724"/>
      <c r="D1171" s="450" t="s">
        <v>717</v>
      </c>
      <c r="E1171" s="725"/>
      <c r="F1171" s="725"/>
      <c r="G1171" s="450"/>
      <c r="H1171" s="726"/>
      <c r="I1171" s="727"/>
      <c r="J1171" s="687"/>
      <c r="K1171" s="687"/>
      <c r="L1171" s="687"/>
      <c r="M1171" s="688"/>
      <c r="N1171" s="689"/>
      <c r="O1171" s="688"/>
      <c r="P1171" s="688"/>
      <c r="Q1171" s="689"/>
    </row>
    <row r="1172" spans="1:17" s="565" customFormat="1" ht="15" customHeight="1" thickBot="1">
      <c r="A1172" s="561"/>
      <c r="B1172" s="560"/>
      <c r="C1172" s="728"/>
      <c r="D1172" s="729" t="s">
        <v>718</v>
      </c>
      <c r="E1172" s="1528"/>
      <c r="F1172" s="1529"/>
      <c r="G1172" s="730"/>
      <c r="H1172" s="731"/>
      <c r="I1172" s="732"/>
      <c r="J1172" s="687"/>
      <c r="K1172" s="687"/>
      <c r="L1172" s="687"/>
      <c r="M1172" s="688"/>
      <c r="N1172" s="689"/>
      <c r="O1172" s="688"/>
      <c r="P1172" s="688"/>
      <c r="Q1172" s="689"/>
    </row>
    <row r="1173" spans="1:17" s="565" customFormat="1" ht="15" customHeight="1" thickBot="1">
      <c r="A1173" s="561"/>
      <c r="B1173" s="560"/>
      <c r="C1173" s="289"/>
      <c r="D1173" s="1530" t="s">
        <v>719</v>
      </c>
      <c r="E1173" s="1531"/>
      <c r="F1173" s="1531"/>
      <c r="G1173" s="733"/>
      <c r="H1173" s="734"/>
      <c r="I1173" s="735"/>
      <c r="J1173" s="687"/>
      <c r="K1173" s="687"/>
      <c r="L1173" s="687"/>
      <c r="M1173" s="688"/>
      <c r="N1173" s="689"/>
      <c r="O1173" s="688"/>
      <c r="P1173" s="688"/>
      <c r="Q1173" s="689"/>
    </row>
    <row r="1174" spans="1:17" s="565" customFormat="1" ht="15" customHeight="1" thickBot="1">
      <c r="A1174" s="561"/>
      <c r="B1174" s="560"/>
      <c r="C1174" s="736"/>
      <c r="D1174" s="148"/>
      <c r="E1174" s="1532"/>
      <c r="F1174" s="1532"/>
      <c r="G1174" s="148"/>
      <c r="H1174" s="737"/>
      <c r="I1174"/>
      <c r="J1174" s="687"/>
      <c r="K1174" s="687"/>
      <c r="L1174" s="687"/>
      <c r="M1174" s="688"/>
      <c r="N1174" s="689"/>
      <c r="O1174" s="688"/>
      <c r="P1174" s="688"/>
      <c r="Q1174" s="689"/>
    </row>
    <row r="1175" spans="1:17" s="565" customFormat="1" ht="15" customHeight="1">
      <c r="A1175" s="561"/>
      <c r="B1175" s="560"/>
      <c r="C1175" s="738"/>
      <c r="D1175" s="739"/>
      <c r="E1175" s="1337"/>
      <c r="F1175" s="1338"/>
      <c r="G1175" s="740" t="s">
        <v>720</v>
      </c>
      <c r="H1175" s="741" t="s">
        <v>721</v>
      </c>
      <c r="I1175" s="742"/>
      <c r="J1175" s="687"/>
      <c r="K1175" s="687"/>
      <c r="L1175" s="687"/>
      <c r="M1175" s="688"/>
      <c r="N1175" s="689"/>
      <c r="O1175" s="688"/>
      <c r="P1175" s="688"/>
      <c r="Q1175" s="689"/>
    </row>
    <row r="1176" spans="1:17" s="565" customFormat="1" ht="15" customHeight="1">
      <c r="A1176" s="561"/>
      <c r="B1176" s="560"/>
      <c r="C1176" s="743" t="s">
        <v>702</v>
      </c>
      <c r="D1176" s="744" t="s">
        <v>722</v>
      </c>
      <c r="E1176" s="1339" t="s">
        <v>723</v>
      </c>
      <c r="F1176" s="1340"/>
      <c r="G1176" s="745" t="s">
        <v>724</v>
      </c>
      <c r="H1176" s="746" t="s">
        <v>725</v>
      </c>
      <c r="I1176" s="747"/>
      <c r="J1176" s="687"/>
      <c r="K1176" s="687"/>
      <c r="L1176" s="687"/>
      <c r="M1176" s="688"/>
      <c r="N1176" s="689"/>
      <c r="O1176" s="688"/>
      <c r="P1176" s="688"/>
      <c r="Q1176" s="689"/>
    </row>
    <row r="1177" spans="1:17" s="565" customFormat="1" ht="15" customHeight="1" thickBot="1">
      <c r="A1177" s="561"/>
      <c r="B1177" s="560"/>
      <c r="C1177" s="748"/>
      <c r="D1177" s="749"/>
      <c r="E1177" s="1341"/>
      <c r="F1177" s="1342"/>
      <c r="G1177" s="750" t="s">
        <v>726</v>
      </c>
      <c r="H1177" s="751" t="s">
        <v>727</v>
      </c>
      <c r="I1177" s="707" t="s">
        <v>728</v>
      </c>
      <c r="J1177" s="687"/>
      <c r="K1177" s="687"/>
      <c r="L1177" s="687"/>
      <c r="M1177" s="688"/>
      <c r="N1177" s="689"/>
      <c r="O1177" s="688"/>
      <c r="P1177" s="688"/>
      <c r="Q1177" s="689"/>
    </row>
    <row r="1178" spans="1:17" s="565" customFormat="1" ht="15" customHeight="1">
      <c r="A1178" s="561"/>
      <c r="B1178" s="560"/>
      <c r="C1178" s="728"/>
      <c r="D1178" s="153" t="s">
        <v>729</v>
      </c>
      <c r="E1178" s="1533"/>
      <c r="F1178" s="1534"/>
      <c r="G1178" s="752"/>
      <c r="H1178" s="753"/>
      <c r="I1178" s="754"/>
      <c r="J1178" s="687"/>
      <c r="K1178" s="687"/>
      <c r="L1178" s="687"/>
      <c r="M1178" s="688"/>
      <c r="N1178" s="689"/>
      <c r="O1178" s="688"/>
      <c r="P1178" s="688"/>
      <c r="Q1178" s="689"/>
    </row>
    <row r="1179" spans="1:17" s="565" customFormat="1" ht="15" customHeight="1">
      <c r="A1179" s="561"/>
      <c r="B1179" s="560"/>
      <c r="C1179" s="755"/>
      <c r="D1179" s="756" t="s">
        <v>730</v>
      </c>
      <c r="E1179" s="1535"/>
      <c r="F1179" s="1536"/>
      <c r="G1179" s="757"/>
      <c r="H1179" s="758"/>
      <c r="I1179" s="759"/>
      <c r="J1179" s="687"/>
      <c r="K1179" s="687"/>
      <c r="L1179" s="687"/>
      <c r="M1179" s="688"/>
      <c r="N1179" s="689"/>
      <c r="O1179" s="688"/>
      <c r="P1179" s="688"/>
      <c r="Q1179" s="689"/>
    </row>
    <row r="1180" spans="1:17" s="565" customFormat="1" ht="15" customHeight="1">
      <c r="A1180" s="561"/>
      <c r="B1180" s="560"/>
      <c r="C1180" s="760">
        <v>1</v>
      </c>
      <c r="D1180" s="761" t="s">
        <v>731</v>
      </c>
      <c r="E1180" s="1343" t="s">
        <v>732</v>
      </c>
      <c r="F1180" s="1343"/>
      <c r="G1180" s="717">
        <v>6600000</v>
      </c>
      <c r="H1180" s="762">
        <v>1</v>
      </c>
      <c r="I1180" s="763">
        <f>(G1180*H1180*C1180)</f>
        <v>6600000</v>
      </c>
      <c r="J1180" s="687"/>
      <c r="K1180" s="687"/>
      <c r="L1180" s="687"/>
      <c r="M1180" s="688"/>
      <c r="N1180" s="689"/>
      <c r="O1180" s="688"/>
      <c r="P1180" s="688"/>
      <c r="Q1180" s="689"/>
    </row>
    <row r="1181" spans="1:17" s="565" customFormat="1" ht="15" customHeight="1">
      <c r="A1181" s="561"/>
      <c r="B1181" s="560"/>
      <c r="C1181" s="755"/>
      <c r="D1181" s="764" t="s">
        <v>733</v>
      </c>
      <c r="E1181" s="1344"/>
      <c r="F1181" s="1345"/>
      <c r="G1181" s="765"/>
      <c r="H1181" s="766"/>
      <c r="I1181" s="767"/>
      <c r="J1181" s="687"/>
      <c r="K1181" s="687"/>
      <c r="L1181" s="687"/>
      <c r="M1181" s="688"/>
      <c r="N1181" s="689"/>
      <c r="O1181" s="688"/>
      <c r="P1181" s="688"/>
      <c r="Q1181" s="689"/>
    </row>
    <row r="1182" spans="1:17" s="565" customFormat="1" ht="15" customHeight="1">
      <c r="A1182" s="561"/>
      <c r="B1182" s="560"/>
      <c r="C1182" s="1346">
        <v>1</v>
      </c>
      <c r="D1182" s="1347" t="s">
        <v>734</v>
      </c>
      <c r="E1182" s="1348" t="s">
        <v>735</v>
      </c>
      <c r="F1182" s="1349"/>
      <c r="G1182" s="1336">
        <v>3000000</v>
      </c>
      <c r="H1182" s="1352">
        <v>1</v>
      </c>
      <c r="I1182" s="769">
        <f>H1182*G1182</f>
        <v>3000000</v>
      </c>
      <c r="J1182" s="687"/>
      <c r="K1182" s="687"/>
      <c r="L1182" s="687"/>
      <c r="M1182" s="688"/>
      <c r="N1182" s="689"/>
      <c r="O1182" s="688"/>
      <c r="P1182" s="688"/>
      <c r="Q1182" s="689"/>
    </row>
    <row r="1183" spans="1:17" s="565" customFormat="1" ht="15" customHeight="1">
      <c r="A1183" s="561"/>
      <c r="B1183" s="560"/>
      <c r="C1183" s="1346"/>
      <c r="D1183" s="1347"/>
      <c r="E1183" s="1350"/>
      <c r="F1183" s="1351"/>
      <c r="G1183" s="1336"/>
      <c r="H1183" s="1353"/>
      <c r="I1183" s="770"/>
      <c r="J1183" s="687"/>
      <c r="K1183" s="687"/>
      <c r="L1183" s="687"/>
      <c r="M1183" s="688"/>
      <c r="N1183" s="689"/>
      <c r="O1183" s="688"/>
      <c r="P1183" s="688"/>
      <c r="Q1183" s="689"/>
    </row>
    <row r="1184" spans="1:17" s="565" customFormat="1" ht="36.75" customHeight="1">
      <c r="A1184" s="561"/>
      <c r="B1184" s="560"/>
      <c r="C1184" s="771"/>
      <c r="D1184" s="768" t="s">
        <v>736</v>
      </c>
      <c r="E1184" s="1354" t="s">
        <v>737</v>
      </c>
      <c r="F1184" s="1354"/>
      <c r="G1184" s="717">
        <v>6500000</v>
      </c>
      <c r="H1184" s="772">
        <v>1</v>
      </c>
      <c r="I1184" s="773">
        <f>(G1184*H1184)</f>
        <v>6500000</v>
      </c>
      <c r="J1184" s="687"/>
      <c r="K1184" s="687"/>
      <c r="L1184" s="687"/>
      <c r="M1184" s="688"/>
      <c r="N1184" s="689"/>
      <c r="O1184" s="688"/>
      <c r="P1184" s="688"/>
      <c r="Q1184" s="689"/>
    </row>
    <row r="1185" spans="1:17" s="565" customFormat="1" ht="15" customHeight="1">
      <c r="A1185" s="561"/>
      <c r="B1185" s="560"/>
      <c r="C1185" s="774">
        <v>1</v>
      </c>
      <c r="D1185" s="775" t="s">
        <v>738</v>
      </c>
      <c r="E1185" s="1355" t="s">
        <v>735</v>
      </c>
      <c r="F1185" s="1355"/>
      <c r="G1185" s="717">
        <v>4500000</v>
      </c>
      <c r="H1185" s="776">
        <v>1</v>
      </c>
      <c r="I1185" s="777">
        <f>(G1185*H1185)</f>
        <v>4500000</v>
      </c>
      <c r="J1185" s="687"/>
      <c r="K1185" s="687"/>
      <c r="L1185" s="687"/>
      <c r="M1185" s="688"/>
      <c r="N1185" s="689"/>
      <c r="O1185" s="688"/>
      <c r="P1185" s="688"/>
      <c r="Q1185" s="689"/>
    </row>
    <row r="1186" spans="1:17" s="565" customFormat="1" ht="15" customHeight="1" thickBot="1">
      <c r="A1186" s="561"/>
      <c r="B1186" s="560"/>
      <c r="C1186" s="778"/>
      <c r="D1186" s="779" t="s">
        <v>739</v>
      </c>
      <c r="E1186" s="1537"/>
      <c r="F1186" s="1537"/>
      <c r="G1186" s="780"/>
      <c r="H1186" s="780"/>
      <c r="I1186" s="781">
        <f>SUM(I1179:I1185)</f>
        <v>20600000</v>
      </c>
      <c r="J1186" s="687"/>
      <c r="K1186" s="687"/>
      <c r="L1186" s="687"/>
      <c r="M1186" s="688"/>
      <c r="N1186" s="689"/>
      <c r="O1186" s="688"/>
      <c r="P1186" s="688"/>
      <c r="Q1186" s="689"/>
    </row>
    <row r="1187" spans="1:17" s="565" customFormat="1" ht="15" customHeight="1">
      <c r="A1187" s="561"/>
      <c r="B1187" s="560"/>
      <c r="C1187" s="782"/>
      <c r="D1187" s="783" t="s">
        <v>740</v>
      </c>
      <c r="E1187" s="1538"/>
      <c r="F1187" s="1538"/>
      <c r="G1187" s="784"/>
      <c r="H1187" s="784"/>
      <c r="I1187" s="785">
        <f>(I1173+I1186)</f>
        <v>20600000</v>
      </c>
      <c r="J1187" s="687"/>
      <c r="K1187" s="687"/>
      <c r="L1187" s="687"/>
      <c r="M1187" s="688"/>
      <c r="N1187" s="689"/>
      <c r="O1187" s="688"/>
      <c r="P1187" s="688"/>
      <c r="Q1187" s="689"/>
    </row>
    <row r="1188" spans="1:17" s="565" customFormat="1" ht="15" customHeight="1">
      <c r="A1188" s="561"/>
      <c r="B1188" s="560"/>
      <c r="C1188" s="786"/>
      <c r="D1188" s="787" t="s">
        <v>741</v>
      </c>
      <c r="E1188" s="1535"/>
      <c r="F1188" s="1536"/>
      <c r="G1188" s="788"/>
      <c r="H1188" s="788"/>
      <c r="I1188" s="789">
        <f>ROUNDDOWN(I1187*0.19,0)</f>
        <v>3914000</v>
      </c>
      <c r="J1188" s="687"/>
      <c r="K1188" s="687"/>
      <c r="L1188" s="687"/>
      <c r="M1188" s="688"/>
      <c r="N1188" s="689"/>
      <c r="O1188" s="688"/>
      <c r="P1188" s="688"/>
      <c r="Q1188" s="689"/>
    </row>
    <row r="1189" spans="1:17" s="565" customFormat="1" ht="15" customHeight="1" thickBot="1">
      <c r="A1189" s="561"/>
      <c r="B1189" s="560"/>
      <c r="C1189" s="790"/>
      <c r="D1189" s="791" t="s">
        <v>742</v>
      </c>
      <c r="E1189" s="1539"/>
      <c r="F1189" s="1539"/>
      <c r="G1189" s="280"/>
      <c r="H1189" s="280"/>
      <c r="I1189" s="792">
        <f>ROUND(SUM(I1187:I1188),0)</f>
        <v>24514000</v>
      </c>
      <c r="J1189" s="687"/>
      <c r="K1189" s="687"/>
      <c r="L1189" s="687"/>
      <c r="M1189" s="688"/>
      <c r="N1189" s="689"/>
      <c r="O1189" s="688"/>
      <c r="P1189" s="688"/>
      <c r="Q1189" s="689"/>
    </row>
    <row r="1198" spans="1:17" ht="13.5" thickBot="1">
      <c r="D1198" s="20"/>
      <c r="F1198" s="20"/>
      <c r="G1198" s="20"/>
    </row>
    <row r="1199" spans="1:17" ht="15">
      <c r="B1199" s="93"/>
      <c r="C1199" s="93"/>
      <c r="D1199" s="405" t="s">
        <v>743</v>
      </c>
      <c r="E1199" s="93"/>
      <c r="F1199" s="1331" t="s">
        <v>744</v>
      </c>
      <c r="G1199" s="1331"/>
    </row>
    <row r="1200" spans="1:17" ht="15">
      <c r="A1200" s="93"/>
      <c r="B1200" s="93"/>
      <c r="C1200" s="93"/>
      <c r="D1200" s="93"/>
      <c r="E1200" s="93"/>
      <c r="F1200" s="93"/>
      <c r="G1200" s="93"/>
    </row>
    <row r="1201" spans="1:8" ht="16.5" customHeight="1">
      <c r="A1201" s="1332" t="s">
        <v>745</v>
      </c>
      <c r="B1201" s="1332"/>
      <c r="C1201" s="1332"/>
      <c r="D1201" s="1332"/>
      <c r="E1201" s="1332"/>
      <c r="F1201" s="1332"/>
      <c r="G1201" s="1332"/>
      <c r="H1201" s="1332"/>
    </row>
    <row r="1202" spans="1:8" ht="16.5" customHeight="1">
      <c r="A1202" s="1332"/>
      <c r="B1202" s="1332"/>
      <c r="C1202" s="1332"/>
      <c r="D1202" s="1332"/>
      <c r="E1202" s="1332"/>
      <c r="F1202" s="1332"/>
      <c r="G1202" s="1332"/>
      <c r="H1202" s="1332"/>
    </row>
    <row r="1203" spans="1:8" ht="20.25" customHeight="1">
      <c r="A1203" s="1332"/>
      <c r="B1203" s="1332"/>
      <c r="C1203" s="1332"/>
      <c r="D1203" s="1332"/>
      <c r="E1203" s="1332"/>
      <c r="F1203" s="1332"/>
      <c r="G1203" s="1332"/>
      <c r="H1203" s="1332"/>
    </row>
    <row r="1204" spans="1:8">
      <c r="G1204" s="1231" t="s">
        <v>126</v>
      </c>
      <c r="H1204" s="1231"/>
    </row>
  </sheetData>
  <mergeCells count="45">
    <mergeCell ref="E1189:F1189"/>
    <mergeCell ref="G1182:G1183"/>
    <mergeCell ref="H1182:H1183"/>
    <mergeCell ref="E1184:F1184"/>
    <mergeCell ref="E1185:F1185"/>
    <mergeCell ref="E1186:F1186"/>
    <mergeCell ref="E1187:F1187"/>
    <mergeCell ref="E1188:F1188"/>
    <mergeCell ref="E1178:F1178"/>
    <mergeCell ref="E1180:F1180"/>
    <mergeCell ref="E1181:F1181"/>
    <mergeCell ref="C1182:C1183"/>
    <mergeCell ref="D1182:D1183"/>
    <mergeCell ref="E1182:F1183"/>
    <mergeCell ref="G1204:H1204"/>
    <mergeCell ref="F1199:G1199"/>
    <mergeCell ref="A1201:H1203"/>
    <mergeCell ref="A5:H5"/>
    <mergeCell ref="B10:C10"/>
    <mergeCell ref="E1179:F1179"/>
    <mergeCell ref="E1165:F1165"/>
    <mergeCell ref="E1166:F1166"/>
    <mergeCell ref="E1169:F1169"/>
    <mergeCell ref="E1170:F1170"/>
    <mergeCell ref="E1172:F1172"/>
    <mergeCell ref="E1173:F1173"/>
    <mergeCell ref="E1174:F1174"/>
    <mergeCell ref="E1175:F1175"/>
    <mergeCell ref="E1176:F1176"/>
    <mergeCell ref="E1177:F1177"/>
    <mergeCell ref="J1145:L1145"/>
    <mergeCell ref="J1146:L1146"/>
    <mergeCell ref="J1147:L1147"/>
    <mergeCell ref="E1161:F1161"/>
    <mergeCell ref="E1164:F1164"/>
    <mergeCell ref="E1163:F1163"/>
    <mergeCell ref="J1153:L1153"/>
    <mergeCell ref="J1154:L1154"/>
    <mergeCell ref="J1155:L1155"/>
    <mergeCell ref="A1:H1"/>
    <mergeCell ref="A2:H2"/>
    <mergeCell ref="A3:H3"/>
    <mergeCell ref="A6:H6"/>
    <mergeCell ref="E1162:F1162"/>
    <mergeCell ref="A10:A11"/>
  </mergeCells>
  <phoneticPr fontId="5" type="noConversion"/>
  <hyperlinks>
    <hyperlink ref="G1204" location="'TABLA DE CONTENIDO'!A1" display="VOLVER A TABLA DE CONTENIDO" xr:uid="{00000000-0004-0000-0D00-000000000000}"/>
  </hyperlinks>
  <printOptions horizontalCentered="1" verticalCentered="1"/>
  <pageMargins left="0.47244094488188981" right="0.78740157480314965" top="0.23622047244094491" bottom="0.55118110236220474" header="0.27559055118110237" footer="0.51181102362204722"/>
  <pageSetup scale="10" orientation="landscape" horizontalDpi="120" verticalDpi="144" r:id="rId1"/>
  <headerFooter alignWithMargins="0"/>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fitToPage="1"/>
  </sheetPr>
  <dimension ref="A1:I22"/>
  <sheetViews>
    <sheetView workbookViewId="0">
      <selection activeCell="A11" sqref="A11"/>
    </sheetView>
  </sheetViews>
  <sheetFormatPr defaultColWidth="11.42578125" defaultRowHeight="12.75"/>
  <cols>
    <col min="1" max="1" width="10.7109375" style="56" customWidth="1"/>
    <col min="2" max="2" width="32.7109375" customWidth="1"/>
    <col min="3" max="4" width="8.42578125" customWidth="1"/>
    <col min="5" max="5" width="8.7109375" customWidth="1"/>
    <col min="6" max="6" width="22.42578125" customWidth="1"/>
    <col min="7" max="7" width="17.5703125" customWidth="1"/>
    <col min="8" max="8" width="15.140625" customWidth="1"/>
    <col min="9" max="9" width="21.5703125" customWidth="1"/>
  </cols>
  <sheetData>
    <row r="1" spans="1:9" s="33" customFormat="1" ht="23.25">
      <c r="A1" s="1228" t="s">
        <v>1</v>
      </c>
      <c r="B1" s="1228"/>
      <c r="C1" s="1228"/>
      <c r="D1" s="1228"/>
      <c r="E1" s="1228"/>
      <c r="F1" s="1228"/>
      <c r="G1" s="1228"/>
      <c r="H1" s="1228"/>
      <c r="I1" s="1228"/>
    </row>
    <row r="2" spans="1:9" s="33" customFormat="1" ht="18">
      <c r="A2" s="1229" t="s">
        <v>746</v>
      </c>
      <c r="B2" s="1229"/>
      <c r="C2" s="1229"/>
      <c r="D2" s="1229"/>
      <c r="E2" s="1229"/>
      <c r="F2" s="1229"/>
      <c r="G2" s="1229"/>
      <c r="H2" s="1229"/>
      <c r="I2" s="1229"/>
    </row>
    <row r="3" spans="1:9" s="33" customFormat="1">
      <c r="A3" s="55"/>
      <c r="B3" s="44"/>
      <c r="C3" s="44"/>
      <c r="D3" s="44"/>
      <c r="E3" s="44"/>
      <c r="F3" s="32"/>
      <c r="G3" s="32"/>
      <c r="H3" s="32"/>
      <c r="I3" s="32"/>
    </row>
    <row r="4" spans="1:9" s="33" customFormat="1" ht="18">
      <c r="A4" s="1229" t="s">
        <v>747</v>
      </c>
      <c r="B4" s="1229"/>
      <c r="C4" s="1229"/>
      <c r="D4" s="1229"/>
      <c r="E4" s="1229"/>
      <c r="F4" s="1229"/>
      <c r="G4" s="1229"/>
      <c r="H4" s="1229"/>
      <c r="I4" s="1229"/>
    </row>
    <row r="5" spans="1:9" s="33" customFormat="1">
      <c r="A5" s="163"/>
      <c r="B5" s="44"/>
      <c r="C5" s="44"/>
      <c r="D5" s="44"/>
      <c r="E5" s="44"/>
      <c r="F5" s="32"/>
      <c r="G5" s="32"/>
      <c r="H5" s="32"/>
      <c r="I5" s="32"/>
    </row>
    <row r="6" spans="1:9" s="33" customFormat="1" ht="18">
      <c r="A6" s="1229" t="s">
        <v>748</v>
      </c>
      <c r="B6" s="1229"/>
      <c r="C6" s="1229"/>
      <c r="D6" s="1229"/>
      <c r="E6" s="1229"/>
      <c r="F6" s="1229"/>
      <c r="G6" s="1229"/>
      <c r="H6" s="1229"/>
      <c r="I6" s="1229"/>
    </row>
    <row r="7" spans="1:9" ht="18">
      <c r="B7" s="43"/>
      <c r="C7" s="43"/>
      <c r="D7" s="43"/>
      <c r="E7" s="43"/>
      <c r="F7" s="1"/>
      <c r="G7" s="1"/>
      <c r="H7" s="1"/>
      <c r="I7" s="1"/>
    </row>
    <row r="8" spans="1:9" s="33" customFormat="1">
      <c r="A8" s="175" t="s">
        <v>130</v>
      </c>
      <c r="B8"/>
      <c r="C8" s="50" t="s">
        <v>88</v>
      </c>
      <c r="D8" s="50"/>
      <c r="E8" s="50"/>
      <c r="G8" s="92" t="s">
        <v>160</v>
      </c>
      <c r="I8" s="33" t="s">
        <v>749</v>
      </c>
    </row>
    <row r="9" spans="1:9" ht="13.5" thickBot="1"/>
    <row r="10" spans="1:9" s="24" customFormat="1" ht="44.45" customHeight="1" thickBot="1">
      <c r="A10" s="119" t="s">
        <v>750</v>
      </c>
      <c r="B10" s="126" t="s">
        <v>106</v>
      </c>
      <c r="C10" s="126" t="s">
        <v>107</v>
      </c>
      <c r="D10" s="174" t="s">
        <v>109</v>
      </c>
      <c r="E10" s="174" t="s">
        <v>110</v>
      </c>
      <c r="F10" s="154" t="s">
        <v>751</v>
      </c>
      <c r="G10" s="120" t="s">
        <v>752</v>
      </c>
      <c r="H10" s="133" t="s">
        <v>377</v>
      </c>
      <c r="I10" s="128" t="s">
        <v>113</v>
      </c>
    </row>
    <row r="11" spans="1:9" ht="45">
      <c r="A11" s="960">
        <v>44991</v>
      </c>
      <c r="B11" s="1115" t="s">
        <v>753</v>
      </c>
      <c r="C11" s="1115">
        <v>5601</v>
      </c>
      <c r="D11" s="1135" t="s">
        <v>754</v>
      </c>
      <c r="E11" s="1135"/>
      <c r="F11" s="818" t="s">
        <v>755</v>
      </c>
      <c r="G11" s="1150" t="s">
        <v>756</v>
      </c>
      <c r="H11" s="1116">
        <v>80000000</v>
      </c>
      <c r="I11" s="1140" t="s">
        <v>757</v>
      </c>
    </row>
    <row r="12" spans="1:9">
      <c r="A12" s="960"/>
      <c r="B12" s="1115"/>
      <c r="C12" s="1115"/>
      <c r="D12" s="1141"/>
      <c r="E12" s="1141"/>
      <c r="F12" s="818"/>
      <c r="G12" s="1142"/>
      <c r="H12" s="1116"/>
      <c r="I12" s="1151"/>
    </row>
    <row r="13" spans="1:9">
      <c r="A13" s="960"/>
      <c r="B13" s="1115"/>
      <c r="C13" s="1115"/>
      <c r="D13" s="1141"/>
      <c r="E13" s="1115"/>
      <c r="F13" s="818"/>
      <c r="G13" s="1150"/>
      <c r="H13" s="1116"/>
      <c r="I13" s="1140"/>
    </row>
    <row r="14" spans="1:9" ht="39.75" customHeight="1">
      <c r="A14" s="960"/>
      <c r="B14" s="1117"/>
      <c r="C14" s="1115"/>
      <c r="D14" s="1141"/>
      <c r="E14" s="1115"/>
      <c r="F14" s="818"/>
      <c r="G14" s="1150"/>
      <c r="H14" s="1118"/>
      <c r="I14" s="1140"/>
    </row>
    <row r="15" spans="1:9" ht="53.25" customHeight="1">
      <c r="A15" s="960"/>
      <c r="B15" s="1117"/>
      <c r="C15" s="1115"/>
      <c r="D15" s="1141"/>
      <c r="E15" s="1115"/>
      <c r="F15" s="818"/>
      <c r="G15" s="961"/>
      <c r="H15" s="1118"/>
      <c r="I15" s="1140"/>
    </row>
    <row r="16" spans="1:9" ht="18" customHeight="1">
      <c r="A16" s="960"/>
      <c r="B16" s="15"/>
      <c r="C16" s="916"/>
      <c r="D16" s="15"/>
      <c r="E16" s="15"/>
      <c r="F16" s="6"/>
      <c r="G16" s="14"/>
      <c r="H16" s="6"/>
      <c r="I16" s="94"/>
    </row>
    <row r="17" spans="1:9" ht="18" customHeight="1">
      <c r="A17" s="129"/>
      <c r="B17" s="15"/>
      <c r="C17" s="15"/>
      <c r="D17" s="15"/>
      <c r="E17" s="15"/>
      <c r="F17" s="6"/>
      <c r="G17" s="14"/>
      <c r="H17" s="6"/>
      <c r="I17" s="94"/>
    </row>
    <row r="18" spans="1:9" ht="18" customHeight="1">
      <c r="A18" s="129"/>
      <c r="B18" s="15"/>
      <c r="C18" s="15"/>
      <c r="D18" s="15"/>
      <c r="E18" s="15"/>
      <c r="F18" s="6"/>
      <c r="G18" s="14"/>
      <c r="H18" s="6"/>
      <c r="I18" s="94"/>
    </row>
    <row r="19" spans="1:9" ht="18" customHeight="1" thickBot="1">
      <c r="A19" s="130"/>
      <c r="B19" s="124"/>
      <c r="C19" s="124"/>
      <c r="D19" s="124"/>
      <c r="E19" s="124"/>
      <c r="F19" s="131"/>
      <c r="G19" s="125"/>
      <c r="H19" s="1152">
        <f>SUM(H11:H18)</f>
        <v>80000000</v>
      </c>
      <c r="I19" s="95"/>
    </row>
    <row r="21" spans="1:9">
      <c r="A21" s="64" t="s">
        <v>758</v>
      </c>
    </row>
    <row r="22" spans="1:9">
      <c r="H22" s="1231" t="s">
        <v>126</v>
      </c>
      <c r="I22" s="1231"/>
    </row>
  </sheetData>
  <mergeCells count="5">
    <mergeCell ref="A1:I1"/>
    <mergeCell ref="A2:I2"/>
    <mergeCell ref="A4:I4"/>
    <mergeCell ref="A6:I6"/>
    <mergeCell ref="H22:I22"/>
  </mergeCells>
  <phoneticPr fontId="5" type="noConversion"/>
  <hyperlinks>
    <hyperlink ref="H22" location="'TABLA DE CONTENIDO'!A1" display="VOLVER A TABLA DE CONTENIDO" xr:uid="{00000000-0004-0000-0E00-000000000000}"/>
  </hyperlinks>
  <printOptions horizontalCentered="1" verticalCentered="1"/>
  <pageMargins left="0.39370078740157483" right="0.47244094488188981" top="0.78740157480314965" bottom="0.98425196850393704" header="0.51181102362204722" footer="0.51181102362204722"/>
  <pageSetup scale="84" orientation="landscape" horizontalDpi="120" verticalDpi="144" r:id="rId1"/>
  <headerFooter alignWithMargins="0"/>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pageSetUpPr fitToPage="1"/>
  </sheetPr>
  <dimension ref="A1:N26"/>
  <sheetViews>
    <sheetView workbookViewId="0">
      <selection activeCell="M9" sqref="M9"/>
    </sheetView>
  </sheetViews>
  <sheetFormatPr defaultColWidth="11.42578125" defaultRowHeight="12.75"/>
  <cols>
    <col min="1" max="1" width="5.28515625" customWidth="1"/>
    <col min="2" max="2" width="16.5703125" customWidth="1"/>
    <col min="3" max="3" width="12.140625" customWidth="1"/>
    <col min="4" max="5" width="10.7109375" customWidth="1"/>
    <col min="6" max="6" width="21.85546875" customWidth="1"/>
    <col min="7" max="7" width="8.140625" customWidth="1"/>
    <col min="8" max="9" width="7.28515625" customWidth="1"/>
    <col min="10" max="10" width="8" customWidth="1"/>
    <col min="11" max="11" width="6.28515625" customWidth="1"/>
    <col min="12" max="12" width="8.85546875" customWidth="1"/>
    <col min="13" max="13" width="8.7109375" customWidth="1"/>
    <col min="14" max="14" width="49.42578125" customWidth="1"/>
  </cols>
  <sheetData>
    <row r="1" spans="1:14" s="33" customFormat="1" ht="23.25">
      <c r="A1" s="1228" t="s">
        <v>1</v>
      </c>
      <c r="B1" s="1228"/>
      <c r="C1" s="1228"/>
      <c r="D1" s="1228"/>
      <c r="E1" s="1228"/>
      <c r="F1" s="1228"/>
      <c r="G1" s="1228"/>
      <c r="H1" s="1228"/>
      <c r="I1" s="1228"/>
      <c r="J1" s="1228"/>
      <c r="K1" s="1228"/>
      <c r="L1" s="1228"/>
      <c r="M1" s="1228"/>
      <c r="N1" s="1228"/>
    </row>
    <row r="2" spans="1:14" s="33" customFormat="1" ht="18">
      <c r="A2" s="1229" t="s">
        <v>84</v>
      </c>
      <c r="B2" s="1229"/>
      <c r="C2" s="1229"/>
      <c r="D2" s="1229"/>
      <c r="E2" s="1229"/>
      <c r="F2" s="1229"/>
      <c r="G2" s="1229"/>
      <c r="H2" s="1229"/>
      <c r="I2" s="1229"/>
      <c r="J2" s="1229"/>
      <c r="K2" s="1229"/>
      <c r="L2" s="1229"/>
      <c r="M2" s="1229"/>
      <c r="N2" s="1229"/>
    </row>
    <row r="3" spans="1:14" s="33" customFormat="1" ht="12.75" customHeight="1">
      <c r="A3" s="43"/>
      <c r="B3" s="44"/>
      <c r="C3" s="44"/>
      <c r="D3" s="32"/>
      <c r="E3" s="32"/>
      <c r="F3" s="32"/>
      <c r="G3" s="32"/>
      <c r="H3" s="32"/>
      <c r="I3" s="32"/>
      <c r="J3" s="32"/>
      <c r="K3" s="32"/>
      <c r="L3" s="32"/>
      <c r="M3" s="32"/>
      <c r="N3" s="32"/>
    </row>
    <row r="4" spans="1:14" s="33" customFormat="1" ht="18" customHeight="1">
      <c r="A4" s="1229" t="s">
        <v>759</v>
      </c>
      <c r="B4" s="1229"/>
      <c r="C4" s="1229"/>
      <c r="D4" s="1229"/>
      <c r="E4" s="1229"/>
      <c r="F4" s="1229"/>
      <c r="G4" s="1229"/>
      <c r="H4" s="1229"/>
      <c r="I4" s="1229"/>
      <c r="J4" s="1229"/>
      <c r="K4" s="1229"/>
      <c r="L4" s="1229"/>
      <c r="M4" s="1229"/>
      <c r="N4" s="1229"/>
    </row>
    <row r="5" spans="1:14" s="33" customFormat="1">
      <c r="A5" s="50"/>
      <c r="B5" s="50"/>
      <c r="C5" s="50"/>
      <c r="M5" s="41"/>
    </row>
    <row r="6" spans="1:14" s="33" customFormat="1" ht="18">
      <c r="A6" s="1229" t="s">
        <v>760</v>
      </c>
      <c r="B6" s="1229"/>
      <c r="C6" s="1229"/>
      <c r="D6" s="1229"/>
      <c r="E6" s="1229"/>
      <c r="F6" s="1229"/>
      <c r="G6" s="1229"/>
      <c r="H6" s="1229"/>
      <c r="I6" s="1229"/>
      <c r="J6" s="1229"/>
      <c r="K6" s="1229"/>
      <c r="L6" s="1229"/>
      <c r="M6" s="1229"/>
      <c r="N6" s="1229"/>
    </row>
    <row r="7" spans="1:14" s="33" customFormat="1">
      <c r="K7" s="41"/>
      <c r="L7" s="41"/>
      <c r="M7" s="41"/>
      <c r="N7" s="41"/>
    </row>
    <row r="8" spans="1:14" s="33" customFormat="1">
      <c r="A8" s="175" t="s">
        <v>130</v>
      </c>
      <c r="D8" s="310" t="s">
        <v>88</v>
      </c>
      <c r="E8" s="310"/>
      <c r="F8" s="310"/>
      <c r="G8" s="310"/>
      <c r="H8" s="310"/>
      <c r="J8" s="92" t="s">
        <v>160</v>
      </c>
      <c r="M8" s="310" t="s">
        <v>761</v>
      </c>
      <c r="N8" s="310"/>
    </row>
    <row r="10" spans="1:14" s="24" customFormat="1" ht="21.75" customHeight="1">
      <c r="A10" s="1357" t="s">
        <v>762</v>
      </c>
      <c r="B10" s="1359" t="s">
        <v>763</v>
      </c>
      <c r="C10" s="1357" t="s">
        <v>374</v>
      </c>
      <c r="D10" s="1357" t="s">
        <v>375</v>
      </c>
      <c r="E10" s="1359" t="s">
        <v>764</v>
      </c>
      <c r="F10" s="1357" t="s">
        <v>106</v>
      </c>
      <c r="G10" s="1359" t="s">
        <v>765</v>
      </c>
      <c r="H10" s="1362" t="s">
        <v>766</v>
      </c>
      <c r="I10" s="1363"/>
      <c r="J10" s="1364" t="s">
        <v>767</v>
      </c>
      <c r="K10" s="1365"/>
      <c r="L10" s="1365"/>
      <c r="M10" s="1366"/>
      <c r="N10" s="1357" t="s">
        <v>113</v>
      </c>
    </row>
    <row r="11" spans="1:14" s="24" customFormat="1" ht="37.5" customHeight="1">
      <c r="A11" s="1358"/>
      <c r="B11" s="1360"/>
      <c r="C11" s="1358"/>
      <c r="D11" s="1358"/>
      <c r="E11" s="1360"/>
      <c r="F11" s="1358"/>
      <c r="G11" s="1360"/>
      <c r="H11" s="53" t="s">
        <v>768</v>
      </c>
      <c r="I11" s="386" t="s">
        <v>769</v>
      </c>
      <c r="J11" s="386" t="s">
        <v>770</v>
      </c>
      <c r="K11" s="386" t="s">
        <v>771</v>
      </c>
      <c r="L11" s="386" t="s">
        <v>772</v>
      </c>
      <c r="M11" s="386" t="s">
        <v>773</v>
      </c>
      <c r="N11" s="1367"/>
    </row>
    <row r="12" spans="1:14" s="24" customFormat="1" ht="60">
      <c r="A12" s="878">
        <v>1</v>
      </c>
      <c r="B12" s="879" t="s">
        <v>774</v>
      </c>
      <c r="C12" s="880" t="s">
        <v>775</v>
      </c>
      <c r="D12" s="880" t="s">
        <v>776</v>
      </c>
      <c r="E12" s="881">
        <v>13.45</v>
      </c>
      <c r="F12" s="882" t="s">
        <v>117</v>
      </c>
      <c r="G12" s="882">
        <v>5601</v>
      </c>
      <c r="H12" s="883" t="s">
        <v>777</v>
      </c>
      <c r="I12" s="884"/>
      <c r="J12" s="885"/>
      <c r="K12" s="878"/>
      <c r="L12" s="878"/>
      <c r="M12" s="878"/>
      <c r="N12" s="886" t="s">
        <v>778</v>
      </c>
    </row>
    <row r="13" spans="1:14" s="24" customFormat="1" ht="36">
      <c r="A13" s="878">
        <v>2</v>
      </c>
      <c r="B13" s="879" t="s">
        <v>779</v>
      </c>
      <c r="C13" s="880" t="s">
        <v>780</v>
      </c>
      <c r="D13" s="880" t="s">
        <v>781</v>
      </c>
      <c r="E13" s="881">
        <v>14</v>
      </c>
      <c r="F13" s="887" t="s">
        <v>117</v>
      </c>
      <c r="G13" s="887">
        <v>5601</v>
      </c>
      <c r="H13" s="883" t="s">
        <v>777</v>
      </c>
      <c r="I13" s="884"/>
      <c r="J13" s="878"/>
      <c r="K13" s="885"/>
      <c r="L13" s="878"/>
      <c r="M13" s="878"/>
      <c r="N13" s="886" t="s">
        <v>782</v>
      </c>
    </row>
    <row r="14" spans="1:14" s="24" customFormat="1" ht="24">
      <c r="A14" s="878">
        <v>3</v>
      </c>
      <c r="B14" s="879" t="s">
        <v>783</v>
      </c>
      <c r="C14" s="880" t="s">
        <v>784</v>
      </c>
      <c r="D14" s="880" t="s">
        <v>785</v>
      </c>
      <c r="E14" s="881">
        <v>9.8000000000000007</v>
      </c>
      <c r="F14" s="887" t="s">
        <v>117</v>
      </c>
      <c r="G14" s="887">
        <v>5601</v>
      </c>
      <c r="H14" s="883" t="s">
        <v>777</v>
      </c>
      <c r="I14" s="884"/>
      <c r="J14" s="878"/>
      <c r="K14" s="878"/>
      <c r="L14" s="878"/>
      <c r="M14" s="878"/>
      <c r="N14" s="886" t="s">
        <v>786</v>
      </c>
    </row>
    <row r="15" spans="1:14" s="24" customFormat="1" ht="24">
      <c r="A15" s="878">
        <v>4</v>
      </c>
      <c r="B15" s="879" t="s">
        <v>787</v>
      </c>
      <c r="C15" s="880" t="s">
        <v>788</v>
      </c>
      <c r="D15" s="880" t="s">
        <v>789</v>
      </c>
      <c r="E15" s="881">
        <v>9</v>
      </c>
      <c r="F15" s="887" t="s">
        <v>117</v>
      </c>
      <c r="G15" s="887">
        <v>5601</v>
      </c>
      <c r="H15" s="883" t="s">
        <v>777</v>
      </c>
      <c r="I15" s="884"/>
      <c r="J15" s="878"/>
      <c r="K15" s="878"/>
      <c r="L15" s="878"/>
      <c r="M15" s="878"/>
      <c r="N15" s="886" t="s">
        <v>790</v>
      </c>
    </row>
    <row r="16" spans="1:14" s="24" customFormat="1" ht="48">
      <c r="A16" s="888">
        <v>5</v>
      </c>
      <c r="B16" s="879" t="s">
        <v>791</v>
      </c>
      <c r="C16" s="880" t="s">
        <v>792</v>
      </c>
      <c r="D16" s="880" t="s">
        <v>793</v>
      </c>
      <c r="E16" s="881">
        <v>11.2</v>
      </c>
      <c r="F16" s="887" t="s">
        <v>117</v>
      </c>
      <c r="G16" s="887">
        <v>5601</v>
      </c>
      <c r="H16" s="883" t="s">
        <v>777</v>
      </c>
      <c r="I16" s="884"/>
      <c r="J16" s="878"/>
      <c r="K16" s="878"/>
      <c r="L16" s="878"/>
      <c r="M16" s="878"/>
      <c r="N16" s="886" t="s">
        <v>794</v>
      </c>
    </row>
    <row r="17" spans="1:14" s="24" customFormat="1" ht="72">
      <c r="A17" s="889">
        <v>6</v>
      </c>
      <c r="B17" s="879" t="s">
        <v>795</v>
      </c>
      <c r="C17" s="880" t="s">
        <v>341</v>
      </c>
      <c r="D17" s="880" t="s">
        <v>796</v>
      </c>
      <c r="E17" s="881">
        <v>11</v>
      </c>
      <c r="F17" s="887" t="s">
        <v>117</v>
      </c>
      <c r="G17" s="887">
        <v>5601</v>
      </c>
      <c r="H17" s="883" t="s">
        <v>777</v>
      </c>
      <c r="I17" s="884"/>
      <c r="J17" s="890"/>
      <c r="K17" s="891"/>
      <c r="L17" s="878"/>
      <c r="M17" s="891"/>
      <c r="N17" s="892" t="s">
        <v>797</v>
      </c>
    </row>
    <row r="18" spans="1:14" s="24" customFormat="1" ht="36">
      <c r="A18" s="1540">
        <v>7</v>
      </c>
      <c r="B18" s="879" t="s">
        <v>798</v>
      </c>
      <c r="C18" s="880" t="s">
        <v>799</v>
      </c>
      <c r="D18" s="880" t="s">
        <v>800</v>
      </c>
      <c r="E18" s="881">
        <v>11.5</v>
      </c>
      <c r="F18" s="887" t="s">
        <v>117</v>
      </c>
      <c r="G18" s="887">
        <v>5601</v>
      </c>
      <c r="H18" s="883" t="s">
        <v>777</v>
      </c>
      <c r="I18" s="884"/>
      <c r="J18" s="878"/>
      <c r="K18" s="885"/>
      <c r="L18" s="878"/>
      <c r="M18" s="878"/>
      <c r="N18" s="886" t="s">
        <v>801</v>
      </c>
    </row>
    <row r="19" spans="1:14" s="24" customFormat="1" ht="48">
      <c r="A19" s="1540">
        <v>8</v>
      </c>
      <c r="B19" s="879" t="s">
        <v>802</v>
      </c>
      <c r="C19" s="880" t="s">
        <v>803</v>
      </c>
      <c r="D19" s="880" t="s">
        <v>804</v>
      </c>
      <c r="E19" s="881">
        <v>23</v>
      </c>
      <c r="F19" s="887" t="s">
        <v>117</v>
      </c>
      <c r="G19" s="887">
        <v>5601</v>
      </c>
      <c r="H19" s="883" t="s">
        <v>777</v>
      </c>
      <c r="I19" s="884"/>
      <c r="J19" s="878"/>
      <c r="K19" s="878"/>
      <c r="L19" s="893"/>
      <c r="M19" s="878"/>
      <c r="N19" s="886" t="s">
        <v>805</v>
      </c>
    </row>
    <row r="20" spans="1:14">
      <c r="A20" s="10"/>
      <c r="N20" s="7"/>
    </row>
    <row r="21" spans="1:14">
      <c r="A21" s="10"/>
      <c r="B21" s="177" t="s">
        <v>806</v>
      </c>
      <c r="C21" s="177"/>
      <c r="N21" s="7"/>
    </row>
    <row r="22" spans="1:14">
      <c r="A22" s="10"/>
      <c r="B22" s="1541" t="s">
        <v>807</v>
      </c>
      <c r="C22" s="1541"/>
      <c r="D22" s="29"/>
      <c r="E22" s="29"/>
      <c r="F22" s="315" t="s">
        <v>808</v>
      </c>
      <c r="G22" s="1356" t="s">
        <v>809</v>
      </c>
      <c r="H22" s="1356"/>
      <c r="I22" s="1356"/>
      <c r="J22" s="1361" t="s">
        <v>810</v>
      </c>
      <c r="K22" s="1361"/>
      <c r="L22" s="1361"/>
      <c r="M22" s="316" t="s">
        <v>811</v>
      </c>
      <c r="N22" s="317" t="s">
        <v>812</v>
      </c>
    </row>
    <row r="23" spans="1:14">
      <c r="A23" s="8"/>
      <c r="B23" s="3"/>
      <c r="C23" s="3"/>
      <c r="D23" s="3"/>
      <c r="E23" s="3"/>
      <c r="F23" s="3"/>
      <c r="G23" s="3"/>
      <c r="H23" s="3"/>
      <c r="I23" s="3"/>
      <c r="J23" s="3"/>
      <c r="K23" s="3"/>
      <c r="L23" s="3"/>
      <c r="M23" s="3"/>
      <c r="N23" s="4"/>
    </row>
    <row r="25" spans="1:14">
      <c r="A25" s="63" t="s">
        <v>813</v>
      </c>
    </row>
    <row r="26" spans="1:14">
      <c r="L26" s="1231" t="s">
        <v>126</v>
      </c>
      <c r="M26" s="1231"/>
      <c r="N26" s="1231"/>
    </row>
  </sheetData>
  <mergeCells count="17">
    <mergeCell ref="A1:N1"/>
    <mergeCell ref="A2:N2"/>
    <mergeCell ref="A4:N4"/>
    <mergeCell ref="A6:N6"/>
    <mergeCell ref="H10:I10"/>
    <mergeCell ref="J10:M10"/>
    <mergeCell ref="N10:N11"/>
    <mergeCell ref="F10:F11"/>
    <mergeCell ref="D10:D11"/>
    <mergeCell ref="B10:B11"/>
    <mergeCell ref="A10:A11"/>
    <mergeCell ref="G10:G11"/>
    <mergeCell ref="G22:I22"/>
    <mergeCell ref="L26:N26"/>
    <mergeCell ref="C10:C11"/>
    <mergeCell ref="E10:E11"/>
    <mergeCell ref="J22:L22"/>
  </mergeCells>
  <phoneticPr fontId="5" type="noConversion"/>
  <hyperlinks>
    <hyperlink ref="L26" location="'TABLA DE CONTENIDO'!A1" display="VOLVER A TABLA DE CONTENIDO" xr:uid="{00000000-0004-0000-0F00-000000000000}"/>
  </hyperlinks>
  <printOptions horizontalCentered="1" verticalCentered="1"/>
  <pageMargins left="0.51181102362204722" right="0.59055118110236227" top="0.78740157480314965" bottom="0.98425196850393704" header="0.51181102362204722" footer="0.51181102362204722"/>
  <pageSetup scale="71" orientation="landscape" r:id="rId1"/>
  <headerFooter alignWithMargins="0"/>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pageSetUpPr fitToPage="1"/>
  </sheetPr>
  <dimension ref="A1:O29"/>
  <sheetViews>
    <sheetView topLeftCell="F1" workbookViewId="0">
      <selection activeCell="L9" sqref="L9"/>
    </sheetView>
  </sheetViews>
  <sheetFormatPr defaultColWidth="11.42578125" defaultRowHeight="12.75"/>
  <cols>
    <col min="1" max="1" width="5" customWidth="1"/>
    <col min="2" max="2" width="13.28515625" customWidth="1"/>
    <col min="3" max="3" width="10.140625" customWidth="1"/>
    <col min="4" max="4" width="14.28515625" customWidth="1"/>
    <col min="5" max="5" width="14.140625" bestFit="1" customWidth="1"/>
    <col min="7" max="7" width="10.5703125" customWidth="1"/>
    <col min="8" max="8" width="19.28515625" customWidth="1"/>
    <col min="12" max="12" width="14.28515625" bestFit="1" customWidth="1"/>
    <col min="13" max="13" width="16.28515625" customWidth="1"/>
    <col min="14" max="14" width="19.140625" customWidth="1"/>
    <col min="15" max="15" width="17.140625" bestFit="1" customWidth="1"/>
  </cols>
  <sheetData>
    <row r="1" spans="1:15" ht="23.25">
      <c r="A1" s="1228" t="s">
        <v>1</v>
      </c>
      <c r="B1" s="1228"/>
      <c r="C1" s="1228"/>
      <c r="D1" s="1228"/>
      <c r="E1" s="1228"/>
      <c r="F1" s="1228"/>
      <c r="G1" s="1228"/>
      <c r="H1" s="1228"/>
      <c r="I1" s="1228"/>
      <c r="J1" s="1228"/>
      <c r="K1" s="1228"/>
      <c r="L1" s="1228"/>
      <c r="M1" s="1228"/>
      <c r="N1" s="1228"/>
      <c r="O1" s="1228"/>
    </row>
    <row r="2" spans="1:15" ht="18">
      <c r="A2" s="1229" t="s">
        <v>84</v>
      </c>
      <c r="B2" s="1229"/>
      <c r="C2" s="1229"/>
      <c r="D2" s="1229"/>
      <c r="E2" s="1229"/>
      <c r="F2" s="1229"/>
      <c r="G2" s="1229"/>
      <c r="H2" s="1229"/>
      <c r="I2" s="1229"/>
      <c r="J2" s="1229"/>
      <c r="K2" s="1229"/>
      <c r="L2" s="1229"/>
      <c r="M2" s="1229"/>
      <c r="N2" s="1229"/>
      <c r="O2" s="1229"/>
    </row>
    <row r="3" spans="1:15" ht="18">
      <c r="A3" s="1229" t="s">
        <v>814</v>
      </c>
      <c r="B3" s="1229"/>
      <c r="C3" s="1229"/>
      <c r="D3" s="1229"/>
      <c r="E3" s="1229"/>
      <c r="F3" s="1229"/>
      <c r="G3" s="1229"/>
      <c r="H3" s="1229"/>
      <c r="I3" s="1229"/>
      <c r="J3" s="1229"/>
      <c r="K3" s="1229"/>
      <c r="L3" s="1229"/>
      <c r="M3" s="1229"/>
      <c r="N3" s="1229"/>
      <c r="O3" s="1229"/>
    </row>
    <row r="4" spans="1:15">
      <c r="A4" s="44"/>
      <c r="B4" s="44"/>
      <c r="C4" s="44"/>
      <c r="D4" s="37"/>
      <c r="E4" s="37"/>
      <c r="F4" s="37"/>
      <c r="G4" s="37"/>
    </row>
    <row r="5" spans="1:15" ht="18">
      <c r="A5" s="1229" t="s">
        <v>815</v>
      </c>
      <c r="B5" s="1229"/>
      <c r="C5" s="1229"/>
      <c r="D5" s="1229"/>
      <c r="E5" s="1229"/>
      <c r="F5" s="1229"/>
      <c r="G5" s="1229"/>
      <c r="H5" s="1229"/>
      <c r="I5" s="1229"/>
      <c r="J5" s="1229"/>
      <c r="K5" s="1229"/>
      <c r="L5" s="1229"/>
      <c r="M5" s="1229"/>
      <c r="N5" s="1229"/>
      <c r="O5" s="1229"/>
    </row>
    <row r="6" spans="1:15">
      <c r="A6" s="44"/>
      <c r="B6" s="44"/>
      <c r="C6" s="44"/>
      <c r="D6" s="37"/>
      <c r="E6" s="37"/>
      <c r="F6" s="37"/>
      <c r="G6" s="37"/>
    </row>
    <row r="7" spans="1:15">
      <c r="C7" s="50"/>
      <c r="D7" s="38"/>
      <c r="E7" s="38"/>
      <c r="G7" s="38"/>
    </row>
    <row r="8" spans="1:15">
      <c r="A8" s="175" t="s">
        <v>130</v>
      </c>
      <c r="B8" s="50"/>
      <c r="C8" s="50"/>
      <c r="D8" s="312" t="s">
        <v>88</v>
      </c>
      <c r="E8" s="312"/>
      <c r="F8" s="312"/>
      <c r="G8" s="313"/>
      <c r="I8" s="92" t="s">
        <v>160</v>
      </c>
      <c r="J8" s="92"/>
      <c r="L8" s="430" t="s">
        <v>816</v>
      </c>
      <c r="M8" s="3"/>
      <c r="N8" s="3"/>
    </row>
    <row r="9" spans="1:15" ht="13.5" thickBot="1">
      <c r="L9" s="20"/>
    </row>
    <row r="10" spans="1:15" ht="18" customHeight="1">
      <c r="A10" s="1542" t="s">
        <v>762</v>
      </c>
      <c r="B10" s="1543" t="s">
        <v>817</v>
      </c>
      <c r="C10" s="1544" t="s">
        <v>818</v>
      </c>
      <c r="D10" s="1544" t="s">
        <v>763</v>
      </c>
      <c r="E10" s="1543" t="s">
        <v>819</v>
      </c>
      <c r="F10" s="1543" t="s">
        <v>820</v>
      </c>
      <c r="G10" s="1544" t="s">
        <v>821</v>
      </c>
      <c r="H10" s="1544" t="s">
        <v>106</v>
      </c>
      <c r="I10" s="1544" t="s">
        <v>374</v>
      </c>
      <c r="J10" s="1544" t="s">
        <v>375</v>
      </c>
      <c r="K10" s="1544" t="s">
        <v>822</v>
      </c>
      <c r="L10" s="1544" t="s">
        <v>823</v>
      </c>
      <c r="M10" s="1545" t="s">
        <v>824</v>
      </c>
      <c r="N10" s="1546"/>
      <c r="O10" s="1544" t="s">
        <v>113</v>
      </c>
    </row>
    <row r="11" spans="1:15" ht="21" customHeight="1">
      <c r="A11" s="1547"/>
      <c r="B11" s="1548"/>
      <c r="C11" s="1549"/>
      <c r="D11" s="1549"/>
      <c r="E11" s="1548"/>
      <c r="F11" s="1548"/>
      <c r="G11" s="1549"/>
      <c r="H11" s="1549"/>
      <c r="I11" s="1549"/>
      <c r="J11" s="1549"/>
      <c r="K11" s="1549"/>
      <c r="L11" s="1549"/>
      <c r="M11" s="1550" t="s">
        <v>825</v>
      </c>
      <c r="N11" s="1551"/>
      <c r="O11" s="1549"/>
    </row>
    <row r="12" spans="1:15" ht="19.5" customHeight="1">
      <c r="A12" s="1552"/>
      <c r="B12" s="1553"/>
      <c r="C12" s="1554"/>
      <c r="D12" s="1554"/>
      <c r="E12" s="1553"/>
      <c r="F12" s="1553"/>
      <c r="G12" s="1554"/>
      <c r="H12" s="1554"/>
      <c r="I12" s="1554"/>
      <c r="J12" s="1554"/>
      <c r="K12" s="1554"/>
      <c r="L12" s="1554"/>
      <c r="M12" s="1555" t="s">
        <v>826</v>
      </c>
      <c r="N12" s="1556" t="s">
        <v>827</v>
      </c>
      <c r="O12" s="1554"/>
    </row>
    <row r="13" spans="1:15" ht="60">
      <c r="A13" s="894">
        <v>1</v>
      </c>
      <c r="B13" s="895" t="s">
        <v>828</v>
      </c>
      <c r="C13" s="896" t="s">
        <v>829</v>
      </c>
      <c r="D13" s="897" t="s">
        <v>774</v>
      </c>
      <c r="E13" s="898">
        <v>2</v>
      </c>
      <c r="F13" s="898">
        <v>1935</v>
      </c>
      <c r="G13" s="898">
        <v>13.5</v>
      </c>
      <c r="H13" s="899" t="s">
        <v>117</v>
      </c>
      <c r="I13" s="895" t="s">
        <v>775</v>
      </c>
      <c r="J13" s="880" t="s">
        <v>776</v>
      </c>
      <c r="K13" s="899" t="s">
        <v>830</v>
      </c>
      <c r="L13" s="900" t="s">
        <v>831</v>
      </c>
      <c r="M13" s="899"/>
      <c r="N13" s="1077">
        <f>+'CANT OBRA'!H1082</f>
        <v>63691075</v>
      </c>
      <c r="O13" s="901"/>
    </row>
    <row r="14" spans="1:15" ht="48">
      <c r="A14" s="894">
        <v>2</v>
      </c>
      <c r="B14" s="895" t="s">
        <v>828</v>
      </c>
      <c r="C14" s="896" t="s">
        <v>832</v>
      </c>
      <c r="D14" s="897" t="s">
        <v>779</v>
      </c>
      <c r="E14" s="898">
        <v>2</v>
      </c>
      <c r="F14" s="898">
        <v>1935</v>
      </c>
      <c r="G14" s="898">
        <v>14</v>
      </c>
      <c r="H14" s="899" t="s">
        <v>117</v>
      </c>
      <c r="I14" s="895" t="s">
        <v>780</v>
      </c>
      <c r="J14" s="880" t="s">
        <v>781</v>
      </c>
      <c r="K14" s="899" t="s">
        <v>833</v>
      </c>
      <c r="L14" s="900" t="s">
        <v>834</v>
      </c>
      <c r="M14" s="899"/>
      <c r="N14" s="1077">
        <f>+'CANT OBRA'!H1094</f>
        <v>182009079</v>
      </c>
      <c r="O14" s="901" t="s">
        <v>835</v>
      </c>
    </row>
    <row r="15" spans="1:15" ht="38.1" customHeight="1">
      <c r="A15" s="894">
        <v>3</v>
      </c>
      <c r="B15" s="895" t="s">
        <v>828</v>
      </c>
      <c r="C15" s="896"/>
      <c r="D15" s="897" t="s">
        <v>787</v>
      </c>
      <c r="E15" s="898">
        <v>2</v>
      </c>
      <c r="F15" s="898">
        <v>511</v>
      </c>
      <c r="G15" s="898">
        <v>9</v>
      </c>
      <c r="H15" s="899" t="s">
        <v>117</v>
      </c>
      <c r="I15" s="895" t="s">
        <v>788</v>
      </c>
      <c r="J15" s="880" t="s">
        <v>789</v>
      </c>
      <c r="K15" s="899" t="s">
        <v>830</v>
      </c>
      <c r="L15" s="900" t="s">
        <v>836</v>
      </c>
      <c r="M15" s="899"/>
      <c r="N15" s="1077">
        <f>+'CANT OBRA'!H1108</f>
        <v>9618035</v>
      </c>
      <c r="O15" s="901" t="s">
        <v>837</v>
      </c>
    </row>
    <row r="16" spans="1:15" ht="24">
      <c r="A16" s="894">
        <v>4</v>
      </c>
      <c r="B16" s="895" t="s">
        <v>828</v>
      </c>
      <c r="C16" s="896" t="s">
        <v>838</v>
      </c>
      <c r="D16" s="897" t="s">
        <v>791</v>
      </c>
      <c r="E16" s="898">
        <v>2</v>
      </c>
      <c r="F16" s="898">
        <v>511</v>
      </c>
      <c r="G16" s="898">
        <v>11.2</v>
      </c>
      <c r="H16" s="899" t="s">
        <v>117</v>
      </c>
      <c r="I16" s="895" t="s">
        <v>792</v>
      </c>
      <c r="J16" s="880" t="s">
        <v>793</v>
      </c>
      <c r="K16" s="899" t="s">
        <v>839</v>
      </c>
      <c r="L16" s="900" t="s">
        <v>840</v>
      </c>
      <c r="M16" s="899"/>
      <c r="N16" s="1077">
        <f>+'CANT OBRA'!H1116</f>
        <v>5246482</v>
      </c>
      <c r="O16" s="901" t="s">
        <v>841</v>
      </c>
    </row>
    <row r="17" spans="1:15" ht="124.5" customHeight="1">
      <c r="A17" s="894">
        <v>5</v>
      </c>
      <c r="B17" s="895" t="s">
        <v>828</v>
      </c>
      <c r="C17" s="896" t="s">
        <v>842</v>
      </c>
      <c r="D17" s="897" t="s">
        <v>795</v>
      </c>
      <c r="E17" s="898">
        <v>4</v>
      </c>
      <c r="F17" s="898">
        <v>511</v>
      </c>
      <c r="G17" s="898">
        <v>11</v>
      </c>
      <c r="H17" s="899" t="s">
        <v>117</v>
      </c>
      <c r="I17" s="895" t="s">
        <v>341</v>
      </c>
      <c r="J17" s="880" t="s">
        <v>796</v>
      </c>
      <c r="K17" s="899" t="s">
        <v>843</v>
      </c>
      <c r="L17" s="900" t="s">
        <v>844</v>
      </c>
      <c r="M17" s="902">
        <f>+'CANT OBRA'!I1189</f>
        <v>24514000</v>
      </c>
      <c r="N17" s="1077">
        <f>+'CANT OBRA'!H1131</f>
        <v>193425180</v>
      </c>
      <c r="O17" s="901" t="s">
        <v>845</v>
      </c>
    </row>
    <row r="18" spans="1:15" ht="60">
      <c r="A18" s="894">
        <v>6</v>
      </c>
      <c r="B18" s="895" t="s">
        <v>828</v>
      </c>
      <c r="C18" s="896" t="s">
        <v>846</v>
      </c>
      <c r="D18" s="899" t="s">
        <v>798</v>
      </c>
      <c r="E18" s="898">
        <v>2</v>
      </c>
      <c r="F18" s="898">
        <v>511</v>
      </c>
      <c r="G18" s="898">
        <v>11.5</v>
      </c>
      <c r="H18" s="899" t="s">
        <v>117</v>
      </c>
      <c r="I18" s="895" t="s">
        <v>799</v>
      </c>
      <c r="J18" s="880" t="s">
        <v>800</v>
      </c>
      <c r="K18" s="899" t="s">
        <v>833</v>
      </c>
      <c r="L18" s="900" t="s">
        <v>847</v>
      </c>
      <c r="M18" s="899"/>
      <c r="N18" s="1077">
        <f>+'CANT OBRA'!H1136</f>
        <v>11502040</v>
      </c>
      <c r="O18" s="901" t="s">
        <v>848</v>
      </c>
    </row>
    <row r="19" spans="1:15" ht="18" customHeight="1">
      <c r="A19" s="257"/>
      <c r="B19" s="257"/>
      <c r="C19" s="258"/>
      <c r="D19" s="259"/>
      <c r="E19" s="260"/>
      <c r="F19" s="260"/>
      <c r="G19" s="260"/>
      <c r="H19" s="257"/>
      <c r="I19" s="260"/>
      <c r="J19" s="260"/>
      <c r="K19" s="259"/>
      <c r="L19" s="261"/>
      <c r="M19" s="260"/>
      <c r="N19" s="260"/>
      <c r="O19" s="262"/>
    </row>
    <row r="20" spans="1:15" ht="18" customHeight="1">
      <c r="A20" s="263"/>
      <c r="B20" s="257"/>
      <c r="C20" s="265"/>
      <c r="D20" s="257"/>
      <c r="E20" s="266"/>
      <c r="F20" s="266"/>
      <c r="G20" s="266"/>
      <c r="H20" s="257"/>
      <c r="I20" s="266"/>
      <c r="J20" s="266"/>
      <c r="K20" s="264"/>
      <c r="L20" s="264"/>
      <c r="M20" s="260"/>
      <c r="N20" s="270"/>
      <c r="O20" s="262"/>
    </row>
    <row r="21" spans="1:15" ht="18" customHeight="1">
      <c r="A21" s="263"/>
      <c r="B21" s="257"/>
      <c r="C21" s="265"/>
      <c r="D21" s="257"/>
      <c r="E21" s="266"/>
      <c r="F21" s="266"/>
      <c r="G21" s="266"/>
      <c r="H21" s="257"/>
      <c r="I21" s="266"/>
      <c r="J21" s="266"/>
      <c r="K21" s="264"/>
      <c r="L21" s="264"/>
      <c r="M21" s="260"/>
      <c r="N21" s="270"/>
      <c r="O21" s="262"/>
    </row>
    <row r="22" spans="1:15" ht="18" customHeight="1">
      <c r="A22" s="263"/>
      <c r="B22" s="263"/>
      <c r="C22" s="269"/>
      <c r="D22" s="269"/>
      <c r="E22" s="268"/>
      <c r="F22" s="268"/>
      <c r="G22" s="268"/>
      <c r="H22" s="267"/>
      <c r="I22" s="268"/>
      <c r="J22" s="268"/>
      <c r="K22" s="267"/>
      <c r="L22" s="267"/>
      <c r="M22" s="268"/>
      <c r="N22" s="268"/>
      <c r="O22" s="271"/>
    </row>
    <row r="23" spans="1:15">
      <c r="A23" s="1557"/>
      <c r="B23" s="1557"/>
      <c r="C23" s="1557"/>
      <c r="D23" s="1557"/>
      <c r="E23" s="1557"/>
      <c r="F23" s="1557"/>
      <c r="G23" s="1557"/>
      <c r="H23" s="1557"/>
      <c r="I23" s="1557"/>
      <c r="J23" s="1557"/>
      <c r="K23" s="1557"/>
      <c r="L23" s="1557"/>
      <c r="M23" s="1558">
        <f>SUM(M17:M22)</f>
        <v>24514000</v>
      </c>
      <c r="N23" s="1558">
        <f>SUM(N13:N22)</f>
        <v>465491891</v>
      </c>
      <c r="O23" s="272"/>
    </row>
    <row r="24" spans="1:15" ht="27" customHeight="1">
      <c r="A24" s="1317" t="s">
        <v>425</v>
      </c>
      <c r="B24" s="1317"/>
      <c r="C24" s="1317"/>
      <c r="D24" s="1317"/>
      <c r="E24" s="1317"/>
      <c r="F24" s="1317"/>
      <c r="G24" s="1317"/>
      <c r="H24" s="1317"/>
      <c r="I24" s="1317"/>
      <c r="J24" s="1317"/>
      <c r="K24" s="1317"/>
      <c r="L24" s="1317"/>
      <c r="M24" s="1317"/>
      <c r="N24" s="1317"/>
      <c r="O24" s="1317"/>
    </row>
    <row r="25" spans="1:15">
      <c r="A25" s="1559"/>
      <c r="B25" s="1559"/>
      <c r="C25" s="1559"/>
      <c r="D25" s="1559"/>
      <c r="E25" s="1559"/>
      <c r="F25" s="1559"/>
      <c r="G25" s="1559"/>
      <c r="H25" s="1559"/>
      <c r="I25" s="1559"/>
      <c r="J25" s="1559"/>
      <c r="K25" s="1559"/>
      <c r="L25" s="1560" t="s">
        <v>849</v>
      </c>
      <c r="M25" s="1560"/>
      <c r="N25" s="1561">
        <f>0.2*(N23-N24)</f>
        <v>93098378.200000003</v>
      </c>
      <c r="O25" s="272"/>
    </row>
    <row r="26" spans="1:15" ht="13.5" thickBot="1">
      <c r="A26" s="1559"/>
      <c r="B26" s="1559"/>
      <c r="C26" s="1559"/>
      <c r="D26" s="1559"/>
      <c r="E26" s="1559"/>
      <c r="F26" s="1559"/>
      <c r="G26" s="1559"/>
      <c r="H26" s="1559"/>
      <c r="I26" s="1559"/>
      <c r="J26" s="1559"/>
      <c r="K26" s="1559"/>
      <c r="L26" s="1559"/>
      <c r="M26" s="1562"/>
      <c r="N26" s="1563"/>
      <c r="O26" s="272"/>
    </row>
    <row r="27" spans="1:15" ht="13.5" thickTop="1">
      <c r="A27" s="273"/>
      <c r="B27" s="272"/>
      <c r="C27" s="274"/>
      <c r="D27" s="272"/>
      <c r="E27" s="272"/>
      <c r="F27" s="272"/>
      <c r="G27" s="272"/>
      <c r="H27" s="272"/>
      <c r="I27" s="272"/>
      <c r="J27" s="272"/>
      <c r="K27" s="275"/>
      <c r="L27" s="1560" t="s">
        <v>850</v>
      </c>
      <c r="M27" s="1560"/>
      <c r="N27" s="1564">
        <f>+N23-N24+N25</f>
        <v>558590269.20000005</v>
      </c>
      <c r="O27" s="272"/>
    </row>
    <row r="29" spans="1:15">
      <c r="M29" s="1231" t="s">
        <v>126</v>
      </c>
      <c r="N29" s="1231"/>
      <c r="O29" s="1231"/>
    </row>
  </sheetData>
  <mergeCells count="24">
    <mergeCell ref="A1:O1"/>
    <mergeCell ref="A3:O3"/>
    <mergeCell ref="A23:L23"/>
    <mergeCell ref="A2:O2"/>
    <mergeCell ref="J10:J12"/>
    <mergeCell ref="G10:G12"/>
    <mergeCell ref="H10:H12"/>
    <mergeCell ref="M11:N11"/>
    <mergeCell ref="K10:K12"/>
    <mergeCell ref="L10:L12"/>
    <mergeCell ref="A5:O5"/>
    <mergeCell ref="M10:N10"/>
    <mergeCell ref="F10:F12"/>
    <mergeCell ref="O10:O12"/>
    <mergeCell ref="M29:O29"/>
    <mergeCell ref="A10:A12"/>
    <mergeCell ref="B10:B12"/>
    <mergeCell ref="C10:C12"/>
    <mergeCell ref="D10:D12"/>
    <mergeCell ref="E10:E12"/>
    <mergeCell ref="I10:I12"/>
    <mergeCell ref="A24:O24"/>
    <mergeCell ref="L27:M27"/>
    <mergeCell ref="L25:M25"/>
  </mergeCells>
  <phoneticPr fontId="5" type="noConversion"/>
  <hyperlinks>
    <hyperlink ref="M29" location="'TABLA DE CONTENIDO'!A1" display="VOLVER A TABLA DE CONTENIDO" xr:uid="{00000000-0004-0000-1000-000000000000}"/>
  </hyperlinks>
  <printOptions horizontalCentered="1" verticalCentered="1"/>
  <pageMargins left="0.43" right="0.34" top="0.98425196850393704" bottom="0.98425196850393704" header="0" footer="0"/>
  <pageSetup scale="10" orientation="landscape" horizontalDpi="300" verticalDpi="300"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pageSetUpPr fitToPage="1"/>
  </sheetPr>
  <dimension ref="A1:L28"/>
  <sheetViews>
    <sheetView topLeftCell="A4" workbookViewId="0">
      <selection activeCell="K10" sqref="K10"/>
    </sheetView>
  </sheetViews>
  <sheetFormatPr defaultColWidth="11.42578125" defaultRowHeight="12.75"/>
  <cols>
    <col min="1" max="1" width="5.5703125" customWidth="1"/>
    <col min="2" max="2" width="9.7109375" bestFit="1" customWidth="1"/>
    <col min="3" max="3" width="8.140625" bestFit="1" customWidth="1"/>
    <col min="4" max="4" width="22.28515625" customWidth="1"/>
    <col min="5" max="5" width="8.42578125" bestFit="1" customWidth="1"/>
    <col min="6" max="6" width="6.85546875" bestFit="1" customWidth="1"/>
    <col min="7" max="7" width="6.7109375" customWidth="1"/>
    <col min="8" max="8" width="8.5703125" customWidth="1"/>
    <col min="12" max="12" width="20" customWidth="1"/>
  </cols>
  <sheetData>
    <row r="1" spans="1:12" ht="23.25">
      <c r="A1" s="1228" t="s">
        <v>1</v>
      </c>
      <c r="B1" s="1228"/>
      <c r="C1" s="1228"/>
      <c r="D1" s="1228"/>
      <c r="E1" s="1228"/>
      <c r="F1" s="1228"/>
      <c r="G1" s="1228"/>
      <c r="H1" s="1228"/>
      <c r="I1" s="1228"/>
      <c r="J1" s="1228"/>
      <c r="K1" s="1228"/>
      <c r="L1" s="1228"/>
    </row>
    <row r="2" spans="1:12" ht="18">
      <c r="A2" s="1229" t="s">
        <v>84</v>
      </c>
      <c r="B2" s="1229"/>
      <c r="C2" s="1229"/>
      <c r="D2" s="1229"/>
      <c r="E2" s="1229"/>
      <c r="F2" s="1229"/>
      <c r="G2" s="1229"/>
      <c r="H2" s="1229"/>
      <c r="I2" s="1229"/>
      <c r="J2" s="1229"/>
      <c r="K2" s="1229"/>
      <c r="L2" s="1229"/>
    </row>
    <row r="3" spans="1:12" ht="18">
      <c r="A3" s="43"/>
      <c r="B3" s="44"/>
      <c r="C3" s="32"/>
      <c r="D3" s="32"/>
      <c r="E3" s="32"/>
      <c r="F3" s="32"/>
      <c r="G3" s="32"/>
      <c r="H3" s="32"/>
      <c r="I3" s="32"/>
      <c r="J3" s="32"/>
      <c r="K3" s="32"/>
      <c r="L3" s="32"/>
    </row>
    <row r="4" spans="1:12" s="93" customFormat="1" ht="18">
      <c r="A4" s="1229" t="s">
        <v>851</v>
      </c>
      <c r="B4" s="1229"/>
      <c r="C4" s="1229"/>
      <c r="D4" s="1229"/>
      <c r="E4" s="1229"/>
      <c r="F4" s="1229"/>
      <c r="G4" s="1229"/>
      <c r="H4" s="1229"/>
      <c r="I4" s="1229"/>
      <c r="J4" s="1229"/>
      <c r="K4" s="1229"/>
      <c r="L4" s="1229"/>
    </row>
    <row r="5" spans="1:12">
      <c r="A5" s="50"/>
      <c r="B5" s="50"/>
      <c r="C5" s="33"/>
      <c r="D5" s="33"/>
      <c r="E5" s="33"/>
      <c r="F5" s="33"/>
      <c r="G5" s="33"/>
      <c r="H5" s="33"/>
      <c r="I5" s="33"/>
      <c r="J5" s="33"/>
      <c r="K5" s="41"/>
      <c r="L5" s="33"/>
    </row>
    <row r="6" spans="1:12" ht="18">
      <c r="A6" s="1229" t="s">
        <v>852</v>
      </c>
      <c r="B6" s="1229"/>
      <c r="C6" s="1229"/>
      <c r="D6" s="1229"/>
      <c r="E6" s="1229"/>
      <c r="F6" s="1229"/>
      <c r="G6" s="1229"/>
      <c r="H6" s="1229"/>
      <c r="I6" s="1229"/>
      <c r="J6" s="1229"/>
      <c r="K6" s="1229"/>
      <c r="L6" s="1229"/>
    </row>
    <row r="7" spans="1:12" ht="18">
      <c r="A7" s="277"/>
      <c r="B7" s="277"/>
      <c r="C7" s="277"/>
      <c r="D7" s="277"/>
      <c r="E7" s="277"/>
      <c r="F7" s="277"/>
      <c r="G7" s="277"/>
      <c r="H7" s="277"/>
      <c r="I7" s="277"/>
      <c r="J7" s="277"/>
      <c r="K7" s="277"/>
      <c r="L7" s="277"/>
    </row>
    <row r="8" spans="1:12">
      <c r="A8" s="33"/>
      <c r="B8" s="33"/>
      <c r="C8" s="33"/>
      <c r="D8" s="33"/>
      <c r="E8" s="33"/>
      <c r="F8" s="33"/>
      <c r="G8" s="33"/>
      <c r="H8" s="33"/>
      <c r="I8" s="41"/>
      <c r="J8" s="41"/>
      <c r="K8" s="41"/>
      <c r="L8" s="41"/>
    </row>
    <row r="9" spans="1:12">
      <c r="A9" s="50" t="s">
        <v>130</v>
      </c>
      <c r="B9" s="33"/>
      <c r="C9" s="33"/>
      <c r="D9" s="33" t="s">
        <v>88</v>
      </c>
      <c r="E9" s="33"/>
      <c r="F9" s="33"/>
      <c r="G9" s="33"/>
      <c r="H9" s="33"/>
      <c r="I9" s="92" t="s">
        <v>160</v>
      </c>
      <c r="J9" s="33"/>
      <c r="K9" s="310" t="s">
        <v>816</v>
      </c>
      <c r="L9" s="310"/>
    </row>
    <row r="11" spans="1:12">
      <c r="A11" s="42"/>
      <c r="B11" s="42"/>
      <c r="C11" s="42"/>
      <c r="D11" s="42"/>
      <c r="E11" s="35"/>
      <c r="F11" s="51" t="s">
        <v>766</v>
      </c>
      <c r="G11" s="52"/>
      <c r="H11" s="115" t="s">
        <v>767</v>
      </c>
      <c r="I11" s="116"/>
      <c r="J11" s="117"/>
      <c r="K11" s="118"/>
      <c r="L11" s="36"/>
    </row>
    <row r="12" spans="1:12" ht="36">
      <c r="A12" s="113" t="s">
        <v>762</v>
      </c>
      <c r="B12" s="113" t="s">
        <v>374</v>
      </c>
      <c r="C12" s="113" t="s">
        <v>375</v>
      </c>
      <c r="D12" s="113" t="s">
        <v>106</v>
      </c>
      <c r="E12" s="113" t="s">
        <v>107</v>
      </c>
      <c r="F12" s="341" t="s">
        <v>768</v>
      </c>
      <c r="G12" s="342" t="s">
        <v>769</v>
      </c>
      <c r="H12" s="342" t="s">
        <v>770</v>
      </c>
      <c r="I12" s="342" t="s">
        <v>771</v>
      </c>
      <c r="J12" s="342" t="s">
        <v>772</v>
      </c>
      <c r="K12" s="342" t="s">
        <v>773</v>
      </c>
      <c r="L12" s="114" t="s">
        <v>113</v>
      </c>
    </row>
    <row r="13" spans="1:12" ht="24.95" customHeight="1">
      <c r="A13" s="878">
        <v>1</v>
      </c>
      <c r="B13" s="870" t="s">
        <v>853</v>
      </c>
      <c r="C13" s="870" t="s">
        <v>854</v>
      </c>
      <c r="D13" s="903" t="s">
        <v>117</v>
      </c>
      <c r="E13" s="904">
        <v>5601</v>
      </c>
      <c r="F13" s="903" t="s">
        <v>777</v>
      </c>
      <c r="G13" s="903"/>
      <c r="H13" s="878"/>
      <c r="I13" s="878"/>
      <c r="J13" s="1113" t="s">
        <v>855</v>
      </c>
      <c r="K13" s="878"/>
      <c r="L13" s="886" t="s">
        <v>856</v>
      </c>
    </row>
    <row r="14" spans="1:12" ht="24.95" customHeight="1">
      <c r="A14" s="878">
        <v>2</v>
      </c>
      <c r="B14" s="870" t="s">
        <v>857</v>
      </c>
      <c r="C14" s="870" t="s">
        <v>858</v>
      </c>
      <c r="D14" s="903" t="s">
        <v>117</v>
      </c>
      <c r="E14" s="904">
        <v>5601</v>
      </c>
      <c r="F14" s="903" t="s">
        <v>777</v>
      </c>
      <c r="G14" s="903"/>
      <c r="H14" s="878"/>
      <c r="I14" s="878"/>
      <c r="J14" s="878"/>
      <c r="K14" s="878"/>
      <c r="L14" s="905"/>
    </row>
    <row r="15" spans="1:12" ht="24.95" customHeight="1">
      <c r="A15" s="878">
        <v>3</v>
      </c>
      <c r="B15" s="870" t="s">
        <v>859</v>
      </c>
      <c r="C15" s="870" t="s">
        <v>860</v>
      </c>
      <c r="D15" s="903" t="s">
        <v>117</v>
      </c>
      <c r="E15" s="904">
        <v>5601</v>
      </c>
      <c r="F15" s="903" t="s">
        <v>777</v>
      </c>
      <c r="G15" s="903"/>
      <c r="H15" s="878"/>
      <c r="I15" s="878"/>
      <c r="J15" s="47" t="s">
        <v>855</v>
      </c>
      <c r="K15" s="878"/>
      <c r="L15" s="886" t="s">
        <v>861</v>
      </c>
    </row>
    <row r="16" spans="1:12" ht="24.95" customHeight="1">
      <c r="A16" s="878">
        <v>4</v>
      </c>
      <c r="B16" s="870" t="s">
        <v>862</v>
      </c>
      <c r="C16" s="870" t="s">
        <v>863</v>
      </c>
      <c r="D16" s="903" t="s">
        <v>117</v>
      </c>
      <c r="E16" s="904">
        <v>5601</v>
      </c>
      <c r="F16" s="903" t="s">
        <v>777</v>
      </c>
      <c r="G16" s="903"/>
      <c r="H16" s="885"/>
      <c r="I16" s="878"/>
      <c r="J16" s="878"/>
      <c r="K16" s="878"/>
      <c r="L16" s="886" t="s">
        <v>864</v>
      </c>
    </row>
    <row r="17" spans="1:12" ht="18" customHeight="1">
      <c r="A17" s="28"/>
      <c r="B17" s="6"/>
      <c r="C17" s="22"/>
      <c r="D17" s="6"/>
      <c r="E17" s="6"/>
      <c r="F17" s="27"/>
      <c r="G17" s="27"/>
      <c r="H17" s="27"/>
      <c r="I17" s="27"/>
      <c r="J17" s="28"/>
      <c r="K17" s="27"/>
      <c r="L17" s="1565"/>
    </row>
    <row r="18" spans="1:12" ht="18" customHeight="1">
      <c r="A18" s="28"/>
      <c r="B18" s="6"/>
      <c r="C18" s="22"/>
      <c r="D18" s="6"/>
      <c r="E18" s="6"/>
      <c r="F18" s="27"/>
      <c r="G18" s="27"/>
      <c r="H18" s="27"/>
      <c r="I18" s="27"/>
      <c r="J18" s="86"/>
      <c r="K18" s="27"/>
      <c r="L18" s="1565"/>
    </row>
    <row r="19" spans="1:12" ht="18" customHeight="1">
      <c r="A19" s="27"/>
      <c r="B19" s="6"/>
      <c r="C19" s="22"/>
      <c r="D19" s="6"/>
      <c r="E19" s="6"/>
      <c r="F19" s="27"/>
      <c r="G19" s="27"/>
      <c r="H19" s="28"/>
      <c r="I19" s="27"/>
      <c r="J19" s="27"/>
      <c r="K19" s="28"/>
      <c r="L19" s="1565"/>
    </row>
    <row r="20" spans="1:12" ht="18" customHeight="1">
      <c r="A20" s="1113"/>
      <c r="B20" s="6"/>
      <c r="C20" s="22"/>
      <c r="D20" s="6"/>
      <c r="E20" s="6"/>
      <c r="F20" s="27"/>
      <c r="G20" s="27"/>
      <c r="H20" s="27"/>
      <c r="I20" s="27"/>
      <c r="J20" s="27"/>
      <c r="K20" s="27"/>
      <c r="L20" s="6"/>
    </row>
    <row r="21" spans="1:12" ht="18" customHeight="1">
      <c r="A21" s="1113"/>
      <c r="B21" s="6"/>
      <c r="C21" s="22"/>
      <c r="D21" s="6"/>
      <c r="E21" s="6"/>
      <c r="F21" s="27"/>
      <c r="G21" s="27"/>
      <c r="H21" s="27"/>
      <c r="I21" s="27"/>
      <c r="J21" s="27"/>
      <c r="K21" s="27"/>
      <c r="L21" s="6"/>
    </row>
    <row r="22" spans="1:12" ht="18" customHeight="1">
      <c r="A22" s="1113"/>
      <c r="B22" s="6"/>
      <c r="C22" s="22"/>
      <c r="D22" s="6"/>
      <c r="E22" s="6"/>
      <c r="F22" s="27"/>
      <c r="G22" s="27"/>
      <c r="H22" s="27"/>
      <c r="I22" s="27"/>
      <c r="J22" s="27"/>
      <c r="K22" s="27"/>
      <c r="L22" s="6"/>
    </row>
    <row r="23" spans="1:12">
      <c r="A23" s="12"/>
      <c r="B23" s="26"/>
      <c r="C23" s="26"/>
      <c r="D23" s="26"/>
      <c r="E23" s="26"/>
      <c r="F23" s="26"/>
      <c r="G23" s="26"/>
      <c r="H23" s="26"/>
      <c r="I23" s="26"/>
      <c r="J23" s="26"/>
      <c r="K23" s="26"/>
      <c r="L23" s="13"/>
    </row>
    <row r="24" spans="1:12">
      <c r="A24" s="178" t="s">
        <v>806</v>
      </c>
      <c r="L24" s="7"/>
    </row>
    <row r="25" spans="1:12" ht="25.5">
      <c r="A25" s="1566" t="s">
        <v>807</v>
      </c>
      <c r="B25" s="1567"/>
      <c r="C25" s="1567"/>
      <c r="D25" s="318" t="s">
        <v>808</v>
      </c>
      <c r="E25" s="1368" t="s">
        <v>865</v>
      </c>
      <c r="F25" s="1368"/>
      <c r="G25" s="1368"/>
      <c r="H25" s="1369" t="s">
        <v>810</v>
      </c>
      <c r="I25" s="1369"/>
      <c r="J25" s="1369"/>
      <c r="K25" s="316" t="s">
        <v>811</v>
      </c>
      <c r="L25" s="319" t="s">
        <v>812</v>
      </c>
    </row>
    <row r="28" spans="1:12">
      <c r="A28" s="63" t="s">
        <v>813</v>
      </c>
      <c r="K28" s="1231" t="s">
        <v>126</v>
      </c>
      <c r="L28" s="1231"/>
    </row>
  </sheetData>
  <mergeCells count="8">
    <mergeCell ref="K28:L28"/>
    <mergeCell ref="E25:G25"/>
    <mergeCell ref="H25:J25"/>
    <mergeCell ref="A25:C25"/>
    <mergeCell ref="A1:L1"/>
    <mergeCell ref="A2:L2"/>
    <mergeCell ref="A4:L4"/>
    <mergeCell ref="A6:L6"/>
  </mergeCells>
  <phoneticPr fontId="5" type="noConversion"/>
  <hyperlinks>
    <hyperlink ref="K28" location="'TABLA DE CONTENIDO'!A1" display="VOLVER A TABLA DE CONTENIDO" xr:uid="{00000000-0004-0000-1100-000000000000}"/>
  </hyperlinks>
  <printOptions horizontalCentered="1" verticalCentered="1"/>
  <pageMargins left="0.39370078740157483" right="0.25" top="0.59055118110236227" bottom="0.98425196850393704" header="0" footer="0"/>
  <pageSetup orientation="landscape" horizontalDpi="300" verticalDpi="300" r:id="rId1"/>
  <headerFooter alignWithMargins="0"/>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pageSetUpPr fitToPage="1"/>
  </sheetPr>
  <dimension ref="A1:I30"/>
  <sheetViews>
    <sheetView topLeftCell="A3" workbookViewId="0">
      <selection activeCell="F10" sqref="F10"/>
    </sheetView>
  </sheetViews>
  <sheetFormatPr defaultColWidth="11.42578125" defaultRowHeight="12.75"/>
  <cols>
    <col min="1" max="1" width="27.7109375" customWidth="1"/>
    <col min="3" max="4" width="10.7109375" customWidth="1"/>
    <col min="5" max="5" width="27.28515625" customWidth="1"/>
    <col min="6" max="6" width="14" customWidth="1"/>
    <col min="7" max="7" width="24.7109375" customWidth="1"/>
  </cols>
  <sheetData>
    <row r="1" spans="1:9" ht="23.25">
      <c r="A1" s="1228" t="s">
        <v>1</v>
      </c>
      <c r="B1" s="1228"/>
      <c r="C1" s="1228"/>
      <c r="D1" s="1228"/>
      <c r="E1" s="1228"/>
      <c r="F1" s="1228"/>
      <c r="G1" s="1228"/>
    </row>
    <row r="2" spans="1:9" ht="18">
      <c r="A2" s="1229" t="s">
        <v>84</v>
      </c>
      <c r="B2" s="1229"/>
      <c r="C2" s="1229"/>
      <c r="D2" s="1229"/>
      <c r="E2" s="1229"/>
      <c r="F2" s="1229"/>
      <c r="G2" s="1229"/>
    </row>
    <row r="3" spans="1:9">
      <c r="A3" s="44"/>
      <c r="B3" s="44"/>
      <c r="C3" s="37"/>
      <c r="D3" s="37"/>
      <c r="E3" s="37"/>
      <c r="F3" s="37"/>
      <c r="G3" s="37"/>
    </row>
    <row r="4" spans="1:9" ht="15.75" customHeight="1">
      <c r="A4" s="1229" t="s">
        <v>866</v>
      </c>
      <c r="B4" s="1229"/>
      <c r="C4" s="1229"/>
      <c r="D4" s="1229"/>
      <c r="E4" s="1229"/>
      <c r="F4" s="1229"/>
      <c r="G4" s="1229"/>
    </row>
    <row r="5" spans="1:9">
      <c r="A5" s="44"/>
      <c r="B5" s="44"/>
      <c r="C5" s="37"/>
      <c r="D5" s="37"/>
      <c r="E5" s="37"/>
      <c r="F5" s="37"/>
      <c r="G5" s="37"/>
    </row>
    <row r="6" spans="1:9" ht="18">
      <c r="A6" s="1229" t="s">
        <v>867</v>
      </c>
      <c r="B6" s="1229"/>
      <c r="C6" s="1229"/>
      <c r="D6" s="1229"/>
      <c r="E6" s="1229"/>
      <c r="F6" s="1229"/>
      <c r="G6" s="1229"/>
    </row>
    <row r="7" spans="1:9" ht="18">
      <c r="A7" s="43"/>
      <c r="B7" s="43"/>
      <c r="C7" s="39"/>
      <c r="D7" s="39"/>
      <c r="E7" s="37"/>
      <c r="F7" s="37"/>
      <c r="G7" s="37"/>
    </row>
    <row r="8" spans="1:9">
      <c r="B8" s="50"/>
      <c r="C8" s="38"/>
      <c r="D8" s="38"/>
      <c r="E8" s="38"/>
      <c r="F8" s="38"/>
      <c r="G8" s="38"/>
    </row>
    <row r="9" spans="1:9">
      <c r="A9" s="175" t="s">
        <v>130</v>
      </c>
      <c r="B9" s="50" t="s">
        <v>301</v>
      </c>
      <c r="C9" s="38"/>
      <c r="D9" s="38"/>
      <c r="E9" s="292" t="s">
        <v>160</v>
      </c>
      <c r="F9" s="430" t="s">
        <v>816</v>
      </c>
      <c r="G9" s="313"/>
    </row>
    <row r="10" spans="1:9" ht="13.5" thickBot="1"/>
    <row r="11" spans="1:9" ht="26.25" thickBot="1">
      <c r="A11" s="132" t="s">
        <v>106</v>
      </c>
      <c r="B11" s="127" t="s">
        <v>107</v>
      </c>
      <c r="C11" s="127" t="s">
        <v>374</v>
      </c>
      <c r="D11" s="127" t="s">
        <v>375</v>
      </c>
      <c r="E11" s="133" t="s">
        <v>376</v>
      </c>
      <c r="F11" s="133" t="s">
        <v>377</v>
      </c>
      <c r="G11" s="134" t="s">
        <v>113</v>
      </c>
    </row>
    <row r="12" spans="1:9" ht="18" customHeight="1">
      <c r="A12" s="906" t="s">
        <v>117</v>
      </c>
      <c r="B12" s="815">
        <v>5601</v>
      </c>
      <c r="C12" s="802" t="s">
        <v>868</v>
      </c>
      <c r="D12" s="802" t="s">
        <v>869</v>
      </c>
      <c r="E12" s="359" t="s">
        <v>870</v>
      </c>
      <c r="F12" s="907">
        <f>+'CANT OBRA'!H1147</f>
        <v>4310225</v>
      </c>
      <c r="G12" s="908"/>
      <c r="I12" s="909"/>
    </row>
    <row r="13" spans="1:9" ht="25.5">
      <c r="A13" s="1132" t="s">
        <v>117</v>
      </c>
      <c r="B13" s="6">
        <v>5601</v>
      </c>
      <c r="C13" s="426" t="s">
        <v>862</v>
      </c>
      <c r="D13" s="426" t="s">
        <v>871</v>
      </c>
      <c r="E13" s="1188" t="s">
        <v>872</v>
      </c>
      <c r="F13" s="1189">
        <f>+'CANT OBRA'!H1155</f>
        <v>3117919</v>
      </c>
      <c r="G13" s="1081" t="s">
        <v>873</v>
      </c>
    </row>
    <row r="14" spans="1:9" ht="18" customHeight="1">
      <c r="A14" s="87"/>
      <c r="B14" s="6"/>
      <c r="C14" s="22"/>
      <c r="D14" s="22"/>
      <c r="E14" s="6"/>
      <c r="F14" s="31"/>
      <c r="G14" s="23"/>
    </row>
    <row r="15" spans="1:9" ht="18" customHeight="1">
      <c r="A15" s="87"/>
      <c r="B15" s="6"/>
      <c r="C15" s="22"/>
      <c r="D15" s="22"/>
      <c r="E15" s="6"/>
      <c r="F15" s="6"/>
      <c r="G15" s="23"/>
    </row>
    <row r="16" spans="1:9" ht="18" customHeight="1">
      <c r="A16" s="87"/>
      <c r="B16" s="6"/>
      <c r="C16" s="22"/>
      <c r="D16" s="22"/>
      <c r="E16" s="6"/>
      <c r="F16" s="31"/>
      <c r="G16" s="23"/>
    </row>
    <row r="17" spans="1:7" ht="18" customHeight="1">
      <c r="A17" s="87"/>
      <c r="B17" s="6"/>
      <c r="C17" s="22"/>
      <c r="D17" s="22"/>
      <c r="E17" s="6"/>
      <c r="F17" s="31"/>
      <c r="G17" s="23"/>
    </row>
    <row r="18" spans="1:7" ht="18" customHeight="1">
      <c r="A18" s="87"/>
      <c r="B18" s="6"/>
      <c r="C18" s="22"/>
      <c r="D18" s="22"/>
      <c r="E18" s="6"/>
      <c r="F18" s="6"/>
      <c r="G18" s="23"/>
    </row>
    <row r="19" spans="1:7" ht="18" customHeight="1">
      <c r="A19" s="87"/>
      <c r="B19" s="6"/>
      <c r="C19" s="22"/>
      <c r="D19" s="22"/>
      <c r="E19" s="6"/>
      <c r="F19" s="31"/>
      <c r="G19" s="23"/>
    </row>
    <row r="20" spans="1:7" ht="18" customHeight="1">
      <c r="A20" s="87"/>
      <c r="B20" s="6"/>
      <c r="C20" s="22"/>
      <c r="D20" s="22"/>
      <c r="E20" s="6"/>
      <c r="F20" s="6"/>
      <c r="G20" s="23"/>
    </row>
    <row r="21" spans="1:7" ht="18" customHeight="1">
      <c r="A21" s="87"/>
      <c r="B21" s="6"/>
      <c r="C21" s="22"/>
      <c r="D21" s="22"/>
      <c r="E21" s="30"/>
      <c r="F21" s="31"/>
      <c r="G21" s="135"/>
    </row>
    <row r="22" spans="1:7" ht="18" customHeight="1">
      <c r="A22" s="87"/>
      <c r="B22" s="6"/>
      <c r="C22" s="6"/>
      <c r="D22" s="6"/>
      <c r="E22" s="6"/>
      <c r="F22" s="6"/>
      <c r="G22" s="23"/>
    </row>
    <row r="23" spans="1:7" ht="18" customHeight="1">
      <c r="A23" s="87"/>
      <c r="B23" s="6"/>
      <c r="C23" s="6"/>
      <c r="D23" s="6"/>
      <c r="E23" s="6"/>
      <c r="F23" s="6"/>
      <c r="G23" s="23"/>
    </row>
    <row r="24" spans="1:7" ht="18" customHeight="1">
      <c r="A24" s="87"/>
      <c r="B24" s="6"/>
      <c r="C24" s="6"/>
      <c r="D24" s="6"/>
      <c r="E24" s="6"/>
      <c r="F24" s="6"/>
      <c r="G24" s="23"/>
    </row>
    <row r="25" spans="1:7" ht="18" customHeight="1">
      <c r="A25" s="87"/>
      <c r="B25" s="6"/>
      <c r="C25" s="6"/>
      <c r="D25" s="6"/>
      <c r="E25" s="6"/>
      <c r="F25" s="6"/>
      <c r="G25" s="23"/>
    </row>
    <row r="26" spans="1:7" ht="18" customHeight="1">
      <c r="A26" s="87"/>
      <c r="B26" s="6"/>
      <c r="C26" s="6"/>
      <c r="D26" s="6"/>
      <c r="E26" s="6"/>
      <c r="F26" s="6"/>
      <c r="G26" s="23"/>
    </row>
    <row r="27" spans="1:7" ht="18" customHeight="1" thickBot="1">
      <c r="A27" s="136"/>
      <c r="B27" s="131"/>
      <c r="C27" s="131"/>
      <c r="D27" s="131"/>
      <c r="E27" s="131"/>
      <c r="F27" s="131"/>
      <c r="G27" s="104"/>
    </row>
    <row r="28" spans="1:7" ht="24.75" customHeight="1">
      <c r="A28" s="1317" t="s">
        <v>425</v>
      </c>
      <c r="B28" s="1317"/>
      <c r="C28" s="1317"/>
      <c r="D28" s="1317"/>
      <c r="E28" s="1317"/>
      <c r="F28" s="1317"/>
      <c r="G28" s="1317"/>
    </row>
    <row r="29" spans="1:7">
      <c r="A29" s="63" t="s">
        <v>426</v>
      </c>
    </row>
    <row r="30" spans="1:7">
      <c r="A30" s="63" t="s">
        <v>874</v>
      </c>
      <c r="F30" s="1231" t="s">
        <v>126</v>
      </c>
      <c r="G30" s="1231"/>
    </row>
  </sheetData>
  <mergeCells count="6">
    <mergeCell ref="A1:G1"/>
    <mergeCell ref="A2:G2"/>
    <mergeCell ref="A4:G4"/>
    <mergeCell ref="A6:G6"/>
    <mergeCell ref="F30:G30"/>
    <mergeCell ref="A28:G28"/>
  </mergeCells>
  <phoneticPr fontId="5" type="noConversion"/>
  <hyperlinks>
    <hyperlink ref="F30" location="'TABLA DE CONTENIDO'!A1" display="VOLVER A TABLA DE CONTENIDO" xr:uid="{00000000-0004-0000-1200-000000000000}"/>
  </hyperlinks>
  <printOptions horizontalCentered="1" verticalCentered="1"/>
  <pageMargins left="0.39370078740157483" right="0.28999999999999998" top="0.59055118110236227" bottom="0.98425196850393704" header="0" footer="0"/>
  <pageSetup scale="97" orientation="landscape" horizontalDpi="300" verticalDpi="300" r:id="rId1"/>
  <headerFooter alignWithMargins="0"/>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pageSetUpPr fitToPage="1"/>
  </sheetPr>
  <dimension ref="A1:T34"/>
  <sheetViews>
    <sheetView zoomScale="80" zoomScaleNormal="80" workbookViewId="0">
      <selection activeCell="Q9" sqref="Q9"/>
    </sheetView>
  </sheetViews>
  <sheetFormatPr defaultColWidth="11.42578125" defaultRowHeight="12.75"/>
  <cols>
    <col min="1" max="1" width="14.7109375" style="360" customWidth="1"/>
    <col min="2" max="2" width="9.85546875" style="360" customWidth="1"/>
    <col min="3" max="3" width="14.7109375" style="360" customWidth="1"/>
    <col min="4" max="7" width="11.42578125" style="360"/>
    <col min="8" max="9" width="9" style="360" customWidth="1"/>
    <col min="10" max="12" width="11.42578125" style="360"/>
    <col min="13" max="13" width="12.7109375" style="360" customWidth="1"/>
    <col min="14" max="15" width="11.42578125" style="360"/>
    <col min="16" max="16" width="12.28515625" style="360" customWidth="1"/>
    <col min="17" max="17" width="15" style="360" customWidth="1"/>
    <col min="18" max="18" width="11.42578125" style="360"/>
    <col min="19" max="19" width="12.28515625" style="360" customWidth="1"/>
    <col min="20" max="20" width="23.28515625" style="360" customWidth="1"/>
    <col min="21" max="16384" width="11.42578125" style="360"/>
  </cols>
  <sheetData>
    <row r="1" spans="1:20" ht="23.25">
      <c r="A1" s="1228" t="s">
        <v>1</v>
      </c>
      <c r="B1" s="1228"/>
      <c r="C1" s="1228"/>
      <c r="D1" s="1228"/>
      <c r="E1" s="1228"/>
      <c r="F1" s="1228"/>
      <c r="G1" s="1228"/>
      <c r="H1" s="1228"/>
      <c r="I1" s="1228"/>
      <c r="J1" s="1228"/>
      <c r="K1" s="1228"/>
      <c r="L1" s="1228"/>
      <c r="M1" s="1228"/>
      <c r="N1" s="1228"/>
      <c r="O1" s="1228"/>
      <c r="P1" s="1228"/>
      <c r="Q1" s="1228"/>
      <c r="R1" s="1228"/>
      <c r="S1" s="1228"/>
      <c r="T1" s="1228"/>
    </row>
    <row r="2" spans="1:20" ht="18">
      <c r="A2" s="1229" t="s">
        <v>84</v>
      </c>
      <c r="B2" s="1229"/>
      <c r="C2" s="1229"/>
      <c r="D2" s="1229"/>
      <c r="E2" s="1229"/>
      <c r="F2" s="1229"/>
      <c r="G2" s="1229"/>
      <c r="H2" s="1229"/>
      <c r="I2" s="1229"/>
      <c r="J2" s="1229"/>
      <c r="K2" s="1229"/>
      <c r="L2" s="1229"/>
      <c r="M2" s="1229"/>
      <c r="N2" s="1229"/>
      <c r="O2" s="1229"/>
      <c r="P2" s="1229"/>
      <c r="Q2" s="1229"/>
      <c r="R2" s="1229"/>
      <c r="S2" s="1229"/>
      <c r="T2" s="1229"/>
    </row>
    <row r="3" spans="1:20" ht="18">
      <c r="A3" s="43"/>
      <c r="B3" s="44"/>
      <c r="C3" s="32"/>
      <c r="D3" s="32"/>
      <c r="E3" s="32"/>
      <c r="F3" s="32"/>
      <c r="G3" s="32"/>
    </row>
    <row r="4" spans="1:20" ht="18">
      <c r="A4" s="1229" t="s">
        <v>875</v>
      </c>
      <c r="B4" s="1229"/>
      <c r="C4" s="1229"/>
      <c r="D4" s="1229"/>
      <c r="E4" s="1229"/>
      <c r="F4" s="1229"/>
      <c r="G4" s="1229"/>
      <c r="H4" s="1229"/>
      <c r="I4" s="1229"/>
      <c r="J4" s="1229"/>
      <c r="K4" s="1229"/>
      <c r="L4" s="1229"/>
      <c r="M4" s="1229"/>
      <c r="N4" s="1229"/>
      <c r="O4" s="1229"/>
      <c r="P4" s="1229"/>
      <c r="Q4" s="1229"/>
      <c r="R4" s="1229"/>
      <c r="S4" s="1229"/>
      <c r="T4" s="1229"/>
    </row>
    <row r="5" spans="1:20">
      <c r="A5" s="50"/>
      <c r="B5" s="50"/>
      <c r="C5" s="33"/>
      <c r="D5" s="33"/>
      <c r="E5" s="33"/>
      <c r="F5" s="33"/>
      <c r="G5" s="33"/>
    </row>
    <row r="6" spans="1:20" ht="18">
      <c r="A6" s="1229" t="s">
        <v>876</v>
      </c>
      <c r="B6" s="1229"/>
      <c r="C6" s="1229"/>
      <c r="D6" s="1229"/>
      <c r="E6" s="1229"/>
      <c r="F6" s="1229"/>
      <c r="G6" s="1229"/>
      <c r="H6" s="1229"/>
      <c r="I6" s="1229"/>
      <c r="J6" s="1229"/>
      <c r="K6" s="1229"/>
      <c r="L6" s="1229"/>
      <c r="M6" s="1229"/>
      <c r="N6" s="1229"/>
      <c r="O6" s="1229"/>
      <c r="P6" s="1229"/>
      <c r="Q6" s="1229"/>
      <c r="R6" s="1229"/>
      <c r="S6" s="1229"/>
      <c r="T6" s="1229"/>
    </row>
    <row r="7" spans="1:20">
      <c r="A7" s="33"/>
      <c r="B7" s="33"/>
      <c r="C7" s="33"/>
      <c r="D7" s="33"/>
      <c r="E7" s="33"/>
      <c r="F7" s="33"/>
      <c r="G7" s="33"/>
    </row>
    <row r="8" spans="1:20">
      <c r="A8" s="175" t="s">
        <v>130</v>
      </c>
      <c r="B8" s="33"/>
      <c r="C8" s="310" t="s">
        <v>88</v>
      </c>
      <c r="D8" s="310"/>
      <c r="E8" s="310"/>
      <c r="F8" s="310"/>
      <c r="G8" s="33"/>
      <c r="N8" s="92" t="s">
        <v>160</v>
      </c>
      <c r="Q8" s="793" t="s">
        <v>877</v>
      </c>
      <c r="R8" s="387"/>
      <c r="S8" s="387"/>
    </row>
    <row r="10" spans="1:20" ht="13.5" thickBot="1"/>
    <row r="11" spans="1:20" s="356" customFormat="1" ht="18.75" customHeight="1" thickBot="1">
      <c r="A11" s="1568" t="s">
        <v>106</v>
      </c>
      <c r="B11" s="1569" t="s">
        <v>107</v>
      </c>
      <c r="C11" s="1570" t="s">
        <v>878</v>
      </c>
      <c r="D11" s="1571" t="s">
        <v>879</v>
      </c>
      <c r="E11" s="1572"/>
      <c r="F11" s="1573"/>
      <c r="G11" s="1574" t="s">
        <v>880</v>
      </c>
      <c r="H11" s="1575" t="s">
        <v>767</v>
      </c>
      <c r="I11" s="1576"/>
      <c r="J11" s="1576"/>
      <c r="K11" s="1576"/>
      <c r="L11" s="1576"/>
      <c r="M11" s="1576"/>
      <c r="N11" s="1576"/>
      <c r="O11" s="1576"/>
      <c r="P11" s="1576"/>
      <c r="Q11" s="1576"/>
      <c r="R11" s="1576"/>
      <c r="S11" s="1577"/>
      <c r="T11" s="1578" t="s">
        <v>113</v>
      </c>
    </row>
    <row r="12" spans="1:20" s="357" customFormat="1" ht="34.5" customHeight="1">
      <c r="A12" s="1579"/>
      <c r="B12" s="1580"/>
      <c r="C12" s="1581"/>
      <c r="D12" s="1582" t="s">
        <v>374</v>
      </c>
      <c r="E12" s="1583" t="s">
        <v>375</v>
      </c>
      <c r="F12" s="1584" t="s">
        <v>881</v>
      </c>
      <c r="G12" s="1585"/>
      <c r="H12" s="1586" t="s">
        <v>882</v>
      </c>
      <c r="I12" s="1569" t="s">
        <v>883</v>
      </c>
      <c r="J12" s="1569" t="s">
        <v>884</v>
      </c>
      <c r="K12" s="1569"/>
      <c r="L12" s="1569"/>
      <c r="M12" s="1587" t="s">
        <v>885</v>
      </c>
      <c r="N12" s="1587" t="s">
        <v>886</v>
      </c>
      <c r="O12" s="1587" t="s">
        <v>887</v>
      </c>
      <c r="P12" s="1587" t="s">
        <v>888</v>
      </c>
      <c r="Q12" s="1569" t="s">
        <v>889</v>
      </c>
      <c r="R12" s="1588" t="s">
        <v>890</v>
      </c>
      <c r="S12" s="1589" t="s">
        <v>891</v>
      </c>
      <c r="T12" s="1590"/>
    </row>
    <row r="13" spans="1:20" s="358" customFormat="1" ht="49.5" customHeight="1" thickBot="1">
      <c r="A13" s="1591"/>
      <c r="B13" s="1592"/>
      <c r="C13" s="1593"/>
      <c r="D13" s="1591"/>
      <c r="E13" s="1592"/>
      <c r="F13" s="1594"/>
      <c r="G13" s="1595"/>
      <c r="H13" s="1596"/>
      <c r="I13" s="1592"/>
      <c r="J13" s="1597" t="s">
        <v>892</v>
      </c>
      <c r="K13" s="1597" t="s">
        <v>893</v>
      </c>
      <c r="L13" s="1597" t="s">
        <v>894</v>
      </c>
      <c r="M13" s="1598"/>
      <c r="N13" s="1598"/>
      <c r="O13" s="1598"/>
      <c r="P13" s="1598"/>
      <c r="Q13" s="1592"/>
      <c r="R13" s="1599"/>
      <c r="S13" s="1600"/>
      <c r="T13" s="1601"/>
    </row>
    <row r="14" spans="1:20">
      <c r="A14" s="388"/>
      <c r="B14" s="389"/>
      <c r="C14" s="389"/>
      <c r="D14" s="389"/>
      <c r="E14" s="389"/>
      <c r="F14" s="389"/>
      <c r="G14" s="389"/>
      <c r="H14" s="389"/>
      <c r="I14" s="389"/>
      <c r="J14" s="389"/>
      <c r="K14" s="389"/>
      <c r="L14" s="389"/>
      <c r="M14" s="389"/>
      <c r="N14" s="389"/>
      <c r="O14" s="389"/>
      <c r="P14" s="389"/>
      <c r="Q14" s="389"/>
      <c r="R14" s="389"/>
      <c r="S14" s="389"/>
      <c r="T14" s="390"/>
    </row>
    <row r="15" spans="1:20" ht="18.75">
      <c r="A15" s="1370" t="s">
        <v>895</v>
      </c>
      <c r="B15" s="1371"/>
      <c r="C15" s="1371"/>
      <c r="D15" s="1371"/>
      <c r="E15" s="1371"/>
      <c r="F15" s="1371"/>
      <c r="G15" s="1371"/>
      <c r="H15" s="1371"/>
      <c r="I15" s="1371"/>
      <c r="J15" s="1371"/>
      <c r="K15" s="1371"/>
      <c r="L15" s="1371"/>
      <c r="M15" s="1371"/>
      <c r="N15" s="1371"/>
      <c r="O15" s="1371"/>
      <c r="P15" s="1371"/>
      <c r="Q15" s="1371"/>
      <c r="R15" s="1371"/>
      <c r="S15" s="1371"/>
      <c r="T15" s="1372"/>
    </row>
    <row r="16" spans="1:20">
      <c r="A16" s="391"/>
      <c r="B16" s="359"/>
      <c r="C16" s="359"/>
      <c r="D16" s="359"/>
      <c r="E16" s="359"/>
      <c r="F16" s="359"/>
      <c r="G16" s="359"/>
      <c r="H16" s="359"/>
      <c r="I16" s="359"/>
      <c r="J16" s="359"/>
      <c r="K16" s="359"/>
      <c r="L16" s="359"/>
      <c r="M16" s="359"/>
      <c r="N16" s="359"/>
      <c r="O16" s="359"/>
      <c r="P16" s="359"/>
      <c r="Q16" s="359"/>
      <c r="R16" s="359"/>
      <c r="S16" s="359"/>
      <c r="T16" s="392"/>
    </row>
    <row r="17" spans="1:20">
      <c r="A17" s="391"/>
      <c r="B17" s="359"/>
      <c r="C17" s="359"/>
      <c r="D17" s="359"/>
      <c r="E17" s="359"/>
      <c r="F17" s="359"/>
      <c r="G17" s="359"/>
      <c r="H17" s="359"/>
      <c r="I17" s="359"/>
      <c r="J17" s="359"/>
      <c r="K17" s="359"/>
      <c r="L17" s="359"/>
      <c r="M17" s="359"/>
      <c r="N17" s="359"/>
      <c r="O17" s="359"/>
      <c r="P17" s="359"/>
      <c r="Q17" s="359"/>
      <c r="R17" s="359"/>
      <c r="S17" s="359"/>
      <c r="T17" s="392"/>
    </row>
    <row r="18" spans="1:20">
      <c r="A18" s="391"/>
      <c r="B18" s="359"/>
      <c r="C18" s="359"/>
      <c r="D18" s="359"/>
      <c r="E18" s="359"/>
      <c r="F18" s="359"/>
      <c r="G18" s="359"/>
      <c r="H18" s="359"/>
      <c r="I18" s="359"/>
      <c r="J18" s="359"/>
      <c r="K18" s="359"/>
      <c r="L18" s="359"/>
      <c r="M18" s="359"/>
      <c r="N18" s="359"/>
      <c r="O18" s="359"/>
      <c r="P18" s="359"/>
      <c r="Q18" s="359"/>
      <c r="R18" s="359"/>
      <c r="S18" s="359"/>
      <c r="T18" s="392"/>
    </row>
    <row r="19" spans="1:20">
      <c r="A19" s="391"/>
      <c r="B19" s="359"/>
      <c r="C19" s="359"/>
      <c r="D19" s="359"/>
      <c r="E19" s="359"/>
      <c r="F19" s="359"/>
      <c r="G19" s="359"/>
      <c r="H19" s="359"/>
      <c r="I19" s="359"/>
      <c r="J19" s="359"/>
      <c r="K19" s="359"/>
      <c r="L19" s="359"/>
      <c r="M19" s="359"/>
      <c r="N19" s="359"/>
      <c r="O19" s="359"/>
      <c r="P19" s="359"/>
      <c r="Q19" s="359"/>
      <c r="R19" s="359"/>
      <c r="S19" s="359"/>
      <c r="T19" s="392"/>
    </row>
    <row r="20" spans="1:20">
      <c r="A20" s="391"/>
      <c r="B20" s="359"/>
      <c r="C20" s="359"/>
      <c r="D20" s="359"/>
      <c r="E20" s="359"/>
      <c r="F20" s="359"/>
      <c r="G20" s="359"/>
      <c r="H20" s="359"/>
      <c r="I20" s="359"/>
      <c r="J20" s="359"/>
      <c r="K20" s="359"/>
      <c r="L20" s="359"/>
      <c r="M20" s="359"/>
      <c r="N20" s="359"/>
      <c r="O20" s="359"/>
      <c r="P20" s="359"/>
      <c r="Q20" s="359"/>
      <c r="R20" s="359"/>
      <c r="S20" s="359"/>
      <c r="T20" s="392"/>
    </row>
    <row r="21" spans="1:20">
      <c r="A21" s="391"/>
      <c r="B21" s="359"/>
      <c r="C21" s="359"/>
      <c r="D21" s="359"/>
      <c r="E21" s="359"/>
      <c r="F21" s="359"/>
      <c r="G21" s="359"/>
      <c r="H21" s="359"/>
      <c r="I21" s="359"/>
      <c r="J21" s="359"/>
      <c r="K21" s="359"/>
      <c r="L21" s="359"/>
      <c r="M21" s="359"/>
      <c r="N21" s="359"/>
      <c r="O21" s="359"/>
      <c r="P21" s="359"/>
      <c r="Q21" s="359"/>
      <c r="R21" s="359"/>
      <c r="S21" s="359"/>
      <c r="T21" s="392"/>
    </row>
    <row r="22" spans="1:20">
      <c r="A22" s="391"/>
      <c r="B22" s="359"/>
      <c r="C22" s="359"/>
      <c r="D22" s="359"/>
      <c r="E22" s="359"/>
      <c r="F22" s="359"/>
      <c r="G22" s="359"/>
      <c r="H22" s="359"/>
      <c r="I22" s="359"/>
      <c r="J22" s="359"/>
      <c r="K22" s="359"/>
      <c r="L22" s="359"/>
      <c r="M22" s="359"/>
      <c r="N22" s="359"/>
      <c r="O22" s="359"/>
      <c r="P22" s="359"/>
      <c r="Q22" s="359"/>
      <c r="R22" s="359"/>
      <c r="S22" s="359"/>
      <c r="T22" s="392"/>
    </row>
    <row r="23" spans="1:20">
      <c r="A23" s="391"/>
      <c r="B23" s="359"/>
      <c r="C23" s="359"/>
      <c r="D23" s="359"/>
      <c r="E23" s="359"/>
      <c r="F23" s="359"/>
      <c r="G23" s="359"/>
      <c r="H23" s="359"/>
      <c r="I23" s="359"/>
      <c r="J23" s="359"/>
      <c r="K23" s="359"/>
      <c r="L23" s="359"/>
      <c r="M23" s="359"/>
      <c r="N23" s="359"/>
      <c r="O23" s="359"/>
      <c r="P23" s="359"/>
      <c r="Q23" s="359"/>
      <c r="R23" s="359"/>
      <c r="S23" s="359"/>
      <c r="T23" s="392"/>
    </row>
    <row r="24" spans="1:20">
      <c r="A24" s="391"/>
      <c r="B24" s="359"/>
      <c r="C24" s="359"/>
      <c r="D24" s="359"/>
      <c r="E24" s="359"/>
      <c r="F24" s="359"/>
      <c r="G24" s="359"/>
      <c r="H24" s="359"/>
      <c r="I24" s="359"/>
      <c r="J24" s="359"/>
      <c r="K24" s="359"/>
      <c r="L24" s="359"/>
      <c r="M24" s="359"/>
      <c r="N24" s="359"/>
      <c r="O24" s="359"/>
      <c r="P24" s="359"/>
      <c r="Q24" s="359"/>
      <c r="R24" s="359"/>
      <c r="S24" s="359"/>
      <c r="T24" s="392"/>
    </row>
    <row r="25" spans="1:20">
      <c r="A25" s="391"/>
      <c r="B25" s="359"/>
      <c r="C25" s="359"/>
      <c r="D25" s="359"/>
      <c r="E25" s="359"/>
      <c r="F25" s="359"/>
      <c r="G25" s="359"/>
      <c r="H25" s="359"/>
      <c r="I25" s="359"/>
      <c r="J25" s="359"/>
      <c r="K25" s="359"/>
      <c r="L25" s="359"/>
      <c r="M25" s="359"/>
      <c r="N25" s="359"/>
      <c r="O25" s="359"/>
      <c r="P25" s="359"/>
      <c r="Q25" s="359"/>
      <c r="R25" s="359"/>
      <c r="S25" s="359"/>
      <c r="T25" s="392"/>
    </row>
    <row r="26" spans="1:20">
      <c r="A26" s="391"/>
      <c r="B26" s="359"/>
      <c r="C26" s="359"/>
      <c r="D26" s="359"/>
      <c r="E26" s="359"/>
      <c r="F26" s="359"/>
      <c r="G26" s="359"/>
      <c r="H26" s="359"/>
      <c r="I26" s="359"/>
      <c r="J26" s="359"/>
      <c r="K26" s="359"/>
      <c r="L26" s="359"/>
      <c r="M26" s="359"/>
      <c r="N26" s="359"/>
      <c r="O26" s="359"/>
      <c r="P26" s="359"/>
      <c r="Q26" s="359"/>
      <c r="R26" s="359"/>
      <c r="S26" s="359"/>
      <c r="T26" s="392"/>
    </row>
    <row r="27" spans="1:20">
      <c r="A27" s="391"/>
      <c r="B27" s="359"/>
      <c r="C27" s="359"/>
      <c r="D27" s="359"/>
      <c r="E27" s="359"/>
      <c r="F27" s="359"/>
      <c r="G27" s="359"/>
      <c r="H27" s="359"/>
      <c r="I27" s="359"/>
      <c r="J27" s="359"/>
      <c r="K27" s="359"/>
      <c r="L27" s="359"/>
      <c r="M27" s="359"/>
      <c r="N27" s="359"/>
      <c r="O27" s="359"/>
      <c r="P27" s="359"/>
      <c r="Q27" s="359"/>
      <c r="R27" s="359"/>
      <c r="S27" s="359"/>
      <c r="T27" s="392"/>
    </row>
    <row r="28" spans="1:20" ht="13.5" thickBot="1">
      <c r="A28" s="393"/>
      <c r="B28" s="394"/>
      <c r="C28" s="394"/>
      <c r="D28" s="394"/>
      <c r="E28" s="394"/>
      <c r="F28" s="394"/>
      <c r="G28" s="394"/>
      <c r="H28" s="394"/>
      <c r="I28" s="394"/>
      <c r="J28" s="394"/>
      <c r="K28" s="394"/>
      <c r="L28" s="394"/>
      <c r="M28" s="394"/>
      <c r="N28" s="394"/>
      <c r="O28" s="394"/>
      <c r="P28" s="394"/>
      <c r="Q28" s="394"/>
      <c r="R28" s="394"/>
      <c r="S28" s="394"/>
      <c r="T28" s="395"/>
    </row>
    <row r="31" spans="1:20" ht="26.25" customHeight="1">
      <c r="A31" s="29" t="s">
        <v>807</v>
      </c>
      <c r="B31" s="1541"/>
      <c r="C31" s="1356" t="s">
        <v>808</v>
      </c>
      <c r="D31" s="1356"/>
      <c r="E31" s="1356"/>
      <c r="F31" s="1356" t="s">
        <v>896</v>
      </c>
      <c r="G31" s="1356"/>
      <c r="H31" s="1356"/>
      <c r="I31" s="1602" t="s">
        <v>897</v>
      </c>
      <c r="J31" s="1361"/>
      <c r="K31" s="1361"/>
      <c r="L31" s="316" t="s">
        <v>811</v>
      </c>
      <c r="M31" s="1373" t="s">
        <v>812</v>
      </c>
      <c r="N31" s="1603"/>
      <c r="O31"/>
      <c r="P31"/>
    </row>
    <row r="32" spans="1:20">
      <c r="Q32" s="1231" t="s">
        <v>126</v>
      </c>
      <c r="R32" s="1231"/>
      <c r="S32" s="1231"/>
    </row>
    <row r="33" spans="1:2">
      <c r="A33" s="1541" t="s">
        <v>898</v>
      </c>
      <c r="B33" s="360" t="s">
        <v>899</v>
      </c>
    </row>
    <row r="34" spans="1:2">
      <c r="B34" s="360" t="s">
        <v>900</v>
      </c>
    </row>
  </sheetData>
  <mergeCells count="30">
    <mergeCell ref="Q32:S32"/>
    <mergeCell ref="H11:S11"/>
    <mergeCell ref="T11:T13"/>
    <mergeCell ref="D12:D13"/>
    <mergeCell ref="E12:E13"/>
    <mergeCell ref="F12:F13"/>
    <mergeCell ref="Q12:Q13"/>
    <mergeCell ref="R12:R13"/>
    <mergeCell ref="S12:S13"/>
    <mergeCell ref="P12:P13"/>
    <mergeCell ref="D11:F11"/>
    <mergeCell ref="G11:G13"/>
    <mergeCell ref="M31:N31"/>
    <mergeCell ref="I12:I13"/>
    <mergeCell ref="J12:L12"/>
    <mergeCell ref="M12:M13"/>
    <mergeCell ref="C31:E31"/>
    <mergeCell ref="F31:H31"/>
    <mergeCell ref="I31:K31"/>
    <mergeCell ref="A15:T15"/>
    <mergeCell ref="O12:O13"/>
    <mergeCell ref="A1:T1"/>
    <mergeCell ref="A2:T2"/>
    <mergeCell ref="A4:T4"/>
    <mergeCell ref="A6:T6"/>
    <mergeCell ref="H12:H13"/>
    <mergeCell ref="N12:N13"/>
    <mergeCell ref="A11:A13"/>
    <mergeCell ref="B11:B13"/>
    <mergeCell ref="C11:C13"/>
  </mergeCells>
  <hyperlinks>
    <hyperlink ref="Q32" location="'TABLA DE CONTENIDO'!A1" display="VOLVER A TABLA DE CONTENIDO" xr:uid="{00000000-0004-0000-1300-000000000000}"/>
  </hyperlinks>
  <printOptions horizontalCentered="1" verticalCentered="1"/>
  <pageMargins left="0.25" right="0.25" top="0.98425196850393704" bottom="0.98425196850393704" header="0" footer="0"/>
  <pageSetup scale="55" orientation="landscape" r:id="rId1"/>
  <headerFooter alignWithMargins="0"/>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pageSetUpPr fitToPage="1"/>
  </sheetPr>
  <dimension ref="A1:L31"/>
  <sheetViews>
    <sheetView workbookViewId="0">
      <selection activeCell="J9" sqref="J9"/>
    </sheetView>
  </sheetViews>
  <sheetFormatPr defaultColWidth="11.42578125" defaultRowHeight="12.75"/>
  <cols>
    <col min="1" max="1" width="14.7109375" style="360" customWidth="1"/>
    <col min="2" max="2" width="9.42578125" style="360" customWidth="1"/>
    <col min="3" max="3" width="14.7109375" style="360" customWidth="1"/>
    <col min="4" max="10" width="11.42578125" style="360"/>
    <col min="11" max="11" width="24.140625" style="360" customWidth="1"/>
    <col min="12" max="16384" width="11.42578125" style="360"/>
  </cols>
  <sheetData>
    <row r="1" spans="1:12" ht="23.25">
      <c r="A1" s="1228" t="s">
        <v>1</v>
      </c>
      <c r="B1" s="1228"/>
      <c r="C1" s="1228"/>
      <c r="D1" s="1228"/>
      <c r="E1" s="1228"/>
      <c r="F1" s="1228"/>
      <c r="G1" s="1228"/>
      <c r="H1" s="1228"/>
      <c r="I1" s="1228"/>
      <c r="J1" s="1228"/>
      <c r="K1" s="1228"/>
      <c r="L1" s="382"/>
    </row>
    <row r="2" spans="1:12" ht="18">
      <c r="A2" s="1229" t="s">
        <v>84</v>
      </c>
      <c r="B2" s="1229"/>
      <c r="C2" s="1229"/>
      <c r="D2" s="1229"/>
      <c r="E2" s="1229"/>
      <c r="F2" s="1229"/>
      <c r="G2" s="1229"/>
      <c r="H2" s="1229"/>
      <c r="I2" s="1229"/>
      <c r="J2" s="1229"/>
      <c r="K2" s="1229"/>
      <c r="L2" s="383"/>
    </row>
    <row r="3" spans="1:12" ht="18">
      <c r="A3" s="43"/>
      <c r="B3" s="44"/>
      <c r="C3" s="32"/>
      <c r="D3" s="32"/>
      <c r="E3" s="32"/>
      <c r="F3" s="32"/>
      <c r="G3" s="32"/>
      <c r="H3" s="32"/>
      <c r="I3" s="32"/>
      <c r="J3" s="32"/>
      <c r="K3" s="32"/>
      <c r="L3" s="32"/>
    </row>
    <row r="4" spans="1:12" ht="18">
      <c r="A4" s="1229" t="s">
        <v>901</v>
      </c>
      <c r="B4" s="1229"/>
      <c r="C4" s="1229"/>
      <c r="D4" s="1229"/>
      <c r="E4" s="1229"/>
      <c r="F4" s="1229"/>
      <c r="G4" s="1229"/>
      <c r="H4" s="1229"/>
      <c r="I4" s="1229"/>
      <c r="J4" s="1229"/>
      <c r="K4" s="1229"/>
      <c r="L4" s="383"/>
    </row>
    <row r="5" spans="1:12">
      <c r="A5" s="50"/>
      <c r="B5" s="50"/>
      <c r="C5" s="33"/>
      <c r="D5" s="33"/>
      <c r="E5" s="33"/>
      <c r="F5" s="33"/>
      <c r="G5" s="33"/>
      <c r="H5" s="33"/>
      <c r="I5" s="33"/>
      <c r="J5" s="33"/>
      <c r="K5" s="41"/>
      <c r="L5" s="33"/>
    </row>
    <row r="6" spans="1:12" ht="18">
      <c r="A6" s="1229" t="s">
        <v>902</v>
      </c>
      <c r="B6" s="1229"/>
      <c r="C6" s="1229"/>
      <c r="D6" s="1229"/>
      <c r="E6" s="1229"/>
      <c r="F6" s="1229"/>
      <c r="G6" s="1229"/>
      <c r="H6" s="1229"/>
      <c r="I6" s="1229"/>
      <c r="J6" s="1229"/>
      <c r="K6" s="1229"/>
      <c r="L6" s="383"/>
    </row>
    <row r="7" spans="1:12">
      <c r="A7" s="33"/>
      <c r="B7" s="33"/>
      <c r="C7" s="33"/>
      <c r="D7" s="33"/>
      <c r="E7" s="33"/>
      <c r="F7" s="33"/>
      <c r="G7" s="33"/>
      <c r="H7" s="33"/>
      <c r="I7" s="41"/>
      <c r="J7" s="41"/>
      <c r="K7" s="41"/>
      <c r="L7" s="41"/>
    </row>
    <row r="8" spans="1:12">
      <c r="A8" s="175" t="s">
        <v>130</v>
      </c>
      <c r="B8" s="33"/>
      <c r="C8" s="310" t="s">
        <v>88</v>
      </c>
      <c r="D8" s="310"/>
      <c r="E8" s="310"/>
      <c r="F8" s="310"/>
      <c r="G8" s="33"/>
      <c r="H8" s="92" t="s">
        <v>160</v>
      </c>
      <c r="I8" s="33"/>
      <c r="J8" s="310" t="s">
        <v>903</v>
      </c>
      <c r="K8" s="310"/>
      <c r="L8" s="33"/>
    </row>
    <row r="11" spans="1:12" s="356" customFormat="1" ht="11.25" customHeight="1">
      <c r="A11" s="1380" t="s">
        <v>106</v>
      </c>
      <c r="B11" s="1380" t="s">
        <v>107</v>
      </c>
      <c r="C11" s="1380" t="s">
        <v>904</v>
      </c>
      <c r="D11" s="1380" t="s">
        <v>879</v>
      </c>
      <c r="E11" s="1380"/>
      <c r="F11" s="1380"/>
      <c r="G11" s="1374" t="s">
        <v>822</v>
      </c>
      <c r="H11" s="1374" t="s">
        <v>905</v>
      </c>
      <c r="I11" s="1381" t="s">
        <v>906</v>
      </c>
      <c r="J11" s="1382"/>
      <c r="K11" s="1374" t="s">
        <v>113</v>
      </c>
      <c r="L11" s="1604"/>
    </row>
    <row r="12" spans="1:12" s="357" customFormat="1" ht="22.5" customHeight="1">
      <c r="A12" s="1380"/>
      <c r="B12" s="1380"/>
      <c r="C12" s="1380"/>
      <c r="D12" s="1380" t="s">
        <v>374</v>
      </c>
      <c r="E12" s="1380" t="s">
        <v>375</v>
      </c>
      <c r="F12" s="1380" t="s">
        <v>881</v>
      </c>
      <c r="G12" s="1374"/>
      <c r="H12" s="1374"/>
      <c r="I12" s="1383"/>
      <c r="J12" s="1384"/>
      <c r="K12" s="1374"/>
    </row>
    <row r="13" spans="1:12" s="358" customFormat="1" ht="11.25">
      <c r="A13" s="1380"/>
      <c r="B13" s="1380"/>
      <c r="C13" s="1380"/>
      <c r="D13" s="1380"/>
      <c r="E13" s="1380"/>
      <c r="F13" s="1380"/>
      <c r="G13" s="1374"/>
      <c r="H13" s="1374"/>
      <c r="I13" s="361" t="s">
        <v>826</v>
      </c>
      <c r="J13" s="361" t="s">
        <v>827</v>
      </c>
      <c r="K13" s="361" t="s">
        <v>540</v>
      </c>
    </row>
    <row r="14" spans="1:12" ht="19.5">
      <c r="A14" s="1377" t="s">
        <v>895</v>
      </c>
      <c r="B14" s="1378"/>
      <c r="C14" s="1378"/>
      <c r="D14" s="1378"/>
      <c r="E14" s="1378"/>
      <c r="F14" s="1378"/>
      <c r="G14" s="1378"/>
      <c r="H14" s="1378"/>
      <c r="I14" s="1378"/>
      <c r="J14" s="1378"/>
      <c r="K14" s="1379"/>
    </row>
    <row r="15" spans="1:12">
      <c r="A15" s="359"/>
      <c r="B15" s="359"/>
      <c r="C15" s="359"/>
      <c r="D15" s="359"/>
      <c r="E15" s="359"/>
      <c r="F15" s="359"/>
      <c r="G15" s="359"/>
      <c r="H15" s="359"/>
      <c r="I15" s="359"/>
      <c r="J15" s="359"/>
      <c r="K15" s="359"/>
    </row>
    <row r="16" spans="1:12">
      <c r="A16" s="359"/>
      <c r="B16" s="359"/>
      <c r="C16" s="359"/>
      <c r="D16" s="359"/>
      <c r="E16" s="359"/>
      <c r="F16" s="359"/>
      <c r="G16" s="359"/>
      <c r="H16" s="359"/>
      <c r="I16" s="359"/>
      <c r="J16" s="359"/>
      <c r="K16" s="359"/>
    </row>
    <row r="17" spans="1:11">
      <c r="A17" s="359"/>
      <c r="B17" s="359"/>
      <c r="C17" s="359"/>
      <c r="D17" s="359"/>
      <c r="E17" s="359"/>
      <c r="F17" s="359"/>
      <c r="G17" s="359"/>
      <c r="H17" s="359"/>
      <c r="I17" s="359"/>
      <c r="J17" s="359"/>
      <c r="K17" s="359"/>
    </row>
    <row r="18" spans="1:11">
      <c r="A18" s="359"/>
      <c r="B18" s="359"/>
      <c r="C18" s="359"/>
      <c r="D18" s="359"/>
      <c r="E18" s="359"/>
      <c r="F18" s="359"/>
      <c r="G18" s="359"/>
      <c r="H18" s="359"/>
      <c r="I18" s="359"/>
      <c r="J18" s="359"/>
      <c r="K18" s="359"/>
    </row>
    <row r="19" spans="1:11">
      <c r="A19" s="359"/>
      <c r="B19" s="359"/>
      <c r="C19" s="359"/>
      <c r="D19" s="359"/>
      <c r="E19" s="359"/>
      <c r="F19" s="359"/>
      <c r="G19" s="359"/>
      <c r="H19" s="359"/>
      <c r="I19" s="359"/>
      <c r="J19" s="359"/>
      <c r="K19" s="359"/>
    </row>
    <row r="20" spans="1:11">
      <c r="A20" s="359"/>
      <c r="B20" s="359"/>
      <c r="C20" s="359"/>
      <c r="D20" s="359"/>
      <c r="E20" s="359"/>
      <c r="F20" s="359"/>
      <c r="G20" s="359"/>
      <c r="H20" s="359"/>
      <c r="I20" s="359"/>
      <c r="J20" s="359"/>
      <c r="K20" s="359"/>
    </row>
    <row r="21" spans="1:11">
      <c r="A21" s="359"/>
      <c r="B21" s="359"/>
      <c r="C21" s="359"/>
      <c r="D21" s="359"/>
      <c r="E21" s="359"/>
      <c r="F21" s="359"/>
      <c r="G21" s="359"/>
      <c r="H21" s="359"/>
      <c r="I21" s="359"/>
      <c r="J21" s="359"/>
      <c r="K21" s="359"/>
    </row>
    <row r="22" spans="1:11">
      <c r="A22" s="359"/>
      <c r="B22" s="359"/>
      <c r="C22" s="359"/>
      <c r="D22" s="359"/>
      <c r="E22" s="359"/>
      <c r="F22" s="359"/>
      <c r="G22" s="359"/>
      <c r="H22" s="359"/>
      <c r="I22" s="359"/>
      <c r="J22" s="359"/>
      <c r="K22" s="359"/>
    </row>
    <row r="23" spans="1:11">
      <c r="A23" s="359"/>
      <c r="B23" s="359"/>
      <c r="C23" s="359"/>
      <c r="D23" s="359"/>
      <c r="E23" s="359"/>
      <c r="F23" s="359"/>
      <c r="G23" s="359"/>
      <c r="H23" s="359"/>
      <c r="I23" s="359"/>
      <c r="J23" s="359"/>
      <c r="K23" s="359"/>
    </row>
    <row r="24" spans="1:11">
      <c r="A24" s="359"/>
      <c r="B24" s="359"/>
      <c r="C24" s="359"/>
      <c r="D24" s="359"/>
      <c r="E24" s="359"/>
      <c r="F24" s="359"/>
      <c r="G24" s="359"/>
      <c r="H24" s="359"/>
      <c r="I24" s="359"/>
      <c r="J24" s="359"/>
      <c r="K24" s="359"/>
    </row>
    <row r="25" spans="1:11">
      <c r="A25" s="359"/>
      <c r="B25" s="359"/>
      <c r="C25" s="359"/>
      <c r="D25" s="359"/>
      <c r="E25" s="359"/>
      <c r="F25" s="359"/>
      <c r="G25" s="359"/>
      <c r="H25" s="359"/>
      <c r="I25" s="359"/>
      <c r="J25" s="359"/>
      <c r="K25" s="359"/>
    </row>
    <row r="26" spans="1:11">
      <c r="A26" s="359"/>
      <c r="B26" s="359"/>
      <c r="C26" s="359"/>
      <c r="D26" s="359"/>
      <c r="E26" s="359"/>
      <c r="F26" s="359"/>
      <c r="G26" s="359"/>
      <c r="H26" s="359"/>
      <c r="I26" s="359"/>
      <c r="J26" s="359"/>
      <c r="K26" s="359"/>
    </row>
    <row r="27" spans="1:11">
      <c r="A27" s="359"/>
      <c r="B27" s="359"/>
      <c r="C27" s="359"/>
      <c r="D27" s="359"/>
      <c r="E27" s="359"/>
      <c r="F27" s="359"/>
      <c r="G27" s="359"/>
      <c r="H27" s="359"/>
      <c r="I27" s="359"/>
      <c r="J27" s="359"/>
      <c r="K27" s="359"/>
    </row>
    <row r="28" spans="1:11">
      <c r="A28" s="359"/>
      <c r="B28" s="359"/>
      <c r="C28" s="359"/>
      <c r="D28" s="359"/>
      <c r="E28" s="359"/>
      <c r="F28" s="359"/>
      <c r="G28" s="359"/>
      <c r="H28" s="359"/>
      <c r="I28" s="359"/>
      <c r="J28" s="359"/>
      <c r="K28" s="359"/>
    </row>
    <row r="29" spans="1:11" ht="27" customHeight="1">
      <c r="A29" s="1376" t="s">
        <v>425</v>
      </c>
      <c r="B29" s="1376"/>
      <c r="C29" s="1376"/>
      <c r="D29" s="1376"/>
      <c r="E29" s="1376"/>
      <c r="F29" s="1376"/>
      <c r="G29" s="1376"/>
      <c r="H29" s="1376"/>
      <c r="I29" s="1376"/>
      <c r="J29" s="1376"/>
      <c r="K29" s="1376"/>
    </row>
    <row r="31" spans="1:11">
      <c r="J31" s="1375" t="s">
        <v>126</v>
      </c>
      <c r="K31" s="1375"/>
    </row>
  </sheetData>
  <mergeCells count="18">
    <mergeCell ref="A1:K1"/>
    <mergeCell ref="A2:K2"/>
    <mergeCell ref="A4:K4"/>
    <mergeCell ref="A6:K6"/>
    <mergeCell ref="K11:K12"/>
    <mergeCell ref="D12:D13"/>
    <mergeCell ref="E12:E13"/>
    <mergeCell ref="F12:F13"/>
    <mergeCell ref="I11:J12"/>
    <mergeCell ref="A11:A13"/>
    <mergeCell ref="B11:B13"/>
    <mergeCell ref="C11:C13"/>
    <mergeCell ref="D11:F11"/>
    <mergeCell ref="G11:G13"/>
    <mergeCell ref="H11:H13"/>
    <mergeCell ref="J31:K31"/>
    <mergeCell ref="A29:K29"/>
    <mergeCell ref="A14:K14"/>
  </mergeCells>
  <hyperlinks>
    <hyperlink ref="J31" location="'TABLA DE CONTENIDO'!A1" display="VOLVER A TABLA DE CONTENIDO" xr:uid="{00000000-0004-0000-1400-000000000000}"/>
  </hyperlinks>
  <printOptions horizontalCentered="1" verticalCentered="1"/>
  <pageMargins left="0.74803149606299213" right="0.74803149606299213" top="0.98425196850393704" bottom="0.98425196850393704" header="0" footer="0"/>
  <pageSetup scale="86" orientation="landscape" r:id="rId1"/>
  <headerFooter alignWithMargins="0"/>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pageSetUpPr fitToPage="1"/>
  </sheetPr>
  <dimension ref="A1:AH43"/>
  <sheetViews>
    <sheetView zoomScaleNormal="100" workbookViewId="0">
      <selection activeCell="AH8" sqref="AG8:AH11"/>
    </sheetView>
  </sheetViews>
  <sheetFormatPr defaultColWidth="11.42578125" defaultRowHeight="12.75"/>
  <cols>
    <col min="1" max="1" width="7.42578125" customWidth="1"/>
    <col min="2" max="2" width="7.5703125" customWidth="1"/>
    <col min="3" max="3" width="7.28515625" customWidth="1"/>
    <col min="4" max="27" width="4.28515625" customWidth="1"/>
    <col min="28" max="28" width="6" customWidth="1"/>
    <col min="29" max="30" width="4.28515625" customWidth="1"/>
    <col min="31" max="31" width="6" customWidth="1"/>
  </cols>
  <sheetData>
    <row r="1" spans="1:34" ht="23.25">
      <c r="A1" s="1230" t="s">
        <v>1</v>
      </c>
      <c r="B1" s="1230"/>
      <c r="C1" s="1230"/>
      <c r="D1" s="1230"/>
      <c r="E1" s="1230"/>
      <c r="F1" s="1230"/>
      <c r="G1" s="1230"/>
      <c r="H1" s="1230"/>
      <c r="I1" s="1230"/>
      <c r="J1" s="1230"/>
      <c r="K1" s="1230"/>
      <c r="L1" s="1230"/>
      <c r="M1" s="1230"/>
      <c r="N1" s="1230"/>
      <c r="O1" s="1230"/>
      <c r="P1" s="1230"/>
      <c r="Q1" s="1230"/>
      <c r="R1" s="1230"/>
      <c r="S1" s="1230"/>
      <c r="T1" s="1230"/>
      <c r="U1" s="1230"/>
      <c r="V1" s="1230"/>
      <c r="W1" s="1230"/>
      <c r="X1" s="1230"/>
      <c r="Y1" s="1230"/>
      <c r="Z1" s="1230"/>
      <c r="AA1" s="1230"/>
      <c r="AB1" s="1230"/>
      <c r="AC1" s="1230"/>
      <c r="AD1" s="1230"/>
      <c r="AE1" s="1230"/>
    </row>
    <row r="2" spans="1:34" ht="26.25" customHeight="1">
      <c r="A2" s="1225" t="s">
        <v>907</v>
      </c>
      <c r="B2" s="1225"/>
      <c r="C2" s="1225"/>
      <c r="D2" s="1225"/>
      <c r="E2" s="1225"/>
      <c r="F2" s="1225"/>
      <c r="G2" s="1225"/>
      <c r="H2" s="1225"/>
      <c r="I2" s="1225"/>
      <c r="J2" s="1225"/>
      <c r="K2" s="1225"/>
      <c r="L2" s="1225"/>
      <c r="M2" s="1225"/>
      <c r="N2" s="1225"/>
      <c r="O2" s="1225"/>
      <c r="P2" s="1225"/>
      <c r="Q2" s="1225"/>
      <c r="R2" s="1225"/>
      <c r="S2" s="1225"/>
      <c r="T2" s="1225"/>
      <c r="U2" s="1225"/>
      <c r="V2" s="1225"/>
      <c r="W2" s="1225"/>
      <c r="X2" s="1225"/>
      <c r="Y2" s="1225"/>
      <c r="Z2" s="1225"/>
      <c r="AA2" s="1225"/>
      <c r="AB2" s="1225"/>
      <c r="AC2" s="1225"/>
      <c r="AD2" s="1225"/>
      <c r="AE2" s="1225"/>
    </row>
    <row r="3" spans="1:34" ht="26.25" customHeight="1">
      <c r="A3" s="1225" t="s">
        <v>908</v>
      </c>
      <c r="B3" s="1225"/>
      <c r="C3" s="1225"/>
      <c r="D3" s="1225"/>
      <c r="E3" s="1225"/>
      <c r="F3" s="1225"/>
      <c r="G3" s="1225"/>
      <c r="H3" s="1225"/>
      <c r="I3" s="1225"/>
      <c r="J3" s="1225"/>
      <c r="K3" s="1225"/>
      <c r="L3" s="1225"/>
      <c r="M3" s="1225"/>
      <c r="N3" s="1225"/>
      <c r="O3" s="1225"/>
      <c r="P3" s="1225"/>
      <c r="Q3" s="1225"/>
      <c r="R3" s="1225"/>
      <c r="S3" s="1225"/>
      <c r="T3" s="1225"/>
      <c r="U3" s="1225"/>
      <c r="V3" s="1225"/>
      <c r="W3" s="1225"/>
      <c r="X3" s="1225"/>
      <c r="Y3" s="1225"/>
      <c r="Z3" s="1225"/>
      <c r="AA3" s="1225"/>
      <c r="AB3" s="1225"/>
      <c r="AC3" s="1225"/>
      <c r="AD3" s="1225"/>
      <c r="AE3" s="1225"/>
    </row>
    <row r="4" spans="1:34" ht="22.5" customHeight="1">
      <c r="A4" s="1225" t="s">
        <v>909</v>
      </c>
      <c r="B4" s="1225"/>
      <c r="C4" s="1225"/>
      <c r="D4" s="1225"/>
      <c r="E4" s="1225"/>
      <c r="F4" s="1225"/>
      <c r="G4" s="1225"/>
      <c r="H4" s="1225"/>
      <c r="I4" s="1225"/>
      <c r="J4" s="1225"/>
      <c r="K4" s="1225"/>
      <c r="L4" s="1225"/>
      <c r="M4" s="1225"/>
      <c r="N4" s="1225"/>
      <c r="O4" s="1225"/>
      <c r="P4" s="1225"/>
      <c r="Q4" s="1225"/>
      <c r="R4" s="1225"/>
      <c r="S4" s="1225"/>
      <c r="T4" s="1225"/>
      <c r="U4" s="1225"/>
      <c r="V4" s="1225"/>
      <c r="W4" s="1225"/>
      <c r="X4" s="1225"/>
      <c r="Y4" s="1225"/>
      <c r="Z4" s="1225"/>
      <c r="AA4" s="1225"/>
      <c r="AB4" s="1225"/>
      <c r="AC4" s="1225"/>
      <c r="AD4" s="1225"/>
      <c r="AE4" s="1225"/>
    </row>
    <row r="5" spans="1:34" ht="15.75">
      <c r="A5" s="179"/>
      <c r="B5" s="179"/>
      <c r="C5" s="179"/>
      <c r="D5" s="179"/>
      <c r="E5" s="179"/>
      <c r="F5" s="179"/>
      <c r="G5" s="179"/>
      <c r="H5" s="179"/>
      <c r="I5" s="179"/>
      <c r="J5" s="179"/>
      <c r="K5" s="179"/>
      <c r="L5" s="179"/>
      <c r="M5" s="179"/>
      <c r="N5" s="179"/>
      <c r="O5" s="179"/>
      <c r="P5" s="179"/>
      <c r="Q5" s="179"/>
      <c r="R5" s="179"/>
    </row>
    <row r="6" spans="1:34" ht="15.75">
      <c r="A6" s="180" t="s">
        <v>910</v>
      </c>
      <c r="B6" s="321">
        <v>56</v>
      </c>
      <c r="C6" s="321"/>
      <c r="D6" s="321"/>
      <c r="E6" s="321"/>
      <c r="F6" s="321"/>
      <c r="G6" s="321"/>
      <c r="H6" s="321"/>
      <c r="I6" s="321"/>
      <c r="J6" s="321"/>
      <c r="K6" s="321"/>
      <c r="L6" s="321"/>
      <c r="M6" s="321"/>
      <c r="N6" s="321"/>
      <c r="O6" s="321"/>
      <c r="P6" s="321"/>
      <c r="Q6" s="279"/>
      <c r="R6" s="180" t="s">
        <v>911</v>
      </c>
      <c r="S6" s="279"/>
      <c r="T6" s="321"/>
      <c r="U6" s="321">
        <v>1</v>
      </c>
      <c r="V6" s="321"/>
      <c r="W6" s="321"/>
      <c r="X6" s="321"/>
      <c r="Y6" s="321"/>
      <c r="Z6" s="321"/>
      <c r="AA6" s="321"/>
      <c r="AB6" s="321"/>
      <c r="AC6" s="321"/>
      <c r="AD6" s="279"/>
      <c r="AE6" s="279"/>
    </row>
    <row r="7" spans="1:34" s="172" customFormat="1" ht="16.5" thickBot="1">
      <c r="A7" s="180"/>
      <c r="B7" s="180"/>
      <c r="C7" s="180"/>
      <c r="D7" s="180"/>
      <c r="E7" s="180"/>
      <c r="F7" s="180"/>
      <c r="G7" s="180"/>
      <c r="H7" s="180"/>
      <c r="I7" s="180"/>
      <c r="J7" s="180"/>
      <c r="K7" s="180"/>
      <c r="L7" s="180"/>
      <c r="M7" s="180"/>
      <c r="N7" s="180"/>
      <c r="O7" s="180"/>
      <c r="P7" s="180"/>
      <c r="Q7" s="180"/>
      <c r="R7" s="180"/>
    </row>
    <row r="8" spans="1:34" s="320" customFormat="1" ht="22.5" customHeight="1" thickBot="1">
      <c r="D8" s="1390" t="s">
        <v>912</v>
      </c>
      <c r="E8" s="1391"/>
      <c r="F8" s="1391"/>
      <c r="G8" s="1392"/>
      <c r="H8" s="1390" t="s">
        <v>913</v>
      </c>
      <c r="I8" s="1391"/>
      <c r="J8" s="1391"/>
      <c r="K8" s="1392"/>
      <c r="L8" s="1390" t="s">
        <v>914</v>
      </c>
      <c r="M8" s="1391"/>
      <c r="N8" s="1391"/>
      <c r="O8" s="1392"/>
      <c r="P8" s="1390" t="s">
        <v>915</v>
      </c>
      <c r="Q8" s="1391"/>
      <c r="R8" s="1391"/>
      <c r="S8" s="1392"/>
      <c r="T8" s="1393" t="s">
        <v>916</v>
      </c>
      <c r="U8" s="1394"/>
      <c r="V8" s="1394"/>
      <c r="W8" s="1395"/>
      <c r="X8" s="1393" t="s">
        <v>917</v>
      </c>
      <c r="Y8" s="1394"/>
      <c r="Z8" s="1394"/>
      <c r="AA8" s="1395"/>
      <c r="AB8" s="1390" t="s">
        <v>918</v>
      </c>
      <c r="AC8" s="1391"/>
      <c r="AD8" s="1391"/>
      <c r="AE8" s="1392"/>
    </row>
    <row r="9" spans="1:34">
      <c r="A9" s="1605" t="s">
        <v>919</v>
      </c>
      <c r="B9" s="1606" t="s">
        <v>920</v>
      </c>
      <c r="C9" s="1607" t="s">
        <v>921</v>
      </c>
      <c r="D9" s="324" t="s">
        <v>172</v>
      </c>
      <c r="E9" s="322" t="s">
        <v>176</v>
      </c>
      <c r="F9" s="322" t="s">
        <v>170</v>
      </c>
      <c r="G9" s="325" t="s">
        <v>922</v>
      </c>
      <c r="H9" s="324" t="s">
        <v>172</v>
      </c>
      <c r="I9" s="322" t="s">
        <v>176</v>
      </c>
      <c r="J9" s="322" t="s">
        <v>170</v>
      </c>
      <c r="K9" s="325" t="s">
        <v>922</v>
      </c>
      <c r="L9" s="324" t="s">
        <v>172</v>
      </c>
      <c r="M9" s="322" t="s">
        <v>176</v>
      </c>
      <c r="N9" s="322" t="s">
        <v>170</v>
      </c>
      <c r="O9" s="325" t="s">
        <v>922</v>
      </c>
      <c r="P9" s="324" t="s">
        <v>172</v>
      </c>
      <c r="Q9" s="322" t="s">
        <v>176</v>
      </c>
      <c r="R9" s="322" t="s">
        <v>170</v>
      </c>
      <c r="S9" s="325" t="s">
        <v>922</v>
      </c>
      <c r="T9" s="324" t="s">
        <v>172</v>
      </c>
      <c r="U9" s="322" t="s">
        <v>176</v>
      </c>
      <c r="V9" s="322" t="s">
        <v>170</v>
      </c>
      <c r="W9" s="325" t="s">
        <v>922</v>
      </c>
      <c r="X9" s="324" t="s">
        <v>172</v>
      </c>
      <c r="Y9" s="322" t="s">
        <v>176</v>
      </c>
      <c r="Z9" s="322" t="s">
        <v>170</v>
      </c>
      <c r="AA9" s="325" t="s">
        <v>922</v>
      </c>
      <c r="AB9" s="324" t="s">
        <v>172</v>
      </c>
      <c r="AC9" s="322" t="s">
        <v>176</v>
      </c>
      <c r="AD9" s="322" t="s">
        <v>170</v>
      </c>
      <c r="AE9" s="325" t="s">
        <v>922</v>
      </c>
      <c r="AG9" s="1211"/>
      <c r="AH9" s="1211"/>
    </row>
    <row r="10" spans="1:34" s="144" customFormat="1">
      <c r="A10" s="1608"/>
      <c r="B10" s="1609"/>
      <c r="C10" s="1610"/>
      <c r="D10" s="1611" t="s">
        <v>923</v>
      </c>
      <c r="E10" s="1612" t="s">
        <v>923</v>
      </c>
      <c r="F10" s="1612" t="s">
        <v>923</v>
      </c>
      <c r="G10" s="1613" t="s">
        <v>923</v>
      </c>
      <c r="H10" s="1611" t="s">
        <v>923</v>
      </c>
      <c r="I10" s="1612" t="s">
        <v>923</v>
      </c>
      <c r="J10" s="1612" t="s">
        <v>923</v>
      </c>
      <c r="K10" s="1613" t="s">
        <v>923</v>
      </c>
      <c r="L10" s="1611" t="s">
        <v>923</v>
      </c>
      <c r="M10" s="1612" t="s">
        <v>923</v>
      </c>
      <c r="N10" s="1612" t="s">
        <v>923</v>
      </c>
      <c r="O10" s="1613" t="s">
        <v>923</v>
      </c>
      <c r="P10" s="1611" t="s">
        <v>923</v>
      </c>
      <c r="Q10" s="1612" t="s">
        <v>923</v>
      </c>
      <c r="R10" s="1612" t="s">
        <v>923</v>
      </c>
      <c r="S10" s="1613" t="s">
        <v>923</v>
      </c>
      <c r="T10" s="1611" t="s">
        <v>923</v>
      </c>
      <c r="U10" s="1612" t="s">
        <v>923</v>
      </c>
      <c r="V10" s="1612" t="s">
        <v>923</v>
      </c>
      <c r="W10" s="1613" t="s">
        <v>923</v>
      </c>
      <c r="X10" s="1611" t="s">
        <v>923</v>
      </c>
      <c r="Y10" s="1612" t="s">
        <v>923</v>
      </c>
      <c r="Z10" s="1612" t="s">
        <v>923</v>
      </c>
      <c r="AA10" s="1613" t="s">
        <v>923</v>
      </c>
      <c r="AB10" s="1611" t="s">
        <v>924</v>
      </c>
      <c r="AC10" s="1612" t="s">
        <v>924</v>
      </c>
      <c r="AD10" s="1612" t="s">
        <v>924</v>
      </c>
      <c r="AE10" s="1613" t="s">
        <v>924</v>
      </c>
    </row>
    <row r="11" spans="1:34">
      <c r="A11" s="326" t="s">
        <v>707</v>
      </c>
      <c r="B11" s="323" t="s">
        <v>708</v>
      </c>
      <c r="C11" s="327" t="s">
        <v>709</v>
      </c>
      <c r="D11" s="326" t="s">
        <v>925</v>
      </c>
      <c r="E11" s="323" t="s">
        <v>926</v>
      </c>
      <c r="F11" s="323" t="s">
        <v>927</v>
      </c>
      <c r="G11" s="327" t="s">
        <v>726</v>
      </c>
      <c r="H11" s="326" t="s">
        <v>928</v>
      </c>
      <c r="I11" s="323" t="s">
        <v>929</v>
      </c>
      <c r="J11" s="323" t="s">
        <v>930</v>
      </c>
      <c r="K11" s="327" t="s">
        <v>931</v>
      </c>
      <c r="L11" s="326" t="s">
        <v>932</v>
      </c>
      <c r="M11" s="323" t="s">
        <v>933</v>
      </c>
      <c r="N11" s="323" t="s">
        <v>934</v>
      </c>
      <c r="O11" s="327" t="s">
        <v>935</v>
      </c>
      <c r="P11" s="326" t="s">
        <v>936</v>
      </c>
      <c r="Q11" s="323" t="s">
        <v>937</v>
      </c>
      <c r="R11" s="323" t="s">
        <v>938</v>
      </c>
      <c r="S11" s="327" t="s">
        <v>939</v>
      </c>
      <c r="T11" s="326" t="s">
        <v>940</v>
      </c>
      <c r="U11" s="323" t="s">
        <v>941</v>
      </c>
      <c r="V11" s="323" t="s">
        <v>942</v>
      </c>
      <c r="W11" s="327" t="s">
        <v>943</v>
      </c>
      <c r="X11" s="326" t="s">
        <v>944</v>
      </c>
      <c r="Y11" s="323" t="s">
        <v>945</v>
      </c>
      <c r="Z11" s="323" t="s">
        <v>946</v>
      </c>
      <c r="AA11" s="327" t="s">
        <v>947</v>
      </c>
      <c r="AB11" s="326" t="s">
        <v>948</v>
      </c>
      <c r="AC11" s="323" t="s">
        <v>949</v>
      </c>
      <c r="AD11" s="323" t="s">
        <v>950</v>
      </c>
      <c r="AE11" s="327" t="s">
        <v>951</v>
      </c>
    </row>
    <row r="12" spans="1:34">
      <c r="A12" s="87"/>
      <c r="B12" s="6"/>
      <c r="C12" s="23"/>
      <c r="D12" s="87"/>
      <c r="E12" s="6"/>
      <c r="F12" s="6"/>
      <c r="G12" s="23"/>
      <c r="H12" s="87"/>
      <c r="I12" s="6"/>
      <c r="J12" s="6"/>
      <c r="K12" s="23"/>
      <c r="L12" s="87"/>
      <c r="M12" s="6"/>
      <c r="N12" s="6"/>
      <c r="O12" s="23"/>
      <c r="P12" s="87"/>
      <c r="Q12" s="6"/>
      <c r="R12" s="6"/>
      <c r="S12" s="23"/>
      <c r="T12" s="87"/>
      <c r="U12" s="6"/>
      <c r="V12" s="6"/>
      <c r="W12" s="23"/>
      <c r="X12" s="87"/>
      <c r="Y12" s="6"/>
      <c r="Z12" s="6"/>
      <c r="AA12" s="23"/>
      <c r="AB12" s="87"/>
      <c r="AC12" s="6"/>
      <c r="AD12" s="6"/>
      <c r="AE12" s="23"/>
    </row>
    <row r="13" spans="1:34">
      <c r="A13" s="910">
        <v>56</v>
      </c>
      <c r="B13" s="429" t="s">
        <v>188</v>
      </c>
      <c r="C13" s="911">
        <v>53.74</v>
      </c>
      <c r="D13" s="912">
        <f>1219-T13</f>
        <v>805</v>
      </c>
      <c r="E13" s="802">
        <v>100</v>
      </c>
      <c r="F13" s="802">
        <v>26</v>
      </c>
      <c r="G13" s="913">
        <v>138</v>
      </c>
      <c r="H13" s="912">
        <v>0</v>
      </c>
      <c r="I13" s="802">
        <v>0</v>
      </c>
      <c r="J13" s="802">
        <v>0</v>
      </c>
      <c r="K13" s="913">
        <v>0</v>
      </c>
      <c r="L13" s="914">
        <v>1</v>
      </c>
      <c r="M13" s="802">
        <v>0</v>
      </c>
      <c r="N13" s="802">
        <v>1</v>
      </c>
      <c r="O13" s="913">
        <v>0</v>
      </c>
      <c r="P13" s="914">
        <v>6</v>
      </c>
      <c r="Q13" s="802">
        <v>0</v>
      </c>
      <c r="R13" s="802">
        <v>1</v>
      </c>
      <c r="S13" s="913">
        <f>6+2-6</f>
        <v>2</v>
      </c>
      <c r="T13" s="914">
        <v>414</v>
      </c>
      <c r="U13" s="802">
        <v>112</v>
      </c>
      <c r="V13" s="802">
        <v>0</v>
      </c>
      <c r="W13" s="915">
        <f>326</f>
        <v>326</v>
      </c>
      <c r="X13" s="914">
        <v>53</v>
      </c>
      <c r="Y13" s="802">
        <v>1</v>
      </c>
      <c r="Z13" s="802">
        <v>1</v>
      </c>
      <c r="AA13" s="916">
        <v>0</v>
      </c>
      <c r="AB13" s="914">
        <v>3261</v>
      </c>
      <c r="AC13" s="802">
        <v>84</v>
      </c>
      <c r="AD13" s="916">
        <v>4</v>
      </c>
      <c r="AE13" s="913">
        <v>5830</v>
      </c>
    </row>
    <row r="14" spans="1:34">
      <c r="A14" s="87"/>
      <c r="B14" s="6"/>
      <c r="C14" s="23"/>
      <c r="D14" s="87"/>
      <c r="E14" s="6"/>
      <c r="F14" s="6"/>
      <c r="G14" s="23"/>
      <c r="H14" s="87"/>
      <c r="I14" s="6"/>
      <c r="J14" s="6"/>
      <c r="K14" s="23"/>
      <c r="L14" s="87"/>
      <c r="M14" s="6"/>
      <c r="N14" s="6"/>
      <c r="O14" s="23"/>
      <c r="P14" s="87"/>
      <c r="Q14" s="6"/>
      <c r="R14" s="6"/>
      <c r="S14" s="23"/>
      <c r="T14" s="87"/>
      <c r="U14" s="6"/>
      <c r="V14" s="6"/>
      <c r="W14" s="23"/>
      <c r="X14" s="87"/>
      <c r="Y14" s="6"/>
      <c r="Z14" s="6"/>
      <c r="AA14" s="23"/>
      <c r="AB14" s="87"/>
      <c r="AC14" s="6"/>
      <c r="AD14" s="6"/>
      <c r="AE14" s="23"/>
    </row>
    <row r="15" spans="1:34">
      <c r="A15" s="87"/>
      <c r="B15" s="6"/>
      <c r="C15" s="23"/>
      <c r="D15" s="87"/>
      <c r="E15" s="6"/>
      <c r="F15" s="6"/>
      <c r="G15" s="23"/>
      <c r="H15" s="87"/>
      <c r="I15" s="6"/>
      <c r="J15" s="6"/>
      <c r="K15" s="23"/>
      <c r="L15" s="87"/>
      <c r="M15" s="6"/>
      <c r="N15" s="6"/>
      <c r="O15" s="23"/>
      <c r="P15" s="87"/>
      <c r="Q15" s="6"/>
      <c r="R15" s="6"/>
      <c r="S15" s="23"/>
      <c r="T15" s="87"/>
      <c r="U15" s="6"/>
      <c r="V15" s="6"/>
      <c r="W15" s="23"/>
      <c r="X15" s="87"/>
      <c r="Y15" s="6"/>
      <c r="Z15" s="6"/>
      <c r="AA15" s="23"/>
      <c r="AB15" s="87"/>
      <c r="AC15" s="6"/>
      <c r="AD15" s="6"/>
      <c r="AE15" s="23"/>
    </row>
    <row r="16" spans="1:34">
      <c r="A16" s="87"/>
      <c r="B16" s="6"/>
      <c r="C16" s="23"/>
      <c r="D16" s="87"/>
      <c r="E16" s="6"/>
      <c r="F16" s="6"/>
      <c r="G16" s="23"/>
      <c r="H16" s="87"/>
      <c r="I16" s="6"/>
      <c r="J16" s="6"/>
      <c r="K16" s="23"/>
      <c r="L16" s="87"/>
      <c r="M16" s="6"/>
      <c r="N16" s="6"/>
      <c r="O16" s="23"/>
      <c r="P16" s="87"/>
      <c r="Q16" s="6"/>
      <c r="R16" s="6"/>
      <c r="S16" s="23"/>
      <c r="T16" s="87"/>
      <c r="U16" s="6"/>
      <c r="V16" s="6"/>
      <c r="W16" s="23"/>
      <c r="X16" s="87"/>
      <c r="Y16" s="6"/>
      <c r="Z16" s="6"/>
      <c r="AA16" s="23"/>
      <c r="AB16" s="87"/>
      <c r="AC16" s="6"/>
      <c r="AD16" s="6"/>
      <c r="AE16" s="23"/>
    </row>
    <row r="17" spans="1:32">
      <c r="A17" s="87"/>
      <c r="B17" s="6"/>
      <c r="C17" s="23"/>
      <c r="D17" s="87"/>
      <c r="E17" s="6"/>
      <c r="F17" s="6"/>
      <c r="G17" s="23"/>
      <c r="H17" s="87"/>
      <c r="I17" s="6"/>
      <c r="J17" s="6"/>
      <c r="K17" s="23"/>
      <c r="L17" s="87"/>
      <c r="M17" s="6"/>
      <c r="N17" s="6"/>
      <c r="O17" s="23"/>
      <c r="P17" s="87"/>
      <c r="Q17" s="6"/>
      <c r="R17" s="6"/>
      <c r="S17" s="23"/>
      <c r="T17" s="87"/>
      <c r="U17" s="6"/>
      <c r="V17" s="6"/>
      <c r="W17" s="23"/>
      <c r="X17" s="87"/>
      <c r="Y17" s="6"/>
      <c r="Z17" s="6"/>
      <c r="AA17" s="23"/>
      <c r="AB17" s="87"/>
      <c r="AC17" s="6"/>
      <c r="AD17" s="6"/>
      <c r="AE17" s="23"/>
    </row>
    <row r="18" spans="1:32">
      <c r="A18" s="87"/>
      <c r="B18" s="6"/>
      <c r="C18" s="23"/>
      <c r="D18" s="87"/>
      <c r="E18" s="6"/>
      <c r="F18" s="6"/>
      <c r="G18" s="23"/>
      <c r="H18" s="87"/>
      <c r="I18" s="6"/>
      <c r="J18" s="6"/>
      <c r="K18" s="23"/>
      <c r="L18" s="87"/>
      <c r="M18" s="6"/>
      <c r="N18" s="6"/>
      <c r="O18" s="23"/>
      <c r="P18" s="87"/>
      <c r="Q18" s="6"/>
      <c r="R18" s="6"/>
      <c r="S18" s="23"/>
      <c r="T18" s="87"/>
      <c r="U18" s="6"/>
      <c r="V18" s="6"/>
      <c r="W18" s="23"/>
      <c r="X18" s="87"/>
      <c r="Y18" s="6"/>
      <c r="Z18" s="6"/>
      <c r="AA18" s="23"/>
      <c r="AB18" s="87"/>
      <c r="AC18" s="6"/>
      <c r="AD18" s="6"/>
      <c r="AE18" s="23"/>
    </row>
    <row r="19" spans="1:32" ht="13.5" thickBot="1">
      <c r="A19" s="1396" t="s">
        <v>952</v>
      </c>
      <c r="B19" s="1397"/>
      <c r="C19" s="1398"/>
      <c r="D19" s="136"/>
      <c r="E19" s="131"/>
      <c r="F19" s="131"/>
      <c r="G19" s="104"/>
      <c r="H19" s="136"/>
      <c r="I19" s="131"/>
      <c r="J19" s="131"/>
      <c r="K19" s="104"/>
      <c r="L19" s="136"/>
      <c r="M19" s="131"/>
      <c r="N19" s="131"/>
      <c r="O19" s="104"/>
      <c r="P19" s="136"/>
      <c r="Q19" s="131"/>
      <c r="R19" s="131"/>
      <c r="S19" s="104"/>
      <c r="T19" s="136"/>
      <c r="U19" s="131"/>
      <c r="V19" s="131"/>
      <c r="W19" s="104"/>
      <c r="X19" s="136"/>
      <c r="Y19" s="131"/>
      <c r="Z19" s="131"/>
      <c r="AA19" s="104"/>
      <c r="AB19" s="136"/>
      <c r="AC19" s="131"/>
      <c r="AD19" s="131"/>
      <c r="AE19" s="104"/>
    </row>
    <row r="20" spans="1:32" ht="13.5" thickBot="1">
      <c r="A20" s="290"/>
      <c r="B20" s="290"/>
      <c r="C20" s="290"/>
    </row>
    <row r="21" spans="1:32">
      <c r="A21" s="1614" t="s">
        <v>953</v>
      </c>
      <c r="B21" s="1385"/>
      <c r="C21" s="1385"/>
      <c r="D21" s="1385"/>
      <c r="E21" s="1385"/>
      <c r="F21" s="1385"/>
      <c r="G21" s="1386"/>
    </row>
    <row r="22" spans="1:32" ht="13.5" thickBot="1">
      <c r="A22" s="1387"/>
      <c r="B22" s="1388"/>
      <c r="C22" s="1388"/>
      <c r="D22" s="1388"/>
      <c r="E22" s="1388"/>
      <c r="F22" s="1388"/>
      <c r="G22" s="1389"/>
      <c r="H22" s="173"/>
      <c r="I22" s="173"/>
      <c r="J22" s="173"/>
      <c r="K22" s="173"/>
      <c r="L22" s="173"/>
      <c r="M22" s="173"/>
      <c r="N22" s="173"/>
      <c r="O22" s="173"/>
      <c r="P22" s="173"/>
      <c r="Q22" s="173"/>
      <c r="R22" s="173"/>
      <c r="S22" s="173"/>
    </row>
    <row r="23" spans="1:32">
      <c r="A23" s="1615" t="s">
        <v>954</v>
      </c>
      <c r="B23" s="1616"/>
      <c r="C23" s="1616"/>
      <c r="D23" s="1616"/>
      <c r="E23" s="1616"/>
      <c r="F23" s="3"/>
      <c r="G23" s="3"/>
      <c r="H23" s="14"/>
      <c r="I23" s="14"/>
      <c r="J23" s="14"/>
      <c r="K23" s="14"/>
      <c r="L23" s="14"/>
      <c r="M23" s="14"/>
      <c r="N23" s="14"/>
      <c r="O23" s="14"/>
      <c r="P23" s="14"/>
      <c r="Q23" s="14"/>
      <c r="R23" s="14"/>
      <c r="S23" s="14"/>
      <c r="T23" s="14"/>
      <c r="U23" s="14"/>
      <c r="V23" s="14"/>
      <c r="W23" s="14"/>
      <c r="X23" s="14"/>
      <c r="Y23" s="14"/>
      <c r="Z23" s="14"/>
      <c r="AA23" s="14"/>
      <c r="AB23" s="14"/>
      <c r="AC23" s="14"/>
      <c r="AD23" s="14"/>
      <c r="AE23" s="5"/>
    </row>
    <row r="24" spans="1:32">
      <c r="A24" s="1617" t="s">
        <v>955</v>
      </c>
      <c r="B24" s="1618"/>
      <c r="C24" s="1618"/>
      <c r="D24" s="1618"/>
      <c r="E24" s="1618"/>
      <c r="F24" s="26"/>
      <c r="G24" s="26"/>
      <c r="H24" s="26"/>
      <c r="I24" s="26"/>
      <c r="J24" s="26"/>
      <c r="K24" s="26"/>
      <c r="L24" s="26"/>
      <c r="M24" s="26"/>
      <c r="N24" s="26"/>
      <c r="O24" s="26"/>
      <c r="P24" s="26"/>
      <c r="Q24" s="26"/>
      <c r="R24" s="26"/>
      <c r="S24" s="26"/>
      <c r="T24" s="26"/>
      <c r="U24" s="26"/>
      <c r="V24" s="26"/>
      <c r="W24" s="26"/>
      <c r="X24" s="26"/>
      <c r="Y24" s="26"/>
      <c r="Z24" s="26"/>
      <c r="AA24" s="26"/>
      <c r="AB24" s="26"/>
      <c r="AC24" s="26"/>
      <c r="AD24" s="26"/>
      <c r="AE24" s="13"/>
    </row>
    <row r="25" spans="1:32">
      <c r="A25" s="1617" t="s">
        <v>956</v>
      </c>
      <c r="B25" s="1618"/>
      <c r="C25" s="1618"/>
      <c r="D25" s="1618"/>
      <c r="E25" s="1618"/>
      <c r="F25" s="26"/>
      <c r="G25" s="26"/>
      <c r="H25" s="26"/>
      <c r="I25" s="26"/>
      <c r="J25" s="26"/>
      <c r="K25" s="26"/>
      <c r="L25" s="26"/>
      <c r="M25" s="26"/>
      <c r="N25" s="26"/>
      <c r="O25" s="26"/>
      <c r="P25" s="26"/>
      <c r="Q25" s="26"/>
      <c r="R25" s="26"/>
      <c r="S25" s="26"/>
      <c r="T25" s="26"/>
      <c r="U25" s="26"/>
      <c r="V25" s="26"/>
      <c r="W25" s="26"/>
      <c r="X25" s="26"/>
      <c r="Y25" s="26"/>
      <c r="Z25" s="26"/>
      <c r="AA25" s="26"/>
      <c r="AB25" s="26"/>
      <c r="AC25" s="26"/>
      <c r="AD25" s="26"/>
      <c r="AE25" s="13"/>
    </row>
    <row r="26" spans="1:32">
      <c r="A26" s="1617" t="s">
        <v>957</v>
      </c>
      <c r="B26" s="1618"/>
      <c r="C26" s="1618"/>
      <c r="D26" s="1618"/>
      <c r="E26" s="1618"/>
      <c r="F26" s="1618"/>
      <c r="G26" s="1618"/>
      <c r="H26" s="1618"/>
      <c r="I26" s="1618"/>
      <c r="J26" s="1618"/>
      <c r="K26" s="1618"/>
      <c r="L26" s="1618"/>
      <c r="M26" s="1618"/>
      <c r="N26" s="1618"/>
      <c r="O26" s="1618"/>
      <c r="P26" s="1618"/>
      <c r="Q26" s="1618"/>
      <c r="R26" s="1618"/>
      <c r="S26" s="1618"/>
      <c r="T26" s="1618"/>
      <c r="U26" s="1618"/>
      <c r="V26" s="1618"/>
      <c r="W26" s="1618"/>
      <c r="X26" s="1618"/>
      <c r="Y26" s="1618"/>
      <c r="Z26" s="1618"/>
      <c r="AA26" s="1618"/>
      <c r="AB26" s="1618"/>
      <c r="AC26" s="1618"/>
      <c r="AD26" s="1618"/>
      <c r="AE26" s="1619"/>
      <c r="AF26" s="100"/>
    </row>
    <row r="27" spans="1:32">
      <c r="A27" s="1620" t="s">
        <v>958</v>
      </c>
      <c r="B27" s="100"/>
      <c r="C27" s="100"/>
      <c r="D27" s="100"/>
      <c r="E27" s="100"/>
      <c r="F27" s="100"/>
      <c r="G27" s="100"/>
      <c r="H27" s="100"/>
      <c r="I27" s="100"/>
      <c r="J27" s="100"/>
      <c r="K27" s="100"/>
      <c r="L27" s="100"/>
      <c r="M27" s="100"/>
      <c r="N27" s="100"/>
      <c r="O27" s="100"/>
      <c r="P27" s="100"/>
      <c r="Q27" s="100"/>
      <c r="R27" s="100"/>
      <c r="S27" s="100"/>
      <c r="T27" s="100"/>
      <c r="U27" s="100"/>
      <c r="V27" s="100"/>
      <c r="W27" s="100"/>
      <c r="X27" s="100"/>
      <c r="Y27" s="100"/>
      <c r="Z27" s="100"/>
      <c r="AA27" s="100"/>
      <c r="AB27" s="100"/>
      <c r="AC27" s="100"/>
      <c r="AD27" s="100"/>
      <c r="AE27" s="1621"/>
      <c r="AF27" s="100"/>
    </row>
    <row r="28" spans="1:32">
      <c r="A28" s="1617" t="s">
        <v>959</v>
      </c>
      <c r="B28" s="1618"/>
      <c r="C28" s="1618"/>
      <c r="D28" s="1618"/>
      <c r="E28" s="1618"/>
      <c r="F28" s="1618"/>
      <c r="G28" s="1618"/>
      <c r="H28" s="1618"/>
      <c r="I28" s="1618"/>
      <c r="J28" s="1618"/>
      <c r="K28" s="1618"/>
      <c r="L28" s="1618"/>
      <c r="M28" s="1618"/>
      <c r="N28" s="1618"/>
      <c r="O28" s="1618"/>
      <c r="P28" s="1618"/>
      <c r="Q28" s="1618"/>
      <c r="R28" s="1618"/>
      <c r="S28" s="1618"/>
      <c r="T28" s="1618"/>
      <c r="U28" s="1618"/>
      <c r="V28" s="1618"/>
      <c r="W28" s="1618"/>
      <c r="X28" s="1618"/>
      <c r="Y28" s="1618"/>
      <c r="Z28" s="1618"/>
      <c r="AA28" s="1618"/>
      <c r="AB28" s="1618"/>
      <c r="AC28" s="1618"/>
      <c r="AD28" s="1618"/>
      <c r="AE28" s="1619"/>
      <c r="AF28" s="100"/>
    </row>
    <row r="29" spans="1:32">
      <c r="A29" s="1620" t="s">
        <v>960</v>
      </c>
      <c r="B29" s="100"/>
      <c r="C29" s="100"/>
      <c r="D29" s="100"/>
      <c r="E29" s="100"/>
      <c r="F29" s="100"/>
      <c r="G29" s="100"/>
      <c r="H29" s="100"/>
      <c r="I29" s="100"/>
      <c r="J29" s="100"/>
      <c r="K29" s="100"/>
      <c r="L29" s="100"/>
      <c r="M29" s="100"/>
      <c r="N29" s="100"/>
      <c r="O29" s="100"/>
      <c r="P29" s="100"/>
      <c r="Q29" s="100"/>
      <c r="R29" s="100"/>
      <c r="S29" s="100"/>
      <c r="T29" s="100"/>
      <c r="U29" s="100"/>
      <c r="V29" s="100"/>
      <c r="W29" s="100"/>
      <c r="X29" s="100"/>
      <c r="Y29" s="100"/>
      <c r="Z29" s="100"/>
      <c r="AA29" s="100"/>
      <c r="AB29" s="100"/>
      <c r="AC29" s="100"/>
      <c r="AD29" s="100"/>
      <c r="AE29" s="1621"/>
      <c r="AF29" s="100"/>
    </row>
    <row r="30" spans="1:32">
      <c r="A30" s="1617" t="s">
        <v>961</v>
      </c>
      <c r="B30" s="1618"/>
      <c r="C30" s="1618"/>
      <c r="D30" s="1618"/>
      <c r="E30" s="1618"/>
      <c r="F30" s="1618"/>
      <c r="G30" s="1618"/>
      <c r="H30" s="1618"/>
      <c r="I30" s="1618"/>
      <c r="J30" s="1618"/>
      <c r="K30" s="1618"/>
      <c r="L30" s="1618"/>
      <c r="M30" s="1618"/>
      <c r="N30" s="1618"/>
      <c r="O30" s="1618"/>
      <c r="P30" s="1618"/>
      <c r="Q30" s="1618"/>
      <c r="R30" s="1618"/>
      <c r="S30" s="1618"/>
      <c r="T30" s="1618"/>
      <c r="U30" s="1618"/>
      <c r="V30" s="1618"/>
      <c r="W30" s="1618"/>
      <c r="X30" s="1618"/>
      <c r="Y30" s="1618"/>
      <c r="Z30" s="1618"/>
      <c r="AA30" s="1618"/>
      <c r="AB30" s="1618"/>
      <c r="AC30" s="1618"/>
      <c r="AD30" s="1618"/>
      <c r="AE30" s="1619"/>
      <c r="AF30" s="100"/>
    </row>
    <row r="31" spans="1:32">
      <c r="A31" s="1620" t="s">
        <v>962</v>
      </c>
      <c r="B31" s="100"/>
      <c r="C31" s="100"/>
      <c r="D31" s="100"/>
      <c r="E31" s="100"/>
      <c r="F31" s="100"/>
      <c r="G31" s="100"/>
      <c r="H31" s="100"/>
      <c r="I31" s="100"/>
      <c r="J31" s="100"/>
      <c r="K31" s="100"/>
      <c r="L31" s="100"/>
      <c r="M31" s="100"/>
      <c r="N31" s="100"/>
      <c r="O31" s="100"/>
      <c r="P31" s="100"/>
      <c r="Q31" s="100"/>
      <c r="R31" s="100"/>
      <c r="S31" s="100"/>
      <c r="T31" s="100"/>
      <c r="U31" s="100"/>
      <c r="V31" s="100"/>
      <c r="W31" s="100"/>
      <c r="X31" s="100"/>
      <c r="Y31" s="100"/>
      <c r="Z31" s="100"/>
      <c r="AA31" s="100"/>
      <c r="AB31" s="100"/>
      <c r="AC31" s="100"/>
      <c r="AD31" s="100"/>
      <c r="AE31" s="1621"/>
      <c r="AF31" s="100"/>
    </row>
    <row r="32" spans="1:32">
      <c r="A32" s="1617" t="s">
        <v>963</v>
      </c>
      <c r="B32" s="1618"/>
      <c r="C32" s="1618"/>
      <c r="D32" s="1618"/>
      <c r="E32" s="1618"/>
      <c r="F32" s="1618"/>
      <c r="G32" s="1618"/>
      <c r="H32" s="1618"/>
      <c r="I32" s="1618"/>
      <c r="J32" s="1618"/>
      <c r="K32" s="1618"/>
      <c r="L32" s="1618"/>
      <c r="M32" s="1618"/>
      <c r="N32" s="1618"/>
      <c r="O32" s="1618"/>
      <c r="P32" s="1618"/>
      <c r="Q32" s="1618"/>
      <c r="R32" s="1618"/>
      <c r="S32" s="1618"/>
      <c r="T32" s="1618"/>
      <c r="U32" s="1618"/>
      <c r="V32" s="1618"/>
      <c r="W32" s="1618"/>
      <c r="X32" s="1618"/>
      <c r="Y32" s="1618"/>
      <c r="Z32" s="1618"/>
      <c r="AA32" s="1618"/>
      <c r="AB32" s="1618"/>
      <c r="AC32" s="1618"/>
      <c r="AD32" s="1618"/>
      <c r="AE32" s="1619"/>
      <c r="AF32" s="100"/>
    </row>
    <row r="33" spans="1:32">
      <c r="A33" s="1617" t="s">
        <v>964</v>
      </c>
      <c r="B33" s="1618"/>
      <c r="C33" s="1618"/>
      <c r="D33" s="1618"/>
      <c r="E33" s="1618"/>
      <c r="F33" s="1618"/>
      <c r="G33" s="1618"/>
      <c r="H33" s="1618"/>
      <c r="I33" s="1618"/>
      <c r="J33" s="1618"/>
      <c r="K33" s="1618"/>
      <c r="L33" s="1618"/>
      <c r="M33" s="1618"/>
      <c r="N33" s="1618"/>
      <c r="O33" s="1618"/>
      <c r="P33" s="1618"/>
      <c r="Q33" s="1618"/>
      <c r="R33" s="1618"/>
      <c r="S33" s="1618"/>
      <c r="T33" s="1618"/>
      <c r="U33" s="1618"/>
      <c r="V33" s="1618"/>
      <c r="W33" s="1618"/>
      <c r="X33" s="1618"/>
      <c r="Y33" s="1618"/>
      <c r="Z33" s="1618"/>
      <c r="AA33" s="1618"/>
      <c r="AB33" s="1618"/>
      <c r="AC33" s="1618"/>
      <c r="AD33" s="1618"/>
      <c r="AE33" s="1619"/>
      <c r="AF33" s="100"/>
    </row>
    <row r="34" spans="1:32">
      <c r="A34" s="1617" t="s">
        <v>965</v>
      </c>
      <c r="B34" s="1618"/>
      <c r="C34" s="1618"/>
      <c r="D34" s="1618"/>
      <c r="E34" s="1618"/>
      <c r="F34" s="1618"/>
      <c r="G34" s="1618"/>
      <c r="H34" s="1618"/>
      <c r="I34" s="1618"/>
      <c r="J34" s="1618"/>
      <c r="K34" s="1618"/>
      <c r="L34" s="1618"/>
      <c r="M34" s="1618"/>
      <c r="N34" s="1618"/>
      <c r="O34" s="1618"/>
      <c r="P34" s="1618"/>
      <c r="Q34" s="1618"/>
      <c r="R34" s="1618"/>
      <c r="S34" s="1618"/>
      <c r="T34" s="1618"/>
      <c r="U34" s="1618"/>
      <c r="V34" s="1618"/>
      <c r="W34" s="1618"/>
      <c r="X34" s="1618"/>
      <c r="Y34" s="1618"/>
      <c r="Z34" s="1618"/>
      <c r="AA34" s="1618"/>
      <c r="AB34" s="1618"/>
      <c r="AC34" s="1618"/>
      <c r="AD34" s="1618"/>
      <c r="AE34" s="1619"/>
      <c r="AF34" s="100"/>
    </row>
    <row r="35" spans="1:32">
      <c r="A35" s="1617" t="s">
        <v>966</v>
      </c>
      <c r="B35" s="1618"/>
      <c r="C35" s="1618"/>
      <c r="D35" s="1618"/>
      <c r="E35" s="1618"/>
      <c r="F35" s="1618"/>
      <c r="G35" s="1618"/>
      <c r="H35" s="1618"/>
      <c r="I35" s="1618"/>
      <c r="J35" s="1618"/>
      <c r="K35" s="1618"/>
      <c r="L35" s="1618"/>
      <c r="M35" s="1618"/>
      <c r="N35" s="1618"/>
      <c r="O35" s="1618"/>
      <c r="P35" s="1618"/>
      <c r="Q35" s="1618"/>
      <c r="R35" s="1618"/>
      <c r="S35" s="1618"/>
      <c r="T35" s="1618"/>
      <c r="U35" s="1618"/>
      <c r="V35" s="1618"/>
      <c r="W35" s="1618"/>
      <c r="X35" s="1618"/>
      <c r="Y35" s="1618"/>
      <c r="Z35" s="1618"/>
      <c r="AA35" s="1618"/>
      <c r="AB35" s="1618"/>
      <c r="AC35" s="1618"/>
      <c r="AD35" s="1618"/>
      <c r="AE35" s="1619"/>
      <c r="AF35" s="100"/>
    </row>
    <row r="36" spans="1:32">
      <c r="A36" s="1617" t="s">
        <v>967</v>
      </c>
      <c r="B36" s="1618"/>
      <c r="C36" s="1618"/>
      <c r="D36" s="1618"/>
      <c r="E36" s="1618"/>
      <c r="F36" s="1618"/>
      <c r="G36" s="1618"/>
      <c r="H36" s="1618"/>
      <c r="I36" s="1618"/>
      <c r="J36" s="1618"/>
      <c r="K36" s="1618"/>
      <c r="L36" s="1618"/>
      <c r="M36" s="1618"/>
      <c r="N36" s="1618"/>
      <c r="O36" s="1618"/>
      <c r="P36" s="1618"/>
      <c r="Q36" s="1618"/>
      <c r="R36" s="1618"/>
      <c r="S36" s="1618"/>
      <c r="T36" s="1618"/>
      <c r="U36" s="1618"/>
      <c r="V36" s="1618"/>
      <c r="W36" s="1618"/>
      <c r="X36" s="1618"/>
      <c r="Y36" s="1618"/>
      <c r="Z36" s="1618"/>
      <c r="AA36" s="1618"/>
      <c r="AB36" s="1618"/>
      <c r="AC36" s="1618"/>
      <c r="AD36" s="1618"/>
      <c r="AE36" s="1619"/>
      <c r="AF36" s="100"/>
    </row>
    <row r="37" spans="1:32">
      <c r="A37" s="1617" t="s">
        <v>968</v>
      </c>
      <c r="B37" s="1618"/>
      <c r="C37" s="1618"/>
      <c r="D37" s="1618"/>
      <c r="E37" s="1618"/>
      <c r="F37" s="26"/>
      <c r="G37" s="26"/>
      <c r="H37" s="26"/>
      <c r="I37" s="26"/>
      <c r="J37" s="26"/>
      <c r="K37" s="26"/>
      <c r="L37" s="26"/>
      <c r="M37" s="26"/>
      <c r="N37" s="26"/>
      <c r="O37" s="26"/>
      <c r="P37" s="26"/>
      <c r="Q37" s="26"/>
      <c r="R37" s="26"/>
      <c r="S37" s="26"/>
      <c r="T37" s="26"/>
      <c r="U37" s="26"/>
      <c r="V37" s="26"/>
      <c r="W37" s="26"/>
      <c r="X37" s="26"/>
      <c r="Y37" s="26"/>
      <c r="Z37" s="26"/>
      <c r="AA37" s="26"/>
      <c r="AB37" s="26"/>
      <c r="AC37" s="26"/>
      <c r="AD37" s="26"/>
      <c r="AE37" s="13"/>
    </row>
    <row r="38" spans="1:32">
      <c r="A38" s="1617" t="s">
        <v>969</v>
      </c>
      <c r="B38" s="1618"/>
      <c r="C38" s="1618"/>
      <c r="D38" s="1618"/>
      <c r="E38" s="1618"/>
      <c r="F38" s="26"/>
      <c r="G38" s="26"/>
      <c r="H38" s="26"/>
      <c r="I38" s="26"/>
      <c r="J38" s="26"/>
      <c r="K38" s="26"/>
      <c r="L38" s="26"/>
      <c r="M38" s="26"/>
      <c r="N38" s="26"/>
      <c r="O38" s="26"/>
      <c r="P38" s="26"/>
      <c r="Q38" s="26"/>
      <c r="R38" s="26"/>
      <c r="S38" s="26"/>
      <c r="T38" s="26"/>
      <c r="U38" s="26"/>
      <c r="V38" s="26"/>
      <c r="W38" s="26"/>
      <c r="X38" s="26"/>
      <c r="Y38" s="26"/>
      <c r="Z38" s="26"/>
      <c r="AA38" s="26"/>
      <c r="AB38" s="26"/>
      <c r="AC38" s="26"/>
      <c r="AD38" s="26"/>
      <c r="AE38" s="13"/>
    </row>
    <row r="39" spans="1:32">
      <c r="A39" s="1617" t="s">
        <v>970</v>
      </c>
      <c r="B39" s="1618"/>
      <c r="C39" s="1618"/>
      <c r="D39" s="1618"/>
      <c r="E39" s="1618"/>
      <c r="F39" s="26"/>
      <c r="G39" s="26"/>
      <c r="H39" s="26"/>
      <c r="I39" s="26"/>
      <c r="J39" s="26"/>
      <c r="K39" s="26"/>
      <c r="L39" s="26"/>
      <c r="M39" s="26"/>
      <c r="N39" s="26"/>
      <c r="O39" s="26"/>
      <c r="P39" s="26"/>
      <c r="Q39" s="26"/>
      <c r="R39" s="26"/>
      <c r="S39" s="26"/>
      <c r="T39" s="26"/>
      <c r="U39" s="26"/>
      <c r="V39" s="26"/>
      <c r="W39" s="26"/>
      <c r="X39" s="26"/>
      <c r="Y39" s="26"/>
      <c r="Z39" s="26"/>
      <c r="AA39" s="26"/>
      <c r="AB39" s="26"/>
      <c r="AC39" s="26"/>
      <c r="AD39" s="26"/>
      <c r="AE39" s="13"/>
    </row>
    <row r="40" spans="1:32">
      <c r="A40" s="1620" t="s">
        <v>971</v>
      </c>
      <c r="B40" s="100"/>
      <c r="C40" s="100"/>
      <c r="D40" s="100"/>
      <c r="E40" s="100"/>
      <c r="AE40" s="7"/>
    </row>
    <row r="41" spans="1:32">
      <c r="A41" s="1622" t="s">
        <v>972</v>
      </c>
      <c r="B41" s="1623"/>
      <c r="C41" s="1623"/>
      <c r="D41" s="1623"/>
      <c r="E41" s="1623"/>
      <c r="F41" s="14"/>
      <c r="G41" s="14"/>
      <c r="H41" s="14"/>
      <c r="I41" s="14"/>
      <c r="J41" s="14"/>
      <c r="K41" s="14"/>
      <c r="L41" s="14"/>
      <c r="M41" s="14"/>
      <c r="N41" s="14"/>
      <c r="O41" s="14"/>
      <c r="P41" s="14"/>
      <c r="Q41" s="14"/>
      <c r="R41" s="14"/>
      <c r="S41" s="14"/>
      <c r="T41" s="14"/>
      <c r="U41" s="14"/>
      <c r="V41" s="14"/>
      <c r="W41" s="14"/>
      <c r="X41" s="14"/>
      <c r="Y41" s="14"/>
      <c r="Z41" s="14"/>
      <c r="AA41" s="14"/>
      <c r="AB41" s="14"/>
      <c r="AC41" s="14"/>
      <c r="AD41" s="14"/>
      <c r="AE41" s="5"/>
    </row>
    <row r="42" spans="1:32">
      <c r="A42" s="190"/>
    </row>
    <row r="43" spans="1:32">
      <c r="W43" s="1231" t="s">
        <v>126</v>
      </c>
      <c r="X43" s="1231"/>
      <c r="Y43" s="1231"/>
      <c r="Z43" s="1231"/>
      <c r="AA43" s="1231"/>
      <c r="AB43" s="1231"/>
      <c r="AC43" s="1231"/>
      <c r="AD43" s="1231"/>
    </row>
  </sheetData>
  <mergeCells count="17">
    <mergeCell ref="A9:A10"/>
    <mergeCell ref="B9:B10"/>
    <mergeCell ref="C9:C10"/>
    <mergeCell ref="W43:AD43"/>
    <mergeCell ref="A1:AE1"/>
    <mergeCell ref="A2:AE2"/>
    <mergeCell ref="A3:AE3"/>
    <mergeCell ref="A21:G22"/>
    <mergeCell ref="A4:AE4"/>
    <mergeCell ref="D8:G8"/>
    <mergeCell ref="P8:S8"/>
    <mergeCell ref="T8:W8"/>
    <mergeCell ref="X8:AA8"/>
    <mergeCell ref="AB8:AE8"/>
    <mergeCell ref="H8:K8"/>
    <mergeCell ref="L8:O8"/>
    <mergeCell ref="A19:C19"/>
  </mergeCells>
  <phoneticPr fontId="5" type="noConversion"/>
  <hyperlinks>
    <hyperlink ref="W43" location="'TABLA DE CONTENIDO'!A1" display="VOLVER A TABLA DE CONTENIDO" xr:uid="{00000000-0004-0000-1500-000000000000}"/>
  </hyperlinks>
  <printOptions horizontalCentered="1" verticalCentered="1"/>
  <pageMargins left="0.47244094488188981" right="0.19685039370078741" top="0.78740157480314965" bottom="0.51181102362204722" header="0" footer="0"/>
  <pageSetup scale="10" orientation="landscape" horizontalDpi="300" verticalDpi="300"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pageSetUpPr fitToPage="1"/>
  </sheetPr>
  <dimension ref="A1:AE38"/>
  <sheetViews>
    <sheetView topLeftCell="A7" workbookViewId="0">
      <selection activeCell="R6" sqref="R6:T14"/>
    </sheetView>
  </sheetViews>
  <sheetFormatPr defaultColWidth="11.42578125" defaultRowHeight="12.75"/>
  <cols>
    <col min="1" max="1" width="7.140625" customWidth="1"/>
    <col min="2" max="2" width="7.5703125" customWidth="1"/>
    <col min="3" max="3" width="5.140625" customWidth="1"/>
    <col min="4" max="17" width="7.7109375" customWidth="1"/>
  </cols>
  <sheetData>
    <row r="1" spans="1:31" s="172" customFormat="1" ht="19.5" customHeight="1">
      <c r="A1" s="1230" t="s">
        <v>1</v>
      </c>
      <c r="B1" s="1230"/>
      <c r="C1" s="1230"/>
      <c r="D1" s="1230"/>
      <c r="E1" s="1230"/>
      <c r="F1" s="1230"/>
      <c r="G1" s="1230"/>
      <c r="H1" s="1230"/>
      <c r="I1" s="1230"/>
      <c r="J1" s="1230"/>
      <c r="K1" s="1230"/>
      <c r="L1" s="1230"/>
      <c r="M1" s="1230"/>
      <c r="N1" s="1230"/>
      <c r="O1" s="1230"/>
      <c r="P1" s="1230"/>
      <c r="Q1" s="1230"/>
      <c r="R1" s="1624"/>
      <c r="S1" s="1624"/>
      <c r="T1" s="1624"/>
      <c r="U1" s="1624"/>
      <c r="V1" s="1624"/>
      <c r="W1" s="1624"/>
      <c r="X1" s="1624"/>
      <c r="Y1" s="1624"/>
      <c r="Z1" s="1624"/>
      <c r="AA1" s="1624"/>
      <c r="AB1" s="1624"/>
      <c r="AC1" s="1624"/>
      <c r="AD1" s="1624"/>
      <c r="AE1" s="1624"/>
    </row>
    <row r="2" spans="1:31" s="172" customFormat="1" ht="22.5" customHeight="1">
      <c r="A2" s="1225" t="s">
        <v>907</v>
      </c>
      <c r="B2" s="1225"/>
      <c r="C2" s="1225"/>
      <c r="D2" s="1225"/>
      <c r="E2" s="1225"/>
      <c r="F2" s="1225"/>
      <c r="G2" s="1225"/>
      <c r="H2" s="1225"/>
      <c r="I2" s="1225"/>
      <c r="J2" s="1225"/>
      <c r="K2" s="1225"/>
      <c r="L2" s="1225"/>
      <c r="M2" s="1225"/>
      <c r="N2" s="1225"/>
      <c r="O2" s="1225"/>
      <c r="P2" s="1225"/>
      <c r="Q2" s="1225"/>
      <c r="R2" s="1624"/>
      <c r="S2" s="1624"/>
      <c r="T2" s="1624"/>
      <c r="U2" s="1624"/>
      <c r="V2" s="1624"/>
      <c r="W2" s="1624"/>
      <c r="X2" s="1624"/>
      <c r="Y2" s="1624"/>
      <c r="Z2" s="1624"/>
      <c r="AA2" s="1624"/>
      <c r="AB2" s="1624"/>
      <c r="AC2" s="1624"/>
      <c r="AD2" s="1624"/>
      <c r="AE2" s="1624"/>
    </row>
    <row r="3" spans="1:31" s="172" customFormat="1" ht="19.5" customHeight="1">
      <c r="A3" s="1225" t="s">
        <v>973</v>
      </c>
      <c r="B3" s="1225"/>
      <c r="C3" s="1225"/>
      <c r="D3" s="1225"/>
      <c r="E3" s="1225"/>
      <c r="F3" s="1225"/>
      <c r="G3" s="1225"/>
      <c r="H3" s="1225"/>
      <c r="I3" s="1225"/>
      <c r="J3" s="1225"/>
      <c r="K3" s="1225"/>
      <c r="L3" s="1225"/>
      <c r="M3" s="1225"/>
      <c r="N3" s="1225"/>
      <c r="O3" s="1225"/>
      <c r="P3" s="1225"/>
      <c r="Q3" s="1225"/>
      <c r="R3" s="180"/>
      <c r="S3" s="180"/>
      <c r="T3" s="180"/>
      <c r="U3" s="180"/>
      <c r="V3" s="180"/>
      <c r="W3" s="180"/>
      <c r="X3" s="180"/>
      <c r="Y3" s="180"/>
      <c r="Z3" s="180"/>
      <c r="AA3" s="180"/>
      <c r="AB3" s="180"/>
      <c r="AC3" s="180"/>
      <c r="AD3" s="180"/>
      <c r="AE3" s="180"/>
    </row>
    <row r="4" spans="1:31" s="172" customFormat="1" ht="22.5" customHeight="1">
      <c r="A4" s="1225" t="s">
        <v>974</v>
      </c>
      <c r="B4" s="1225"/>
      <c r="C4" s="1225"/>
      <c r="D4" s="1225"/>
      <c r="E4" s="1225"/>
      <c r="F4" s="1225"/>
      <c r="G4" s="1225"/>
      <c r="H4" s="1225"/>
      <c r="I4" s="1225"/>
      <c r="J4" s="1225"/>
      <c r="K4" s="1225"/>
      <c r="L4" s="1225"/>
      <c r="M4" s="1225"/>
      <c r="N4" s="1225"/>
      <c r="O4" s="1225"/>
      <c r="P4" s="1225"/>
      <c r="Q4" s="1225"/>
      <c r="R4" s="180"/>
      <c r="S4" s="180"/>
      <c r="T4" s="180"/>
      <c r="U4" s="180"/>
      <c r="V4" s="180"/>
      <c r="W4" s="180"/>
      <c r="X4" s="180"/>
      <c r="Y4" s="180"/>
      <c r="Z4" s="180"/>
      <c r="AA4" s="180"/>
      <c r="AB4" s="180"/>
      <c r="AC4" s="180"/>
      <c r="AD4" s="180"/>
      <c r="AE4" s="180"/>
    </row>
    <row r="5" spans="1:31" s="172" customFormat="1" ht="12.75" customHeight="1">
      <c r="A5" s="180"/>
      <c r="B5" s="180"/>
      <c r="C5" s="180"/>
      <c r="D5" s="180"/>
      <c r="E5" s="180"/>
      <c r="F5" s="180"/>
      <c r="G5" s="180"/>
      <c r="H5" s="180"/>
      <c r="I5" s="180"/>
      <c r="J5" s="180"/>
      <c r="K5" s="180"/>
      <c r="L5" s="180"/>
      <c r="M5" s="180"/>
      <c r="N5" s="180"/>
      <c r="O5" s="180"/>
      <c r="P5" s="180"/>
      <c r="Q5" s="180"/>
      <c r="R5" s="180"/>
    </row>
    <row r="6" spans="1:31" s="172" customFormat="1" ht="15.75">
      <c r="A6" s="180" t="s">
        <v>910</v>
      </c>
      <c r="B6" s="328"/>
      <c r="C6" s="328">
        <v>56</v>
      </c>
      <c r="D6" s="328"/>
      <c r="E6" s="328"/>
      <c r="F6" s="328"/>
      <c r="G6" s="328"/>
      <c r="H6" s="328"/>
      <c r="J6" s="180" t="s">
        <v>911</v>
      </c>
      <c r="K6" s="328"/>
      <c r="L6" s="328">
        <v>1</v>
      </c>
      <c r="M6" s="328"/>
      <c r="N6" s="328"/>
      <c r="O6" s="328"/>
      <c r="P6" s="328"/>
      <c r="Q6" s="328"/>
      <c r="S6" s="180"/>
      <c r="T6" s="180"/>
      <c r="U6" s="180"/>
      <c r="V6" s="180"/>
      <c r="W6" s="180"/>
      <c r="X6" s="180"/>
      <c r="Y6" s="180"/>
      <c r="Z6" s="180"/>
      <c r="AA6" s="180"/>
      <c r="AB6" s="180"/>
      <c r="AC6" s="180"/>
      <c r="AD6" s="180"/>
      <c r="AE6" s="180"/>
    </row>
    <row r="7" spans="1:31" s="172" customFormat="1" ht="11.25" customHeight="1" thickBot="1">
      <c r="A7" s="180"/>
      <c r="B7" s="180"/>
      <c r="C7" s="180"/>
      <c r="D7" s="180"/>
      <c r="E7" s="180"/>
      <c r="F7" s="180"/>
      <c r="G7" s="180"/>
      <c r="H7" s="180"/>
      <c r="I7" s="180"/>
      <c r="J7" s="180"/>
      <c r="K7" s="180"/>
      <c r="L7" s="180"/>
      <c r="M7" s="180"/>
      <c r="N7" s="180"/>
      <c r="O7" s="180"/>
      <c r="P7" s="180"/>
      <c r="Q7" s="180"/>
    </row>
    <row r="8" spans="1:31" s="90" customFormat="1" ht="11.25">
      <c r="A8" s="100"/>
      <c r="B8" s="100"/>
      <c r="C8" s="100"/>
      <c r="D8" s="1399" t="s">
        <v>975</v>
      </c>
      <c r="E8" s="1400"/>
      <c r="F8" s="1400"/>
      <c r="G8" s="1401"/>
      <c r="H8" s="1399" t="s">
        <v>976</v>
      </c>
      <c r="I8" s="1400"/>
      <c r="J8" s="1400"/>
      <c r="K8" s="1401"/>
      <c r="L8" s="1399" t="s">
        <v>977</v>
      </c>
      <c r="M8" s="1400"/>
      <c r="N8" s="1400"/>
      <c r="O8" s="1401"/>
      <c r="P8" s="1399" t="s">
        <v>978</v>
      </c>
      <c r="Q8" s="1401"/>
      <c r="R8" s="100"/>
      <c r="S8" s="100"/>
      <c r="T8" s="100"/>
      <c r="U8" s="100"/>
      <c r="V8" s="100"/>
      <c r="W8" s="100"/>
      <c r="X8" s="100"/>
      <c r="Y8" s="100"/>
      <c r="Z8" s="100"/>
      <c r="AA8" s="100"/>
      <c r="AB8" s="100"/>
      <c r="AC8" s="100"/>
      <c r="AD8" s="100"/>
      <c r="AE8" s="100"/>
    </row>
    <row r="9" spans="1:31" s="90" customFormat="1" ht="12" thickBot="1">
      <c r="A9" s="100"/>
      <c r="B9" s="100"/>
      <c r="C9" s="100"/>
      <c r="D9" s="1402"/>
      <c r="E9" s="1403"/>
      <c r="F9" s="1403"/>
      <c r="G9" s="1404"/>
      <c r="H9" s="1402"/>
      <c r="I9" s="1403"/>
      <c r="J9" s="1403"/>
      <c r="K9" s="1404"/>
      <c r="L9" s="1402"/>
      <c r="M9" s="1403"/>
      <c r="N9" s="1403"/>
      <c r="O9" s="1404"/>
      <c r="P9" s="1405"/>
      <c r="Q9" s="1406"/>
      <c r="R9" s="100"/>
      <c r="S9" s="100"/>
      <c r="T9" s="100"/>
      <c r="U9" s="100"/>
      <c r="V9" s="100"/>
      <c r="W9" s="100"/>
      <c r="X9" s="100"/>
      <c r="Y9" s="100"/>
      <c r="Z9" s="100"/>
      <c r="AA9" s="100"/>
      <c r="AB9" s="100"/>
      <c r="AC9" s="100"/>
      <c r="AD9" s="100"/>
      <c r="AE9" s="100"/>
    </row>
    <row r="10" spans="1:31" ht="15">
      <c r="A10" s="1625" t="s">
        <v>919</v>
      </c>
      <c r="B10" s="1625" t="s">
        <v>920</v>
      </c>
      <c r="C10" s="1625" t="s">
        <v>921</v>
      </c>
      <c r="D10" s="364" t="s">
        <v>172</v>
      </c>
      <c r="E10" s="365" t="s">
        <v>176</v>
      </c>
      <c r="F10" s="365" t="s">
        <v>170</v>
      </c>
      <c r="G10" s="366" t="s">
        <v>922</v>
      </c>
      <c r="H10" s="367" t="s">
        <v>172</v>
      </c>
      <c r="I10" s="368" t="s">
        <v>176</v>
      </c>
      <c r="J10" s="368" t="s">
        <v>170</v>
      </c>
      <c r="K10" s="369" t="s">
        <v>922</v>
      </c>
      <c r="L10" s="367" t="s">
        <v>172</v>
      </c>
      <c r="M10" s="368" t="s">
        <v>176</v>
      </c>
      <c r="N10" s="368" t="s">
        <v>170</v>
      </c>
      <c r="O10" s="370" t="s">
        <v>922</v>
      </c>
      <c r="P10" s="367" t="s">
        <v>979</v>
      </c>
      <c r="Q10" s="371" t="s">
        <v>922</v>
      </c>
    </row>
    <row r="11" spans="1:31" s="144" customFormat="1" ht="15" thickBot="1">
      <c r="A11" s="1626"/>
      <c r="B11" s="1626"/>
      <c r="C11" s="1626"/>
      <c r="D11" s="372" t="s">
        <v>924</v>
      </c>
      <c r="E11" s="373" t="s">
        <v>924</v>
      </c>
      <c r="F11" s="373" t="s">
        <v>924</v>
      </c>
      <c r="G11" s="374" t="s">
        <v>924</v>
      </c>
      <c r="H11" s="372" t="s">
        <v>924</v>
      </c>
      <c r="I11" s="373" t="s">
        <v>924</v>
      </c>
      <c r="J11" s="373" t="s">
        <v>924</v>
      </c>
      <c r="K11" s="375" t="s">
        <v>924</v>
      </c>
      <c r="L11" s="372" t="s">
        <v>980</v>
      </c>
      <c r="M11" s="373" t="s">
        <v>981</v>
      </c>
      <c r="N11" s="373" t="s">
        <v>982</v>
      </c>
      <c r="O11" s="374" t="s">
        <v>983</v>
      </c>
      <c r="P11" s="372" t="s">
        <v>984</v>
      </c>
      <c r="Q11" s="375" t="s">
        <v>984</v>
      </c>
    </row>
    <row r="12" spans="1:31" ht="15" thickBot="1">
      <c r="A12" s="181" t="s">
        <v>707</v>
      </c>
      <c r="B12" s="181" t="s">
        <v>708</v>
      </c>
      <c r="C12" s="329" t="s">
        <v>709</v>
      </c>
      <c r="D12" s="376" t="s">
        <v>925</v>
      </c>
      <c r="E12" s="377" t="s">
        <v>926</v>
      </c>
      <c r="F12" s="377" t="s">
        <v>927</v>
      </c>
      <c r="G12" s="378" t="s">
        <v>726</v>
      </c>
      <c r="H12" s="376" t="s">
        <v>928</v>
      </c>
      <c r="I12" s="377" t="s">
        <v>929</v>
      </c>
      <c r="J12" s="377" t="s">
        <v>930</v>
      </c>
      <c r="K12" s="379" t="s">
        <v>931</v>
      </c>
      <c r="L12" s="376" t="s">
        <v>932</v>
      </c>
      <c r="M12" s="377" t="s">
        <v>933</v>
      </c>
      <c r="N12" s="377" t="s">
        <v>934</v>
      </c>
      <c r="O12" s="378" t="s">
        <v>935</v>
      </c>
      <c r="P12" s="376" t="s">
        <v>936</v>
      </c>
      <c r="Q12" s="379" t="s">
        <v>937</v>
      </c>
    </row>
    <row r="13" spans="1:31">
      <c r="A13" s="182"/>
      <c r="B13" s="182"/>
      <c r="C13" s="165"/>
      <c r="D13" s="332"/>
      <c r="E13" s="73"/>
      <c r="F13" s="73"/>
      <c r="G13" s="8"/>
      <c r="H13" s="332"/>
      <c r="I13" s="73"/>
      <c r="J13" s="73"/>
      <c r="K13" s="331"/>
      <c r="L13" s="332"/>
      <c r="M13" s="73"/>
      <c r="N13" s="73"/>
      <c r="O13" s="8"/>
      <c r="P13" s="332"/>
      <c r="Q13" s="331"/>
    </row>
    <row r="14" spans="1:31" s="144" customFormat="1">
      <c r="A14" s="917">
        <v>56</v>
      </c>
      <c r="B14" s="918" t="s">
        <v>188</v>
      </c>
      <c r="C14" s="919">
        <v>53.74</v>
      </c>
      <c r="D14" s="920">
        <f>(12545+2253)*3+ 6600</f>
        <v>50994</v>
      </c>
      <c r="E14" s="921">
        <f>(17716+4101)*3</f>
        <v>65451</v>
      </c>
      <c r="F14" s="921">
        <f>6657+8021+(11857*3)-5300-6600</f>
        <v>38349</v>
      </c>
      <c r="G14" s="922">
        <v>5300</v>
      </c>
      <c r="H14" s="923">
        <v>0</v>
      </c>
      <c r="I14" s="923">
        <v>0</v>
      </c>
      <c r="J14" s="921">
        <v>0</v>
      </c>
      <c r="K14" s="921">
        <v>0</v>
      </c>
      <c r="L14" s="920">
        <v>0</v>
      </c>
      <c r="M14" s="921">
        <v>10092</v>
      </c>
      <c r="N14" s="921">
        <f>2388-L14</f>
        <v>2388</v>
      </c>
      <c r="O14" s="924">
        <v>250</v>
      </c>
      <c r="P14" s="920">
        <f>(5786-42+342+(20+30+60+78))*0.8</f>
        <v>5019.2000000000007</v>
      </c>
      <c r="Q14" s="922">
        <f>50000/12*3-P14</f>
        <v>7480.7999999999993</v>
      </c>
      <c r="T14" s="925"/>
      <c r="U14" s="925">
        <f>E14+F14+G14</f>
        <v>109100</v>
      </c>
      <c r="V14" s="926"/>
    </row>
    <row r="15" spans="1:31">
      <c r="A15" s="182"/>
      <c r="B15" s="182"/>
      <c r="C15" s="165"/>
      <c r="D15" s="87"/>
      <c r="E15" s="6"/>
      <c r="F15" s="6"/>
      <c r="G15" s="15"/>
      <c r="H15" s="87"/>
      <c r="I15" s="6"/>
      <c r="J15" s="6"/>
      <c r="K15" s="23"/>
      <c r="L15" s="87"/>
      <c r="M15" s="6"/>
      <c r="N15" s="6"/>
      <c r="O15" s="15"/>
      <c r="P15" s="87"/>
      <c r="Q15" s="23"/>
    </row>
    <row r="16" spans="1:31">
      <c r="A16" s="182"/>
      <c r="B16" s="182"/>
      <c r="C16" s="165"/>
      <c r="D16" s="87"/>
      <c r="E16" s="6"/>
      <c r="F16" s="6"/>
      <c r="G16" s="15"/>
      <c r="H16" s="87"/>
      <c r="I16" s="6"/>
      <c r="J16" s="6"/>
      <c r="K16" s="23"/>
      <c r="L16" s="87"/>
      <c r="M16" s="6"/>
      <c r="N16" s="6"/>
      <c r="O16" s="15"/>
      <c r="P16" s="87"/>
      <c r="Q16" s="23"/>
    </row>
    <row r="17" spans="1:17">
      <c r="A17" s="182"/>
      <c r="B17" s="182"/>
      <c r="C17" s="165"/>
      <c r="D17" s="87"/>
      <c r="E17" s="6"/>
      <c r="F17" s="6"/>
      <c r="G17" s="15"/>
      <c r="H17" s="87"/>
      <c r="I17" s="6"/>
      <c r="J17" s="6"/>
      <c r="K17" s="23"/>
      <c r="L17" s="87"/>
      <c r="M17" s="6"/>
      <c r="N17" s="6"/>
      <c r="O17" s="15"/>
      <c r="P17" s="87"/>
      <c r="Q17" s="23"/>
    </row>
    <row r="18" spans="1:17" ht="13.5" thickBot="1">
      <c r="A18" s="183"/>
      <c r="B18" s="183"/>
      <c r="C18" s="330"/>
      <c r="D18" s="136"/>
      <c r="E18" s="131"/>
      <c r="F18" s="131"/>
      <c r="G18" s="124"/>
      <c r="H18" s="136"/>
      <c r="I18" s="131"/>
      <c r="J18" s="131"/>
      <c r="K18" s="104"/>
      <c r="L18" s="136"/>
      <c r="M18" s="131"/>
      <c r="N18" s="131"/>
      <c r="O18" s="124"/>
      <c r="P18" s="136"/>
      <c r="Q18" s="104"/>
    </row>
    <row r="19" spans="1:17" ht="13.5" thickBot="1">
      <c r="A19" s="184" t="s">
        <v>952</v>
      </c>
      <c r="B19" s="185"/>
      <c r="C19" s="186">
        <f t="shared" ref="C19:Q19" si="0">+C14</f>
        <v>53.74</v>
      </c>
      <c r="D19" s="1143">
        <f>+D14</f>
        <v>50994</v>
      </c>
      <c r="E19" s="1143">
        <f>+E14</f>
        <v>65451</v>
      </c>
      <c r="F19" s="1143">
        <f>+F14</f>
        <v>38349</v>
      </c>
      <c r="G19" s="1143">
        <f>+G14</f>
        <v>5300</v>
      </c>
      <c r="H19" s="1143">
        <f t="shared" si="0"/>
        <v>0</v>
      </c>
      <c r="I19" s="1143">
        <f t="shared" si="0"/>
        <v>0</v>
      </c>
      <c r="J19" s="1143">
        <f t="shared" si="0"/>
        <v>0</v>
      </c>
      <c r="K19" s="1143">
        <f t="shared" si="0"/>
        <v>0</v>
      </c>
      <c r="L19" s="1143">
        <f t="shared" si="0"/>
        <v>0</v>
      </c>
      <c r="M19" s="1143">
        <f t="shared" si="0"/>
        <v>10092</v>
      </c>
      <c r="N19" s="1143">
        <f t="shared" si="0"/>
        <v>2388</v>
      </c>
      <c r="O19" s="1143">
        <f t="shared" si="0"/>
        <v>250</v>
      </c>
      <c r="P19" s="1144">
        <f t="shared" si="0"/>
        <v>5019.2000000000007</v>
      </c>
      <c r="Q19" s="1145">
        <f t="shared" si="0"/>
        <v>7480.7999999999993</v>
      </c>
    </row>
    <row r="21" spans="1:17">
      <c r="A21" s="173" t="s">
        <v>953</v>
      </c>
      <c r="B21" s="290"/>
      <c r="C21" s="290"/>
      <c r="D21" s="290"/>
      <c r="E21" s="290"/>
      <c r="F21" s="290"/>
      <c r="G21" s="290"/>
      <c r="H21" s="290"/>
      <c r="I21" s="290"/>
      <c r="J21" s="290"/>
      <c r="K21" s="290"/>
      <c r="L21" s="290"/>
      <c r="M21" s="290"/>
      <c r="N21" s="290"/>
      <c r="O21" s="290"/>
      <c r="P21" s="290"/>
      <c r="Q21" s="290"/>
    </row>
    <row r="22" spans="1:17">
      <c r="A22" s="187" t="s">
        <v>954</v>
      </c>
      <c r="B22" s="14"/>
      <c r="C22" s="14"/>
      <c r="D22" s="14"/>
      <c r="E22" s="14"/>
      <c r="F22" s="14"/>
      <c r="G22" s="14"/>
      <c r="H22" s="14"/>
      <c r="I22" s="14"/>
      <c r="J22" s="14"/>
      <c r="K22" s="14"/>
      <c r="L22" s="14"/>
      <c r="M22" s="14"/>
      <c r="N22" s="14"/>
      <c r="O22" s="14"/>
      <c r="P22" s="14"/>
      <c r="Q22" s="5"/>
    </row>
    <row r="23" spans="1:17">
      <c r="A23" s="187" t="s">
        <v>955</v>
      </c>
      <c r="B23" s="14"/>
      <c r="C23" s="14"/>
      <c r="D23" s="14"/>
      <c r="E23" s="14"/>
      <c r="F23" s="14"/>
      <c r="G23" s="14"/>
      <c r="H23" s="14"/>
      <c r="I23" s="14"/>
      <c r="J23" s="14"/>
      <c r="K23" s="14"/>
      <c r="L23" s="14"/>
      <c r="M23" s="14"/>
      <c r="N23" s="14"/>
      <c r="O23" s="14"/>
      <c r="P23" s="14"/>
      <c r="Q23" s="5"/>
    </row>
    <row r="24" spans="1:17">
      <c r="A24" s="188" t="s">
        <v>956</v>
      </c>
      <c r="B24" s="26"/>
      <c r="C24" s="26"/>
      <c r="D24" s="26"/>
      <c r="E24" s="26"/>
      <c r="F24" s="26"/>
      <c r="G24" s="26"/>
      <c r="H24" s="26"/>
      <c r="I24" s="26"/>
      <c r="J24" s="26"/>
      <c r="K24" s="26"/>
      <c r="L24" s="26"/>
      <c r="M24" s="26"/>
      <c r="N24" s="26"/>
      <c r="O24" s="26"/>
      <c r="P24" s="26"/>
      <c r="Q24" s="13"/>
    </row>
    <row r="25" spans="1:17">
      <c r="A25" s="188" t="s">
        <v>985</v>
      </c>
      <c r="B25" s="26"/>
      <c r="C25" s="26"/>
      <c r="D25" s="26"/>
      <c r="E25" s="26"/>
      <c r="F25" s="26"/>
      <c r="G25" s="26"/>
      <c r="H25" s="26"/>
      <c r="I25" s="26"/>
      <c r="J25" s="26"/>
      <c r="K25" s="26"/>
      <c r="L25" s="26"/>
      <c r="M25" s="26"/>
      <c r="N25" s="26"/>
      <c r="O25" s="26"/>
      <c r="P25" s="26"/>
      <c r="Q25" s="13"/>
    </row>
    <row r="26" spans="1:17">
      <c r="A26" s="188" t="s">
        <v>986</v>
      </c>
      <c r="B26" s="26"/>
      <c r="C26" s="26"/>
      <c r="D26" s="26"/>
      <c r="E26" s="26"/>
      <c r="F26" s="26"/>
      <c r="G26" s="26"/>
      <c r="H26" s="26"/>
      <c r="I26" s="26"/>
      <c r="J26" s="26"/>
      <c r="K26" s="26"/>
      <c r="L26" s="26"/>
      <c r="M26" s="26"/>
      <c r="N26" s="26"/>
      <c r="O26" s="26"/>
      <c r="P26" s="26"/>
      <c r="Q26" s="13"/>
    </row>
    <row r="27" spans="1:17">
      <c r="A27" s="189"/>
      <c r="B27" s="3" t="s">
        <v>987</v>
      </c>
      <c r="C27" s="3"/>
      <c r="D27" s="3"/>
      <c r="E27" s="3"/>
      <c r="F27" s="3"/>
      <c r="G27" s="3"/>
      <c r="H27" s="3"/>
      <c r="I27" s="3"/>
      <c r="J27" s="3"/>
      <c r="K27" s="3"/>
      <c r="L27" s="3"/>
      <c r="M27" s="3"/>
      <c r="N27" s="3"/>
      <c r="O27" s="3"/>
      <c r="P27" s="3"/>
      <c r="Q27" s="4"/>
    </row>
    <row r="28" spans="1:17">
      <c r="A28" s="188" t="s">
        <v>988</v>
      </c>
      <c r="B28" s="26"/>
      <c r="C28" s="26"/>
      <c r="D28" s="26"/>
      <c r="E28" s="26"/>
      <c r="F28" s="26"/>
      <c r="G28" s="26"/>
      <c r="H28" s="26"/>
      <c r="I28" s="26"/>
      <c r="J28" s="26"/>
      <c r="K28" s="26"/>
      <c r="L28" s="26"/>
      <c r="M28" s="26"/>
      <c r="N28" s="26"/>
      <c r="O28" s="26"/>
      <c r="P28" s="26"/>
      <c r="Q28" s="13"/>
    </row>
    <row r="29" spans="1:17">
      <c r="A29" s="189"/>
      <c r="B29" s="430" t="s">
        <v>989</v>
      </c>
      <c r="C29" s="3"/>
      <c r="D29" s="3"/>
      <c r="E29" s="3"/>
      <c r="F29" s="3"/>
      <c r="G29" s="3"/>
      <c r="H29" s="3"/>
      <c r="I29" s="3"/>
      <c r="J29" s="3"/>
      <c r="K29" s="3"/>
      <c r="L29" s="3"/>
      <c r="M29" s="3"/>
      <c r="N29" s="3"/>
      <c r="O29" s="3"/>
      <c r="P29" s="3"/>
      <c r="Q29" s="4"/>
    </row>
    <row r="30" spans="1:17">
      <c r="A30" s="15" t="s">
        <v>990</v>
      </c>
      <c r="B30" s="14"/>
      <c r="C30" s="14"/>
      <c r="D30" s="14"/>
      <c r="E30" s="14"/>
      <c r="F30" s="14"/>
      <c r="G30" s="14"/>
      <c r="H30" s="14"/>
      <c r="I30" s="14"/>
      <c r="J30" s="14"/>
      <c r="K30" s="14"/>
      <c r="L30" s="14"/>
      <c r="M30" s="14"/>
      <c r="N30" s="14"/>
      <c r="O30" s="14"/>
      <c r="P30" s="14"/>
      <c r="Q30" s="5"/>
    </row>
    <row r="31" spans="1:17">
      <c r="A31" s="188" t="s">
        <v>991</v>
      </c>
      <c r="B31" s="14"/>
      <c r="C31" s="14"/>
      <c r="D31" s="14"/>
      <c r="E31" s="14"/>
      <c r="F31" s="14"/>
      <c r="G31" s="14"/>
      <c r="H31" s="14"/>
      <c r="I31" s="14"/>
      <c r="J31" s="14"/>
      <c r="K31" s="14"/>
      <c r="L31" s="14"/>
      <c r="M31" s="14"/>
      <c r="N31" s="14"/>
      <c r="O31" s="14"/>
      <c r="P31" s="14"/>
      <c r="Q31" s="5"/>
    </row>
    <row r="32" spans="1:17">
      <c r="A32" s="188" t="s">
        <v>992</v>
      </c>
      <c r="B32" s="14"/>
      <c r="C32" s="14"/>
      <c r="D32" s="14"/>
      <c r="E32" s="14"/>
      <c r="F32" s="14"/>
      <c r="G32" s="14"/>
      <c r="H32" s="14"/>
      <c r="I32" s="14"/>
      <c r="J32" s="14"/>
      <c r="K32" s="14"/>
      <c r="L32" s="14"/>
      <c r="M32" s="14"/>
      <c r="N32" s="14"/>
      <c r="O32" s="14"/>
      <c r="P32" s="14"/>
      <c r="Q32" s="5"/>
    </row>
    <row r="33" spans="1:17">
      <c r="A33" s="188" t="s">
        <v>993</v>
      </c>
      <c r="B33" s="14"/>
      <c r="C33" s="14"/>
      <c r="D33" s="14"/>
      <c r="E33" s="14"/>
      <c r="F33" s="14"/>
      <c r="G33" s="14"/>
      <c r="H33" s="14"/>
      <c r="I33" s="14"/>
      <c r="J33" s="14"/>
      <c r="K33" s="14"/>
      <c r="L33" s="14"/>
      <c r="M33" s="14"/>
      <c r="N33" s="14"/>
      <c r="O33" s="14"/>
      <c r="P33" s="14"/>
      <c r="Q33" s="5"/>
    </row>
    <row r="34" spans="1:17">
      <c r="A34" s="187" t="s">
        <v>994</v>
      </c>
      <c r="B34" s="14"/>
      <c r="C34" s="14"/>
      <c r="D34" s="14"/>
      <c r="E34" s="14"/>
      <c r="F34" s="14"/>
      <c r="G34" s="14"/>
      <c r="H34" s="14"/>
      <c r="I34" s="14"/>
      <c r="J34" s="14"/>
      <c r="K34" s="14"/>
      <c r="L34" s="14"/>
      <c r="M34" s="14"/>
      <c r="N34" s="14"/>
      <c r="O34" s="14"/>
      <c r="P34" s="14"/>
      <c r="Q34" s="5"/>
    </row>
    <row r="35" spans="1:17">
      <c r="A35" s="15" t="s">
        <v>995</v>
      </c>
      <c r="B35" s="14"/>
      <c r="C35" s="14"/>
      <c r="D35" s="14"/>
      <c r="E35" s="14"/>
      <c r="F35" s="14"/>
      <c r="G35" s="14"/>
      <c r="H35" s="14"/>
      <c r="I35" s="14"/>
      <c r="J35" s="14"/>
      <c r="K35" s="14"/>
      <c r="L35" s="14"/>
      <c r="M35" s="14"/>
      <c r="N35" s="14"/>
      <c r="O35" s="14"/>
      <c r="P35" s="14"/>
      <c r="Q35" s="5"/>
    </row>
    <row r="36" spans="1:17">
      <c r="A36" s="15" t="s">
        <v>996</v>
      </c>
      <c r="B36" s="14"/>
      <c r="C36" s="14"/>
      <c r="D36" s="14"/>
      <c r="E36" s="14"/>
      <c r="F36" s="14"/>
      <c r="G36" s="14"/>
      <c r="H36" s="14"/>
      <c r="I36" s="14"/>
      <c r="J36" s="14"/>
      <c r="K36" s="14"/>
      <c r="L36" s="14"/>
      <c r="M36" s="14"/>
      <c r="N36" s="14"/>
      <c r="O36" s="14"/>
      <c r="P36" s="14"/>
      <c r="Q36" s="5"/>
    </row>
    <row r="37" spans="1:17">
      <c r="A37" s="190"/>
    </row>
    <row r="38" spans="1:17">
      <c r="N38" s="1231" t="s">
        <v>126</v>
      </c>
      <c r="O38" s="1231"/>
      <c r="P38" s="1231"/>
      <c r="Q38" s="1231"/>
    </row>
  </sheetData>
  <mergeCells count="12">
    <mergeCell ref="N38:Q38"/>
    <mergeCell ref="A1:Q1"/>
    <mergeCell ref="A2:Q2"/>
    <mergeCell ref="A3:Q3"/>
    <mergeCell ref="A4:Q4"/>
    <mergeCell ref="D8:G9"/>
    <mergeCell ref="H8:K9"/>
    <mergeCell ref="L8:O9"/>
    <mergeCell ref="P8:Q9"/>
    <mergeCell ref="A10:A11"/>
    <mergeCell ref="B10:B11"/>
    <mergeCell ref="C10:C11"/>
  </mergeCells>
  <phoneticPr fontId="5" type="noConversion"/>
  <hyperlinks>
    <hyperlink ref="N38" location="'TABLA DE CONTENIDO'!A1" display="VOLVER A TABLA DE CONTENIDO" xr:uid="{00000000-0004-0000-1600-000000000000}"/>
  </hyperlinks>
  <printOptions horizontalCentered="1" verticalCentered="1"/>
  <pageMargins left="0.59055118110236227" right="0.39370078740157483" top="0.78740157480314965" bottom="0.78740157480314965" header="0" footer="0"/>
  <pageSetup scale="97" orientation="landscape" horizontalDpi="300" verticalDpi="300" r:id="rId1"/>
  <headerFooter alignWithMargins="0"/>
  <ignoredErrors>
    <ignoredError sqref="A12:Q12" numberStoredAsText="1"/>
  </ignoredError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pageSetUpPr fitToPage="1"/>
  </sheetPr>
  <dimension ref="A1:L48"/>
  <sheetViews>
    <sheetView workbookViewId="0">
      <selection activeCell="G10" sqref="G10"/>
    </sheetView>
  </sheetViews>
  <sheetFormatPr defaultColWidth="11.42578125" defaultRowHeight="12.75"/>
  <cols>
    <col min="1" max="1" width="10.5703125" style="57" customWidth="1"/>
    <col min="2" max="2" width="15.7109375" customWidth="1"/>
    <col min="3" max="3" width="21" customWidth="1"/>
    <col min="4" max="4" width="7.85546875" customWidth="1"/>
    <col min="5" max="5" width="10.140625" customWidth="1"/>
    <col min="6" max="6" width="9" customWidth="1"/>
    <col min="7" max="7" width="10.140625" customWidth="1"/>
    <col min="8" max="8" width="13" customWidth="1"/>
    <col min="9" max="9" width="22" customWidth="1"/>
    <col min="10" max="10" width="35.28515625" customWidth="1"/>
  </cols>
  <sheetData>
    <row r="1" spans="1:12" ht="23.25">
      <c r="A1" s="1230" t="s">
        <v>1</v>
      </c>
      <c r="B1" s="1230"/>
      <c r="C1" s="1230"/>
      <c r="D1" s="1230"/>
      <c r="E1" s="1230"/>
      <c r="F1" s="1230"/>
      <c r="G1" s="1230"/>
      <c r="H1" s="1230"/>
      <c r="I1" s="1230"/>
      <c r="J1" s="1230"/>
    </row>
    <row r="2" spans="1:12" ht="18">
      <c r="A2" s="1225" t="s">
        <v>84</v>
      </c>
      <c r="B2" s="1225"/>
      <c r="C2" s="1225"/>
      <c r="D2" s="1225"/>
      <c r="E2" s="1225"/>
      <c r="F2" s="1225"/>
      <c r="G2" s="1225"/>
      <c r="H2" s="1225"/>
      <c r="I2" s="1225"/>
      <c r="J2" s="1225"/>
    </row>
    <row r="3" spans="1:12">
      <c r="A3"/>
    </row>
    <row r="4" spans="1:12" ht="18">
      <c r="A4" s="1225" t="s">
        <v>997</v>
      </c>
      <c r="B4" s="1225"/>
      <c r="C4" s="1225"/>
      <c r="D4" s="1225"/>
      <c r="E4" s="1225"/>
      <c r="F4" s="1225"/>
      <c r="G4" s="1225"/>
      <c r="H4" s="1225"/>
      <c r="I4" s="1225"/>
      <c r="J4" s="1225"/>
    </row>
    <row r="5" spans="1:12">
      <c r="A5"/>
    </row>
    <row r="6" spans="1:12" ht="18">
      <c r="A6" s="1225" t="s">
        <v>998</v>
      </c>
      <c r="B6" s="1225"/>
      <c r="C6" s="1225"/>
      <c r="D6" s="1225"/>
      <c r="E6" s="1225"/>
      <c r="F6" s="1225"/>
      <c r="G6" s="1225"/>
      <c r="H6" s="1225"/>
      <c r="I6" s="1225"/>
      <c r="J6" s="1225"/>
    </row>
    <row r="8" spans="1:12">
      <c r="A8" s="92" t="s">
        <v>130</v>
      </c>
      <c r="C8" s="430" t="s">
        <v>88</v>
      </c>
      <c r="D8" s="3"/>
      <c r="E8" s="3"/>
      <c r="F8" s="3"/>
      <c r="G8" s="3"/>
      <c r="H8" s="92" t="s">
        <v>160</v>
      </c>
      <c r="J8" s="60" t="s">
        <v>999</v>
      </c>
    </row>
    <row r="9" spans="1:12" ht="13.5" thickBot="1"/>
    <row r="10" spans="1:12" ht="26.25" thickBot="1">
      <c r="A10" s="1627" t="s">
        <v>750</v>
      </c>
      <c r="B10" s="1628" t="s">
        <v>1000</v>
      </c>
      <c r="C10" s="137" t="s">
        <v>106</v>
      </c>
      <c r="D10" s="137" t="s">
        <v>107</v>
      </c>
      <c r="E10" s="138" t="s">
        <v>324</v>
      </c>
      <c r="F10" s="138" t="s">
        <v>1001</v>
      </c>
      <c r="G10" s="139" t="s">
        <v>1002</v>
      </c>
      <c r="H10" s="140" t="s">
        <v>1003</v>
      </c>
      <c r="I10" s="139" t="s">
        <v>1004</v>
      </c>
      <c r="J10" s="141" t="s">
        <v>1005</v>
      </c>
    </row>
    <row r="11" spans="1:12" s="927" customFormat="1" ht="21" thickBot="1">
      <c r="A11" s="1407" t="s">
        <v>1006</v>
      </c>
      <c r="B11" s="1408"/>
      <c r="C11" s="1408"/>
      <c r="D11" s="1408"/>
      <c r="E11" s="1408"/>
      <c r="F11" s="1408"/>
      <c r="G11" s="1408"/>
      <c r="H11" s="1408"/>
      <c r="I11" s="1408"/>
      <c r="J11" s="1409"/>
    </row>
    <row r="12" spans="1:12" s="927" customFormat="1" ht="38.25">
      <c r="A12" s="1161" t="s">
        <v>1007</v>
      </c>
      <c r="B12" s="1162" t="s">
        <v>1008</v>
      </c>
      <c r="C12" s="1083" t="s">
        <v>1009</v>
      </c>
      <c r="D12" s="1083" t="s">
        <v>1010</v>
      </c>
      <c r="E12" s="1083" t="s">
        <v>1011</v>
      </c>
      <c r="F12" s="1163">
        <v>3</v>
      </c>
      <c r="G12" s="1163">
        <v>0</v>
      </c>
      <c r="H12" s="1083" t="s">
        <v>1012</v>
      </c>
      <c r="I12" s="1083" t="s">
        <v>1013</v>
      </c>
      <c r="J12" s="1164" t="s">
        <v>1014</v>
      </c>
      <c r="K12" s="1130"/>
    </row>
    <row r="13" spans="1:12" s="927" customFormat="1" ht="63.75">
      <c r="A13" s="1165" t="s">
        <v>1015</v>
      </c>
      <c r="B13" s="1160" t="s">
        <v>1016</v>
      </c>
      <c r="C13" s="1154" t="s">
        <v>1009</v>
      </c>
      <c r="D13" s="1154" t="s">
        <v>1010</v>
      </c>
      <c r="E13" s="1154" t="s">
        <v>1017</v>
      </c>
      <c r="F13" s="1159">
        <v>1</v>
      </c>
      <c r="G13" s="1159">
        <v>0</v>
      </c>
      <c r="H13" s="1154" t="s">
        <v>1018</v>
      </c>
      <c r="I13" s="1154" t="s">
        <v>1019</v>
      </c>
      <c r="J13" s="1166" t="s">
        <v>1020</v>
      </c>
      <c r="K13" s="1130"/>
    </row>
    <row r="14" spans="1:12" s="927" customFormat="1" ht="39" thickBot="1">
      <c r="A14" s="1196" t="s">
        <v>1021</v>
      </c>
      <c r="B14" s="1197" t="s">
        <v>1022</v>
      </c>
      <c r="C14" s="1198" t="s">
        <v>1009</v>
      </c>
      <c r="D14" s="1198" t="s">
        <v>1010</v>
      </c>
      <c r="E14" s="1198" t="s">
        <v>1023</v>
      </c>
      <c r="F14" s="1109">
        <v>1</v>
      </c>
      <c r="G14" s="1109">
        <v>0</v>
      </c>
      <c r="H14" s="1198" t="s">
        <v>1024</v>
      </c>
      <c r="I14" s="1198" t="s">
        <v>1025</v>
      </c>
      <c r="J14" s="1199" t="s">
        <v>1026</v>
      </c>
      <c r="K14" s="1130"/>
      <c r="L14" s="927" t="s">
        <v>540</v>
      </c>
    </row>
    <row r="15" spans="1:12" s="927" customFormat="1" ht="26.25" customHeight="1">
      <c r="A15" s="1410" t="s">
        <v>1027</v>
      </c>
      <c r="B15" s="1411"/>
      <c r="C15" s="1411"/>
      <c r="D15" s="1411"/>
      <c r="E15" s="1411"/>
      <c r="F15" s="1411"/>
      <c r="G15" s="1411"/>
      <c r="H15" s="1411"/>
      <c r="I15" s="1411"/>
      <c r="J15" s="1412"/>
      <c r="K15" s="1130"/>
    </row>
    <row r="16" spans="1:12" s="927" customFormat="1" ht="38.25" customHeight="1">
      <c r="A16" s="1201" t="s">
        <v>1028</v>
      </c>
      <c r="B16" s="1200" t="s">
        <v>1029</v>
      </c>
      <c r="C16" s="1200" t="s">
        <v>1009</v>
      </c>
      <c r="D16" s="1200" t="s">
        <v>1010</v>
      </c>
      <c r="E16" s="1200" t="s">
        <v>1030</v>
      </c>
      <c r="F16" s="1200">
        <v>2</v>
      </c>
      <c r="G16" s="1200">
        <v>0</v>
      </c>
      <c r="H16" s="1200" t="s">
        <v>1031</v>
      </c>
      <c r="I16" s="1200" t="s">
        <v>1032</v>
      </c>
      <c r="J16" s="1202" t="s">
        <v>1026</v>
      </c>
      <c r="K16" s="1130"/>
    </row>
    <row r="17" spans="1:11" s="927" customFormat="1" ht="21" thickBot="1">
      <c r="A17" s="1103" t="s">
        <v>1033</v>
      </c>
      <c r="B17" s="1104" t="s">
        <v>1034</v>
      </c>
      <c r="C17" s="1105" t="s">
        <v>1009</v>
      </c>
      <c r="D17" s="1105" t="s">
        <v>1010</v>
      </c>
      <c r="E17" s="1106" t="s">
        <v>1035</v>
      </c>
      <c r="F17" s="1107">
        <v>2</v>
      </c>
      <c r="G17" s="1107">
        <v>0</v>
      </c>
      <c r="H17" s="1108" t="s">
        <v>1018</v>
      </c>
      <c r="I17" s="1109" t="s">
        <v>1032</v>
      </c>
      <c r="J17" s="1110" t="s">
        <v>1036</v>
      </c>
    </row>
    <row r="18" spans="1:11" s="927" customFormat="1" ht="38.25" customHeight="1" thickBot="1">
      <c r="A18" s="1407" t="s">
        <v>1037</v>
      </c>
      <c r="B18" s="1408"/>
      <c r="C18" s="1408"/>
      <c r="D18" s="1408"/>
      <c r="E18" s="1408"/>
      <c r="F18" s="1408"/>
      <c r="G18" s="1408"/>
      <c r="H18" s="1408"/>
      <c r="I18" s="1408"/>
      <c r="J18" s="1409"/>
      <c r="K18" s="1130"/>
    </row>
    <row r="19" spans="1:11" s="927" customFormat="1" ht="38.25">
      <c r="A19" s="1167" t="s">
        <v>1038</v>
      </c>
      <c r="B19" s="1131" t="s">
        <v>1022</v>
      </c>
      <c r="C19" s="1168" t="s">
        <v>1009</v>
      </c>
      <c r="D19" s="1168" t="s">
        <v>1010</v>
      </c>
      <c r="E19" s="1169" t="s">
        <v>1023</v>
      </c>
      <c r="F19" s="1170">
        <v>1</v>
      </c>
      <c r="G19" s="1170">
        <v>0</v>
      </c>
      <c r="H19" s="1171" t="s">
        <v>1018</v>
      </c>
      <c r="I19" s="1163" t="s">
        <v>1025</v>
      </c>
      <c r="J19" s="1172" t="s">
        <v>1026</v>
      </c>
    </row>
    <row r="20" spans="1:11" s="927" customFormat="1" ht="76.5">
      <c r="A20" s="1173" t="s">
        <v>1039</v>
      </c>
      <c r="B20" s="1153" t="s">
        <v>1040</v>
      </c>
      <c r="C20" s="1155" t="s">
        <v>1009</v>
      </c>
      <c r="D20" s="1155" t="s">
        <v>1010</v>
      </c>
      <c r="E20" s="1156" t="s">
        <v>1041</v>
      </c>
      <c r="F20" s="1157">
        <v>1</v>
      </c>
      <c r="G20" s="1157">
        <v>0</v>
      </c>
      <c r="H20" s="1158" t="s">
        <v>1018</v>
      </c>
      <c r="I20" s="1159" t="s">
        <v>1042</v>
      </c>
      <c r="J20" s="1174" t="s">
        <v>1043</v>
      </c>
    </row>
    <row r="21" spans="1:11" s="927" customFormat="1" ht="76.5">
      <c r="A21" s="1203" t="s">
        <v>1039</v>
      </c>
      <c r="B21" s="1204" t="s">
        <v>1040</v>
      </c>
      <c r="C21" s="1205" t="s">
        <v>1009</v>
      </c>
      <c r="D21" s="1205" t="s">
        <v>1010</v>
      </c>
      <c r="E21" s="1206" t="s">
        <v>1044</v>
      </c>
      <c r="F21" s="1207">
        <v>0</v>
      </c>
      <c r="G21" s="1207">
        <v>1</v>
      </c>
      <c r="H21" s="1208" t="s">
        <v>1018</v>
      </c>
      <c r="I21" s="1209" t="s">
        <v>1045</v>
      </c>
      <c r="J21" s="1210" t="s">
        <v>1046</v>
      </c>
    </row>
    <row r="22" spans="1:11" s="927" customFormat="1" ht="51.75" thickBot="1">
      <c r="A22" s="1103" t="s">
        <v>1047</v>
      </c>
      <c r="B22" s="1104" t="s">
        <v>1048</v>
      </c>
      <c r="C22" s="1105" t="s">
        <v>1009</v>
      </c>
      <c r="D22" s="1105" t="s">
        <v>1010</v>
      </c>
      <c r="E22" s="1106" t="s">
        <v>1049</v>
      </c>
      <c r="F22" s="1107">
        <v>2</v>
      </c>
      <c r="G22" s="1107">
        <v>0</v>
      </c>
      <c r="H22" s="1108" t="s">
        <v>1018</v>
      </c>
      <c r="I22" s="1109" t="s">
        <v>1050</v>
      </c>
      <c r="J22" s="1110" t="s">
        <v>1020</v>
      </c>
    </row>
    <row r="23" spans="1:11" s="927" customFormat="1" ht="38.25" customHeight="1" thickBot="1">
      <c r="A23" s="1407" t="s">
        <v>1051</v>
      </c>
      <c r="B23" s="1408"/>
      <c r="C23" s="1408"/>
      <c r="D23" s="1408"/>
      <c r="E23" s="1408"/>
      <c r="F23" s="1408"/>
      <c r="G23" s="1408"/>
      <c r="H23" s="1408"/>
      <c r="I23" s="1408"/>
      <c r="J23" s="1409"/>
      <c r="K23" s="1130"/>
    </row>
    <row r="24" spans="1:11" s="927" customFormat="1" ht="25.5">
      <c r="A24" s="1167" t="s">
        <v>1052</v>
      </c>
      <c r="B24" s="1131" t="s">
        <v>1053</v>
      </c>
      <c r="C24" s="1168" t="s">
        <v>1009</v>
      </c>
      <c r="D24" s="1168" t="s">
        <v>1010</v>
      </c>
      <c r="E24" s="1169" t="s">
        <v>1054</v>
      </c>
      <c r="F24" s="1170">
        <v>1</v>
      </c>
      <c r="G24" s="1170">
        <v>0</v>
      </c>
      <c r="H24" s="1171" t="s">
        <v>1012</v>
      </c>
      <c r="I24" s="1163" t="s">
        <v>1055</v>
      </c>
      <c r="J24" s="1172" t="s">
        <v>1026</v>
      </c>
    </row>
    <row r="25" spans="1:11" s="927" customFormat="1" ht="51.75" thickBot="1">
      <c r="A25" s="1103" t="s">
        <v>1056</v>
      </c>
      <c r="B25" s="1104" t="s">
        <v>1057</v>
      </c>
      <c r="C25" s="1105" t="s">
        <v>1009</v>
      </c>
      <c r="D25" s="1105" t="s">
        <v>1010</v>
      </c>
      <c r="E25" s="1106" t="s">
        <v>1058</v>
      </c>
      <c r="F25" s="1107">
        <v>3</v>
      </c>
      <c r="G25" s="1107">
        <v>0</v>
      </c>
      <c r="H25" s="1108" t="s">
        <v>1018</v>
      </c>
      <c r="I25" s="1109" t="s">
        <v>1050</v>
      </c>
      <c r="J25" s="1110" t="s">
        <v>1059</v>
      </c>
    </row>
    <row r="26" spans="1:11">
      <c r="A26" s="1122"/>
      <c r="B26" s="1123"/>
      <c r="C26" s="1124"/>
      <c r="D26" s="1124"/>
      <c r="E26" s="1125"/>
      <c r="F26" s="1126"/>
      <c r="G26" s="1126"/>
      <c r="H26" s="1127"/>
      <c r="I26" s="1128"/>
      <c r="J26" s="1129"/>
    </row>
    <row r="27" spans="1:11">
      <c r="A27" s="1629" t="s">
        <v>1060</v>
      </c>
      <c r="B27" s="64"/>
      <c r="J27" s="19"/>
    </row>
    <row r="28" spans="1:11">
      <c r="A28" s="1629" t="s">
        <v>1061</v>
      </c>
      <c r="B28" s="64"/>
      <c r="C28" s="63" t="s">
        <v>1062</v>
      </c>
      <c r="J28" s="19"/>
    </row>
    <row r="29" spans="1:11" ht="13.5" thickBot="1">
      <c r="A29" s="1630" t="s">
        <v>1063</v>
      </c>
      <c r="B29" s="142"/>
      <c r="C29" s="1631" t="s">
        <v>1064</v>
      </c>
      <c r="D29" s="20"/>
      <c r="E29" s="20"/>
      <c r="F29" s="20"/>
      <c r="G29" s="20"/>
      <c r="H29" s="20"/>
      <c r="I29" s="20"/>
      <c r="J29" s="21"/>
    </row>
    <row r="30" spans="1:11">
      <c r="H30" s="100"/>
    </row>
    <row r="31" spans="1:11">
      <c r="I31" s="1231" t="s">
        <v>126</v>
      </c>
      <c r="J31" s="1231"/>
    </row>
    <row r="48" spans="8:8">
      <c r="H48">
        <v>0</v>
      </c>
    </row>
  </sheetData>
  <mergeCells count="9">
    <mergeCell ref="I31:J31"/>
    <mergeCell ref="A1:J1"/>
    <mergeCell ref="A2:J2"/>
    <mergeCell ref="A4:J4"/>
    <mergeCell ref="A6:J6"/>
    <mergeCell ref="A11:J11"/>
    <mergeCell ref="A18:J18"/>
    <mergeCell ref="A15:J15"/>
    <mergeCell ref="A23:J23"/>
  </mergeCells>
  <phoneticPr fontId="5" type="noConversion"/>
  <dataValidations count="2">
    <dataValidation type="textLength" showInputMessage="1" showErrorMessage="1" errorTitle="Vía" error="El código de tramo vial tiene máximo 15 caracteres." promptTitle="Vía" prompt="Ingrese el Código del Tramo vial." sqref="IZ12:IZ16 D17 WVL18 WLP18 WBT18 VRX18 VIB18 UYF18 UOJ18 UEN18 TUR18 TKV18 TAZ18 SRD18 SHH18 RXL18 RNP18 RDT18 QTX18 QKB18 QAF18 PQJ18 PGN18 OWR18 OMV18 OCZ18 NTD18 NJH18 MZL18 MPP18 MFT18 LVX18 LMB18 LCF18 KSJ18 KIN18 JYR18 JOV18 JEZ18 IVD18 ILH18 IBL18 HRP18 HHT18 GXX18 GOB18 GEF18 FUJ18 FKN18 FAR18 EQV18 EGZ18 DXD18 DNH18 DDL18 CTP18 CJT18 BZX18 BQB18 BGF18 AWJ18 AMN18 ACR18 SV18 IZ18 D12:D14 WVL12:WVL16 WLP12:WLP16 WBT12:WBT16 VRX12:VRX16 VIB12:VIB16 UYF12:UYF16 UOJ12:UOJ16 UEN12:UEN16 TUR12:TUR16 TKV12:TKV16 TAZ12:TAZ16 SRD12:SRD16 SHH12:SHH16 RXL12:RXL16 RNP12:RNP16 RDT12:RDT16 QTX12:QTX16 QKB12:QKB16 QAF12:QAF16 PQJ12:PQJ16 PGN12:PGN16 OWR12:OWR16 OMV12:OMV16 OCZ12:OCZ16 NTD12:NTD16 NJH12:NJH16 MZL12:MZL16 MPP12:MPP16 MFT12:MFT16 LVX12:LVX16 LMB12:LMB16 LCF12:LCF16 KSJ12:KSJ16 KIN12:KIN16 JYR12:JYR16 JOV12:JOV16 JEZ12:JEZ16 IVD12:IVD16 ILH12:ILH16 IBL12:IBL16 HRP12:HRP16 HHT12:HHT16 GXX12:GXX16 GOB12:GOB16 GEF12:GEF16 FUJ12:FUJ16 FKN12:FKN16 FAR12:FAR16 EQV12:EQV16 EGZ12:EGZ16 DXD12:DXD16 DNH12:DNH16 DDL12:DDL16 CTP12:CTP16 CJT12:CJT16 BZX12:BZX16 BQB12:BQB16 BGF12:BGF16 AWJ12:AWJ16 AMN12:AMN16 ACR12:ACR16 SV12:SV16 D19:D22 WVL23 WLP23 WBT23 VRX23 VIB23 UYF23 UOJ23 UEN23 TUR23 TKV23 TAZ23 SRD23 SHH23 RXL23 RNP23 RDT23 QTX23 QKB23 QAF23 PQJ23 PGN23 OWR23 OMV23 OCZ23 NTD23 NJH23 MZL23 MPP23 MFT23 LVX23 LMB23 LCF23 KSJ23 KIN23 JYR23 JOV23 JEZ23 IVD23 ILH23 IBL23 HRP23 HHT23 GXX23 GOB23 GEF23 FUJ23 FKN23 FAR23 EQV23 EGZ23 DXD23 DNH23 DDL23 CTP23 CJT23 BZX23 BQB23 BGF23 AWJ23 AMN23 ACR23 SV23 IZ23 D24:D26" xr:uid="{00000000-0002-0000-1700-000000000000}">
      <formula1>1</formula1>
      <formula2>15</formula2>
    </dataValidation>
    <dataValidation showInputMessage="1" showErrorMessage="1" errorTitle="Sector" error="No utilizar caracteres especiales." promptTitle="Sector" prompt="Ingrese el nombre del tramo víal." sqref="IY12:IY16 C17 WVK18 WLO18 WBS18 VRW18 VIA18 UYE18 UOI18 UEM18 TUQ18 TKU18 TAY18 SRC18 SHG18 RXK18 RNO18 RDS18 QTW18 QKA18 QAE18 PQI18 PGM18 OWQ18 OMU18 OCY18 NTC18 NJG18 MZK18 MPO18 MFS18 LVW18 LMA18 LCE18 KSI18 KIM18 JYQ18 JOU18 JEY18 IVC18 ILG18 IBK18 HRO18 HHS18 GXW18 GOA18 GEE18 FUI18 FKM18 FAQ18 EQU18 EGY18 DXC18 DNG18 DDK18 CTO18 CJS18 BZW18 BQA18 BGE18 AWI18 AMM18 ACQ18 SU18 IY18 C12:C14 WVK12:WVK16 WLO12:WLO16 WBS12:WBS16 VRW12:VRW16 VIA12:VIA16 UYE12:UYE16 UOI12:UOI16 UEM12:UEM16 TUQ12:TUQ16 TKU12:TKU16 TAY12:TAY16 SRC12:SRC16 SHG12:SHG16 RXK12:RXK16 RNO12:RNO16 RDS12:RDS16 QTW12:QTW16 QKA12:QKA16 QAE12:QAE16 PQI12:PQI16 PGM12:PGM16 OWQ12:OWQ16 OMU12:OMU16 OCY12:OCY16 NTC12:NTC16 NJG12:NJG16 MZK12:MZK16 MPO12:MPO16 MFS12:MFS16 LVW12:LVW16 LMA12:LMA16 LCE12:LCE16 KSI12:KSI16 KIM12:KIM16 JYQ12:JYQ16 JOU12:JOU16 JEY12:JEY16 IVC12:IVC16 ILG12:ILG16 IBK12:IBK16 HRO12:HRO16 HHS12:HHS16 GXW12:GXW16 GOA12:GOA16 GEE12:GEE16 FUI12:FUI16 FKM12:FKM16 FAQ12:FAQ16 EQU12:EQU16 EGY12:EGY16 DXC12:DXC16 DNG12:DNG16 DDK12:DDK16 CTO12:CTO16 CJS12:CJS16 BZW12:BZW16 BQA12:BQA16 BGE12:BGE16 AWI12:AWI16 AMM12:AMM16 ACQ12:ACQ16 SU12:SU16 C19:C22 WVK23 WLO23 WBS23 VRW23 VIA23 UYE23 UOI23 UEM23 TUQ23 TKU23 TAY23 SRC23 SHG23 RXK23 RNO23 RDS23 QTW23 QKA23 QAE23 PQI23 PGM23 OWQ23 OMU23 OCY23 NTC23 NJG23 MZK23 MPO23 MFS23 LVW23 LMA23 LCE23 KSI23 KIM23 JYQ23 JOU23 JEY23 IVC23 ILG23 IBK23 HRO23 HHS23 GXW23 GOA23 GEE23 FUI23 FKM23 FAQ23 EQU23 EGY23 DXC23 DNG23 DDK23 CTO23 CJS23 BZW23 BQA23 BGE23 AWI23 AMM23 ACQ23 SU23 IY23 C24:C26" xr:uid="{00000000-0002-0000-1700-000001000000}"/>
  </dataValidations>
  <hyperlinks>
    <hyperlink ref="I31" location="'TABLA DE CONTENIDO'!A1" display="VOLVER A TABLA DE CONTENIDO" xr:uid="{00000000-0004-0000-1700-000000000000}"/>
  </hyperlinks>
  <printOptions horizontalCentered="1" verticalCentered="1"/>
  <pageMargins left="0.31496062992125984" right="0.31496062992125984" top="0.78740157480314965" bottom="0.59055118110236227" header="0.51181102362204722" footer="0.51181102362204722"/>
  <pageSetup scale="40" orientation="landscape" horizontalDpi="120" verticalDpi="144" r:id="rId1"/>
  <headerFooter alignWithMargins="0"/>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pageSetUpPr fitToPage="1"/>
  </sheetPr>
  <dimension ref="A1:I56"/>
  <sheetViews>
    <sheetView topLeftCell="A10" workbookViewId="0">
      <selection activeCell="H9" sqref="H9"/>
    </sheetView>
  </sheetViews>
  <sheetFormatPr defaultColWidth="11.42578125" defaultRowHeight="12.75"/>
  <cols>
    <col min="1" max="1" width="14.42578125" customWidth="1"/>
    <col min="2" max="9" width="13.85546875" customWidth="1"/>
  </cols>
  <sheetData>
    <row r="1" spans="1:9" ht="23.25">
      <c r="A1" s="146" t="s">
        <v>1</v>
      </c>
      <c r="B1" s="147"/>
      <c r="C1" s="147"/>
      <c r="D1" s="147"/>
      <c r="E1" s="147"/>
      <c r="F1" s="147"/>
      <c r="G1" s="147"/>
      <c r="H1" s="147"/>
      <c r="I1" s="147"/>
    </row>
    <row r="2" spans="1:9" ht="18">
      <c r="A2" s="150" t="s">
        <v>84</v>
      </c>
      <c r="B2" s="147"/>
      <c r="C2" s="147"/>
      <c r="D2" s="147"/>
      <c r="E2" s="147"/>
      <c r="F2" s="147"/>
      <c r="G2" s="147"/>
      <c r="H2" s="147"/>
      <c r="I2" s="148"/>
    </row>
    <row r="3" spans="1:9">
      <c r="A3" s="148"/>
      <c r="B3" s="148"/>
      <c r="C3" s="148"/>
      <c r="D3" s="148"/>
      <c r="E3" s="148"/>
      <c r="F3" s="148"/>
      <c r="G3" s="148"/>
      <c r="H3" s="148"/>
      <c r="I3" s="149"/>
    </row>
    <row r="4" spans="1:9" ht="18">
      <c r="A4" s="1413" t="s">
        <v>1065</v>
      </c>
      <c r="B4" s="1413"/>
      <c r="C4" s="1413"/>
      <c r="D4" s="1413"/>
      <c r="E4" s="1413"/>
      <c r="F4" s="1413"/>
      <c r="G4" s="1413"/>
      <c r="H4" s="1413"/>
      <c r="I4" s="1413"/>
    </row>
    <row r="5" spans="1:9">
      <c r="A5" s="148"/>
      <c r="B5" s="148"/>
      <c r="C5" s="148"/>
      <c r="D5" s="148"/>
      <c r="E5" s="148"/>
      <c r="F5" s="148"/>
      <c r="G5" s="148"/>
      <c r="H5" s="148"/>
      <c r="I5" s="147"/>
    </row>
    <row r="6" spans="1:9" ht="18">
      <c r="A6" s="1413" t="s">
        <v>1066</v>
      </c>
      <c r="B6" s="1413"/>
      <c r="C6" s="1413"/>
      <c r="D6" s="1413"/>
      <c r="E6" s="1413"/>
      <c r="F6" s="1413"/>
      <c r="G6" s="1413"/>
      <c r="H6" s="1413"/>
      <c r="I6" s="1413"/>
    </row>
    <row r="7" spans="1:9">
      <c r="A7" s="151"/>
      <c r="B7" s="148"/>
      <c r="C7" s="148"/>
      <c r="D7" s="148"/>
      <c r="E7" s="148"/>
      <c r="F7" s="148"/>
      <c r="G7" s="148"/>
      <c r="H7" s="148"/>
      <c r="I7" s="152"/>
    </row>
    <row r="8" spans="1:9">
      <c r="A8" s="153" t="s">
        <v>130</v>
      </c>
      <c r="B8" s="148"/>
      <c r="C8" s="928" t="s">
        <v>88</v>
      </c>
      <c r="D8" s="333"/>
      <c r="E8" s="333"/>
      <c r="F8" s="1632" t="s">
        <v>160</v>
      </c>
      <c r="G8" s="1632"/>
      <c r="H8" s="1114" t="s">
        <v>1067</v>
      </c>
      <c r="I8" s="333"/>
    </row>
    <row r="9" spans="1:9">
      <c r="A9" s="151"/>
      <c r="B9" s="148"/>
      <c r="C9" s="148"/>
      <c r="D9" s="148"/>
      <c r="E9" s="148"/>
      <c r="F9" s="148"/>
      <c r="G9" s="148"/>
      <c r="H9" s="148"/>
      <c r="I9" s="148"/>
    </row>
    <row r="10" spans="1:9" ht="13.5" thickBot="1">
      <c r="A10" s="148"/>
      <c r="B10" s="148"/>
      <c r="C10" s="148"/>
      <c r="D10" s="148"/>
      <c r="E10" s="148"/>
      <c r="F10" s="148"/>
      <c r="G10" s="148"/>
      <c r="H10" s="148"/>
      <c r="I10" s="148"/>
    </row>
    <row r="11" spans="1:9" ht="34.5" thickBot="1">
      <c r="A11" s="1633" t="s">
        <v>1068</v>
      </c>
      <c r="B11" s="345" t="s">
        <v>1069</v>
      </c>
      <c r="C11" s="345" t="s">
        <v>1070</v>
      </c>
      <c r="D11" s="345" t="s">
        <v>1071</v>
      </c>
      <c r="E11" s="345" t="s">
        <v>1072</v>
      </c>
      <c r="F11" s="345" t="s">
        <v>1073</v>
      </c>
      <c r="G11" s="345" t="s">
        <v>1074</v>
      </c>
      <c r="H11" s="1634" t="s">
        <v>1075</v>
      </c>
      <c r="I11" s="1633" t="s">
        <v>1076</v>
      </c>
    </row>
    <row r="12" spans="1:9" ht="18" customHeight="1">
      <c r="A12" s="1635">
        <v>43831</v>
      </c>
      <c r="B12" s="99" t="s">
        <v>1077</v>
      </c>
      <c r="C12" s="1636">
        <v>0</v>
      </c>
      <c r="D12" s="1636">
        <v>0</v>
      </c>
      <c r="E12" s="1637">
        <v>0</v>
      </c>
      <c r="F12" s="1638">
        <v>0</v>
      </c>
      <c r="G12" s="1565">
        <v>0</v>
      </c>
      <c r="H12" s="1565">
        <v>0</v>
      </c>
      <c r="I12" s="6">
        <v>0</v>
      </c>
    </row>
    <row r="13" spans="1:9" ht="18" customHeight="1">
      <c r="A13" s="1635">
        <v>43862</v>
      </c>
      <c r="B13" s="99" t="s">
        <v>1077</v>
      </c>
      <c r="C13" s="1636">
        <v>0</v>
      </c>
      <c r="D13" s="1636">
        <v>0</v>
      </c>
      <c r="E13" s="1637">
        <v>0</v>
      </c>
      <c r="F13" s="1638">
        <v>0</v>
      </c>
      <c r="G13" s="1565">
        <v>0</v>
      </c>
      <c r="H13" s="1565">
        <v>0</v>
      </c>
      <c r="I13" s="6">
        <v>0</v>
      </c>
    </row>
    <row r="14" spans="1:9" ht="18" customHeight="1">
      <c r="A14" s="1635">
        <v>43891</v>
      </c>
      <c r="B14" s="99" t="s">
        <v>1077</v>
      </c>
      <c r="C14" s="1636">
        <v>0</v>
      </c>
      <c r="D14" s="1636">
        <v>0</v>
      </c>
      <c r="E14" s="1637">
        <v>0</v>
      </c>
      <c r="F14" s="1638">
        <v>0</v>
      </c>
      <c r="G14" s="1565">
        <v>0</v>
      </c>
      <c r="H14" s="1565">
        <v>0</v>
      </c>
      <c r="I14" s="6">
        <v>0</v>
      </c>
    </row>
    <row r="15" spans="1:9" ht="18" customHeight="1">
      <c r="A15" s="1635">
        <v>43922</v>
      </c>
      <c r="B15" s="99" t="s">
        <v>1077</v>
      </c>
      <c r="C15" s="1636">
        <v>0</v>
      </c>
      <c r="D15" s="1636">
        <v>0</v>
      </c>
      <c r="E15" s="1637">
        <v>0</v>
      </c>
      <c r="F15" s="1638">
        <v>0</v>
      </c>
      <c r="G15" s="1565">
        <v>0</v>
      </c>
      <c r="H15" s="1565">
        <v>0</v>
      </c>
      <c r="I15" s="6">
        <v>0</v>
      </c>
    </row>
    <row r="16" spans="1:9" ht="18" customHeight="1">
      <c r="A16" s="1635">
        <v>43952</v>
      </c>
      <c r="B16" s="99" t="s">
        <v>1077</v>
      </c>
      <c r="C16" s="1636">
        <v>0</v>
      </c>
      <c r="D16" s="1636">
        <v>0</v>
      </c>
      <c r="E16" s="1637">
        <v>0</v>
      </c>
      <c r="F16" s="1638">
        <v>0</v>
      </c>
      <c r="G16" s="1565">
        <v>0</v>
      </c>
      <c r="H16" s="1565">
        <v>0</v>
      </c>
      <c r="I16" s="6">
        <v>0</v>
      </c>
    </row>
    <row r="17" spans="1:9" ht="18" customHeight="1">
      <c r="A17" s="1635">
        <v>43983</v>
      </c>
      <c r="B17" s="99" t="s">
        <v>1077</v>
      </c>
      <c r="C17" s="1636">
        <v>0</v>
      </c>
      <c r="D17" s="1636">
        <v>0</v>
      </c>
      <c r="E17" s="1637">
        <v>0</v>
      </c>
      <c r="F17" s="1638">
        <v>0</v>
      </c>
      <c r="G17" s="1565">
        <v>0</v>
      </c>
      <c r="H17" s="1565">
        <v>0</v>
      </c>
      <c r="I17" s="6">
        <v>0</v>
      </c>
    </row>
    <row r="18" spans="1:9" ht="18" customHeight="1">
      <c r="A18" s="1635">
        <v>44013</v>
      </c>
      <c r="B18" s="99" t="s">
        <v>1077</v>
      </c>
      <c r="C18" s="1636">
        <v>0</v>
      </c>
      <c r="D18" s="1636">
        <v>0</v>
      </c>
      <c r="E18" s="1637">
        <v>0</v>
      </c>
      <c r="F18" s="1638">
        <v>0</v>
      </c>
      <c r="G18" s="1565">
        <v>0</v>
      </c>
      <c r="H18" s="1565">
        <v>0</v>
      </c>
      <c r="I18" s="6">
        <v>0</v>
      </c>
    </row>
    <row r="19" spans="1:9" ht="18" customHeight="1">
      <c r="A19" s="1635">
        <v>44044</v>
      </c>
      <c r="B19" s="99" t="s">
        <v>1077</v>
      </c>
      <c r="C19" s="1636">
        <v>0</v>
      </c>
      <c r="D19" s="1636">
        <v>0</v>
      </c>
      <c r="E19" s="1637">
        <v>0</v>
      </c>
      <c r="F19" s="1638">
        <v>0</v>
      </c>
      <c r="G19" s="1565">
        <v>0</v>
      </c>
      <c r="H19" s="1565">
        <v>0</v>
      </c>
      <c r="I19" s="6">
        <v>0</v>
      </c>
    </row>
    <row r="20" spans="1:9" ht="18" customHeight="1">
      <c r="A20" s="1635">
        <v>44075</v>
      </c>
      <c r="B20" s="99" t="s">
        <v>1077</v>
      </c>
      <c r="C20" s="1636">
        <v>0</v>
      </c>
      <c r="D20" s="1636">
        <v>0</v>
      </c>
      <c r="E20" s="1637">
        <v>0</v>
      </c>
      <c r="F20" s="1638">
        <v>0</v>
      </c>
      <c r="G20" s="1565">
        <v>0</v>
      </c>
      <c r="H20" s="1565">
        <v>0</v>
      </c>
      <c r="I20" s="6">
        <v>0</v>
      </c>
    </row>
    <row r="21" spans="1:9" ht="18" customHeight="1">
      <c r="A21" s="1635">
        <v>44105</v>
      </c>
      <c r="B21" s="99" t="s">
        <v>1077</v>
      </c>
      <c r="C21" s="1636">
        <v>0</v>
      </c>
      <c r="D21" s="1636">
        <v>0</v>
      </c>
      <c r="E21" s="1637">
        <v>0</v>
      </c>
      <c r="F21" s="1638">
        <v>0</v>
      </c>
      <c r="G21" s="1565">
        <v>0</v>
      </c>
      <c r="H21" s="1565">
        <v>0</v>
      </c>
      <c r="I21" s="6">
        <v>0</v>
      </c>
    </row>
    <row r="22" spans="1:9" ht="18" customHeight="1">
      <c r="A22" s="1635">
        <v>44136</v>
      </c>
      <c r="B22" s="99" t="s">
        <v>1077</v>
      </c>
      <c r="C22" s="1636">
        <v>0</v>
      </c>
      <c r="D22" s="1636">
        <v>0</v>
      </c>
      <c r="E22" s="1637">
        <v>0</v>
      </c>
      <c r="F22" s="1638">
        <v>0</v>
      </c>
      <c r="G22" s="1565">
        <v>0</v>
      </c>
      <c r="H22" s="1565">
        <v>0</v>
      </c>
      <c r="I22" s="6">
        <v>0</v>
      </c>
    </row>
    <row r="23" spans="1:9" ht="18" customHeight="1">
      <c r="A23" s="1635">
        <v>44166</v>
      </c>
      <c r="B23" s="99" t="s">
        <v>1077</v>
      </c>
      <c r="C23" s="1636">
        <v>0</v>
      </c>
      <c r="D23" s="1636">
        <v>0</v>
      </c>
      <c r="E23" s="1637">
        <v>0</v>
      </c>
      <c r="F23" s="1638">
        <v>0</v>
      </c>
      <c r="G23" s="1565">
        <v>0</v>
      </c>
      <c r="H23" s="1565">
        <v>0</v>
      </c>
      <c r="I23" s="6">
        <v>0</v>
      </c>
    </row>
    <row r="24" spans="1:9" ht="18" customHeight="1">
      <c r="A24" s="1635">
        <v>44197</v>
      </c>
      <c r="B24" s="99" t="s">
        <v>1077</v>
      </c>
      <c r="C24" s="1636">
        <v>0</v>
      </c>
      <c r="D24" s="1636">
        <v>0</v>
      </c>
      <c r="E24" s="1637">
        <v>0</v>
      </c>
      <c r="F24" s="1638">
        <v>0</v>
      </c>
      <c r="G24" s="1565">
        <v>0</v>
      </c>
      <c r="H24" s="1565">
        <v>0</v>
      </c>
      <c r="I24" s="6">
        <v>0</v>
      </c>
    </row>
    <row r="25" spans="1:9" ht="18" customHeight="1">
      <c r="A25" s="1635">
        <v>44228</v>
      </c>
      <c r="B25" s="99" t="s">
        <v>1077</v>
      </c>
      <c r="C25" s="1636">
        <v>0</v>
      </c>
      <c r="D25" s="1636">
        <v>0</v>
      </c>
      <c r="E25" s="1637">
        <v>0</v>
      </c>
      <c r="F25" s="1638">
        <v>0</v>
      </c>
      <c r="G25" s="1565">
        <v>0</v>
      </c>
      <c r="H25" s="1565">
        <v>0</v>
      </c>
      <c r="I25" s="6">
        <v>0</v>
      </c>
    </row>
    <row r="26" spans="1:9" ht="18" customHeight="1">
      <c r="A26" s="1635">
        <v>44256</v>
      </c>
      <c r="B26" s="99" t="s">
        <v>1077</v>
      </c>
      <c r="C26" s="1636">
        <v>0</v>
      </c>
      <c r="D26" s="1636">
        <v>0</v>
      </c>
      <c r="E26" s="1637">
        <v>0</v>
      </c>
      <c r="F26" s="1638">
        <v>0</v>
      </c>
      <c r="G26" s="1565">
        <v>0</v>
      </c>
      <c r="H26" s="1565">
        <v>0</v>
      </c>
      <c r="I26" s="6">
        <v>0</v>
      </c>
    </row>
    <row r="27" spans="1:9" ht="18" customHeight="1">
      <c r="A27" s="1635">
        <v>44287</v>
      </c>
      <c r="B27" s="99" t="s">
        <v>1077</v>
      </c>
      <c r="C27" s="1636">
        <v>0</v>
      </c>
      <c r="D27" s="1636">
        <v>0</v>
      </c>
      <c r="E27" s="1637">
        <v>0</v>
      </c>
      <c r="F27" s="1638">
        <v>0</v>
      </c>
      <c r="G27" s="1565">
        <v>0</v>
      </c>
      <c r="H27" s="1565">
        <v>0</v>
      </c>
      <c r="I27" s="6">
        <v>0</v>
      </c>
    </row>
    <row r="28" spans="1:9" ht="18" customHeight="1">
      <c r="A28" s="1635">
        <v>44317</v>
      </c>
      <c r="B28" s="99" t="s">
        <v>1077</v>
      </c>
      <c r="C28" s="1636">
        <v>0</v>
      </c>
      <c r="D28" s="1636">
        <v>0</v>
      </c>
      <c r="E28" s="1637">
        <v>0</v>
      </c>
      <c r="F28" s="1638">
        <v>0</v>
      </c>
      <c r="G28" s="1565">
        <v>0</v>
      </c>
      <c r="H28" s="1565">
        <v>0</v>
      </c>
      <c r="I28" s="6">
        <v>0</v>
      </c>
    </row>
    <row r="29" spans="1:9" ht="18" customHeight="1">
      <c r="A29" s="1635">
        <v>44348</v>
      </c>
      <c r="B29" s="99" t="s">
        <v>1077</v>
      </c>
      <c r="C29" s="1636">
        <v>0</v>
      </c>
      <c r="D29" s="1636">
        <v>0</v>
      </c>
      <c r="E29" s="1637">
        <v>0</v>
      </c>
      <c r="F29" s="1638">
        <v>0</v>
      </c>
      <c r="G29" s="1565">
        <v>0</v>
      </c>
      <c r="H29" s="1565">
        <v>0</v>
      </c>
      <c r="I29" s="6">
        <v>0</v>
      </c>
    </row>
    <row r="30" spans="1:9" ht="18" customHeight="1">
      <c r="A30" s="1635">
        <v>44378</v>
      </c>
      <c r="B30" s="99" t="s">
        <v>1077</v>
      </c>
      <c r="C30" s="1636">
        <v>0</v>
      </c>
      <c r="D30" s="1636">
        <v>0</v>
      </c>
      <c r="E30" s="1637">
        <v>0</v>
      </c>
      <c r="F30" s="1638">
        <v>0</v>
      </c>
      <c r="G30" s="1565">
        <v>0</v>
      </c>
      <c r="H30" s="1565">
        <v>0</v>
      </c>
      <c r="I30" s="6">
        <v>0</v>
      </c>
    </row>
    <row r="31" spans="1:9" ht="18" customHeight="1">
      <c r="A31" s="1635">
        <v>44409</v>
      </c>
      <c r="B31" s="99" t="s">
        <v>1077</v>
      </c>
      <c r="C31" s="1636">
        <v>0</v>
      </c>
      <c r="D31" s="1636">
        <v>0</v>
      </c>
      <c r="E31" s="1637">
        <v>0</v>
      </c>
      <c r="F31" s="1638">
        <v>0</v>
      </c>
      <c r="G31" s="1565">
        <v>0</v>
      </c>
      <c r="H31" s="1565">
        <v>0</v>
      </c>
      <c r="I31" s="6">
        <v>0</v>
      </c>
    </row>
    <row r="32" spans="1:9" ht="18" customHeight="1">
      <c r="A32" s="1635">
        <v>44440</v>
      </c>
      <c r="B32" s="99" t="s">
        <v>1078</v>
      </c>
      <c r="C32" s="1636">
        <v>0</v>
      </c>
      <c r="D32" s="1636">
        <v>2</v>
      </c>
      <c r="E32" s="1637">
        <v>2</v>
      </c>
      <c r="F32" s="1638">
        <v>0</v>
      </c>
      <c r="G32" s="1565">
        <v>0</v>
      </c>
      <c r="H32" s="1565">
        <v>0</v>
      </c>
      <c r="I32" s="6">
        <v>0</v>
      </c>
    </row>
    <row r="33" spans="1:9" ht="18" customHeight="1">
      <c r="A33" s="1635">
        <v>44470</v>
      </c>
      <c r="B33" s="99" t="s">
        <v>1077</v>
      </c>
      <c r="C33" s="1636">
        <v>0</v>
      </c>
      <c r="D33" s="1636">
        <v>0</v>
      </c>
      <c r="E33" s="1637">
        <v>0</v>
      </c>
      <c r="F33" s="1638">
        <v>0</v>
      </c>
      <c r="G33" s="1565">
        <v>0</v>
      </c>
      <c r="H33" s="1565">
        <v>0</v>
      </c>
      <c r="I33" s="6">
        <v>0</v>
      </c>
    </row>
    <row r="34" spans="1:9" ht="18" customHeight="1">
      <c r="A34" s="1635">
        <v>44501</v>
      </c>
      <c r="B34" s="99" t="s">
        <v>1077</v>
      </c>
      <c r="C34" s="1636">
        <v>0</v>
      </c>
      <c r="D34" s="1636">
        <v>0</v>
      </c>
      <c r="E34" s="1637">
        <v>0</v>
      </c>
      <c r="F34" s="1638">
        <v>0</v>
      </c>
      <c r="G34" s="1565">
        <v>0</v>
      </c>
      <c r="H34" s="1565">
        <v>0</v>
      </c>
      <c r="I34" s="6">
        <v>0</v>
      </c>
    </row>
    <row r="35" spans="1:9" ht="18" customHeight="1">
      <c r="A35" s="1635">
        <v>44531</v>
      </c>
      <c r="B35" s="99" t="s">
        <v>1077</v>
      </c>
      <c r="C35" s="1636">
        <v>0</v>
      </c>
      <c r="D35" s="1636">
        <v>0</v>
      </c>
      <c r="E35" s="1637">
        <v>0</v>
      </c>
      <c r="F35" s="1638">
        <v>0</v>
      </c>
      <c r="G35" s="1565">
        <v>0</v>
      </c>
      <c r="H35" s="1565">
        <v>0</v>
      </c>
      <c r="I35" s="6">
        <v>0</v>
      </c>
    </row>
    <row r="36" spans="1:9" ht="18" customHeight="1">
      <c r="A36" s="1635">
        <v>44562</v>
      </c>
      <c r="B36" s="99" t="s">
        <v>1077</v>
      </c>
      <c r="C36" s="1636">
        <v>0</v>
      </c>
      <c r="D36" s="1636">
        <v>0</v>
      </c>
      <c r="E36" s="1637">
        <v>0</v>
      </c>
      <c r="F36" s="1638">
        <v>0</v>
      </c>
      <c r="G36" s="1565">
        <v>0</v>
      </c>
      <c r="H36" s="1565">
        <v>0</v>
      </c>
      <c r="I36" s="6">
        <v>0</v>
      </c>
    </row>
    <row r="37" spans="1:9" ht="18" customHeight="1">
      <c r="A37" s="1635">
        <v>44593</v>
      </c>
      <c r="B37" s="99" t="s">
        <v>1077</v>
      </c>
      <c r="C37" s="1636">
        <v>0</v>
      </c>
      <c r="D37" s="1636">
        <v>0</v>
      </c>
      <c r="E37" s="1637">
        <v>0</v>
      </c>
      <c r="F37" s="1638">
        <v>0</v>
      </c>
      <c r="G37" s="1565">
        <v>0</v>
      </c>
      <c r="H37" s="1565">
        <v>0</v>
      </c>
      <c r="I37" s="6">
        <v>0</v>
      </c>
    </row>
    <row r="38" spans="1:9" ht="18" customHeight="1">
      <c r="A38" s="1635">
        <v>44621</v>
      </c>
      <c r="B38" s="99" t="s">
        <v>1077</v>
      </c>
      <c r="C38" s="1636">
        <v>0</v>
      </c>
      <c r="D38" s="1636">
        <v>0</v>
      </c>
      <c r="E38" s="1637">
        <v>0</v>
      </c>
      <c r="F38" s="1638">
        <v>0</v>
      </c>
      <c r="G38" s="1565">
        <v>0</v>
      </c>
      <c r="H38" s="1565">
        <v>0</v>
      </c>
      <c r="I38" s="6">
        <v>0</v>
      </c>
    </row>
    <row r="39" spans="1:9" ht="18" customHeight="1">
      <c r="A39" s="1635">
        <v>44652</v>
      </c>
      <c r="B39" s="99" t="s">
        <v>1077</v>
      </c>
      <c r="C39" s="1636">
        <v>0</v>
      </c>
      <c r="D39" s="1636">
        <v>0</v>
      </c>
      <c r="E39" s="1637">
        <v>0</v>
      </c>
      <c r="F39" s="1638">
        <v>0</v>
      </c>
      <c r="G39" s="1565">
        <v>0</v>
      </c>
      <c r="H39" s="1565">
        <v>0</v>
      </c>
      <c r="I39" s="6">
        <v>0</v>
      </c>
    </row>
    <row r="40" spans="1:9" ht="18" customHeight="1">
      <c r="A40" s="1635">
        <v>44682</v>
      </c>
      <c r="B40" s="99" t="s">
        <v>1077</v>
      </c>
      <c r="C40" s="1636">
        <v>0</v>
      </c>
      <c r="D40" s="1636">
        <v>0</v>
      </c>
      <c r="E40" s="1637">
        <v>0</v>
      </c>
      <c r="F40" s="1638">
        <v>0</v>
      </c>
      <c r="G40" s="1565">
        <v>0</v>
      </c>
      <c r="H40" s="1565">
        <v>0</v>
      </c>
      <c r="I40" s="6">
        <v>0</v>
      </c>
    </row>
    <row r="41" spans="1:9" ht="18" customHeight="1">
      <c r="A41" s="1635">
        <v>44713</v>
      </c>
      <c r="B41" s="99" t="s">
        <v>1077</v>
      </c>
      <c r="C41" s="1636">
        <v>0</v>
      </c>
      <c r="D41" s="1636">
        <v>0</v>
      </c>
      <c r="E41" s="1637">
        <v>0</v>
      </c>
      <c r="F41" s="1638">
        <v>0</v>
      </c>
      <c r="G41" s="1565">
        <v>0</v>
      </c>
      <c r="H41" s="1565">
        <v>0</v>
      </c>
      <c r="I41" s="6">
        <v>0</v>
      </c>
    </row>
    <row r="42" spans="1:9" ht="18" customHeight="1">
      <c r="A42" s="1635">
        <v>44743</v>
      </c>
      <c r="B42" s="99" t="s">
        <v>1077</v>
      </c>
      <c r="C42" s="1636">
        <v>0</v>
      </c>
      <c r="D42" s="1636">
        <v>0</v>
      </c>
      <c r="E42" s="1637">
        <v>0</v>
      </c>
      <c r="F42" s="1638">
        <v>0</v>
      </c>
      <c r="G42" s="1565">
        <v>0</v>
      </c>
      <c r="H42" s="1565">
        <v>0</v>
      </c>
      <c r="I42" s="6">
        <v>0</v>
      </c>
    </row>
    <row r="43" spans="1:9" ht="18" customHeight="1">
      <c r="A43" s="1635">
        <v>44774</v>
      </c>
      <c r="B43" s="99" t="s">
        <v>1077</v>
      </c>
      <c r="C43" s="1636">
        <v>0</v>
      </c>
      <c r="D43" s="1636">
        <v>0</v>
      </c>
      <c r="E43" s="1637">
        <v>0</v>
      </c>
      <c r="F43" s="1638">
        <v>0</v>
      </c>
      <c r="G43" s="1565">
        <v>0</v>
      </c>
      <c r="H43" s="1565">
        <v>0</v>
      </c>
      <c r="I43" s="6">
        <v>0</v>
      </c>
    </row>
    <row r="44" spans="1:9" ht="18" customHeight="1">
      <c r="A44" s="1635">
        <v>44805</v>
      </c>
      <c r="B44" s="99" t="s">
        <v>1077</v>
      </c>
      <c r="C44" s="1636">
        <v>0</v>
      </c>
      <c r="D44" s="1636">
        <v>0</v>
      </c>
      <c r="E44" s="1637">
        <v>0</v>
      </c>
      <c r="F44" s="1638">
        <v>0</v>
      </c>
      <c r="G44" s="1565">
        <v>0</v>
      </c>
      <c r="H44" s="1565">
        <v>0</v>
      </c>
      <c r="I44" s="6">
        <v>0</v>
      </c>
    </row>
    <row r="45" spans="1:9" ht="18" customHeight="1">
      <c r="A45" s="1635">
        <v>44835</v>
      </c>
      <c r="B45" s="99" t="s">
        <v>1077</v>
      </c>
      <c r="C45" s="1636">
        <v>0</v>
      </c>
      <c r="D45" s="1636">
        <v>0</v>
      </c>
      <c r="E45" s="1637">
        <v>0</v>
      </c>
      <c r="F45" s="1638">
        <v>0</v>
      </c>
      <c r="G45" s="1565">
        <v>0</v>
      </c>
      <c r="H45" s="1565">
        <v>0</v>
      </c>
      <c r="I45" s="6">
        <v>0</v>
      </c>
    </row>
    <row r="46" spans="1:9" ht="18" customHeight="1">
      <c r="A46" s="1635">
        <v>44866</v>
      </c>
      <c r="B46" s="99" t="s">
        <v>1077</v>
      </c>
      <c r="C46" s="1636">
        <v>0</v>
      </c>
      <c r="D46" s="1636">
        <v>0</v>
      </c>
      <c r="E46" s="1637">
        <v>0</v>
      </c>
      <c r="F46" s="1638">
        <v>0</v>
      </c>
      <c r="G46" s="1565">
        <v>0</v>
      </c>
      <c r="H46" s="1565">
        <v>0</v>
      </c>
      <c r="I46" s="6">
        <v>0</v>
      </c>
    </row>
    <row r="47" spans="1:9" ht="18" customHeight="1">
      <c r="A47" s="1635">
        <v>44896</v>
      </c>
      <c r="B47" s="99" t="s">
        <v>1077</v>
      </c>
      <c r="C47" s="1636">
        <v>0</v>
      </c>
      <c r="D47" s="1636">
        <v>0</v>
      </c>
      <c r="E47" s="1637">
        <v>0</v>
      </c>
      <c r="F47" s="1638">
        <v>0</v>
      </c>
      <c r="G47" s="1565">
        <v>0</v>
      </c>
      <c r="H47" s="1565">
        <v>0</v>
      </c>
      <c r="I47" s="6">
        <v>0</v>
      </c>
    </row>
    <row r="48" spans="1:9" ht="18" customHeight="1">
      <c r="A48" s="1635">
        <v>44927</v>
      </c>
      <c r="B48" s="99" t="s">
        <v>1077</v>
      </c>
      <c r="C48" s="1636">
        <v>0</v>
      </c>
      <c r="D48" s="1636">
        <v>0</v>
      </c>
      <c r="E48" s="1637">
        <v>0</v>
      </c>
      <c r="F48" s="1638">
        <v>0</v>
      </c>
      <c r="G48" s="1565">
        <v>0</v>
      </c>
      <c r="H48" s="1565">
        <v>0</v>
      </c>
      <c r="I48" s="6">
        <v>0</v>
      </c>
    </row>
    <row r="49" spans="1:9" ht="18" customHeight="1">
      <c r="A49" s="1635">
        <v>44958</v>
      </c>
      <c r="B49" s="99" t="s">
        <v>1077</v>
      </c>
      <c r="C49" s="1636">
        <v>0</v>
      </c>
      <c r="D49" s="1636">
        <v>0</v>
      </c>
      <c r="E49" s="1637">
        <v>0</v>
      </c>
      <c r="F49" s="1638">
        <v>0</v>
      </c>
      <c r="G49" s="1565">
        <v>0</v>
      </c>
      <c r="H49" s="1565">
        <v>0</v>
      </c>
      <c r="I49" s="6">
        <v>0</v>
      </c>
    </row>
    <row r="50" spans="1:9" ht="18" customHeight="1">
      <c r="A50" s="1635">
        <v>44986</v>
      </c>
      <c r="B50" s="99" t="s">
        <v>1077</v>
      </c>
      <c r="C50" s="1636">
        <v>0</v>
      </c>
      <c r="D50" s="1636">
        <v>0</v>
      </c>
      <c r="E50" s="1637">
        <v>0</v>
      </c>
      <c r="F50" s="1638">
        <v>0</v>
      </c>
      <c r="G50" s="1565">
        <v>0</v>
      </c>
      <c r="H50" s="1565">
        <v>0</v>
      </c>
      <c r="I50" s="6">
        <v>0</v>
      </c>
    </row>
    <row r="51" spans="1:9" ht="18" customHeight="1">
      <c r="A51" s="929"/>
      <c r="B51" s="99"/>
      <c r="C51" s="1636"/>
      <c r="D51" s="1636"/>
      <c r="E51" s="1637"/>
      <c r="F51" s="1638"/>
      <c r="G51" s="1565"/>
      <c r="H51" s="1565"/>
      <c r="I51" s="6"/>
    </row>
    <row r="52" spans="1:9">
      <c r="A52" s="1639" t="s">
        <v>1079</v>
      </c>
      <c r="B52" s="99" t="s">
        <v>1078</v>
      </c>
      <c r="C52" s="1636">
        <v>0</v>
      </c>
      <c r="D52" s="1636">
        <v>2</v>
      </c>
      <c r="E52" s="1612">
        <v>2</v>
      </c>
      <c r="F52" s="1638">
        <v>0</v>
      </c>
      <c r="G52" s="1565">
        <v>0</v>
      </c>
      <c r="H52" s="1565">
        <v>0</v>
      </c>
      <c r="I52" s="6">
        <v>0</v>
      </c>
    </row>
    <row r="53" spans="1:9">
      <c r="A53" s="6"/>
      <c r="B53" s="99"/>
      <c r="C53" s="1636"/>
      <c r="D53" s="1636"/>
      <c r="E53" s="1637"/>
      <c r="F53" s="1638"/>
      <c r="G53" s="1565"/>
      <c r="H53" s="1565"/>
      <c r="I53" s="6"/>
    </row>
    <row r="54" spans="1:9">
      <c r="A54" s="6"/>
      <c r="B54" s="99"/>
      <c r="C54" s="1640"/>
      <c r="D54" s="1640"/>
      <c r="E54" s="1637"/>
      <c r="F54" s="1638"/>
      <c r="G54" s="1565"/>
      <c r="H54" s="1565"/>
      <c r="I54" s="6"/>
    </row>
    <row r="56" spans="1:9">
      <c r="G56" s="1231" t="s">
        <v>126</v>
      </c>
      <c r="H56" s="1231"/>
      <c r="I56" s="1231"/>
    </row>
  </sheetData>
  <mergeCells count="4">
    <mergeCell ref="A4:I4"/>
    <mergeCell ref="A6:I6"/>
    <mergeCell ref="F8:G8"/>
    <mergeCell ref="G56:I56"/>
  </mergeCells>
  <phoneticPr fontId="5" type="noConversion"/>
  <hyperlinks>
    <hyperlink ref="G56" location="'TABLA DE CONTENIDO'!A1" display="VOLVER A TABLA DE CONTENIDO" xr:uid="{00000000-0004-0000-1800-000000000000}"/>
  </hyperlinks>
  <printOptions horizontalCentered="1" verticalCentered="1"/>
  <pageMargins left="0.39370078740157483" right="0.39370078740157483" top="0.98425196850393704" bottom="0.59055118110236227" header="0" footer="0"/>
  <pageSetup scale="58" orientation="landscape" horizontalDpi="300" verticalDpi="300"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pageSetUpPr fitToPage="1"/>
  </sheetPr>
  <dimension ref="A1:BA47"/>
  <sheetViews>
    <sheetView zoomScale="60" zoomScaleNormal="60" workbookViewId="0">
      <selection activeCell="J9" sqref="J9"/>
    </sheetView>
  </sheetViews>
  <sheetFormatPr defaultColWidth="11.42578125" defaultRowHeight="12.75"/>
  <cols>
    <col min="1" max="1" width="5.140625" customWidth="1"/>
    <col min="2" max="2" width="78" customWidth="1"/>
    <col min="3" max="50" width="3.7109375" customWidth="1"/>
    <col min="51" max="51" width="36.5703125" customWidth="1"/>
    <col min="52" max="54" width="31.42578125" customWidth="1"/>
  </cols>
  <sheetData>
    <row r="1" spans="1:51" s="33" customFormat="1" ht="23.25">
      <c r="A1" s="1228" t="s">
        <v>1</v>
      </c>
      <c r="B1" s="1228"/>
      <c r="C1" s="1228"/>
      <c r="D1" s="1228"/>
      <c r="E1" s="1228"/>
      <c r="F1" s="1228"/>
      <c r="G1" s="1228"/>
      <c r="H1" s="1228"/>
      <c r="I1" s="1228"/>
      <c r="J1" s="1228"/>
      <c r="K1" s="1228"/>
      <c r="L1" s="1228"/>
      <c r="M1" s="1228"/>
      <c r="N1" s="1228"/>
      <c r="O1" s="1228"/>
      <c r="P1" s="1228"/>
      <c r="Q1" s="1228"/>
      <c r="R1" s="1228"/>
      <c r="S1" s="1228"/>
      <c r="T1" s="1228"/>
      <c r="U1" s="1228"/>
      <c r="V1" s="1228"/>
      <c r="W1" s="1228"/>
      <c r="X1" s="1228"/>
      <c r="Y1" s="1228"/>
      <c r="Z1" s="1228"/>
      <c r="AA1" s="1228"/>
      <c r="AB1" s="1228"/>
      <c r="AC1" s="1228"/>
      <c r="AD1" s="1228"/>
      <c r="AE1" s="1228"/>
      <c r="AF1" s="1228"/>
      <c r="AG1" s="1228"/>
      <c r="AH1" s="1228"/>
      <c r="AI1" s="1228"/>
      <c r="AJ1" s="1228"/>
      <c r="AK1" s="1228"/>
      <c r="AL1" s="1228"/>
      <c r="AM1" s="1228"/>
      <c r="AN1" s="1228"/>
      <c r="AO1" s="1228"/>
      <c r="AP1" s="1228"/>
      <c r="AQ1" s="1228"/>
      <c r="AR1" s="1228"/>
      <c r="AS1" s="1228"/>
      <c r="AT1" s="1228"/>
      <c r="AU1" s="1228"/>
      <c r="AV1" s="1228"/>
      <c r="AW1" s="1228"/>
      <c r="AX1" s="1228"/>
      <c r="AY1" s="1228"/>
    </row>
    <row r="2" spans="1:51" s="33" customFormat="1" ht="23.25">
      <c r="A2" s="1228" t="s">
        <v>1080</v>
      </c>
      <c r="B2" s="1228"/>
      <c r="C2" s="1228"/>
      <c r="D2" s="1228"/>
      <c r="E2" s="1228"/>
      <c r="F2" s="1228"/>
      <c r="G2" s="1228"/>
      <c r="H2" s="1228"/>
      <c r="I2" s="1228"/>
      <c r="J2" s="1228"/>
      <c r="K2" s="1228"/>
      <c r="L2" s="1228"/>
      <c r="M2" s="1228"/>
      <c r="N2" s="1228"/>
      <c r="O2" s="1228"/>
      <c r="P2" s="1228"/>
      <c r="Q2" s="1228"/>
      <c r="R2" s="1228"/>
      <c r="S2" s="1228"/>
      <c r="T2" s="1228"/>
      <c r="U2" s="1228"/>
      <c r="V2" s="1228"/>
      <c r="W2" s="1228"/>
      <c r="X2" s="1228"/>
      <c r="Y2" s="1228"/>
      <c r="Z2" s="1228"/>
      <c r="AA2" s="1228"/>
      <c r="AB2" s="1228"/>
      <c r="AC2" s="1228"/>
      <c r="AD2" s="1228"/>
      <c r="AE2" s="1228"/>
      <c r="AF2" s="1228"/>
      <c r="AG2" s="1228"/>
      <c r="AH2" s="1228"/>
      <c r="AI2" s="1228"/>
      <c r="AJ2" s="1228"/>
      <c r="AK2" s="1228"/>
      <c r="AL2" s="1228"/>
      <c r="AM2" s="1228"/>
      <c r="AN2" s="1228"/>
      <c r="AO2" s="1228"/>
      <c r="AP2" s="1228"/>
      <c r="AQ2" s="1228"/>
      <c r="AR2" s="1228"/>
      <c r="AS2" s="1228"/>
      <c r="AT2" s="1228"/>
      <c r="AU2" s="1228"/>
      <c r="AV2" s="1228"/>
      <c r="AW2" s="1228"/>
      <c r="AX2" s="1228"/>
      <c r="AY2" s="1228"/>
    </row>
    <row r="3" spans="1:51" s="33" customFormat="1" ht="18">
      <c r="A3" s="1225" t="s">
        <v>1081</v>
      </c>
      <c r="B3" s="1225"/>
      <c r="C3" s="1225"/>
      <c r="D3" s="1225"/>
      <c r="E3" s="1225"/>
      <c r="F3" s="1225"/>
      <c r="G3" s="1225"/>
      <c r="H3" s="1225"/>
      <c r="I3" s="1225"/>
      <c r="J3" s="1225"/>
      <c r="K3" s="1225"/>
      <c r="L3" s="1225"/>
      <c r="M3" s="1225"/>
      <c r="N3" s="1225"/>
      <c r="O3" s="1225"/>
      <c r="P3" s="1225"/>
      <c r="Q3" s="1225"/>
      <c r="R3" s="1225"/>
      <c r="S3" s="1225"/>
      <c r="T3" s="1225"/>
      <c r="U3" s="1225"/>
      <c r="V3" s="1225"/>
      <c r="W3" s="1225"/>
      <c r="X3" s="1225"/>
      <c r="Y3" s="1225"/>
      <c r="Z3" s="1225"/>
      <c r="AA3" s="1225"/>
      <c r="AB3" s="1225"/>
      <c r="AC3" s="1225"/>
      <c r="AD3" s="1225"/>
      <c r="AE3" s="1225"/>
      <c r="AF3" s="1225"/>
      <c r="AG3" s="1225"/>
      <c r="AH3" s="1225"/>
      <c r="AI3" s="1225"/>
      <c r="AJ3" s="1225"/>
      <c r="AK3" s="1225"/>
      <c r="AL3" s="1225"/>
      <c r="AM3" s="1225"/>
      <c r="AN3" s="1225"/>
      <c r="AO3" s="1225"/>
      <c r="AP3" s="1225"/>
      <c r="AQ3" s="1225"/>
      <c r="AR3" s="1225"/>
      <c r="AS3" s="1225"/>
      <c r="AT3" s="1225"/>
      <c r="AU3" s="1225"/>
      <c r="AV3" s="1225"/>
      <c r="AW3" s="1225"/>
      <c r="AX3" s="1225"/>
      <c r="AY3" s="1225"/>
    </row>
    <row r="4" spans="1:51" s="33" customFormat="1" ht="18">
      <c r="A4" s="1229" t="s">
        <v>1082</v>
      </c>
      <c r="B4" s="1229"/>
      <c r="C4" s="1229"/>
      <c r="D4" s="1229"/>
      <c r="E4" s="1229"/>
      <c r="F4" s="1229"/>
      <c r="G4" s="1229"/>
      <c r="H4" s="1229"/>
      <c r="I4" s="1229"/>
      <c r="J4" s="1229"/>
      <c r="K4" s="1229"/>
      <c r="L4" s="1229"/>
      <c r="M4" s="1229"/>
      <c r="N4" s="1229"/>
      <c r="O4" s="1229"/>
      <c r="P4" s="1229"/>
      <c r="Q4" s="1229"/>
      <c r="R4" s="1229"/>
      <c r="S4" s="1229"/>
      <c r="T4" s="1229"/>
      <c r="U4" s="1229"/>
      <c r="V4" s="1229"/>
      <c r="W4" s="1229"/>
      <c r="X4" s="1229"/>
      <c r="Y4" s="1229"/>
      <c r="Z4" s="1229"/>
      <c r="AA4" s="1229"/>
      <c r="AB4" s="1229"/>
      <c r="AC4" s="1229"/>
      <c r="AD4" s="1229"/>
      <c r="AE4" s="1229"/>
      <c r="AF4" s="1229"/>
      <c r="AG4" s="1229"/>
      <c r="AH4" s="1229"/>
      <c r="AI4" s="1229"/>
      <c r="AJ4" s="1229"/>
      <c r="AK4" s="1229"/>
      <c r="AL4" s="1229"/>
      <c r="AM4" s="1229"/>
      <c r="AN4" s="1229"/>
      <c r="AO4" s="1229"/>
      <c r="AP4" s="1229"/>
      <c r="AQ4" s="1229"/>
      <c r="AR4" s="1229"/>
      <c r="AS4" s="1229"/>
      <c r="AT4" s="1229"/>
      <c r="AU4" s="1229"/>
      <c r="AV4" s="1229"/>
      <c r="AW4" s="1229"/>
      <c r="AX4" s="1229"/>
      <c r="AY4" s="1229"/>
    </row>
    <row r="5" spans="1:51" s="33" customFormat="1" ht="18.75" thickBot="1">
      <c r="A5" s="1229"/>
      <c r="B5" s="1229"/>
      <c r="C5" s="1229"/>
      <c r="D5" s="1229"/>
      <c r="E5" s="1229"/>
      <c r="F5" s="1229"/>
      <c r="G5" s="1229"/>
      <c r="H5" s="1229"/>
      <c r="I5" s="1229"/>
      <c r="J5" s="1229"/>
      <c r="K5" s="1229"/>
      <c r="L5" s="1229"/>
      <c r="M5" s="1229"/>
      <c r="N5" s="1229"/>
      <c r="O5" s="1229"/>
      <c r="P5" s="1229"/>
      <c r="Q5" s="1229"/>
      <c r="R5" s="1229"/>
      <c r="S5" s="1229"/>
      <c r="T5" s="1229"/>
      <c r="U5" s="1229"/>
      <c r="V5" s="1229"/>
      <c r="W5" s="1229"/>
      <c r="X5" s="1229"/>
      <c r="Y5" s="1229"/>
      <c r="Z5" s="1229"/>
      <c r="AA5" s="1229"/>
      <c r="AB5" s="1229"/>
      <c r="AC5" s="1229"/>
      <c r="AD5" s="1229"/>
      <c r="AE5" s="1229"/>
      <c r="AF5" s="1229"/>
      <c r="AG5" s="1229"/>
      <c r="AH5" s="1229"/>
      <c r="AI5" s="1229"/>
      <c r="AJ5" s="1229"/>
      <c r="AK5" s="1229"/>
      <c r="AL5" s="1229"/>
      <c r="AM5" s="1229"/>
      <c r="AN5" s="1229"/>
      <c r="AO5" s="1229"/>
      <c r="AP5" s="1229"/>
      <c r="AQ5" s="1229"/>
      <c r="AR5" s="1229"/>
      <c r="AS5" s="1229"/>
      <c r="AT5" s="1229"/>
      <c r="AU5" s="1229"/>
      <c r="AV5" s="1229"/>
      <c r="AW5" s="1229"/>
      <c r="AX5" s="1229"/>
      <c r="AY5" s="1229"/>
    </row>
    <row r="6" spans="1:51" s="24" customFormat="1" ht="18" customHeight="1" thickBot="1">
      <c r="A6" s="119" t="s">
        <v>762</v>
      </c>
      <c r="B6" s="120" t="s">
        <v>1083</v>
      </c>
      <c r="C6" s="1415">
        <v>2020</v>
      </c>
      <c r="D6" s="1416"/>
      <c r="E6" s="1416"/>
      <c r="F6" s="1416"/>
      <c r="G6" s="1416"/>
      <c r="H6" s="1416"/>
      <c r="I6" s="1416"/>
      <c r="J6" s="1416"/>
      <c r="K6" s="1416"/>
      <c r="L6" s="1416"/>
      <c r="M6" s="1416"/>
      <c r="N6" s="1417"/>
      <c r="O6" s="1415">
        <v>2021</v>
      </c>
      <c r="P6" s="1416"/>
      <c r="Q6" s="1416"/>
      <c r="R6" s="1416"/>
      <c r="S6" s="1416"/>
      <c r="T6" s="1416"/>
      <c r="U6" s="1416"/>
      <c r="V6" s="1416"/>
      <c r="W6" s="1416"/>
      <c r="X6" s="1416"/>
      <c r="Y6" s="1416"/>
      <c r="Z6" s="1417"/>
      <c r="AA6" s="1415">
        <v>2022</v>
      </c>
      <c r="AB6" s="1416"/>
      <c r="AC6" s="1416"/>
      <c r="AD6" s="1416"/>
      <c r="AE6" s="1416"/>
      <c r="AF6" s="1416"/>
      <c r="AG6" s="1416"/>
      <c r="AH6" s="1416"/>
      <c r="AI6" s="1416"/>
      <c r="AJ6" s="1416"/>
      <c r="AK6" s="1416"/>
      <c r="AL6" s="1417"/>
      <c r="AM6" s="1415">
        <v>2023</v>
      </c>
      <c r="AN6" s="1416"/>
      <c r="AO6" s="1416"/>
      <c r="AP6" s="1416"/>
      <c r="AQ6" s="1416"/>
      <c r="AR6" s="1416"/>
      <c r="AS6" s="1416"/>
      <c r="AT6" s="1416"/>
      <c r="AU6" s="1416"/>
      <c r="AV6" s="1416"/>
      <c r="AW6" s="1416"/>
      <c r="AX6" s="1417"/>
      <c r="AY6" s="346" t="s">
        <v>113</v>
      </c>
    </row>
    <row r="7" spans="1:51" ht="13.5" customHeight="1">
      <c r="A7" s="121"/>
      <c r="B7" s="380"/>
      <c r="C7" s="419" t="s">
        <v>1084</v>
      </c>
      <c r="D7" s="416" t="s">
        <v>1085</v>
      </c>
      <c r="E7" s="416" t="s">
        <v>1086</v>
      </c>
      <c r="F7" s="416" t="s">
        <v>1087</v>
      </c>
      <c r="G7" s="416" t="s">
        <v>1088</v>
      </c>
      <c r="H7" s="416" t="s">
        <v>1089</v>
      </c>
      <c r="I7" s="417" t="s">
        <v>1090</v>
      </c>
      <c r="J7" s="418" t="s">
        <v>1091</v>
      </c>
      <c r="K7" s="418" t="s">
        <v>1092</v>
      </c>
      <c r="L7" s="418" t="s">
        <v>1093</v>
      </c>
      <c r="M7" s="418" t="s">
        <v>1094</v>
      </c>
      <c r="N7" s="417" t="s">
        <v>1095</v>
      </c>
      <c r="O7" s="419" t="s">
        <v>1084</v>
      </c>
      <c r="P7" s="416" t="s">
        <v>1085</v>
      </c>
      <c r="Q7" s="416" t="s">
        <v>1086</v>
      </c>
      <c r="R7" s="416" t="s">
        <v>1087</v>
      </c>
      <c r="S7" s="416" t="s">
        <v>1088</v>
      </c>
      <c r="T7" s="416" t="s">
        <v>1089</v>
      </c>
      <c r="U7" s="416" t="s">
        <v>1090</v>
      </c>
      <c r="V7" s="420" t="s">
        <v>1091</v>
      </c>
      <c r="W7" s="418" t="s">
        <v>1092</v>
      </c>
      <c r="X7" s="418" t="s">
        <v>1093</v>
      </c>
      <c r="Y7" s="418" t="s">
        <v>1094</v>
      </c>
      <c r="Z7" s="417" t="s">
        <v>1095</v>
      </c>
      <c r="AA7" s="419" t="s">
        <v>1084</v>
      </c>
      <c r="AB7" s="416" t="s">
        <v>1085</v>
      </c>
      <c r="AC7" s="416" t="s">
        <v>1086</v>
      </c>
      <c r="AD7" s="416" t="s">
        <v>1087</v>
      </c>
      <c r="AE7" s="416" t="s">
        <v>1088</v>
      </c>
      <c r="AF7" s="416" t="s">
        <v>1089</v>
      </c>
      <c r="AG7" s="416" t="s">
        <v>1090</v>
      </c>
      <c r="AH7" s="1177" t="s">
        <v>1091</v>
      </c>
      <c r="AI7" s="420" t="s">
        <v>1092</v>
      </c>
      <c r="AJ7" s="420" t="s">
        <v>1093</v>
      </c>
      <c r="AK7" s="420" t="s">
        <v>1094</v>
      </c>
      <c r="AL7" s="417" t="s">
        <v>1095</v>
      </c>
      <c r="AM7" s="419" t="s">
        <v>1084</v>
      </c>
      <c r="AN7" s="416" t="s">
        <v>1085</v>
      </c>
      <c r="AO7" s="416" t="s">
        <v>1086</v>
      </c>
      <c r="AP7" s="416" t="s">
        <v>1087</v>
      </c>
      <c r="AQ7" s="416" t="s">
        <v>1088</v>
      </c>
      <c r="AR7" s="416" t="s">
        <v>1089</v>
      </c>
      <c r="AS7" s="416" t="s">
        <v>1090</v>
      </c>
      <c r="AT7" s="1177" t="s">
        <v>1091</v>
      </c>
      <c r="AU7" s="420" t="s">
        <v>1092</v>
      </c>
      <c r="AV7" s="420" t="s">
        <v>1093</v>
      </c>
      <c r="AW7" s="420" t="s">
        <v>1094</v>
      </c>
      <c r="AX7" s="417" t="s">
        <v>1095</v>
      </c>
      <c r="AY7" s="347"/>
    </row>
    <row r="8" spans="1:51" ht="45">
      <c r="A8" s="159">
        <v>1</v>
      </c>
      <c r="B8" s="415" t="s">
        <v>1096</v>
      </c>
      <c r="C8" s="1132"/>
      <c r="D8" s="932" t="s">
        <v>777</v>
      </c>
      <c r="E8" s="932"/>
      <c r="F8" s="932"/>
      <c r="G8" s="932"/>
      <c r="H8" s="932"/>
      <c r="I8" s="932"/>
      <c r="J8" s="932"/>
      <c r="K8" s="932"/>
      <c r="L8" s="932"/>
      <c r="M8" s="932"/>
      <c r="N8" s="1081"/>
      <c r="O8" s="932"/>
      <c r="P8" s="932"/>
      <c r="Q8" s="932"/>
      <c r="R8" s="932" t="s">
        <v>777</v>
      </c>
      <c r="S8" s="932" t="s">
        <v>777</v>
      </c>
      <c r="T8" s="932" t="s">
        <v>777</v>
      </c>
      <c r="U8" s="932" t="s">
        <v>777</v>
      </c>
      <c r="V8" s="932" t="s">
        <v>777</v>
      </c>
      <c r="W8" s="932" t="s">
        <v>777</v>
      </c>
      <c r="X8" s="932" t="s">
        <v>777</v>
      </c>
      <c r="Y8" s="932" t="s">
        <v>777</v>
      </c>
      <c r="Z8" s="1081"/>
      <c r="AA8" s="932" t="s">
        <v>777</v>
      </c>
      <c r="AB8" s="932"/>
      <c r="AC8" s="932" t="s">
        <v>777</v>
      </c>
      <c r="AD8" s="932"/>
      <c r="AE8" s="932"/>
      <c r="AF8" s="426" t="s">
        <v>777</v>
      </c>
      <c r="AG8" s="426" t="s">
        <v>777</v>
      </c>
      <c r="AH8" s="932" t="s">
        <v>777</v>
      </c>
      <c r="AI8" s="426"/>
      <c r="AJ8" s="426" t="s">
        <v>777</v>
      </c>
      <c r="AK8" s="1179" t="s">
        <v>777</v>
      </c>
      <c r="AL8" s="1081" t="s">
        <v>777</v>
      </c>
      <c r="AM8" s="932" t="s">
        <v>777</v>
      </c>
      <c r="AN8" s="932"/>
      <c r="AO8" s="932" t="s">
        <v>777</v>
      </c>
      <c r="AP8" s="932"/>
      <c r="AQ8" s="932"/>
      <c r="AR8" s="426"/>
      <c r="AS8" s="426"/>
      <c r="AT8" s="932"/>
      <c r="AU8" s="426"/>
      <c r="AV8" s="426"/>
      <c r="AW8" s="1179"/>
      <c r="AX8" s="1081"/>
      <c r="AY8" s="94"/>
    </row>
    <row r="9" spans="1:51" ht="30">
      <c r="A9" s="160">
        <v>2</v>
      </c>
      <c r="B9" s="350" t="s">
        <v>1097</v>
      </c>
      <c r="C9" s="930" t="s">
        <v>777</v>
      </c>
      <c r="D9" s="933" t="s">
        <v>777</v>
      </c>
      <c r="E9" s="933"/>
      <c r="F9" s="933"/>
      <c r="G9" s="933"/>
      <c r="H9" s="933"/>
      <c r="I9" s="933" t="s">
        <v>777</v>
      </c>
      <c r="J9" s="933" t="s">
        <v>777</v>
      </c>
      <c r="K9" s="933" t="s">
        <v>777</v>
      </c>
      <c r="L9" s="933" t="s">
        <v>777</v>
      </c>
      <c r="M9" s="933" t="s">
        <v>777</v>
      </c>
      <c r="N9" s="1078" t="s">
        <v>777</v>
      </c>
      <c r="O9" s="933" t="s">
        <v>777</v>
      </c>
      <c r="P9" s="933" t="s">
        <v>777</v>
      </c>
      <c r="Q9" s="933"/>
      <c r="R9" s="933"/>
      <c r="S9" s="933"/>
      <c r="T9" s="933" t="s">
        <v>777</v>
      </c>
      <c r="U9" s="933" t="s">
        <v>777</v>
      </c>
      <c r="V9" s="933"/>
      <c r="W9" s="933"/>
      <c r="X9" s="933"/>
      <c r="Y9" s="933"/>
      <c r="Z9" s="1078"/>
      <c r="AA9" s="933"/>
      <c r="AB9" s="933"/>
      <c r="AC9" s="933"/>
      <c r="AD9" s="933" t="s">
        <v>777</v>
      </c>
      <c r="AE9" s="933"/>
      <c r="AF9" s="1175"/>
      <c r="AG9" s="1175"/>
      <c r="AH9" s="933"/>
      <c r="AI9" s="426"/>
      <c r="AJ9" s="426"/>
      <c r="AK9" s="430"/>
      <c r="AL9" s="1078"/>
      <c r="AM9" s="933"/>
      <c r="AN9" s="933"/>
      <c r="AO9" s="933"/>
      <c r="AP9" s="933"/>
      <c r="AQ9" s="933"/>
      <c r="AR9" s="1175"/>
      <c r="AS9" s="1175"/>
      <c r="AT9" s="933"/>
      <c r="AU9" s="426"/>
      <c r="AV9" s="426"/>
      <c r="AW9" s="430"/>
      <c r="AX9" s="1078"/>
      <c r="AY9" s="94"/>
    </row>
    <row r="10" spans="1:51" ht="45">
      <c r="A10" s="160">
        <v>3</v>
      </c>
      <c r="B10" s="350" t="s">
        <v>1098</v>
      </c>
      <c r="C10" s="930"/>
      <c r="D10" s="933"/>
      <c r="E10" s="933"/>
      <c r="F10" s="933"/>
      <c r="G10" s="933"/>
      <c r="H10" s="933"/>
      <c r="I10" s="933" t="s">
        <v>777</v>
      </c>
      <c r="J10" s="933"/>
      <c r="K10" s="933"/>
      <c r="L10" s="933" t="s">
        <v>777</v>
      </c>
      <c r="M10" s="933" t="s">
        <v>777</v>
      </c>
      <c r="N10" s="1078" t="s">
        <v>777</v>
      </c>
      <c r="O10" s="933" t="s">
        <v>777</v>
      </c>
      <c r="P10" s="933" t="s">
        <v>777</v>
      </c>
      <c r="Q10" s="933" t="s">
        <v>777</v>
      </c>
      <c r="R10" s="933" t="s">
        <v>777</v>
      </c>
      <c r="S10" s="933" t="s">
        <v>777</v>
      </c>
      <c r="T10" s="933" t="s">
        <v>777</v>
      </c>
      <c r="U10" s="933" t="s">
        <v>777</v>
      </c>
      <c r="V10" s="933" t="s">
        <v>777</v>
      </c>
      <c r="W10" s="933" t="s">
        <v>777</v>
      </c>
      <c r="X10" s="933"/>
      <c r="Y10" s="933" t="s">
        <v>777</v>
      </c>
      <c r="Z10" s="1078" t="s">
        <v>777</v>
      </c>
      <c r="AA10" s="933" t="s">
        <v>777</v>
      </c>
      <c r="AB10" s="933"/>
      <c r="AC10" s="933"/>
      <c r="AD10" s="933" t="s">
        <v>777</v>
      </c>
      <c r="AE10" s="933" t="s">
        <v>777</v>
      </c>
      <c r="AF10" s="1175"/>
      <c r="AG10" s="1175"/>
      <c r="AH10" s="933" t="s">
        <v>777</v>
      </c>
      <c r="AI10" s="426" t="s">
        <v>777</v>
      </c>
      <c r="AJ10" s="426" t="s">
        <v>777</v>
      </c>
      <c r="AK10" s="430" t="s">
        <v>777</v>
      </c>
      <c r="AL10" s="1078"/>
      <c r="AM10" s="933" t="s">
        <v>777</v>
      </c>
      <c r="AN10" s="933"/>
      <c r="AO10" s="933"/>
      <c r="AP10" s="933"/>
      <c r="AQ10" s="933"/>
      <c r="AR10" s="1175"/>
      <c r="AS10" s="1175"/>
      <c r="AT10" s="933"/>
      <c r="AU10" s="426"/>
      <c r="AV10" s="426"/>
      <c r="AW10" s="430"/>
      <c r="AX10" s="1078"/>
      <c r="AY10" s="94"/>
    </row>
    <row r="11" spans="1:51" ht="45">
      <c r="A11" s="160">
        <v>4</v>
      </c>
      <c r="B11" s="350" t="s">
        <v>1099</v>
      </c>
      <c r="C11" s="930" t="s">
        <v>777</v>
      </c>
      <c r="D11" s="933" t="s">
        <v>777</v>
      </c>
      <c r="E11" s="933" t="s">
        <v>777</v>
      </c>
      <c r="F11" s="933" t="s">
        <v>777</v>
      </c>
      <c r="G11" s="933" t="s">
        <v>777</v>
      </c>
      <c r="H11" s="933" t="s">
        <v>777</v>
      </c>
      <c r="I11" s="933" t="s">
        <v>777</v>
      </c>
      <c r="J11" s="933" t="s">
        <v>777</v>
      </c>
      <c r="K11" s="933" t="s">
        <v>777</v>
      </c>
      <c r="L11" s="933" t="s">
        <v>777</v>
      </c>
      <c r="M11" s="933" t="s">
        <v>777</v>
      </c>
      <c r="N11" s="1078" t="s">
        <v>777</v>
      </c>
      <c r="O11" s="933" t="s">
        <v>777</v>
      </c>
      <c r="P11" s="933" t="s">
        <v>777</v>
      </c>
      <c r="Q11" s="933" t="s">
        <v>777</v>
      </c>
      <c r="R11" s="933" t="s">
        <v>777</v>
      </c>
      <c r="S11" s="933" t="s">
        <v>777</v>
      </c>
      <c r="T11" s="933" t="s">
        <v>777</v>
      </c>
      <c r="U11" s="933" t="s">
        <v>777</v>
      </c>
      <c r="V11" s="933" t="s">
        <v>777</v>
      </c>
      <c r="W11" s="933" t="s">
        <v>777</v>
      </c>
      <c r="X11" s="933" t="s">
        <v>777</v>
      </c>
      <c r="Y11" s="933" t="s">
        <v>777</v>
      </c>
      <c r="Z11" s="1078" t="s">
        <v>777</v>
      </c>
      <c r="AA11" s="933" t="s">
        <v>777</v>
      </c>
      <c r="AB11" s="933" t="s">
        <v>777</v>
      </c>
      <c r="AC11" s="933" t="s">
        <v>777</v>
      </c>
      <c r="AD11" s="933" t="s">
        <v>777</v>
      </c>
      <c r="AE11" s="933" t="s">
        <v>777</v>
      </c>
      <c r="AF11" s="1175" t="s">
        <v>777</v>
      </c>
      <c r="AG11" s="1175" t="s">
        <v>777</v>
      </c>
      <c r="AH11" s="933" t="s">
        <v>777</v>
      </c>
      <c r="AI11" s="426" t="s">
        <v>777</v>
      </c>
      <c r="AJ11" s="426" t="s">
        <v>777</v>
      </c>
      <c r="AK11" s="430" t="s">
        <v>777</v>
      </c>
      <c r="AL11" s="1078" t="s">
        <v>777</v>
      </c>
      <c r="AM11" s="933" t="s">
        <v>777</v>
      </c>
      <c r="AN11" s="933" t="s">
        <v>777</v>
      </c>
      <c r="AO11" s="933" t="s">
        <v>777</v>
      </c>
      <c r="AP11" s="933"/>
      <c r="AQ11" s="933"/>
      <c r="AR11" s="1175"/>
      <c r="AS11" s="1175"/>
      <c r="AT11" s="933"/>
      <c r="AU11" s="426"/>
      <c r="AV11" s="426"/>
      <c r="AW11" s="430"/>
      <c r="AX11" s="1078"/>
      <c r="AY11" s="348"/>
    </row>
    <row r="12" spans="1:51" ht="45">
      <c r="A12" s="160">
        <v>5</v>
      </c>
      <c r="B12" s="350" t="s">
        <v>1100</v>
      </c>
      <c r="C12" s="1641"/>
      <c r="D12" s="935"/>
      <c r="E12" s="935" t="s">
        <v>777</v>
      </c>
      <c r="F12" s="935"/>
      <c r="G12" s="935"/>
      <c r="H12" s="935"/>
      <c r="I12" s="935"/>
      <c r="J12" s="935"/>
      <c r="K12" s="935"/>
      <c r="L12" s="935" t="s">
        <v>777</v>
      </c>
      <c r="M12" s="935" t="s">
        <v>777</v>
      </c>
      <c r="N12" s="1079" t="s">
        <v>777</v>
      </c>
      <c r="O12" s="935"/>
      <c r="P12" s="935"/>
      <c r="Q12" s="935"/>
      <c r="R12" s="935" t="s">
        <v>777</v>
      </c>
      <c r="S12" s="935" t="s">
        <v>777</v>
      </c>
      <c r="T12" s="935" t="s">
        <v>777</v>
      </c>
      <c r="U12" s="935"/>
      <c r="V12" s="935"/>
      <c r="W12" s="935"/>
      <c r="X12" s="935" t="s">
        <v>777</v>
      </c>
      <c r="Y12" s="935"/>
      <c r="Z12" s="1079"/>
      <c r="AA12" s="935"/>
      <c r="AB12" s="935"/>
      <c r="AC12" s="935"/>
      <c r="AD12" s="935"/>
      <c r="AE12" s="935"/>
      <c r="AF12" s="815"/>
      <c r="AG12" s="815"/>
      <c r="AH12" s="935"/>
      <c r="AI12" s="815"/>
      <c r="AJ12" s="815"/>
      <c r="AK12" s="1193" t="s">
        <v>777</v>
      </c>
      <c r="AL12" s="1079"/>
      <c r="AM12" s="935"/>
      <c r="AN12" s="935" t="s">
        <v>777</v>
      </c>
      <c r="AO12" s="935" t="s">
        <v>777</v>
      </c>
      <c r="AP12" s="935"/>
      <c r="AQ12" s="935"/>
      <c r="AR12" s="815"/>
      <c r="AS12" s="815"/>
      <c r="AT12" s="935"/>
      <c r="AU12" s="815"/>
      <c r="AV12" s="815"/>
      <c r="AW12" s="1193"/>
      <c r="AX12" s="1079"/>
      <c r="AY12" s="349"/>
    </row>
    <row r="13" spans="1:51" ht="105">
      <c r="A13" s="160">
        <v>6</v>
      </c>
      <c r="B13" s="350" t="s">
        <v>1101</v>
      </c>
      <c r="C13" s="930"/>
      <c r="D13" s="933"/>
      <c r="E13" s="933"/>
      <c r="F13" s="933"/>
      <c r="G13" s="933"/>
      <c r="H13" s="933"/>
      <c r="I13" s="933"/>
      <c r="J13" s="933"/>
      <c r="K13" s="933"/>
      <c r="L13" s="933" t="s">
        <v>777</v>
      </c>
      <c r="M13" s="933"/>
      <c r="N13" s="1078"/>
      <c r="O13" s="933"/>
      <c r="P13" s="933"/>
      <c r="Q13" s="933"/>
      <c r="R13" s="933"/>
      <c r="S13" s="933"/>
      <c r="T13" s="933"/>
      <c r="U13" s="933"/>
      <c r="V13" s="933"/>
      <c r="W13" s="933" t="s">
        <v>777</v>
      </c>
      <c r="X13" s="933"/>
      <c r="Y13" s="933"/>
      <c r="Z13" s="1078"/>
      <c r="AA13" s="933"/>
      <c r="AB13" s="933"/>
      <c r="AC13" s="933"/>
      <c r="AD13" s="933"/>
      <c r="AE13" s="933"/>
      <c r="AF13" s="1175" t="s">
        <v>777</v>
      </c>
      <c r="AG13" s="1175" t="s">
        <v>777</v>
      </c>
      <c r="AH13" s="933" t="s">
        <v>777</v>
      </c>
      <c r="AI13" s="426" t="s">
        <v>777</v>
      </c>
      <c r="AJ13" s="426" t="s">
        <v>777</v>
      </c>
      <c r="AK13" s="430"/>
      <c r="AL13" s="1078"/>
      <c r="AM13" s="933"/>
      <c r="AN13" s="933"/>
      <c r="AO13" s="933"/>
      <c r="AP13" s="933"/>
      <c r="AQ13" s="933"/>
      <c r="AR13" s="1175"/>
      <c r="AS13" s="1175"/>
      <c r="AT13" s="933"/>
      <c r="AU13" s="426"/>
      <c r="AV13" s="426"/>
      <c r="AW13" s="430"/>
      <c r="AX13" s="1078"/>
      <c r="AY13" s="348"/>
    </row>
    <row r="14" spans="1:51" ht="30">
      <c r="A14" s="160">
        <v>7</v>
      </c>
      <c r="B14" s="350" t="s">
        <v>1102</v>
      </c>
      <c r="C14" s="930" t="s">
        <v>777</v>
      </c>
      <c r="D14" s="933" t="s">
        <v>777</v>
      </c>
      <c r="E14" s="933"/>
      <c r="F14" s="933"/>
      <c r="G14" s="933" t="s">
        <v>777</v>
      </c>
      <c r="H14" s="933" t="s">
        <v>777</v>
      </c>
      <c r="I14" s="933" t="s">
        <v>777</v>
      </c>
      <c r="J14" s="933" t="s">
        <v>777</v>
      </c>
      <c r="K14" s="933" t="s">
        <v>777</v>
      </c>
      <c r="L14" s="933" t="s">
        <v>777</v>
      </c>
      <c r="M14" s="933"/>
      <c r="N14" s="1078"/>
      <c r="O14" s="933" t="s">
        <v>777</v>
      </c>
      <c r="P14" s="933" t="s">
        <v>777</v>
      </c>
      <c r="Q14" s="933" t="s">
        <v>777</v>
      </c>
      <c r="R14" s="933" t="s">
        <v>777</v>
      </c>
      <c r="S14" s="933" t="s">
        <v>777</v>
      </c>
      <c r="T14" s="933" t="s">
        <v>777</v>
      </c>
      <c r="U14" s="933" t="s">
        <v>777</v>
      </c>
      <c r="V14" s="933" t="s">
        <v>777</v>
      </c>
      <c r="W14" s="933" t="s">
        <v>777</v>
      </c>
      <c r="X14" s="933" t="s">
        <v>777</v>
      </c>
      <c r="Y14" s="933" t="s">
        <v>777</v>
      </c>
      <c r="Z14" s="1078" t="s">
        <v>777</v>
      </c>
      <c r="AA14" s="933" t="s">
        <v>777</v>
      </c>
      <c r="AB14" s="933" t="s">
        <v>777</v>
      </c>
      <c r="AC14" s="933" t="s">
        <v>777</v>
      </c>
      <c r="AD14" s="933" t="s">
        <v>777</v>
      </c>
      <c r="AE14" s="933" t="s">
        <v>777</v>
      </c>
      <c r="AF14" s="1175" t="s">
        <v>777</v>
      </c>
      <c r="AG14" s="1175"/>
      <c r="AH14" s="933" t="s">
        <v>777</v>
      </c>
      <c r="AI14" s="426" t="s">
        <v>777</v>
      </c>
      <c r="AJ14" s="426" t="s">
        <v>777</v>
      </c>
      <c r="AK14" s="430" t="s">
        <v>777</v>
      </c>
      <c r="AL14" s="1078" t="s">
        <v>777</v>
      </c>
      <c r="AM14" s="933" t="s">
        <v>777</v>
      </c>
      <c r="AN14" s="933" t="s">
        <v>777</v>
      </c>
      <c r="AO14" s="933" t="s">
        <v>777</v>
      </c>
      <c r="AP14" s="933"/>
      <c r="AQ14" s="933"/>
      <c r="AR14" s="1175"/>
      <c r="AS14" s="1175"/>
      <c r="AT14" s="933"/>
      <c r="AU14" s="426"/>
      <c r="AV14" s="426"/>
      <c r="AW14" s="430"/>
      <c r="AX14" s="1078"/>
      <c r="AY14" s="94"/>
    </row>
    <row r="15" spans="1:51" ht="45">
      <c r="A15" s="160">
        <v>8</v>
      </c>
      <c r="B15" s="350" t="s">
        <v>1103</v>
      </c>
      <c r="C15" s="930" t="s">
        <v>777</v>
      </c>
      <c r="D15" s="933" t="s">
        <v>777</v>
      </c>
      <c r="E15" s="933"/>
      <c r="F15" s="933"/>
      <c r="G15" s="933" t="s">
        <v>777</v>
      </c>
      <c r="H15" s="933" t="s">
        <v>777</v>
      </c>
      <c r="I15" s="933" t="s">
        <v>777</v>
      </c>
      <c r="J15" s="933" t="s">
        <v>777</v>
      </c>
      <c r="K15" s="933"/>
      <c r="L15" s="933" t="s">
        <v>777</v>
      </c>
      <c r="M15" s="933" t="s">
        <v>777</v>
      </c>
      <c r="N15" s="1078" t="s">
        <v>777</v>
      </c>
      <c r="O15" s="933" t="s">
        <v>777</v>
      </c>
      <c r="P15" s="933" t="s">
        <v>777</v>
      </c>
      <c r="Q15" s="933" t="s">
        <v>777</v>
      </c>
      <c r="R15" s="933" t="s">
        <v>777</v>
      </c>
      <c r="S15" s="933" t="s">
        <v>777</v>
      </c>
      <c r="T15" s="933" t="s">
        <v>777</v>
      </c>
      <c r="U15" s="933" t="s">
        <v>777</v>
      </c>
      <c r="V15" s="933" t="s">
        <v>777</v>
      </c>
      <c r="W15" s="933" t="s">
        <v>777</v>
      </c>
      <c r="X15" s="933" t="s">
        <v>777</v>
      </c>
      <c r="Y15" s="933" t="s">
        <v>777</v>
      </c>
      <c r="Z15" s="1078" t="s">
        <v>777</v>
      </c>
      <c r="AA15" s="933" t="s">
        <v>777</v>
      </c>
      <c r="AB15" s="933" t="s">
        <v>777</v>
      </c>
      <c r="AC15" s="933" t="s">
        <v>777</v>
      </c>
      <c r="AD15" s="933" t="s">
        <v>777</v>
      </c>
      <c r="AE15" s="933" t="s">
        <v>777</v>
      </c>
      <c r="AF15" s="1175" t="s">
        <v>777</v>
      </c>
      <c r="AG15" s="1175" t="s">
        <v>777</v>
      </c>
      <c r="AH15" s="933" t="s">
        <v>777</v>
      </c>
      <c r="AI15" s="426" t="s">
        <v>777</v>
      </c>
      <c r="AJ15" s="426" t="s">
        <v>777</v>
      </c>
      <c r="AK15" s="430" t="s">
        <v>777</v>
      </c>
      <c r="AL15" s="1078" t="s">
        <v>777</v>
      </c>
      <c r="AM15" s="933" t="s">
        <v>777</v>
      </c>
      <c r="AN15" s="933" t="s">
        <v>777</v>
      </c>
      <c r="AO15" s="933" t="s">
        <v>777</v>
      </c>
      <c r="AP15" s="933"/>
      <c r="AQ15" s="933"/>
      <c r="AR15" s="1175"/>
      <c r="AS15" s="1175"/>
      <c r="AT15" s="933"/>
      <c r="AU15" s="426"/>
      <c r="AV15" s="426"/>
      <c r="AW15" s="430"/>
      <c r="AX15" s="1078"/>
      <c r="AY15" s="94"/>
    </row>
    <row r="16" spans="1:51" ht="60">
      <c r="A16" s="160">
        <v>9</v>
      </c>
      <c r="B16" s="350" t="s">
        <v>1104</v>
      </c>
      <c r="C16" s="930"/>
      <c r="D16" s="933" t="s">
        <v>777</v>
      </c>
      <c r="E16" s="933" t="s">
        <v>777</v>
      </c>
      <c r="F16" s="933"/>
      <c r="G16" s="933"/>
      <c r="H16" s="933"/>
      <c r="I16" s="933"/>
      <c r="J16" s="933"/>
      <c r="K16" s="933"/>
      <c r="L16" s="933"/>
      <c r="M16" s="933"/>
      <c r="N16" s="1078"/>
      <c r="O16" s="933"/>
      <c r="P16" s="933" t="s">
        <v>777</v>
      </c>
      <c r="Q16" s="933"/>
      <c r="R16" s="933" t="s">
        <v>777</v>
      </c>
      <c r="S16" s="933"/>
      <c r="T16" s="933" t="s">
        <v>777</v>
      </c>
      <c r="U16" s="933" t="s">
        <v>777</v>
      </c>
      <c r="V16" s="933"/>
      <c r="W16" s="933" t="s">
        <v>777</v>
      </c>
      <c r="X16" s="933" t="s">
        <v>777</v>
      </c>
      <c r="Y16" s="933" t="s">
        <v>777</v>
      </c>
      <c r="Z16" s="1078" t="s">
        <v>777</v>
      </c>
      <c r="AA16" s="933"/>
      <c r="AB16" s="933" t="s">
        <v>777</v>
      </c>
      <c r="AC16" s="933" t="s">
        <v>777</v>
      </c>
      <c r="AD16" s="933" t="s">
        <v>777</v>
      </c>
      <c r="AE16" s="933" t="s">
        <v>777</v>
      </c>
      <c r="AF16" s="1175"/>
      <c r="AG16" s="1175"/>
      <c r="AH16" s="933" t="s">
        <v>777</v>
      </c>
      <c r="AI16" s="426" t="s">
        <v>777</v>
      </c>
      <c r="AJ16" s="426" t="s">
        <v>777</v>
      </c>
      <c r="AK16" s="430"/>
      <c r="AL16" s="1078"/>
      <c r="AM16" s="933"/>
      <c r="AN16" s="933" t="s">
        <v>777</v>
      </c>
      <c r="AO16" s="933" t="s">
        <v>777</v>
      </c>
      <c r="AP16" s="933"/>
      <c r="AQ16" s="933"/>
      <c r="AR16" s="1175"/>
      <c r="AS16" s="1175"/>
      <c r="AT16" s="933"/>
      <c r="AU16" s="426"/>
      <c r="AV16" s="426"/>
      <c r="AW16" s="430"/>
      <c r="AX16" s="1078"/>
      <c r="AY16" s="94"/>
    </row>
    <row r="17" spans="1:51" ht="30">
      <c r="A17" s="160">
        <v>10</v>
      </c>
      <c r="B17" s="350" t="s">
        <v>1105</v>
      </c>
      <c r="C17" s="930"/>
      <c r="D17" s="933"/>
      <c r="E17" s="933"/>
      <c r="F17" s="933"/>
      <c r="G17" s="933" t="s">
        <v>777</v>
      </c>
      <c r="H17" s="933"/>
      <c r="I17" s="933" t="s">
        <v>777</v>
      </c>
      <c r="J17" s="933"/>
      <c r="K17" s="933" t="s">
        <v>777</v>
      </c>
      <c r="L17" s="933" t="s">
        <v>777</v>
      </c>
      <c r="M17" s="933"/>
      <c r="N17" s="1078"/>
      <c r="O17" s="933"/>
      <c r="P17" s="933"/>
      <c r="Q17" s="933"/>
      <c r="R17" s="933"/>
      <c r="S17" s="933"/>
      <c r="T17" s="933"/>
      <c r="U17" s="933"/>
      <c r="V17" s="933"/>
      <c r="W17" s="933" t="s">
        <v>777</v>
      </c>
      <c r="X17" s="933" t="s">
        <v>777</v>
      </c>
      <c r="Y17" s="933" t="s">
        <v>777</v>
      </c>
      <c r="Z17" s="1078"/>
      <c r="AA17" s="933"/>
      <c r="AB17" s="933"/>
      <c r="AC17" s="933"/>
      <c r="AD17" s="933"/>
      <c r="AE17" s="933" t="s">
        <v>777</v>
      </c>
      <c r="AF17" s="1175"/>
      <c r="AG17" s="1175"/>
      <c r="AH17" s="933"/>
      <c r="AI17" s="426"/>
      <c r="AJ17" s="426"/>
      <c r="AK17" s="430"/>
      <c r="AL17" s="1078"/>
      <c r="AM17" s="933"/>
      <c r="AN17" s="933"/>
      <c r="AO17" s="933"/>
      <c r="AP17" s="933"/>
      <c r="AQ17" s="933"/>
      <c r="AR17" s="1175"/>
      <c r="AS17" s="1175"/>
      <c r="AT17" s="933"/>
      <c r="AU17" s="426"/>
      <c r="AV17" s="426"/>
      <c r="AW17" s="430"/>
      <c r="AX17" s="1078"/>
      <c r="AY17" s="348"/>
    </row>
    <row r="18" spans="1:51" ht="30">
      <c r="A18" s="160">
        <v>11</v>
      </c>
      <c r="B18" s="350" t="s">
        <v>1106</v>
      </c>
      <c r="C18" s="930" t="s">
        <v>777</v>
      </c>
      <c r="D18" s="933" t="s">
        <v>777</v>
      </c>
      <c r="E18" s="933"/>
      <c r="F18" s="933"/>
      <c r="G18" s="933"/>
      <c r="H18" s="933"/>
      <c r="I18" s="933"/>
      <c r="J18" s="933"/>
      <c r="K18" s="933"/>
      <c r="L18" s="933" t="s">
        <v>777</v>
      </c>
      <c r="M18" s="933" t="s">
        <v>777</v>
      </c>
      <c r="N18" s="1078" t="s">
        <v>777</v>
      </c>
      <c r="O18" s="933" t="s">
        <v>777</v>
      </c>
      <c r="P18" s="933" t="s">
        <v>777</v>
      </c>
      <c r="Q18" s="933" t="s">
        <v>777</v>
      </c>
      <c r="R18" s="933" t="s">
        <v>777</v>
      </c>
      <c r="S18" s="933" t="s">
        <v>777</v>
      </c>
      <c r="T18" s="933" t="s">
        <v>777</v>
      </c>
      <c r="U18" s="933" t="s">
        <v>777</v>
      </c>
      <c r="V18" s="933" t="s">
        <v>777</v>
      </c>
      <c r="W18" s="933" t="s">
        <v>777</v>
      </c>
      <c r="X18" s="933" t="s">
        <v>777</v>
      </c>
      <c r="Y18" s="933" t="s">
        <v>777</v>
      </c>
      <c r="Z18" s="1078" t="s">
        <v>777</v>
      </c>
      <c r="AA18" s="933" t="s">
        <v>777</v>
      </c>
      <c r="AB18" s="933" t="s">
        <v>777</v>
      </c>
      <c r="AC18" s="933" t="s">
        <v>777</v>
      </c>
      <c r="AD18" s="933" t="s">
        <v>777</v>
      </c>
      <c r="AE18" s="933" t="s">
        <v>777</v>
      </c>
      <c r="AF18" s="1175" t="s">
        <v>777</v>
      </c>
      <c r="AG18" s="1175" t="s">
        <v>777</v>
      </c>
      <c r="AH18" s="933" t="s">
        <v>777</v>
      </c>
      <c r="AI18" s="426" t="s">
        <v>777</v>
      </c>
      <c r="AJ18" s="426" t="s">
        <v>777</v>
      </c>
      <c r="AK18" s="430" t="s">
        <v>777</v>
      </c>
      <c r="AL18" s="1078" t="s">
        <v>777</v>
      </c>
      <c r="AM18" s="933"/>
      <c r="AN18" s="933" t="s">
        <v>777</v>
      </c>
      <c r="AO18" s="933" t="s">
        <v>777</v>
      </c>
      <c r="AP18" s="933"/>
      <c r="AQ18" s="933"/>
      <c r="AR18" s="1175"/>
      <c r="AS18" s="1175"/>
      <c r="AT18" s="933"/>
      <c r="AU18" s="426"/>
      <c r="AV18" s="426"/>
      <c r="AW18" s="430"/>
      <c r="AX18" s="1078"/>
      <c r="AY18" s="94"/>
    </row>
    <row r="19" spans="1:51" ht="45">
      <c r="A19" s="160">
        <v>12</v>
      </c>
      <c r="B19" s="350" t="s">
        <v>1107</v>
      </c>
      <c r="C19" s="930"/>
      <c r="D19" s="933" t="s">
        <v>777</v>
      </c>
      <c r="E19" s="933"/>
      <c r="F19" s="933"/>
      <c r="G19" s="933" t="s">
        <v>777</v>
      </c>
      <c r="H19" s="933" t="s">
        <v>777</v>
      </c>
      <c r="I19" s="933" t="s">
        <v>777</v>
      </c>
      <c r="J19" s="933"/>
      <c r="K19" s="933" t="s">
        <v>777</v>
      </c>
      <c r="L19" s="933" t="s">
        <v>777</v>
      </c>
      <c r="M19" s="933"/>
      <c r="N19" s="1078"/>
      <c r="O19" s="933"/>
      <c r="P19" s="933"/>
      <c r="Q19" s="933"/>
      <c r="R19" s="933"/>
      <c r="S19" s="933"/>
      <c r="T19" s="933"/>
      <c r="U19" s="933"/>
      <c r="V19" s="933" t="s">
        <v>777</v>
      </c>
      <c r="W19" s="933"/>
      <c r="X19" s="933"/>
      <c r="Y19" s="933"/>
      <c r="Z19" s="1078"/>
      <c r="AA19" s="933"/>
      <c r="AB19" s="933"/>
      <c r="AC19" s="933"/>
      <c r="AD19" s="933" t="s">
        <v>777</v>
      </c>
      <c r="AE19" s="933"/>
      <c r="AF19" s="1175" t="s">
        <v>777</v>
      </c>
      <c r="AG19" s="1175" t="s">
        <v>777</v>
      </c>
      <c r="AH19" s="933"/>
      <c r="AI19" s="426"/>
      <c r="AJ19" s="426"/>
      <c r="AK19" s="430"/>
      <c r="AL19" s="1078"/>
      <c r="AM19" s="933" t="s">
        <v>777</v>
      </c>
      <c r="AN19" s="933" t="s">
        <v>777</v>
      </c>
      <c r="AO19" s="933"/>
      <c r="AP19" s="933"/>
      <c r="AQ19" s="933"/>
      <c r="AR19" s="1175"/>
      <c r="AS19" s="1175"/>
      <c r="AT19" s="933"/>
      <c r="AU19" s="426"/>
      <c r="AV19" s="426"/>
      <c r="AW19" s="430"/>
      <c r="AX19" s="1078"/>
      <c r="AY19" s="94"/>
    </row>
    <row r="20" spans="1:51" ht="60">
      <c r="A20" s="160">
        <v>13</v>
      </c>
      <c r="B20" s="350" t="s">
        <v>1108</v>
      </c>
      <c r="C20" s="930"/>
      <c r="D20" s="933" t="s">
        <v>777</v>
      </c>
      <c r="E20" s="933"/>
      <c r="F20" s="933" t="s">
        <v>777</v>
      </c>
      <c r="G20" s="933" t="s">
        <v>777</v>
      </c>
      <c r="H20" s="933"/>
      <c r="I20" s="933"/>
      <c r="J20" s="933" t="s">
        <v>777</v>
      </c>
      <c r="K20" s="933" t="s">
        <v>777</v>
      </c>
      <c r="L20" s="933" t="s">
        <v>777</v>
      </c>
      <c r="M20" s="933" t="s">
        <v>777</v>
      </c>
      <c r="N20" s="1078" t="s">
        <v>777</v>
      </c>
      <c r="O20" s="933"/>
      <c r="P20" s="933"/>
      <c r="Q20" s="933" t="s">
        <v>777</v>
      </c>
      <c r="R20" s="933" t="s">
        <v>777</v>
      </c>
      <c r="S20" s="933" t="s">
        <v>777</v>
      </c>
      <c r="T20" s="933" t="s">
        <v>777</v>
      </c>
      <c r="U20" s="933"/>
      <c r="V20" s="933" t="s">
        <v>777</v>
      </c>
      <c r="W20" s="933" t="s">
        <v>777</v>
      </c>
      <c r="X20" s="933" t="s">
        <v>777</v>
      </c>
      <c r="Y20" s="933" t="s">
        <v>777</v>
      </c>
      <c r="Z20" s="1078" t="s">
        <v>777</v>
      </c>
      <c r="AA20" s="933" t="s">
        <v>777</v>
      </c>
      <c r="AB20" s="933" t="s">
        <v>777</v>
      </c>
      <c r="AC20" s="933" t="s">
        <v>777</v>
      </c>
      <c r="AD20" s="933" t="s">
        <v>777</v>
      </c>
      <c r="AE20" s="933" t="s">
        <v>777</v>
      </c>
      <c r="AF20" s="1175" t="s">
        <v>777</v>
      </c>
      <c r="AG20" s="1175" t="s">
        <v>777</v>
      </c>
      <c r="AH20" s="933" t="s">
        <v>777</v>
      </c>
      <c r="AI20" s="426" t="s">
        <v>777</v>
      </c>
      <c r="AJ20" s="426" t="s">
        <v>777</v>
      </c>
      <c r="AK20" s="430" t="s">
        <v>777</v>
      </c>
      <c r="AL20" s="1078" t="s">
        <v>777</v>
      </c>
      <c r="AM20" s="933" t="s">
        <v>777</v>
      </c>
      <c r="AN20" s="933" t="s">
        <v>777</v>
      </c>
      <c r="AO20" s="933" t="s">
        <v>777</v>
      </c>
      <c r="AP20" s="933"/>
      <c r="AQ20" s="933"/>
      <c r="AR20" s="1175"/>
      <c r="AS20" s="1175"/>
      <c r="AT20" s="933"/>
      <c r="AU20" s="426"/>
      <c r="AV20" s="426"/>
      <c r="AW20" s="430"/>
      <c r="AX20" s="1078"/>
      <c r="AY20" s="94"/>
    </row>
    <row r="21" spans="1:51" ht="30">
      <c r="A21" s="160">
        <v>14</v>
      </c>
      <c r="B21" s="350" t="s">
        <v>1109</v>
      </c>
      <c r="C21" s="930"/>
      <c r="D21" s="933"/>
      <c r="E21" s="933"/>
      <c r="F21" s="933"/>
      <c r="G21" s="933"/>
      <c r="H21" s="933"/>
      <c r="I21" s="933"/>
      <c r="J21" s="933"/>
      <c r="K21" s="933"/>
      <c r="L21" s="933"/>
      <c r="M21" s="933"/>
      <c r="N21" s="1078"/>
      <c r="O21" s="933" t="s">
        <v>777</v>
      </c>
      <c r="P21" s="933"/>
      <c r="Q21" s="933"/>
      <c r="R21" s="933"/>
      <c r="S21" s="933"/>
      <c r="T21" s="933"/>
      <c r="U21" s="933"/>
      <c r="V21" s="933"/>
      <c r="W21" s="933"/>
      <c r="X21" s="933"/>
      <c r="Y21" s="933"/>
      <c r="Z21" s="1078"/>
      <c r="AA21" s="933"/>
      <c r="AB21" s="933"/>
      <c r="AC21" s="933"/>
      <c r="AD21" s="933"/>
      <c r="AE21" s="933" t="s">
        <v>777</v>
      </c>
      <c r="AF21" s="1175"/>
      <c r="AG21" s="1175"/>
      <c r="AH21" s="933"/>
      <c r="AI21" s="426"/>
      <c r="AJ21" s="426"/>
      <c r="AK21" s="430"/>
      <c r="AL21" s="1078"/>
      <c r="AM21" s="933"/>
      <c r="AN21" s="933"/>
      <c r="AO21" s="933"/>
      <c r="AP21" s="933"/>
      <c r="AQ21" s="933"/>
      <c r="AR21" s="1175"/>
      <c r="AS21" s="1175"/>
      <c r="AT21" s="933"/>
      <c r="AU21" s="426"/>
      <c r="AV21" s="426"/>
      <c r="AW21" s="430"/>
      <c r="AX21" s="1078"/>
      <c r="AY21" s="352" t="s">
        <v>1110</v>
      </c>
    </row>
    <row r="22" spans="1:51" ht="60">
      <c r="A22" s="160">
        <v>15</v>
      </c>
      <c r="B22" s="350" t="s">
        <v>1111</v>
      </c>
      <c r="C22" s="930" t="s">
        <v>777</v>
      </c>
      <c r="D22" s="933" t="s">
        <v>777</v>
      </c>
      <c r="E22" s="933"/>
      <c r="F22" s="933" t="s">
        <v>777</v>
      </c>
      <c r="G22" s="933" t="s">
        <v>777</v>
      </c>
      <c r="H22" s="933" t="s">
        <v>777</v>
      </c>
      <c r="I22" s="933" t="s">
        <v>777</v>
      </c>
      <c r="J22" s="933" t="s">
        <v>777</v>
      </c>
      <c r="K22" s="933"/>
      <c r="L22" s="933" t="s">
        <v>777</v>
      </c>
      <c r="M22" s="933" t="s">
        <v>777</v>
      </c>
      <c r="N22" s="1078" t="s">
        <v>777</v>
      </c>
      <c r="O22" s="933" t="s">
        <v>777</v>
      </c>
      <c r="P22" s="933" t="s">
        <v>777</v>
      </c>
      <c r="Q22" s="933" t="s">
        <v>777</v>
      </c>
      <c r="R22" s="933" t="s">
        <v>777</v>
      </c>
      <c r="S22" s="933" t="s">
        <v>777</v>
      </c>
      <c r="T22" s="933" t="s">
        <v>777</v>
      </c>
      <c r="U22" s="933" t="s">
        <v>777</v>
      </c>
      <c r="V22" s="933" t="s">
        <v>777</v>
      </c>
      <c r="W22" s="933" t="s">
        <v>777</v>
      </c>
      <c r="X22" s="933" t="s">
        <v>777</v>
      </c>
      <c r="Y22" s="933" t="s">
        <v>777</v>
      </c>
      <c r="Z22" s="1078" t="s">
        <v>777</v>
      </c>
      <c r="AA22" s="933" t="s">
        <v>777</v>
      </c>
      <c r="AB22" s="933" t="s">
        <v>777</v>
      </c>
      <c r="AC22" s="933" t="s">
        <v>777</v>
      </c>
      <c r="AD22" s="933" t="s">
        <v>777</v>
      </c>
      <c r="AE22" s="933" t="s">
        <v>777</v>
      </c>
      <c r="AF22" s="1175" t="s">
        <v>777</v>
      </c>
      <c r="AG22" s="1175" t="s">
        <v>777</v>
      </c>
      <c r="AH22" s="933" t="s">
        <v>777</v>
      </c>
      <c r="AI22" s="426" t="s">
        <v>777</v>
      </c>
      <c r="AJ22" s="426" t="s">
        <v>777</v>
      </c>
      <c r="AK22" s="430" t="s">
        <v>777</v>
      </c>
      <c r="AL22" s="1078" t="s">
        <v>777</v>
      </c>
      <c r="AM22" s="933" t="s">
        <v>777</v>
      </c>
      <c r="AN22" s="933" t="s">
        <v>777</v>
      </c>
      <c r="AO22" s="933" t="s">
        <v>777</v>
      </c>
      <c r="AP22" s="933"/>
      <c r="AQ22" s="933"/>
      <c r="AR22" s="1175"/>
      <c r="AS22" s="1175"/>
      <c r="AT22" s="933"/>
      <c r="AU22" s="426"/>
      <c r="AV22" s="426"/>
      <c r="AW22" s="430"/>
      <c r="AX22" s="1078"/>
      <c r="AY22" s="348"/>
    </row>
    <row r="23" spans="1:51" ht="45">
      <c r="A23" s="160">
        <v>16</v>
      </c>
      <c r="B23" s="350" t="s">
        <v>1112</v>
      </c>
      <c r="C23" s="930"/>
      <c r="D23" s="933"/>
      <c r="E23" s="933"/>
      <c r="F23" s="933"/>
      <c r="G23" s="933"/>
      <c r="H23" s="933"/>
      <c r="I23" s="933"/>
      <c r="J23" s="933"/>
      <c r="K23" s="933"/>
      <c r="L23" s="933"/>
      <c r="M23" s="933" t="s">
        <v>777</v>
      </c>
      <c r="N23" s="1078"/>
      <c r="O23" s="933"/>
      <c r="P23" s="933"/>
      <c r="Q23" s="933"/>
      <c r="R23" s="933"/>
      <c r="S23" s="933"/>
      <c r="T23" s="933"/>
      <c r="U23" s="933"/>
      <c r="V23" s="933"/>
      <c r="W23" s="933"/>
      <c r="X23" s="933"/>
      <c r="Y23" s="933"/>
      <c r="Z23" s="1078"/>
      <c r="AA23" s="933"/>
      <c r="AB23" s="933"/>
      <c r="AC23" s="933"/>
      <c r="AD23" s="933"/>
      <c r="AE23" s="933"/>
      <c r="AF23" s="1175"/>
      <c r="AG23" s="1175"/>
      <c r="AH23" s="933"/>
      <c r="AI23" s="426"/>
      <c r="AJ23" s="426"/>
      <c r="AK23" s="430"/>
      <c r="AL23" s="1078"/>
      <c r="AM23" s="933"/>
      <c r="AN23" s="933"/>
      <c r="AO23" s="933"/>
      <c r="AP23" s="933"/>
      <c r="AQ23" s="933"/>
      <c r="AR23" s="1175"/>
      <c r="AS23" s="1175"/>
      <c r="AT23" s="933"/>
      <c r="AU23" s="426"/>
      <c r="AV23" s="426"/>
      <c r="AW23" s="430"/>
      <c r="AX23" s="1078"/>
      <c r="AY23" s="352" t="s">
        <v>1110</v>
      </c>
    </row>
    <row r="24" spans="1:51" ht="30">
      <c r="A24" s="160">
        <v>17</v>
      </c>
      <c r="B24" s="350" t="s">
        <v>1113</v>
      </c>
      <c r="C24" s="930"/>
      <c r="D24" s="933"/>
      <c r="E24" s="933"/>
      <c r="F24" s="933"/>
      <c r="G24" s="933"/>
      <c r="H24" s="933"/>
      <c r="I24" s="933"/>
      <c r="J24" s="933"/>
      <c r="K24" s="933" t="s">
        <v>777</v>
      </c>
      <c r="L24" s="933" t="s">
        <v>777</v>
      </c>
      <c r="M24" s="933"/>
      <c r="N24" s="1078"/>
      <c r="O24" s="933"/>
      <c r="P24" s="933"/>
      <c r="Q24" s="933"/>
      <c r="R24" s="933"/>
      <c r="S24" s="933"/>
      <c r="T24" s="933"/>
      <c r="U24" s="933"/>
      <c r="V24" s="933"/>
      <c r="W24" s="933"/>
      <c r="X24" s="933"/>
      <c r="Y24" s="933"/>
      <c r="Z24" s="1078"/>
      <c r="AA24" s="933"/>
      <c r="AB24" s="933"/>
      <c r="AC24" s="933"/>
      <c r="AD24" s="933"/>
      <c r="AE24" s="933"/>
      <c r="AF24" s="1175"/>
      <c r="AG24" s="1175"/>
      <c r="AH24" s="933"/>
      <c r="AI24" s="426"/>
      <c r="AJ24" s="426"/>
      <c r="AK24" s="430"/>
      <c r="AL24" s="1078"/>
      <c r="AM24" s="933"/>
      <c r="AN24" s="933"/>
      <c r="AO24" s="933"/>
      <c r="AP24" s="933"/>
      <c r="AQ24" s="933"/>
      <c r="AR24" s="1175"/>
      <c r="AS24" s="1175"/>
      <c r="AT24" s="933"/>
      <c r="AU24" s="426"/>
      <c r="AV24" s="426"/>
      <c r="AW24" s="430"/>
      <c r="AX24" s="1078"/>
      <c r="AY24" s="352" t="s">
        <v>1110</v>
      </c>
    </row>
    <row r="25" spans="1:51" ht="30">
      <c r="A25" s="160">
        <v>18</v>
      </c>
      <c r="B25" s="350" t="s">
        <v>1114</v>
      </c>
      <c r="C25" s="930"/>
      <c r="D25" s="933"/>
      <c r="E25" s="933"/>
      <c r="F25" s="933"/>
      <c r="G25" s="933"/>
      <c r="H25" s="933"/>
      <c r="I25" s="933"/>
      <c r="J25" s="933"/>
      <c r="K25" s="933"/>
      <c r="L25" s="933"/>
      <c r="M25" s="933"/>
      <c r="N25" s="1078"/>
      <c r="O25" s="933"/>
      <c r="P25" s="933"/>
      <c r="Q25" s="933"/>
      <c r="R25" s="933"/>
      <c r="S25" s="933"/>
      <c r="T25" s="933"/>
      <c r="U25" s="933"/>
      <c r="V25" s="933"/>
      <c r="W25" s="933"/>
      <c r="X25" s="933"/>
      <c r="Y25" s="933"/>
      <c r="Z25" s="1078"/>
      <c r="AA25" s="933"/>
      <c r="AB25" s="933"/>
      <c r="AC25" s="933"/>
      <c r="AD25" s="933"/>
      <c r="AE25" s="933"/>
      <c r="AF25" s="1175"/>
      <c r="AG25" s="1175"/>
      <c r="AH25" s="933"/>
      <c r="AI25" s="426"/>
      <c r="AJ25" s="426"/>
      <c r="AK25" s="430"/>
      <c r="AL25" s="1078"/>
      <c r="AM25" s="933"/>
      <c r="AN25" s="933"/>
      <c r="AO25" s="933"/>
      <c r="AP25" s="933"/>
      <c r="AQ25" s="933"/>
      <c r="AR25" s="1175"/>
      <c r="AS25" s="1175"/>
      <c r="AT25" s="933"/>
      <c r="AU25" s="426"/>
      <c r="AV25" s="426"/>
      <c r="AW25" s="430"/>
      <c r="AX25" s="1078"/>
      <c r="AY25" s="352"/>
    </row>
    <row r="26" spans="1:51" ht="30">
      <c r="A26" s="159">
        <v>19</v>
      </c>
      <c r="B26" s="351" t="s">
        <v>1115</v>
      </c>
      <c r="C26" s="1132"/>
      <c r="D26" s="932"/>
      <c r="E26" s="932"/>
      <c r="F26" s="932"/>
      <c r="G26" s="932" t="s">
        <v>777</v>
      </c>
      <c r="H26" s="932" t="s">
        <v>777</v>
      </c>
      <c r="I26" s="932"/>
      <c r="J26" s="932"/>
      <c r="K26" s="932" t="s">
        <v>777</v>
      </c>
      <c r="L26" s="932" t="s">
        <v>777</v>
      </c>
      <c r="M26" s="932"/>
      <c r="N26" s="1081"/>
      <c r="O26" s="932"/>
      <c r="P26" s="932"/>
      <c r="Q26" s="932"/>
      <c r="R26" s="932" t="s">
        <v>777</v>
      </c>
      <c r="S26" s="932" t="s">
        <v>777</v>
      </c>
      <c r="T26" s="932"/>
      <c r="U26" s="932"/>
      <c r="V26" s="932"/>
      <c r="W26" s="932" t="s">
        <v>777</v>
      </c>
      <c r="X26" s="932" t="s">
        <v>777</v>
      </c>
      <c r="Y26" s="932"/>
      <c r="Z26" s="1081"/>
      <c r="AA26" s="932"/>
      <c r="AB26" s="932"/>
      <c r="AC26" s="932"/>
      <c r="AD26" s="932"/>
      <c r="AE26" s="932" t="s">
        <v>777</v>
      </c>
      <c r="AF26" s="426"/>
      <c r="AG26" s="426"/>
      <c r="AH26" s="932"/>
      <c r="AI26" s="426"/>
      <c r="AJ26" s="426" t="s">
        <v>777</v>
      </c>
      <c r="AK26" s="1179"/>
      <c r="AL26" s="1081"/>
      <c r="AM26" s="932"/>
      <c r="AN26" s="932"/>
      <c r="AO26" s="932"/>
      <c r="AP26" s="932"/>
      <c r="AQ26" s="932"/>
      <c r="AR26" s="426"/>
      <c r="AS26" s="426"/>
      <c r="AT26" s="932"/>
      <c r="AU26" s="426"/>
      <c r="AV26" s="426"/>
      <c r="AW26" s="1179"/>
      <c r="AX26" s="1081"/>
      <c r="AY26" s="94"/>
    </row>
    <row r="27" spans="1:51" ht="45">
      <c r="A27" s="160">
        <v>20</v>
      </c>
      <c r="B27" s="350" t="s">
        <v>1116</v>
      </c>
      <c r="C27" s="931" t="s">
        <v>777</v>
      </c>
      <c r="D27" s="934" t="s">
        <v>777</v>
      </c>
      <c r="E27" s="934"/>
      <c r="F27" s="934"/>
      <c r="G27" s="934"/>
      <c r="H27" s="934"/>
      <c r="I27" s="934"/>
      <c r="J27" s="934"/>
      <c r="K27" s="934"/>
      <c r="L27" s="934" t="s">
        <v>777</v>
      </c>
      <c r="M27" s="934" t="s">
        <v>777</v>
      </c>
      <c r="N27" s="1080" t="s">
        <v>777</v>
      </c>
      <c r="O27" s="934"/>
      <c r="P27" s="934"/>
      <c r="Q27" s="934"/>
      <c r="R27" s="934"/>
      <c r="S27" s="934"/>
      <c r="T27" s="934"/>
      <c r="U27" s="934"/>
      <c r="V27" s="934"/>
      <c r="W27" s="934"/>
      <c r="X27" s="934" t="s">
        <v>777</v>
      </c>
      <c r="Y27" s="934"/>
      <c r="Z27" s="1080"/>
      <c r="AA27" s="934"/>
      <c r="AB27" s="934"/>
      <c r="AC27" s="934"/>
      <c r="AD27" s="934"/>
      <c r="AE27" s="934"/>
      <c r="AF27" s="871" t="s">
        <v>777</v>
      </c>
      <c r="AG27" s="871" t="s">
        <v>777</v>
      </c>
      <c r="AH27" s="934" t="s">
        <v>777</v>
      </c>
      <c r="AI27" s="815" t="s">
        <v>777</v>
      </c>
      <c r="AJ27" s="815" t="s">
        <v>777</v>
      </c>
      <c r="AK27" s="1180" t="s">
        <v>777</v>
      </c>
      <c r="AL27" s="1080" t="s">
        <v>777</v>
      </c>
      <c r="AM27" s="934"/>
      <c r="AN27" s="934"/>
      <c r="AO27" s="934"/>
      <c r="AP27" s="934"/>
      <c r="AQ27" s="934"/>
      <c r="AR27" s="871"/>
      <c r="AS27" s="871"/>
      <c r="AT27" s="934"/>
      <c r="AU27" s="815"/>
      <c r="AV27" s="815"/>
      <c r="AW27" s="1180"/>
      <c r="AX27" s="1080"/>
      <c r="AY27" s="94"/>
    </row>
    <row r="28" spans="1:51" ht="60">
      <c r="A28" s="160">
        <v>21</v>
      </c>
      <c r="B28" s="350" t="s">
        <v>1117</v>
      </c>
      <c r="C28" s="930"/>
      <c r="D28" s="933"/>
      <c r="E28" s="933"/>
      <c r="F28" s="933" t="s">
        <v>777</v>
      </c>
      <c r="G28" s="933" t="s">
        <v>777</v>
      </c>
      <c r="H28" s="933" t="s">
        <v>777</v>
      </c>
      <c r="I28" s="933"/>
      <c r="J28" s="933"/>
      <c r="K28" s="933"/>
      <c r="L28" s="933" t="s">
        <v>777</v>
      </c>
      <c r="M28" s="933"/>
      <c r="N28" s="1078"/>
      <c r="O28" s="933"/>
      <c r="P28" s="933"/>
      <c r="Q28" s="933"/>
      <c r="R28" s="933"/>
      <c r="S28" s="933"/>
      <c r="T28" s="933"/>
      <c r="U28" s="933" t="s">
        <v>777</v>
      </c>
      <c r="V28" s="933"/>
      <c r="W28" s="933"/>
      <c r="X28" s="933" t="s">
        <v>777</v>
      </c>
      <c r="Y28" s="933" t="s">
        <v>777</v>
      </c>
      <c r="Z28" s="1078" t="s">
        <v>777</v>
      </c>
      <c r="AA28" s="933" t="s">
        <v>777</v>
      </c>
      <c r="AB28" s="933" t="s">
        <v>777</v>
      </c>
      <c r="AC28" s="933" t="s">
        <v>777</v>
      </c>
      <c r="AD28" s="933"/>
      <c r="AE28" s="933" t="s">
        <v>777</v>
      </c>
      <c r="AF28" s="1175" t="s">
        <v>777</v>
      </c>
      <c r="AG28" s="1175" t="s">
        <v>777</v>
      </c>
      <c r="AH28" s="933" t="s">
        <v>777</v>
      </c>
      <c r="AI28" s="426" t="s">
        <v>777</v>
      </c>
      <c r="AJ28" s="426" t="s">
        <v>777</v>
      </c>
      <c r="AK28" s="430" t="s">
        <v>777</v>
      </c>
      <c r="AL28" s="1078" t="s">
        <v>777</v>
      </c>
      <c r="AM28" s="933" t="s">
        <v>777</v>
      </c>
      <c r="AN28" s="933" t="s">
        <v>777</v>
      </c>
      <c r="AO28" s="933" t="s">
        <v>777</v>
      </c>
      <c r="AP28" s="933"/>
      <c r="AQ28" s="933"/>
      <c r="AR28" s="1175"/>
      <c r="AS28" s="1175"/>
      <c r="AT28" s="933"/>
      <c r="AU28" s="426"/>
      <c r="AV28" s="426"/>
      <c r="AW28" s="430"/>
      <c r="AX28" s="1078"/>
      <c r="AY28" s="352" t="s">
        <v>1110</v>
      </c>
    </row>
    <row r="29" spans="1:51" ht="45">
      <c r="A29" s="159">
        <v>22</v>
      </c>
      <c r="B29" s="408" t="s">
        <v>1118</v>
      </c>
      <c r="C29" s="1642"/>
      <c r="D29" s="1133"/>
      <c r="E29" s="1133"/>
      <c r="F29" s="1133"/>
      <c r="G29" s="1133"/>
      <c r="H29" s="1133"/>
      <c r="I29" s="1133"/>
      <c r="J29" s="1133"/>
      <c r="K29" s="1133"/>
      <c r="L29" s="1133"/>
      <c r="M29" s="1133"/>
      <c r="N29" s="1194"/>
      <c r="O29" s="1133"/>
      <c r="P29" s="1133"/>
      <c r="Q29" s="1133"/>
      <c r="R29" s="1133"/>
      <c r="S29" s="1133"/>
      <c r="T29" s="1133"/>
      <c r="U29" s="1133" t="s">
        <v>777</v>
      </c>
      <c r="V29" s="1133" t="s">
        <v>777</v>
      </c>
      <c r="W29" s="1133"/>
      <c r="X29" s="1133"/>
      <c r="Y29" s="1133"/>
      <c r="Z29" s="1194"/>
      <c r="AA29" s="1133"/>
      <c r="AB29" s="1133"/>
      <c r="AC29" s="1133"/>
      <c r="AD29" s="1133" t="s">
        <v>777</v>
      </c>
      <c r="AE29" s="1133"/>
      <c r="AF29" s="1178"/>
      <c r="AG29" s="1178" t="s">
        <v>777</v>
      </c>
      <c r="AH29" s="1133" t="s">
        <v>777</v>
      </c>
      <c r="AI29" s="426" t="s">
        <v>777</v>
      </c>
      <c r="AJ29" s="426" t="s">
        <v>777</v>
      </c>
      <c r="AK29" s="1178" t="s">
        <v>777</v>
      </c>
      <c r="AL29" s="1194" t="s">
        <v>777</v>
      </c>
      <c r="AM29" s="1133" t="s">
        <v>777</v>
      </c>
      <c r="AN29" s="1133" t="s">
        <v>777</v>
      </c>
      <c r="AO29" s="1133"/>
      <c r="AP29" s="1133"/>
      <c r="AQ29" s="1133"/>
      <c r="AR29" s="1178"/>
      <c r="AS29" s="1178"/>
      <c r="AT29" s="1133"/>
      <c r="AU29" s="426"/>
      <c r="AV29" s="426"/>
      <c r="AW29" s="1178"/>
      <c r="AX29" s="1194"/>
      <c r="AY29" s="406"/>
    </row>
    <row r="30" spans="1:51" ht="105">
      <c r="A30" s="160">
        <v>23</v>
      </c>
      <c r="B30" s="414" t="s">
        <v>1119</v>
      </c>
      <c r="C30" s="1132"/>
      <c r="D30" s="932" t="s">
        <v>777</v>
      </c>
      <c r="E30" s="932" t="s">
        <v>777</v>
      </c>
      <c r="F30" s="932"/>
      <c r="G30" s="932"/>
      <c r="H30" s="932" t="s">
        <v>777</v>
      </c>
      <c r="I30" s="932" t="s">
        <v>777</v>
      </c>
      <c r="J30" s="932"/>
      <c r="K30" s="932" t="s">
        <v>777</v>
      </c>
      <c r="L30" s="932" t="s">
        <v>777</v>
      </c>
      <c r="M30" s="932" t="s">
        <v>777</v>
      </c>
      <c r="N30" s="1081" t="s">
        <v>777</v>
      </c>
      <c r="O30" s="932"/>
      <c r="P30" s="932" t="s">
        <v>777</v>
      </c>
      <c r="Q30" s="932" t="s">
        <v>777</v>
      </c>
      <c r="R30" s="932" t="s">
        <v>777</v>
      </c>
      <c r="S30" s="932" t="s">
        <v>777</v>
      </c>
      <c r="T30" s="932" t="s">
        <v>777</v>
      </c>
      <c r="U30" s="932" t="s">
        <v>777</v>
      </c>
      <c r="V30" s="932" t="s">
        <v>777</v>
      </c>
      <c r="W30" s="932" t="s">
        <v>777</v>
      </c>
      <c r="X30" s="932" t="s">
        <v>777</v>
      </c>
      <c r="Y30" s="932" t="s">
        <v>777</v>
      </c>
      <c r="Z30" s="1081" t="s">
        <v>777</v>
      </c>
      <c r="AA30" s="932" t="s">
        <v>777</v>
      </c>
      <c r="AB30" s="932" t="s">
        <v>777</v>
      </c>
      <c r="AC30" s="932" t="s">
        <v>777</v>
      </c>
      <c r="AD30" s="932"/>
      <c r="AE30" s="932" t="s">
        <v>777</v>
      </c>
      <c r="AF30" s="426" t="s">
        <v>777</v>
      </c>
      <c r="AG30" s="426" t="s">
        <v>777</v>
      </c>
      <c r="AH30" s="932" t="s">
        <v>777</v>
      </c>
      <c r="AI30" s="426" t="s">
        <v>777</v>
      </c>
      <c r="AJ30" s="426" t="s">
        <v>777</v>
      </c>
      <c r="AK30" s="1179"/>
      <c r="AL30" s="1081" t="s">
        <v>777</v>
      </c>
      <c r="AM30" s="932" t="s">
        <v>777</v>
      </c>
      <c r="AN30" s="932" t="s">
        <v>777</v>
      </c>
      <c r="AO30" s="932" t="s">
        <v>777</v>
      </c>
      <c r="AP30" s="932"/>
      <c r="AQ30" s="932"/>
      <c r="AR30" s="426"/>
      <c r="AS30" s="426"/>
      <c r="AT30" s="932"/>
      <c r="AU30" s="426"/>
      <c r="AV30" s="426"/>
      <c r="AW30" s="1179"/>
      <c r="AX30" s="1081"/>
      <c r="AY30" s="406"/>
    </row>
    <row r="31" spans="1:51" ht="60">
      <c r="A31" s="160">
        <v>24</v>
      </c>
      <c r="B31" s="350" t="s">
        <v>1120</v>
      </c>
      <c r="C31" s="1132"/>
      <c r="D31" s="932"/>
      <c r="E31" s="932"/>
      <c r="F31" s="932"/>
      <c r="G31" s="932"/>
      <c r="H31" s="932"/>
      <c r="I31" s="932"/>
      <c r="J31" s="932"/>
      <c r="K31" s="932"/>
      <c r="L31" s="932"/>
      <c r="M31" s="932"/>
      <c r="N31" s="1081"/>
      <c r="O31" s="932"/>
      <c r="P31" s="932"/>
      <c r="Q31" s="932" t="s">
        <v>777</v>
      </c>
      <c r="R31" s="932" t="s">
        <v>777</v>
      </c>
      <c r="S31" s="932" t="s">
        <v>777</v>
      </c>
      <c r="T31" s="932" t="s">
        <v>777</v>
      </c>
      <c r="U31" s="932" t="s">
        <v>777</v>
      </c>
      <c r="V31" s="932" t="s">
        <v>777</v>
      </c>
      <c r="W31" s="932" t="s">
        <v>777</v>
      </c>
      <c r="X31" s="932" t="s">
        <v>777</v>
      </c>
      <c r="Y31" s="932" t="s">
        <v>777</v>
      </c>
      <c r="Z31" s="1081" t="s">
        <v>777</v>
      </c>
      <c r="AA31" s="932" t="s">
        <v>777</v>
      </c>
      <c r="AB31" s="932" t="s">
        <v>777</v>
      </c>
      <c r="AC31" s="932" t="s">
        <v>777</v>
      </c>
      <c r="AD31" s="932" t="s">
        <v>777</v>
      </c>
      <c r="AE31" s="932" t="s">
        <v>777</v>
      </c>
      <c r="AF31" s="426" t="s">
        <v>777</v>
      </c>
      <c r="AG31" s="426" t="s">
        <v>777</v>
      </c>
      <c r="AH31" s="932" t="s">
        <v>777</v>
      </c>
      <c r="AI31" s="426" t="s">
        <v>777</v>
      </c>
      <c r="AJ31" s="426" t="s">
        <v>777</v>
      </c>
      <c r="AK31" s="1179" t="s">
        <v>777</v>
      </c>
      <c r="AL31" s="1081" t="s">
        <v>777</v>
      </c>
      <c r="AM31" s="932" t="s">
        <v>777</v>
      </c>
      <c r="AN31" s="932" t="s">
        <v>777</v>
      </c>
      <c r="AO31" s="932" t="s">
        <v>777</v>
      </c>
      <c r="AP31" s="932"/>
      <c r="AQ31" s="932"/>
      <c r="AR31" s="426"/>
      <c r="AS31" s="426"/>
      <c r="AT31" s="932"/>
      <c r="AU31" s="426"/>
      <c r="AV31" s="426"/>
      <c r="AW31" s="1179"/>
      <c r="AX31" s="1081"/>
      <c r="AY31" s="406"/>
    </row>
    <row r="32" spans="1:51" ht="75">
      <c r="A32" s="159">
        <v>25</v>
      </c>
      <c r="B32" s="421" t="s">
        <v>1121</v>
      </c>
      <c r="C32" s="1132"/>
      <c r="D32" s="932"/>
      <c r="E32" s="932"/>
      <c r="F32" s="932" t="s">
        <v>777</v>
      </c>
      <c r="G32" s="932" t="s">
        <v>777</v>
      </c>
      <c r="H32" s="932" t="s">
        <v>777</v>
      </c>
      <c r="I32" s="932" t="s">
        <v>777</v>
      </c>
      <c r="J32" s="932" t="s">
        <v>777</v>
      </c>
      <c r="K32" s="932" t="s">
        <v>777</v>
      </c>
      <c r="L32" s="932" t="s">
        <v>777</v>
      </c>
      <c r="M32" s="932" t="s">
        <v>777</v>
      </c>
      <c r="N32" s="1081" t="s">
        <v>777</v>
      </c>
      <c r="O32" s="932" t="s">
        <v>777</v>
      </c>
      <c r="P32" s="932" t="s">
        <v>777</v>
      </c>
      <c r="Q32" s="932" t="s">
        <v>777</v>
      </c>
      <c r="R32" s="932" t="s">
        <v>777</v>
      </c>
      <c r="S32" s="932" t="s">
        <v>777</v>
      </c>
      <c r="T32" s="932" t="s">
        <v>777</v>
      </c>
      <c r="U32" s="932" t="s">
        <v>777</v>
      </c>
      <c r="V32" s="932" t="s">
        <v>777</v>
      </c>
      <c r="W32" s="932" t="s">
        <v>777</v>
      </c>
      <c r="X32" s="932" t="s">
        <v>777</v>
      </c>
      <c r="Y32" s="932" t="s">
        <v>777</v>
      </c>
      <c r="Z32" s="1081" t="s">
        <v>777</v>
      </c>
      <c r="AA32" s="932" t="s">
        <v>777</v>
      </c>
      <c r="AB32" s="932" t="s">
        <v>777</v>
      </c>
      <c r="AC32" s="932" t="s">
        <v>777</v>
      </c>
      <c r="AD32" s="932"/>
      <c r="AE32" s="932" t="s">
        <v>777</v>
      </c>
      <c r="AF32" s="426" t="s">
        <v>777</v>
      </c>
      <c r="AG32" s="426" t="s">
        <v>777</v>
      </c>
      <c r="AH32" s="932" t="s">
        <v>777</v>
      </c>
      <c r="AI32" s="426"/>
      <c r="AJ32" s="426" t="s">
        <v>777</v>
      </c>
      <c r="AK32" s="1179" t="s">
        <v>777</v>
      </c>
      <c r="AL32" s="1081" t="s">
        <v>777</v>
      </c>
      <c r="AM32" s="932" t="s">
        <v>777</v>
      </c>
      <c r="AN32" s="932" t="s">
        <v>777</v>
      </c>
      <c r="AO32" s="932" t="s">
        <v>777</v>
      </c>
      <c r="AP32" s="932"/>
      <c r="AQ32" s="932"/>
      <c r="AR32" s="426"/>
      <c r="AS32" s="426"/>
      <c r="AT32" s="932"/>
      <c r="AU32" s="426"/>
      <c r="AV32" s="426"/>
      <c r="AW32" s="1179"/>
      <c r="AX32" s="1081"/>
      <c r="AY32" s="406"/>
    </row>
    <row r="33" spans="1:53" ht="105.75" thickBot="1">
      <c r="A33" s="413">
        <v>26</v>
      </c>
      <c r="B33" s="407" t="s">
        <v>1122</v>
      </c>
      <c r="C33" s="1643"/>
      <c r="D33" s="1134"/>
      <c r="E33" s="1134"/>
      <c r="F33" s="1134"/>
      <c r="G33" s="1134"/>
      <c r="H33" s="1134"/>
      <c r="I33" s="1134"/>
      <c r="J33" s="1134"/>
      <c r="K33" s="1134"/>
      <c r="L33" s="1134"/>
      <c r="M33" s="1134"/>
      <c r="N33" s="1644"/>
      <c r="O33" s="1134"/>
      <c r="P33" s="1134"/>
      <c r="Q33" s="1134"/>
      <c r="R33" s="1134"/>
      <c r="S33" s="1134"/>
      <c r="T33" s="1134"/>
      <c r="U33" s="1134"/>
      <c r="V33" s="1134"/>
      <c r="W33" s="1134"/>
      <c r="X33" s="1134"/>
      <c r="Y33" s="1134"/>
      <c r="Z33" s="1644"/>
      <c r="AA33" s="1134"/>
      <c r="AB33" s="1134"/>
      <c r="AC33" s="1134"/>
      <c r="AD33" s="1134"/>
      <c r="AE33" s="1134"/>
      <c r="AF33" s="1645"/>
      <c r="AG33" s="1645"/>
      <c r="AH33" s="1134"/>
      <c r="AI33" s="1646"/>
      <c r="AJ33" s="1646"/>
      <c r="AK33" s="1647"/>
      <c r="AL33" s="1644"/>
      <c r="AM33" s="1134" t="s">
        <v>777</v>
      </c>
      <c r="AN33" s="1134" t="s">
        <v>777</v>
      </c>
      <c r="AO33" s="1134" t="s">
        <v>777</v>
      </c>
      <c r="AP33" s="1134"/>
      <c r="AQ33" s="1134"/>
      <c r="AR33" s="1645"/>
      <c r="AS33" s="1645"/>
      <c r="AT33" s="1134"/>
      <c r="AU33" s="1646"/>
      <c r="AV33" s="1646"/>
      <c r="AW33" s="1647"/>
      <c r="AX33" s="1644"/>
      <c r="AY33" s="353"/>
    </row>
    <row r="34" spans="1:53">
      <c r="B34" s="1648"/>
    </row>
    <row r="35" spans="1:53" ht="14.25">
      <c r="A35" s="92" t="s">
        <v>1110</v>
      </c>
      <c r="B35" s="381" t="s">
        <v>1123</v>
      </c>
      <c r="C35" s="1414"/>
      <c r="D35" s="1414"/>
      <c r="E35" s="1414"/>
      <c r="F35" s="1414"/>
      <c r="G35" s="1414"/>
      <c r="H35" s="1414"/>
      <c r="I35" s="1414"/>
      <c r="J35" s="1414"/>
      <c r="K35" s="1414"/>
      <c r="L35" s="1414"/>
      <c r="M35" s="1414"/>
      <c r="N35" s="1414"/>
      <c r="O35" s="1414"/>
      <c r="P35" s="1414"/>
      <c r="Q35" s="1414"/>
      <c r="R35" s="1414"/>
      <c r="S35" s="1414"/>
      <c r="T35" s="1414"/>
      <c r="U35" s="1414"/>
      <c r="V35" s="1414"/>
      <c r="W35" s="1414"/>
      <c r="X35" s="1414"/>
      <c r="Y35" s="1414"/>
      <c r="Z35" s="1414"/>
      <c r="AA35" s="1414"/>
      <c r="AB35" s="1414"/>
      <c r="AC35" s="1414"/>
      <c r="AD35" s="1414"/>
      <c r="AE35" s="1414"/>
      <c r="AF35" s="1414"/>
      <c r="AG35" s="1414"/>
      <c r="AH35" s="1414"/>
      <c r="AI35" s="1414"/>
      <c r="AJ35" s="1414"/>
      <c r="AK35" s="1414"/>
      <c r="AL35" s="1414"/>
      <c r="AM35" s="1414"/>
      <c r="AN35" s="1414"/>
      <c r="AO35" s="1414"/>
      <c r="AP35" s="1414"/>
      <c r="AQ35" s="1414"/>
      <c r="AR35" s="1414"/>
      <c r="AS35" s="1414"/>
      <c r="AT35" s="1414"/>
      <c r="AU35" s="1414"/>
      <c r="AV35" s="1414"/>
      <c r="AW35" s="1414"/>
      <c r="AX35" s="1414"/>
      <c r="AY35" s="1414"/>
    </row>
    <row r="36" spans="1:53">
      <c r="B36" s="100"/>
      <c r="AY36" s="362" t="s">
        <v>126</v>
      </c>
      <c r="AZ36" s="362"/>
      <c r="BA36" s="362"/>
    </row>
    <row r="37" spans="1:53">
      <c r="B37" s="100"/>
    </row>
    <row r="38" spans="1:53">
      <c r="B38" s="100"/>
    </row>
    <row r="39" spans="1:53">
      <c r="B39" s="100"/>
    </row>
    <row r="40" spans="1:53">
      <c r="B40" s="100"/>
    </row>
    <row r="41" spans="1:53">
      <c r="B41" s="100"/>
    </row>
    <row r="42" spans="1:53">
      <c r="B42" s="100"/>
    </row>
    <row r="43" spans="1:53">
      <c r="B43" s="100"/>
    </row>
    <row r="44" spans="1:53">
      <c r="B44" s="100"/>
    </row>
    <row r="45" spans="1:53">
      <c r="B45" s="100"/>
    </row>
    <row r="46" spans="1:53">
      <c r="B46" s="100"/>
    </row>
    <row r="47" spans="1:53">
      <c r="B47" s="100"/>
    </row>
  </sheetData>
  <mergeCells count="10">
    <mergeCell ref="C35:AY35"/>
    <mergeCell ref="A2:AY2"/>
    <mergeCell ref="A1:AY1"/>
    <mergeCell ref="A3:AY3"/>
    <mergeCell ref="A4:AY4"/>
    <mergeCell ref="A5:AY5"/>
    <mergeCell ref="C6:N6"/>
    <mergeCell ref="O6:Z6"/>
    <mergeCell ref="AA6:AL6"/>
    <mergeCell ref="AM6:AX6"/>
  </mergeCells>
  <phoneticPr fontId="5" type="noConversion"/>
  <hyperlinks>
    <hyperlink ref="C35:AY35" location="'TABLA DE CONTENIDO'!A1" display="VOLVER A TABLA DE CONTENIDO" xr:uid="{00000000-0004-0000-1900-000000000000}"/>
    <hyperlink ref="AY36" location="'TABLA DE CONTENIDO'!A1" display="VOLVER A TABLA DE CONTENIDO" xr:uid="{00000000-0004-0000-1900-000001000000}"/>
    <hyperlink ref="AH35:AL35" location="'TABLA DE CONTENIDO'!A1" display="VOLVER A TABLA DE CONTENIDO" xr:uid="{00000000-0004-0000-1900-000002000000}"/>
    <hyperlink ref="AM35:AX35" location="'TABLA DE CONTENIDO'!A1" display="VOLVER A TABLA DE CONTENIDO" xr:uid="{00000000-0004-0000-1900-000003000000}"/>
    <hyperlink ref="AT35:AX35" location="'TABLA DE CONTENIDO'!A1" display="VOLVER A TABLA DE CONTENIDO" xr:uid="{00000000-0004-0000-1900-000004000000}"/>
  </hyperlinks>
  <printOptions horizontalCentered="1" verticalCentered="1"/>
  <pageMargins left="0.47244094488188981" right="0.47244094488188981" top="0.51181102362204722" bottom="0.19685039370078741" header="0.51181102362204722" footer="0.19685039370078741"/>
  <pageSetup scale="40" orientation="portrait" horizontalDpi="120" verticalDpi="144"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pageSetUpPr fitToPage="1"/>
  </sheetPr>
  <dimension ref="A1:K25"/>
  <sheetViews>
    <sheetView workbookViewId="0">
      <selection activeCell="I9" sqref="I9:I15"/>
    </sheetView>
  </sheetViews>
  <sheetFormatPr defaultColWidth="11.42578125" defaultRowHeight="12.75"/>
  <cols>
    <col min="1" max="1" width="6.28515625" bestFit="1" customWidth="1"/>
    <col min="2" max="2" width="18.7109375" customWidth="1"/>
    <col min="3" max="3" width="10.28515625" customWidth="1"/>
    <col min="4" max="4" width="13.85546875" bestFit="1" customWidth="1"/>
    <col min="11" max="11" width="20.140625" customWidth="1"/>
  </cols>
  <sheetData>
    <row r="1" spans="1:11" ht="23.25">
      <c r="A1" s="1230" t="s">
        <v>1</v>
      </c>
      <c r="B1" s="1230"/>
      <c r="C1" s="1230"/>
      <c r="D1" s="1230"/>
      <c r="E1" s="1230"/>
      <c r="F1" s="1230"/>
      <c r="G1" s="1230"/>
      <c r="H1" s="1230"/>
      <c r="I1" s="1230"/>
      <c r="J1" s="1230"/>
      <c r="K1" s="1230"/>
    </row>
    <row r="2" spans="1:11" ht="12.75" customHeight="1">
      <c r="A2" s="1218"/>
      <c r="B2" s="1218"/>
      <c r="C2" s="1218"/>
      <c r="D2" s="1218"/>
      <c r="E2" s="1218"/>
      <c r="F2" s="1218"/>
      <c r="G2" s="1218"/>
      <c r="H2" s="1218"/>
      <c r="I2" s="1218"/>
      <c r="J2" s="1218"/>
      <c r="K2" s="1218"/>
    </row>
    <row r="3" spans="1:11" ht="18">
      <c r="A3" s="1225" t="s">
        <v>1124</v>
      </c>
      <c r="B3" s="1225"/>
      <c r="C3" s="1225"/>
      <c r="D3" s="1225"/>
      <c r="E3" s="1225"/>
      <c r="F3" s="1225"/>
      <c r="G3" s="1225"/>
      <c r="H3" s="1225"/>
      <c r="I3" s="1225"/>
      <c r="J3" s="1225"/>
      <c r="K3" s="1225"/>
    </row>
    <row r="4" spans="1:11" ht="18">
      <c r="A4" s="1225" t="s">
        <v>1125</v>
      </c>
      <c r="B4" s="1225"/>
      <c r="C4" s="1225"/>
      <c r="D4" s="1225"/>
      <c r="E4" s="1225"/>
      <c r="F4" s="1225"/>
      <c r="G4" s="1225"/>
      <c r="H4" s="1225"/>
      <c r="I4" s="1225"/>
      <c r="J4" s="1225"/>
      <c r="K4" s="1225"/>
    </row>
    <row r="7" spans="1:11">
      <c r="A7" s="1418" t="s">
        <v>1126</v>
      </c>
      <c r="B7" s="255" t="s">
        <v>1127</v>
      </c>
      <c r="C7" s="1418" t="s">
        <v>1128</v>
      </c>
      <c r="D7" s="1418" t="s">
        <v>1129</v>
      </c>
      <c r="E7" s="255" t="s">
        <v>1130</v>
      </c>
      <c r="F7" s="255" t="s">
        <v>750</v>
      </c>
      <c r="G7" s="255" t="s">
        <v>1131</v>
      </c>
      <c r="H7" s="1419" t="s">
        <v>1132</v>
      </c>
      <c r="I7" s="1419"/>
      <c r="J7" s="1419"/>
      <c r="K7" s="1418" t="s">
        <v>113</v>
      </c>
    </row>
    <row r="8" spans="1:11">
      <c r="A8" s="1358"/>
      <c r="B8" s="256" t="s">
        <v>1133</v>
      </c>
      <c r="C8" s="1358"/>
      <c r="D8" s="1358"/>
      <c r="E8" s="256" t="s">
        <v>1134</v>
      </c>
      <c r="F8" s="256" t="s">
        <v>1135</v>
      </c>
      <c r="G8" s="256" t="s">
        <v>1136</v>
      </c>
      <c r="H8" s="254" t="s">
        <v>1137</v>
      </c>
      <c r="I8" s="254" t="s">
        <v>1138</v>
      </c>
      <c r="J8" s="254" t="s">
        <v>1139</v>
      </c>
      <c r="K8" s="1358"/>
    </row>
    <row r="9" spans="1:11" ht="18" customHeight="1">
      <c r="A9" s="1420">
        <v>2</v>
      </c>
      <c r="B9" s="1422" t="s">
        <v>6</v>
      </c>
      <c r="C9" s="937" t="s">
        <v>1140</v>
      </c>
      <c r="D9" s="1649">
        <v>1276845362</v>
      </c>
      <c r="E9" s="1176">
        <v>43831</v>
      </c>
      <c r="F9" s="1176">
        <v>44773</v>
      </c>
      <c r="G9" s="1422">
        <v>53.74</v>
      </c>
      <c r="H9" s="1422" t="s">
        <v>1141</v>
      </c>
      <c r="I9" s="1422" t="s">
        <v>1142</v>
      </c>
      <c r="J9" s="1422">
        <v>2011</v>
      </c>
      <c r="K9" s="936"/>
    </row>
    <row r="10" spans="1:11" ht="18" customHeight="1">
      <c r="A10" s="1421"/>
      <c r="B10" s="1423"/>
      <c r="C10" s="937" t="s">
        <v>1143</v>
      </c>
      <c r="D10" s="1649">
        <v>129825000</v>
      </c>
      <c r="E10" s="1176"/>
      <c r="F10" s="1176"/>
      <c r="G10" s="1423"/>
      <c r="H10" s="1423"/>
      <c r="I10" s="1423"/>
      <c r="J10" s="1423"/>
      <c r="K10" s="936"/>
    </row>
    <row r="11" spans="1:11" ht="18" customHeight="1">
      <c r="A11" s="1421"/>
      <c r="B11" s="1423"/>
      <c r="C11" s="937" t="s">
        <v>1144</v>
      </c>
      <c r="D11" s="1649"/>
      <c r="E11" s="1176">
        <v>44774</v>
      </c>
      <c r="F11" s="1176">
        <v>44865</v>
      </c>
      <c r="G11" s="1423"/>
      <c r="H11" s="1423"/>
      <c r="I11" s="1423"/>
      <c r="J11" s="1423"/>
      <c r="K11" s="936"/>
    </row>
    <row r="12" spans="1:11" ht="18" customHeight="1">
      <c r="A12" s="1421"/>
      <c r="B12" s="1423"/>
      <c r="C12" s="937" t="s">
        <v>1145</v>
      </c>
      <c r="D12" s="1649">
        <v>105216873</v>
      </c>
      <c r="E12" s="1176">
        <v>44866</v>
      </c>
      <c r="F12" s="1176">
        <v>44926</v>
      </c>
      <c r="G12" s="1423"/>
      <c r="H12" s="1423"/>
      <c r="I12" s="1423"/>
      <c r="J12" s="1423"/>
      <c r="K12" s="936"/>
    </row>
    <row r="13" spans="1:11" ht="18" customHeight="1">
      <c r="A13" s="1421"/>
      <c r="B13" s="1423"/>
      <c r="C13" s="937" t="s">
        <v>1146</v>
      </c>
      <c r="D13" s="1649">
        <v>112116269</v>
      </c>
      <c r="E13" s="1176"/>
      <c r="F13" s="1650"/>
      <c r="G13" s="1423"/>
      <c r="H13" s="1423"/>
      <c r="I13" s="1423"/>
      <c r="J13" s="1423"/>
      <c r="K13" s="936"/>
    </row>
    <row r="14" spans="1:11" ht="18" customHeight="1">
      <c r="A14" s="1421"/>
      <c r="B14" s="1423"/>
      <c r="C14" s="937" t="s">
        <v>1147</v>
      </c>
      <c r="D14" s="1649"/>
      <c r="E14" s="1176">
        <v>44927</v>
      </c>
      <c r="F14" s="1650">
        <v>45016</v>
      </c>
      <c r="G14" s="1423"/>
      <c r="H14" s="1423"/>
      <c r="I14" s="1423"/>
      <c r="J14" s="1423"/>
      <c r="K14" s="936"/>
    </row>
    <row r="15" spans="1:11" ht="18" customHeight="1">
      <c r="A15" s="1358"/>
      <c r="B15" s="1424"/>
      <c r="C15" s="937" t="s">
        <v>1148</v>
      </c>
      <c r="D15" s="1649">
        <v>167515023</v>
      </c>
      <c r="E15" s="1176">
        <v>45017</v>
      </c>
      <c r="F15" s="1650">
        <v>45138</v>
      </c>
      <c r="G15" s="1424"/>
      <c r="H15" s="1424"/>
      <c r="I15" s="1424"/>
      <c r="J15" s="1424"/>
      <c r="K15" s="936"/>
    </row>
    <row r="16" spans="1:11" ht="18" customHeight="1">
      <c r="A16" s="6"/>
      <c r="B16" s="936"/>
      <c r="C16" s="937"/>
      <c r="D16" s="1649"/>
      <c r="E16" s="1176"/>
      <c r="F16" s="1650"/>
      <c r="G16" s="1651"/>
      <c r="H16" s="1651"/>
      <c r="I16" s="1651"/>
      <c r="J16" s="1651"/>
      <c r="K16" s="936"/>
    </row>
    <row r="17" spans="1:11" ht="18" customHeight="1">
      <c r="A17" s="6"/>
      <c r="B17" s="936"/>
      <c r="C17" s="937"/>
      <c r="D17" s="1649"/>
      <c r="E17" s="1176"/>
      <c r="F17" s="1650"/>
      <c r="G17" s="1651"/>
      <c r="H17" s="1651"/>
      <c r="I17" s="1651"/>
      <c r="J17" s="1651"/>
      <c r="K17" s="936"/>
    </row>
    <row r="18" spans="1:11" ht="18" customHeight="1">
      <c r="A18" s="6"/>
      <c r="B18" s="936"/>
      <c r="C18" s="937"/>
      <c r="D18" s="1649"/>
      <c r="E18" s="1176"/>
      <c r="F18" s="1650"/>
      <c r="G18" s="1651"/>
      <c r="H18" s="1651"/>
      <c r="I18" s="1651"/>
      <c r="J18" s="1651"/>
      <c r="K18" s="936"/>
    </row>
    <row r="19" spans="1:11" ht="18" customHeight="1">
      <c r="A19" s="6"/>
      <c r="B19" s="936"/>
      <c r="C19" s="937"/>
      <c r="D19" s="1649"/>
      <c r="E19" s="1176"/>
      <c r="F19" s="1650"/>
      <c r="G19" s="1651"/>
      <c r="H19" s="1651"/>
      <c r="I19" s="1651"/>
      <c r="J19" s="1651"/>
      <c r="K19" s="936"/>
    </row>
    <row r="20" spans="1:11" ht="18" customHeight="1">
      <c r="A20" s="6"/>
      <c r="B20" s="936"/>
      <c r="C20" s="937"/>
      <c r="D20" s="1649"/>
      <c r="E20" s="1176"/>
      <c r="F20" s="1650"/>
      <c r="G20" s="1651"/>
      <c r="H20" s="1651"/>
      <c r="I20" s="1651"/>
      <c r="J20" s="1651"/>
      <c r="K20" s="936"/>
    </row>
    <row r="21" spans="1:11" ht="18" customHeight="1">
      <c r="A21" s="6"/>
      <c r="B21" s="936"/>
      <c r="C21" s="937"/>
      <c r="D21" s="1649"/>
      <c r="E21" s="1176"/>
      <c r="F21" s="1650"/>
      <c r="G21" s="1651"/>
      <c r="H21" s="1651"/>
      <c r="I21" s="1651"/>
      <c r="J21" s="1651"/>
      <c r="K21" s="936"/>
    </row>
    <row r="22" spans="1:11" ht="18" customHeight="1">
      <c r="A22" s="6"/>
      <c r="B22" s="936"/>
      <c r="C22" s="937"/>
      <c r="D22" s="1649"/>
      <c r="E22" s="1176"/>
      <c r="F22" s="1650"/>
      <c r="G22" s="1651"/>
      <c r="H22" s="1651"/>
      <c r="I22" s="1651"/>
      <c r="J22" s="1651"/>
      <c r="K22" s="936"/>
    </row>
    <row r="23" spans="1:11">
      <c r="A23" s="6"/>
      <c r="B23" s="936"/>
      <c r="C23" s="936"/>
      <c r="D23" s="1649"/>
      <c r="E23" s="1176"/>
      <c r="F23" s="1650"/>
      <c r="G23" s="1651"/>
      <c r="H23" s="1651"/>
      <c r="I23" s="1651"/>
      <c r="J23" s="1651"/>
      <c r="K23" s="936"/>
    </row>
    <row r="25" spans="1:11">
      <c r="A25" s="63" t="s">
        <v>1149</v>
      </c>
      <c r="I25" s="1231" t="s">
        <v>126</v>
      </c>
      <c r="J25" s="1414"/>
      <c r="K25" s="1414"/>
    </row>
  </sheetData>
  <mergeCells count="15">
    <mergeCell ref="I25:K25"/>
    <mergeCell ref="A1:K1"/>
    <mergeCell ref="A3:K3"/>
    <mergeCell ref="A4:K4"/>
    <mergeCell ref="A7:A8"/>
    <mergeCell ref="C7:C8"/>
    <mergeCell ref="D7:D8"/>
    <mergeCell ref="K7:K8"/>
    <mergeCell ref="H7:J7"/>
    <mergeCell ref="A9:A15"/>
    <mergeCell ref="B9:B15"/>
    <mergeCell ref="G9:G15"/>
    <mergeCell ref="H9:H15"/>
    <mergeCell ref="I9:I15"/>
    <mergeCell ref="J9:J15"/>
  </mergeCells>
  <phoneticPr fontId="5" type="noConversion"/>
  <hyperlinks>
    <hyperlink ref="I25" location="'TABLA DE CONTENIDO'!A1" display="'TABLA DE CONTENIDO'!A1" xr:uid="{00000000-0004-0000-1A00-000000000000}"/>
    <hyperlink ref="I25:K25" location="'TABLA DE CONTENIDO'!A1" display="VOLVER A TABLA DE CONTENIDO" xr:uid="{00000000-0004-0000-1A00-000001000000}"/>
  </hyperlinks>
  <printOptions horizontalCentered="1" verticalCentered="1"/>
  <pageMargins left="0.55118110236220474" right="0.23622047244094491" top="0.78740157480314965" bottom="0.78740157480314965" header="0" footer="0"/>
  <pageSetup scale="95" orientation="landscape" horizontalDpi="4294967292"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H29"/>
  <sheetViews>
    <sheetView topLeftCell="A4" workbookViewId="0">
      <selection sqref="A1:H1"/>
    </sheetView>
  </sheetViews>
  <sheetFormatPr defaultColWidth="11.42578125" defaultRowHeight="12.75"/>
  <cols>
    <col min="1" max="1" width="7.7109375" bestFit="1" customWidth="1"/>
    <col min="2" max="2" width="25.28515625" customWidth="1"/>
    <col min="4" max="4" width="16.85546875" bestFit="1" customWidth="1"/>
    <col min="5" max="5" width="22.85546875" customWidth="1"/>
    <col min="6" max="6" width="16.85546875" customWidth="1"/>
    <col min="7" max="8" width="10.7109375" customWidth="1"/>
  </cols>
  <sheetData>
    <row r="1" spans="1:8" ht="23.25">
      <c r="A1" s="1230" t="s">
        <v>1</v>
      </c>
      <c r="B1" s="1230"/>
      <c r="C1" s="1230"/>
      <c r="D1" s="1230"/>
      <c r="E1" s="1230"/>
      <c r="F1" s="1230"/>
      <c r="G1" s="1230"/>
      <c r="H1" s="1230"/>
    </row>
    <row r="2" spans="1:8" ht="14.25" customHeight="1">
      <c r="A2" s="1218"/>
      <c r="B2" s="1218"/>
      <c r="C2" s="1218"/>
      <c r="D2" s="1218"/>
      <c r="E2" s="1218"/>
      <c r="F2" s="1218"/>
      <c r="G2" s="1218"/>
      <c r="H2" s="1218"/>
    </row>
    <row r="3" spans="1:8" ht="18">
      <c r="A3" s="1225" t="s">
        <v>1150</v>
      </c>
      <c r="B3" s="1225"/>
      <c r="C3" s="1225"/>
      <c r="D3" s="1225"/>
      <c r="E3" s="1225"/>
      <c r="F3" s="1225"/>
      <c r="G3" s="1225"/>
      <c r="H3" s="1225"/>
    </row>
    <row r="4" spans="1:8" ht="18">
      <c r="A4" s="1225" t="s">
        <v>1151</v>
      </c>
      <c r="B4" s="1225"/>
      <c r="C4" s="1225"/>
      <c r="D4" s="1225"/>
      <c r="E4" s="1225"/>
      <c r="F4" s="1225"/>
      <c r="G4" s="1225"/>
      <c r="H4" s="1225"/>
    </row>
    <row r="7" spans="1:8">
      <c r="A7" s="1466" t="s">
        <v>1126</v>
      </c>
      <c r="B7" s="1466" t="s">
        <v>1127</v>
      </c>
      <c r="C7" s="1466" t="s">
        <v>1152</v>
      </c>
      <c r="D7" s="1466" t="s">
        <v>1153</v>
      </c>
      <c r="E7" s="1466" t="s">
        <v>1154</v>
      </c>
      <c r="F7" s="1466" t="s">
        <v>1154</v>
      </c>
      <c r="G7" s="1652" t="s">
        <v>1155</v>
      </c>
      <c r="H7" s="1652"/>
    </row>
    <row r="8" spans="1:8">
      <c r="A8" s="1468"/>
      <c r="B8" s="1468" t="s">
        <v>1133</v>
      </c>
      <c r="C8" s="1468" t="s">
        <v>1156</v>
      </c>
      <c r="D8" s="1468" t="s">
        <v>1157</v>
      </c>
      <c r="E8" s="1468" t="s">
        <v>1158</v>
      </c>
      <c r="F8" s="1468" t="s">
        <v>1159</v>
      </c>
      <c r="G8" s="1653" t="s">
        <v>1160</v>
      </c>
      <c r="H8" s="1653"/>
    </row>
    <row r="9" spans="1:8" ht="18" customHeight="1">
      <c r="A9" s="903">
        <v>1</v>
      </c>
      <c r="B9" s="936"/>
      <c r="C9" s="937"/>
      <c r="D9" s="936"/>
      <c r="E9" s="938"/>
      <c r="F9" s="938"/>
      <c r="G9" s="938"/>
      <c r="H9" s="941"/>
    </row>
    <row r="10" spans="1:8" ht="18" customHeight="1">
      <c r="A10" s="903">
        <v>2</v>
      </c>
      <c r="B10" s="936" t="s">
        <v>6</v>
      </c>
      <c r="C10" s="937" t="s">
        <v>1161</v>
      </c>
      <c r="D10" s="936" t="s">
        <v>1162</v>
      </c>
      <c r="E10" s="938" t="s">
        <v>88</v>
      </c>
      <c r="F10" s="938" t="s">
        <v>90</v>
      </c>
      <c r="G10" s="1425" t="s">
        <v>1163</v>
      </c>
      <c r="H10" s="1654"/>
    </row>
    <row r="11" spans="1:8" ht="18" customHeight="1">
      <c r="A11" s="903">
        <v>3</v>
      </c>
      <c r="B11" s="936"/>
      <c r="C11" s="937"/>
      <c r="D11" s="936"/>
      <c r="E11" s="938"/>
      <c r="F11" s="1651"/>
      <c r="G11" s="1651"/>
      <c r="H11" s="941"/>
    </row>
    <row r="12" spans="1:8" ht="18" customHeight="1">
      <c r="A12" s="903">
        <v>4</v>
      </c>
      <c r="B12" s="936"/>
      <c r="C12" s="936"/>
      <c r="D12" s="936"/>
      <c r="E12" s="938"/>
      <c r="F12" s="1651"/>
      <c r="G12" s="1651"/>
      <c r="H12" s="941"/>
    </row>
    <row r="13" spans="1:8">
      <c r="A13" s="100"/>
      <c r="B13" s="100"/>
      <c r="C13" s="100"/>
      <c r="D13" s="100"/>
      <c r="E13" s="100"/>
      <c r="F13" s="100"/>
      <c r="G13" s="100"/>
      <c r="H13" s="100"/>
    </row>
    <row r="15" spans="1:8">
      <c r="A15" s="1466" t="s">
        <v>1126</v>
      </c>
      <c r="B15" s="1466" t="s">
        <v>1164</v>
      </c>
      <c r="C15" s="1655" t="s">
        <v>1165</v>
      </c>
      <c r="D15" s="1655"/>
      <c r="E15" s="1655"/>
      <c r="F15" s="1656" t="s">
        <v>1166</v>
      </c>
      <c r="G15" s="1466" t="s">
        <v>1167</v>
      </c>
      <c r="H15" s="1466" t="s">
        <v>1168</v>
      </c>
    </row>
    <row r="16" spans="1:8">
      <c r="A16" s="1468"/>
      <c r="B16" s="1468" t="s">
        <v>1169</v>
      </c>
      <c r="C16" s="1657" t="s">
        <v>1170</v>
      </c>
      <c r="D16" s="1657" t="s">
        <v>1171</v>
      </c>
      <c r="E16" s="1657" t="s">
        <v>1172</v>
      </c>
      <c r="F16" s="1656"/>
      <c r="G16" s="1468"/>
      <c r="H16" s="1468"/>
    </row>
    <row r="17" spans="1:8" ht="18" customHeight="1">
      <c r="A17" s="903"/>
      <c r="B17" s="939"/>
      <c r="C17" s="940"/>
      <c r="D17" s="936"/>
      <c r="E17" s="938"/>
      <c r="F17" s="936"/>
      <c r="G17" s="941"/>
      <c r="H17" s="941"/>
    </row>
    <row r="18" spans="1:8" ht="18" customHeight="1">
      <c r="A18" s="903"/>
      <c r="B18" s="936"/>
      <c r="C18" s="940"/>
      <c r="D18" s="936"/>
      <c r="E18" s="938"/>
      <c r="F18" s="936"/>
      <c r="G18" s="941"/>
      <c r="H18" s="941"/>
    </row>
    <row r="19" spans="1:8" ht="18" customHeight="1">
      <c r="A19" s="903">
        <v>2</v>
      </c>
      <c r="B19" s="939" t="s">
        <v>102</v>
      </c>
      <c r="C19" s="940" t="s">
        <v>90</v>
      </c>
      <c r="D19" s="936" t="s">
        <v>1173</v>
      </c>
      <c r="E19" s="938" t="s">
        <v>100</v>
      </c>
      <c r="F19" s="936" t="s">
        <v>1174</v>
      </c>
      <c r="G19" s="941" t="s">
        <v>118</v>
      </c>
      <c r="H19" s="941" t="s">
        <v>119</v>
      </c>
    </row>
    <row r="20" spans="1:8" ht="18" customHeight="1">
      <c r="A20" s="903"/>
      <c r="B20" s="936"/>
      <c r="C20" s="940"/>
      <c r="D20" s="936"/>
      <c r="E20" s="938" t="s">
        <v>103</v>
      </c>
      <c r="F20" s="936"/>
      <c r="G20" s="941"/>
      <c r="H20" s="941"/>
    </row>
    <row r="21" spans="1:8" ht="18" customHeight="1">
      <c r="A21" s="903"/>
      <c r="B21" s="936"/>
      <c r="C21" s="940"/>
      <c r="D21" s="936"/>
      <c r="E21" s="938"/>
      <c r="F21" s="936"/>
      <c r="G21" s="941"/>
      <c r="H21" s="941"/>
    </row>
    <row r="22" spans="1:8" ht="18" customHeight="1">
      <c r="A22" s="903"/>
      <c r="B22" s="936"/>
      <c r="C22" s="940"/>
      <c r="D22" s="936"/>
      <c r="E22" s="938"/>
      <c r="F22" s="936"/>
      <c r="G22" s="941"/>
      <c r="H22" s="941"/>
    </row>
    <row r="23" spans="1:8" ht="18" customHeight="1">
      <c r="A23" s="903">
        <v>3</v>
      </c>
      <c r="B23" s="936"/>
      <c r="C23" s="940"/>
      <c r="D23" s="936"/>
      <c r="E23" s="938"/>
      <c r="F23" s="936"/>
      <c r="G23" s="941"/>
      <c r="H23" s="941"/>
    </row>
    <row r="24" spans="1:8" ht="18" customHeight="1">
      <c r="A24" s="903"/>
      <c r="B24" s="936"/>
      <c r="C24" s="940"/>
      <c r="D24" s="936"/>
      <c r="E24" s="938"/>
      <c r="F24" s="936"/>
      <c r="G24" s="941"/>
      <c r="H24" s="941"/>
    </row>
    <row r="25" spans="1:8" ht="18" customHeight="1">
      <c r="A25" s="903"/>
      <c r="B25" s="936"/>
      <c r="C25" s="940"/>
      <c r="D25" s="936"/>
      <c r="E25" s="938"/>
      <c r="F25" s="936"/>
      <c r="G25" s="941"/>
      <c r="H25" s="941"/>
    </row>
    <row r="26" spans="1:8" ht="18" customHeight="1">
      <c r="A26" s="903"/>
      <c r="B26" s="936"/>
      <c r="C26" s="940"/>
      <c r="D26" s="936"/>
      <c r="E26" s="938"/>
      <c r="F26" s="936"/>
      <c r="G26" s="941"/>
      <c r="H26" s="941"/>
    </row>
    <row r="27" spans="1:8" ht="18" customHeight="1">
      <c r="A27" s="903">
        <v>4</v>
      </c>
      <c r="B27" s="936"/>
      <c r="C27" s="940"/>
      <c r="D27" s="940"/>
      <c r="E27" s="938"/>
      <c r="F27" s="936"/>
      <c r="G27" s="941"/>
      <c r="H27" s="941"/>
    </row>
    <row r="29" spans="1:8">
      <c r="F29" s="1231" t="s">
        <v>126</v>
      </c>
      <c r="G29" s="1414"/>
      <c r="H29" s="1414"/>
    </row>
  </sheetData>
  <mergeCells count="9">
    <mergeCell ref="F29:H29"/>
    <mergeCell ref="A1:H1"/>
    <mergeCell ref="A4:H4"/>
    <mergeCell ref="C15:E15"/>
    <mergeCell ref="A3:H3"/>
    <mergeCell ref="F15:F16"/>
    <mergeCell ref="G7:H7"/>
    <mergeCell ref="G8:H8"/>
    <mergeCell ref="G10:H10"/>
  </mergeCells>
  <phoneticPr fontId="5" type="noConversion"/>
  <hyperlinks>
    <hyperlink ref="F29" location="'TABLA DE CONTENIDO'!A1" display="'TABLA DE CONTENIDO'!A1" xr:uid="{00000000-0004-0000-1B00-000000000000}"/>
    <hyperlink ref="F29:H29" location="'TABLA DE CONTENIDO'!A1" display="VOLVER A TABLA DE CONTENIDO" xr:uid="{00000000-0004-0000-1B00-000001000000}"/>
    <hyperlink ref="B19" r:id="rId1" xr:uid="{00000000-0004-0000-1B00-000002000000}"/>
  </hyperlinks>
  <printOptions horizontalCentered="1"/>
  <pageMargins left="0.59055118110236227" right="0.46" top="0.78740157480314965" bottom="0.78740157480314965" header="0" footer="0"/>
  <pageSetup orientation="landscape" horizontalDpi="4294967292" r:id="rId2"/>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pageSetUpPr fitToPage="1"/>
  </sheetPr>
  <dimension ref="A1:M28"/>
  <sheetViews>
    <sheetView workbookViewId="0">
      <selection activeCell="F14" sqref="F14"/>
    </sheetView>
  </sheetViews>
  <sheetFormatPr defaultColWidth="11.42578125" defaultRowHeight="12.75"/>
  <cols>
    <col min="1" max="1" width="7.85546875" customWidth="1"/>
    <col min="2" max="2" width="15.5703125" bestFit="1" customWidth="1"/>
    <col min="3" max="6" width="7.7109375" customWidth="1"/>
    <col min="8" max="8" width="18.28515625" customWidth="1"/>
    <col min="9" max="9" width="16.85546875" customWidth="1"/>
    <col min="10" max="10" width="7.5703125" customWidth="1"/>
    <col min="11" max="11" width="9.140625" customWidth="1"/>
    <col min="13" max="13" width="12.42578125" bestFit="1" customWidth="1"/>
  </cols>
  <sheetData>
    <row r="1" spans="1:13" ht="23.25">
      <c r="A1" s="1230" t="s">
        <v>1</v>
      </c>
      <c r="B1" s="1230"/>
      <c r="C1" s="1230"/>
      <c r="D1" s="1230"/>
      <c r="E1" s="1230"/>
      <c r="F1" s="1230"/>
      <c r="G1" s="1230"/>
      <c r="H1" s="1230"/>
      <c r="I1" s="1230"/>
      <c r="J1" s="1230"/>
      <c r="K1" s="1230"/>
      <c r="L1" s="1230"/>
      <c r="M1" s="1230"/>
    </row>
    <row r="2" spans="1:13" ht="12.75" customHeight="1">
      <c r="A2" s="1218"/>
      <c r="B2" s="1218"/>
      <c r="C2" s="1218"/>
      <c r="D2" s="1218"/>
      <c r="E2" s="1218"/>
      <c r="F2" s="1218"/>
      <c r="G2" s="1218"/>
      <c r="H2" s="1218"/>
      <c r="I2" s="1218"/>
      <c r="J2" s="1218"/>
      <c r="K2" s="1218"/>
      <c r="L2" s="1218"/>
      <c r="M2" s="1218"/>
    </row>
    <row r="3" spans="1:13" ht="18">
      <c r="A3" s="1225" t="s">
        <v>1175</v>
      </c>
      <c r="B3" s="1225"/>
      <c r="C3" s="1225"/>
      <c r="D3" s="1225"/>
      <c r="E3" s="1225"/>
      <c r="F3" s="1225"/>
      <c r="G3" s="1225"/>
      <c r="H3" s="1225"/>
      <c r="I3" s="1225"/>
      <c r="J3" s="1225"/>
      <c r="K3" s="1225"/>
      <c r="L3" s="1225"/>
      <c r="M3" s="1225"/>
    </row>
    <row r="4" spans="1:13" ht="18">
      <c r="A4" s="1225" t="s">
        <v>1176</v>
      </c>
      <c r="B4" s="1225"/>
      <c r="C4" s="1225"/>
      <c r="D4" s="1225"/>
      <c r="E4" s="1225"/>
      <c r="F4" s="1225"/>
      <c r="G4" s="1225"/>
      <c r="H4" s="1225"/>
      <c r="I4" s="1225"/>
      <c r="J4" s="1225"/>
      <c r="K4" s="1225"/>
      <c r="L4" s="1225"/>
      <c r="M4" s="1225"/>
    </row>
    <row r="6" spans="1:13">
      <c r="A6" s="92" t="s">
        <v>1177</v>
      </c>
      <c r="C6" s="3"/>
      <c r="D6" s="430" t="s">
        <v>828</v>
      </c>
      <c r="E6" s="3"/>
      <c r="F6" s="3"/>
      <c r="G6" s="3"/>
      <c r="H6" s="3"/>
    </row>
    <row r="7" spans="1:13" ht="13.5" thickBot="1"/>
    <row r="8" spans="1:13" ht="13.5" thickBot="1">
      <c r="A8" s="244" t="s">
        <v>1126</v>
      </c>
      <c r="B8" s="244" t="s">
        <v>1178</v>
      </c>
      <c r="C8" s="1426" t="s">
        <v>1179</v>
      </c>
      <c r="D8" s="1427"/>
      <c r="E8" s="1427"/>
      <c r="F8" s="1428"/>
      <c r="G8" s="244" t="s">
        <v>1180</v>
      </c>
      <c r="H8" s="244" t="s">
        <v>1181</v>
      </c>
      <c r="I8" s="245" t="s">
        <v>1182</v>
      </c>
      <c r="J8" s="245" t="s">
        <v>762</v>
      </c>
      <c r="K8" s="192" t="s">
        <v>1183</v>
      </c>
      <c r="L8" s="1426" t="s">
        <v>1184</v>
      </c>
      <c r="M8" s="1428"/>
    </row>
    <row r="9" spans="1:13" ht="13.5" thickBot="1">
      <c r="A9" s="246"/>
      <c r="B9" s="246" t="s">
        <v>1185</v>
      </c>
      <c r="C9" s="247" t="s">
        <v>1186</v>
      </c>
      <c r="D9" s="247" t="s">
        <v>1187</v>
      </c>
      <c r="E9" s="247" t="s">
        <v>1188</v>
      </c>
      <c r="F9" s="247" t="s">
        <v>1189</v>
      </c>
      <c r="G9" s="246" t="s">
        <v>1190</v>
      </c>
      <c r="H9" s="246" t="s">
        <v>1191</v>
      </c>
      <c r="I9" s="246" t="s">
        <v>1192</v>
      </c>
      <c r="J9" s="248" t="s">
        <v>1193</v>
      </c>
      <c r="K9" s="193" t="s">
        <v>1194</v>
      </c>
      <c r="L9" s="247" t="s">
        <v>1195</v>
      </c>
      <c r="M9" s="247" t="s">
        <v>1135</v>
      </c>
    </row>
    <row r="10" spans="1:13">
      <c r="A10" s="194"/>
      <c r="B10" s="195"/>
      <c r="C10" s="196"/>
      <c r="D10" s="195"/>
      <c r="E10" s="195"/>
      <c r="F10" s="195"/>
      <c r="G10" s="196"/>
      <c r="H10" s="197"/>
      <c r="I10" s="197"/>
      <c r="J10" s="198"/>
      <c r="K10" s="195"/>
      <c r="L10" s="199"/>
      <c r="M10" s="200"/>
    </row>
    <row r="11" spans="1:13" ht="36.75">
      <c r="A11" s="201">
        <v>2</v>
      </c>
      <c r="B11" s="202" t="s">
        <v>1196</v>
      </c>
      <c r="C11" s="203">
        <v>0</v>
      </c>
      <c r="D11" s="202">
        <v>0</v>
      </c>
      <c r="E11" s="202">
        <v>53.74</v>
      </c>
      <c r="F11" s="202">
        <v>0</v>
      </c>
      <c r="G11" s="203">
        <f>+C11+D11+E11+F11</f>
        <v>53.74</v>
      </c>
      <c r="H11" s="204">
        <v>2350959240</v>
      </c>
      <c r="I11" s="204">
        <f>+H11+299646769+232207080+306544000</f>
        <v>3189357089</v>
      </c>
      <c r="J11" s="205">
        <v>18</v>
      </c>
      <c r="K11" s="1190" t="s">
        <v>1197</v>
      </c>
      <c r="L11" s="942">
        <v>43801</v>
      </c>
      <c r="M11" s="943">
        <v>45127</v>
      </c>
    </row>
    <row r="12" spans="1:13">
      <c r="A12" s="208"/>
      <c r="B12" s="209"/>
      <c r="C12" s="210"/>
      <c r="D12" s="209"/>
      <c r="E12" s="209"/>
      <c r="F12" s="209"/>
      <c r="G12" s="210"/>
      <c r="H12" s="211"/>
      <c r="I12" s="211"/>
      <c r="J12" s="212"/>
      <c r="K12" s="209"/>
      <c r="L12" s="213"/>
      <c r="M12" s="207"/>
    </row>
    <row r="13" spans="1:13">
      <c r="A13" s="208"/>
      <c r="B13" s="209"/>
      <c r="C13" s="210"/>
      <c r="D13" s="209"/>
      <c r="E13" s="209"/>
      <c r="F13" s="209"/>
      <c r="G13" s="210"/>
      <c r="H13" s="214"/>
      <c r="I13" s="214"/>
      <c r="J13" s="212"/>
      <c r="K13" s="209"/>
      <c r="L13" s="206"/>
      <c r="M13" s="215"/>
    </row>
    <row r="14" spans="1:13">
      <c r="A14" s="208"/>
      <c r="B14" s="209"/>
      <c r="C14" s="210"/>
      <c r="D14" s="209"/>
      <c r="E14" s="209"/>
      <c r="F14" s="209"/>
      <c r="G14" s="210"/>
      <c r="H14" s="211"/>
      <c r="I14" s="211"/>
      <c r="J14" s="212"/>
      <c r="K14" s="209"/>
      <c r="L14" s="213"/>
      <c r="M14" s="207"/>
    </row>
    <row r="15" spans="1:13">
      <c r="A15" s="208"/>
      <c r="B15" s="209"/>
      <c r="C15" s="210"/>
      <c r="D15" s="209"/>
      <c r="E15" s="209"/>
      <c r="F15" s="209"/>
      <c r="G15" s="210"/>
      <c r="H15" s="216"/>
      <c r="I15" s="216"/>
      <c r="J15" s="217"/>
      <c r="K15" s="209"/>
      <c r="L15" s="206"/>
      <c r="M15" s="215"/>
    </row>
    <row r="16" spans="1:13">
      <c r="A16" s="208"/>
      <c r="B16" s="209"/>
      <c r="C16" s="210"/>
      <c r="D16" s="209"/>
      <c r="E16" s="209"/>
      <c r="F16" s="209"/>
      <c r="G16" s="210"/>
      <c r="H16" s="204"/>
      <c r="I16" s="204"/>
      <c r="J16" s="212"/>
      <c r="K16" s="209"/>
      <c r="L16" s="213"/>
      <c r="M16" s="218"/>
    </row>
    <row r="17" spans="1:13">
      <c r="A17" s="208"/>
      <c r="B17" s="209"/>
      <c r="C17" s="210"/>
      <c r="D17" s="210"/>
      <c r="E17" s="210"/>
      <c r="F17" s="210"/>
      <c r="G17" s="210"/>
      <c r="H17" s="211"/>
      <c r="I17" s="211"/>
      <c r="J17" s="219"/>
      <c r="K17" s="209"/>
      <c r="L17" s="213"/>
      <c r="M17" s="218"/>
    </row>
    <row r="18" spans="1:13">
      <c r="A18" s="208"/>
      <c r="B18" s="209"/>
      <c r="C18" s="209"/>
      <c r="D18" s="209"/>
      <c r="E18" s="209"/>
      <c r="F18" s="209"/>
      <c r="G18" s="209"/>
      <c r="H18" s="211"/>
      <c r="I18" s="211"/>
      <c r="J18" s="219"/>
      <c r="K18" s="209"/>
      <c r="L18" s="213"/>
      <c r="M18" s="218"/>
    </row>
    <row r="19" spans="1:13">
      <c r="A19" s="208"/>
      <c r="B19" s="209"/>
      <c r="C19" s="209"/>
      <c r="D19" s="209"/>
      <c r="E19" s="209"/>
      <c r="F19" s="209"/>
      <c r="G19" s="209"/>
      <c r="H19" s="211"/>
      <c r="I19" s="211"/>
      <c r="J19" s="219"/>
      <c r="K19" s="209"/>
      <c r="L19" s="213"/>
      <c r="M19" s="218"/>
    </row>
    <row r="20" spans="1:13">
      <c r="A20" s="208"/>
      <c r="B20" s="209"/>
      <c r="C20" s="209"/>
      <c r="D20" s="220"/>
      <c r="E20" s="209"/>
      <c r="F20" s="209"/>
      <c r="G20" s="209"/>
      <c r="H20" s="211"/>
      <c r="I20" s="211"/>
      <c r="J20" s="219"/>
      <c r="K20" s="209"/>
      <c r="L20" s="213"/>
      <c r="M20" s="218"/>
    </row>
    <row r="21" spans="1:13">
      <c r="A21" s="208"/>
      <c r="B21" s="209"/>
      <c r="C21" s="209"/>
      <c r="D21" s="209"/>
      <c r="E21" s="209"/>
      <c r="F21" s="209"/>
      <c r="G21" s="209"/>
      <c r="H21" s="211"/>
      <c r="I21" s="211"/>
      <c r="J21" s="219"/>
      <c r="K21" s="209"/>
      <c r="L21" s="213"/>
      <c r="M21" s="218"/>
    </row>
    <row r="22" spans="1:13">
      <c r="A22" s="208"/>
      <c r="B22" s="209"/>
      <c r="C22" s="209"/>
      <c r="D22" s="220"/>
      <c r="E22" s="209"/>
      <c r="F22" s="209"/>
      <c r="G22" s="209"/>
      <c r="H22" s="211"/>
      <c r="I22" s="211"/>
      <c r="J22" s="219"/>
      <c r="K22" s="209"/>
      <c r="L22" s="213"/>
      <c r="M22" s="218"/>
    </row>
    <row r="23" spans="1:13">
      <c r="A23" s="208"/>
      <c r="B23" s="209"/>
      <c r="C23" s="209"/>
      <c r="D23" s="221"/>
      <c r="E23" s="209"/>
      <c r="F23" s="209"/>
      <c r="G23" s="209"/>
      <c r="H23" s="211"/>
      <c r="I23" s="211"/>
      <c r="J23" s="219"/>
      <c r="K23" s="209"/>
      <c r="L23" s="213"/>
      <c r="M23" s="218"/>
    </row>
    <row r="24" spans="1:13">
      <c r="A24" s="208"/>
      <c r="B24" s="209"/>
      <c r="C24" s="209"/>
      <c r="D24" s="220"/>
      <c r="E24" s="209"/>
      <c r="F24" s="209"/>
      <c r="G24" s="209"/>
      <c r="H24" s="211"/>
      <c r="I24" s="211"/>
      <c r="J24" s="219"/>
      <c r="K24" s="209"/>
      <c r="L24" s="213"/>
      <c r="M24" s="218"/>
    </row>
    <row r="25" spans="1:13" ht="13.5" thickBot="1">
      <c r="A25" s="222"/>
      <c r="B25" s="223"/>
      <c r="C25" s="223"/>
      <c r="D25" s="224"/>
      <c r="E25" s="223"/>
      <c r="F25" s="223"/>
      <c r="G25" s="223"/>
      <c r="H25" s="225"/>
      <c r="I25" s="225"/>
      <c r="J25" s="226"/>
      <c r="K25" s="223"/>
      <c r="L25" s="227"/>
      <c r="M25" s="228"/>
    </row>
    <row r="26" spans="1:13" ht="13.5" thickBot="1">
      <c r="A26" s="229"/>
      <c r="B26" s="230" t="s">
        <v>122</v>
      </c>
      <c r="C26" s="231">
        <f>SUM(C10:C25)</f>
        <v>0</v>
      </c>
      <c r="D26" s="231">
        <f t="shared" ref="D26:J26" si="0">SUM(D10:D25)</f>
        <v>0</v>
      </c>
      <c r="E26" s="231">
        <f t="shared" si="0"/>
        <v>53.74</v>
      </c>
      <c r="F26" s="231">
        <f t="shared" si="0"/>
        <v>0</v>
      </c>
      <c r="G26" s="231">
        <f t="shared" si="0"/>
        <v>53.74</v>
      </c>
      <c r="H26" s="944">
        <f t="shared" si="0"/>
        <v>2350959240</v>
      </c>
      <c r="I26" s="944">
        <f t="shared" si="0"/>
        <v>3189357089</v>
      </c>
      <c r="J26" s="249">
        <f t="shared" si="0"/>
        <v>18</v>
      </c>
      <c r="K26" s="243"/>
      <c r="L26" s="232"/>
      <c r="M26" s="232"/>
    </row>
    <row r="28" spans="1:13">
      <c r="J28" s="1231" t="s">
        <v>126</v>
      </c>
      <c r="K28" s="1414"/>
      <c r="L28" s="1414"/>
      <c r="M28" s="1414"/>
    </row>
  </sheetData>
  <mergeCells count="6">
    <mergeCell ref="J28:M28"/>
    <mergeCell ref="A1:M1"/>
    <mergeCell ref="A4:M4"/>
    <mergeCell ref="C8:F8"/>
    <mergeCell ref="L8:M8"/>
    <mergeCell ref="A3:M3"/>
  </mergeCells>
  <phoneticPr fontId="5" type="noConversion"/>
  <hyperlinks>
    <hyperlink ref="J28" location="'TABLA DE CONTENIDO'!A1" display="'TABLA DE CONTENIDO'!A1" xr:uid="{00000000-0004-0000-1C00-000000000000}"/>
    <hyperlink ref="J28:M28" location="'TABLA DE CONTENIDO'!A1" display="VOLVER A TABLA DE CONTENIDO" xr:uid="{00000000-0004-0000-1C00-000001000000}"/>
  </hyperlinks>
  <printOptions horizontalCentered="1" verticalCentered="1"/>
  <pageMargins left="0.74803149606299213" right="0.39370078740157483" top="0.78740157480314965" bottom="0.78740157480314965" header="0.15748031496062992" footer="0"/>
  <pageSetup scale="89" orientation="landscape" horizontalDpi="4294967292" verticalDpi="300"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pageSetUpPr fitToPage="1"/>
  </sheetPr>
  <dimension ref="A1:K25"/>
  <sheetViews>
    <sheetView workbookViewId="0">
      <selection activeCell="A11" sqref="A11"/>
    </sheetView>
  </sheetViews>
  <sheetFormatPr defaultColWidth="11.42578125" defaultRowHeight="12.75"/>
  <cols>
    <col min="1" max="1" width="9.28515625" customWidth="1"/>
    <col min="2" max="2" width="22" customWidth="1"/>
    <col min="3" max="3" width="14" bestFit="1" customWidth="1"/>
    <col min="5" max="5" width="22.5703125" customWidth="1"/>
    <col min="7" max="7" width="9.5703125" customWidth="1"/>
    <col min="8" max="8" width="19.85546875" customWidth="1"/>
    <col min="9" max="10" width="8.7109375" customWidth="1"/>
    <col min="11" max="11" width="17" customWidth="1"/>
  </cols>
  <sheetData>
    <row r="1" spans="1:11" ht="23.25">
      <c r="A1" s="1230" t="s">
        <v>1</v>
      </c>
      <c r="B1" s="1230"/>
      <c r="C1" s="1230"/>
      <c r="D1" s="1230"/>
      <c r="E1" s="1230"/>
      <c r="F1" s="1230"/>
      <c r="G1" s="1230"/>
      <c r="H1" s="1230"/>
      <c r="I1" s="1230"/>
      <c r="J1" s="1230"/>
      <c r="K1" s="1230"/>
    </row>
    <row r="2" spans="1:11" ht="14.25" customHeight="1">
      <c r="A2" s="1218"/>
      <c r="B2" s="1218"/>
      <c r="C2" s="1218"/>
      <c r="D2" s="1218"/>
      <c r="E2" s="1218"/>
      <c r="F2" s="1218"/>
      <c r="G2" s="1218"/>
      <c r="H2" s="1218"/>
      <c r="I2" s="1218"/>
      <c r="J2" s="1218"/>
      <c r="K2" s="1218"/>
    </row>
    <row r="3" spans="1:11" ht="18">
      <c r="A3" s="1225" t="s">
        <v>1198</v>
      </c>
      <c r="B3" s="1225"/>
      <c r="C3" s="1225"/>
      <c r="D3" s="1225"/>
      <c r="E3" s="1225"/>
      <c r="F3" s="1225"/>
      <c r="G3" s="1225"/>
      <c r="H3" s="1225"/>
      <c r="I3" s="1225"/>
      <c r="J3" s="1225"/>
      <c r="K3" s="1225"/>
    </row>
    <row r="4" spans="1:11" ht="18">
      <c r="A4" s="1225" t="s">
        <v>1199</v>
      </c>
      <c r="B4" s="1225"/>
      <c r="C4" s="1225"/>
      <c r="D4" s="1225"/>
      <c r="E4" s="1225"/>
      <c r="F4" s="1225"/>
      <c r="G4" s="1225"/>
      <c r="H4" s="1225"/>
      <c r="I4" s="1225"/>
      <c r="J4" s="1225"/>
      <c r="K4" s="1225"/>
    </row>
    <row r="6" spans="1:11">
      <c r="A6" s="92" t="s">
        <v>1177</v>
      </c>
      <c r="C6" s="60" t="s">
        <v>828</v>
      </c>
    </row>
    <row r="8" spans="1:11" ht="13.5" thickBot="1"/>
    <row r="9" spans="1:11" ht="13.5" thickBot="1">
      <c r="A9" s="192" t="s">
        <v>1126</v>
      </c>
      <c r="B9" s="192" t="s">
        <v>1178</v>
      </c>
      <c r="C9" s="192" t="s">
        <v>1200</v>
      </c>
      <c r="D9" s="192" t="s">
        <v>1201</v>
      </c>
      <c r="E9" s="192" t="s">
        <v>1155</v>
      </c>
      <c r="F9" s="192" t="s">
        <v>1202</v>
      </c>
      <c r="G9" s="192" t="s">
        <v>1203</v>
      </c>
      <c r="H9" s="192" t="s">
        <v>187</v>
      </c>
      <c r="I9" s="1429" t="s">
        <v>1204</v>
      </c>
      <c r="J9" s="1430"/>
      <c r="K9" s="192" t="s">
        <v>1205</v>
      </c>
    </row>
    <row r="10" spans="1:11" ht="13.5" thickBot="1">
      <c r="A10" s="246"/>
      <c r="B10" s="193" t="s">
        <v>1185</v>
      </c>
      <c r="C10" s="193" t="s">
        <v>1157</v>
      </c>
      <c r="D10" s="193" t="s">
        <v>1156</v>
      </c>
      <c r="E10" s="193"/>
      <c r="F10" s="193" t="s">
        <v>1206</v>
      </c>
      <c r="G10" s="193" t="s">
        <v>1207</v>
      </c>
      <c r="H10" s="193"/>
      <c r="I10" s="192" t="s">
        <v>1208</v>
      </c>
      <c r="J10" s="192" t="s">
        <v>1209</v>
      </c>
      <c r="K10" s="193" t="s">
        <v>1133</v>
      </c>
    </row>
    <row r="11" spans="1:11" ht="18" customHeight="1">
      <c r="A11" s="194">
        <v>2</v>
      </c>
      <c r="B11" s="250" t="s">
        <v>121</v>
      </c>
      <c r="C11" s="233" t="s">
        <v>1210</v>
      </c>
      <c r="D11" s="234" t="s">
        <v>1211</v>
      </c>
      <c r="E11" s="233" t="s">
        <v>1212</v>
      </c>
      <c r="F11" s="233" t="s">
        <v>1213</v>
      </c>
      <c r="G11" s="235">
        <v>5601</v>
      </c>
      <c r="H11" s="233" t="s">
        <v>1214</v>
      </c>
      <c r="I11" s="233" t="s">
        <v>118</v>
      </c>
      <c r="J11" s="233" t="s">
        <v>119</v>
      </c>
      <c r="K11" s="236" t="s">
        <v>6</v>
      </c>
    </row>
    <row r="12" spans="1:11" ht="18" customHeight="1">
      <c r="A12" s="201"/>
      <c r="B12" s="251"/>
      <c r="C12" s="237"/>
      <c r="D12" s="237"/>
      <c r="E12" s="237"/>
      <c r="F12" s="237"/>
      <c r="G12" s="238"/>
      <c r="H12" s="237"/>
      <c r="I12" s="237"/>
      <c r="J12" s="237"/>
      <c r="K12" s="239"/>
    </row>
    <row r="13" spans="1:11" ht="18" customHeight="1">
      <c r="A13" s="208"/>
      <c r="B13" s="251"/>
      <c r="C13" s="237"/>
      <c r="D13" s="237"/>
      <c r="E13" s="237"/>
      <c r="F13" s="237"/>
      <c r="G13" s="238"/>
      <c r="H13" s="237"/>
      <c r="I13" s="237"/>
      <c r="J13" s="237"/>
      <c r="K13" s="239"/>
    </row>
    <row r="14" spans="1:11" ht="18" customHeight="1">
      <c r="A14" s="208"/>
      <c r="B14" s="252"/>
      <c r="C14" s="237"/>
      <c r="D14" s="237"/>
      <c r="E14" s="237"/>
      <c r="F14" s="237"/>
      <c r="G14" s="238"/>
      <c r="H14" s="237"/>
      <c r="I14" s="237"/>
      <c r="J14" s="237"/>
      <c r="K14" s="239"/>
    </row>
    <row r="15" spans="1:11" ht="18" customHeight="1">
      <c r="A15" s="208"/>
      <c r="B15" s="251"/>
      <c r="C15" s="237"/>
      <c r="D15" s="237"/>
      <c r="E15" s="237"/>
      <c r="F15" s="237"/>
      <c r="G15" s="238"/>
      <c r="H15" s="237"/>
      <c r="I15" s="237"/>
      <c r="J15" s="237"/>
      <c r="K15" s="239"/>
    </row>
    <row r="16" spans="1:11" ht="18" customHeight="1">
      <c r="A16" s="208"/>
      <c r="B16" s="251"/>
      <c r="C16" s="237"/>
      <c r="D16" s="237"/>
      <c r="E16" s="237"/>
      <c r="F16" s="237"/>
      <c r="G16" s="238"/>
      <c r="H16" s="237"/>
      <c r="I16" s="237"/>
      <c r="J16" s="237"/>
      <c r="K16" s="239"/>
    </row>
    <row r="17" spans="1:11" ht="18" customHeight="1">
      <c r="A17" s="208"/>
      <c r="B17" s="251"/>
      <c r="C17" s="237"/>
      <c r="D17" s="237"/>
      <c r="E17" s="237"/>
      <c r="F17" s="237"/>
      <c r="G17" s="238"/>
      <c r="H17" s="237"/>
      <c r="I17" s="237"/>
      <c r="J17" s="237"/>
      <c r="K17" s="239"/>
    </row>
    <row r="18" spans="1:11" ht="18" customHeight="1">
      <c r="A18" s="208"/>
      <c r="B18" s="251"/>
      <c r="C18" s="237"/>
      <c r="D18" s="237"/>
      <c r="E18" s="237"/>
      <c r="F18" s="237"/>
      <c r="G18" s="238"/>
      <c r="H18" s="237"/>
      <c r="I18" s="237"/>
      <c r="J18" s="237"/>
      <c r="K18" s="239"/>
    </row>
    <row r="19" spans="1:11" ht="18" customHeight="1">
      <c r="A19" s="208"/>
      <c r="B19" s="251"/>
      <c r="C19" s="237"/>
      <c r="D19" s="237"/>
      <c r="E19" s="237"/>
      <c r="F19" s="237"/>
      <c r="G19" s="238"/>
      <c r="H19" s="237"/>
      <c r="I19" s="237"/>
      <c r="J19" s="237"/>
      <c r="K19" s="239"/>
    </row>
    <row r="20" spans="1:11" ht="18" customHeight="1">
      <c r="A20" s="208"/>
      <c r="B20" s="251"/>
      <c r="C20" s="237"/>
      <c r="D20" s="237"/>
      <c r="E20" s="237"/>
      <c r="F20" s="237"/>
      <c r="G20" s="238"/>
      <c r="H20" s="237"/>
      <c r="I20" s="237"/>
      <c r="J20" s="237"/>
      <c r="K20" s="239"/>
    </row>
    <row r="21" spans="1:11" ht="18" customHeight="1">
      <c r="A21" s="208"/>
      <c r="B21" s="251"/>
      <c r="C21" s="237"/>
      <c r="D21" s="237"/>
      <c r="E21" s="237"/>
      <c r="F21" s="237"/>
      <c r="G21" s="238"/>
      <c r="H21" s="237"/>
      <c r="I21" s="237"/>
      <c r="J21" s="237"/>
      <c r="K21" s="239"/>
    </row>
    <row r="22" spans="1:11" ht="18" customHeight="1">
      <c r="A22" s="208"/>
      <c r="B22" s="251"/>
      <c r="C22" s="237"/>
      <c r="D22" s="237"/>
      <c r="E22" s="237"/>
      <c r="F22" s="237"/>
      <c r="G22" s="238"/>
      <c r="H22" s="237"/>
      <c r="I22" s="237"/>
      <c r="J22" s="237"/>
      <c r="K22" s="239"/>
    </row>
    <row r="23" spans="1:11" ht="18" customHeight="1" thickBot="1">
      <c r="A23" s="222"/>
      <c r="B23" s="253"/>
      <c r="C23" s="240"/>
      <c r="D23" s="240"/>
      <c r="E23" s="240"/>
      <c r="F23" s="240"/>
      <c r="G23" s="241"/>
      <c r="H23" s="240"/>
      <c r="I23" s="240"/>
      <c r="J23" s="240"/>
      <c r="K23" s="242"/>
    </row>
    <row r="25" spans="1:11">
      <c r="I25" s="1231" t="s">
        <v>126</v>
      </c>
      <c r="J25" s="1414"/>
      <c r="K25" s="1414"/>
    </row>
  </sheetData>
  <mergeCells count="5">
    <mergeCell ref="I9:J9"/>
    <mergeCell ref="A1:K1"/>
    <mergeCell ref="A3:K3"/>
    <mergeCell ref="A4:K4"/>
    <mergeCell ref="I25:K25"/>
  </mergeCells>
  <phoneticPr fontId="5" type="noConversion"/>
  <hyperlinks>
    <hyperlink ref="I25" location="'TABLA DE CONTENIDO'!A1" display="'TABLA DE CONTENIDO'!A1" xr:uid="{00000000-0004-0000-1D00-000000000000}"/>
    <hyperlink ref="I25:K25" location="'TABLA DE CONTENIDO'!A1" display="VOLVER A TABLA DE CONTENIDO" xr:uid="{00000000-0004-0000-1D00-000001000000}"/>
  </hyperlinks>
  <printOptions horizontalCentered="1"/>
  <pageMargins left="0.39370078740157483" right="0.39370078740157483" top="0.78740157480314965" bottom="0.78740157480314965" header="0" footer="0"/>
  <pageSetup scale="85" orientation="landscape" horizontalDpi="4294967292" r:id="rId1"/>
  <headerFooter alignWithMargins="0"/>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pageSetUpPr fitToPage="1"/>
  </sheetPr>
  <dimension ref="A1:L20"/>
  <sheetViews>
    <sheetView topLeftCell="C5" zoomScale="90" zoomScaleNormal="90" workbookViewId="0">
      <selection activeCell="H14" sqref="H14"/>
    </sheetView>
  </sheetViews>
  <sheetFormatPr defaultColWidth="11.42578125" defaultRowHeight="12.75"/>
  <cols>
    <col min="1" max="1" width="14.7109375" style="396" customWidth="1"/>
    <col min="2" max="2" width="31.7109375" style="396" customWidth="1"/>
    <col min="3" max="3" width="26.7109375" style="396" customWidth="1"/>
    <col min="4" max="7" width="11.42578125" style="396"/>
    <col min="8" max="8" width="16.42578125" style="396" customWidth="1"/>
    <col min="9" max="9" width="19.85546875" style="396" customWidth="1"/>
    <col min="10" max="10" width="16" style="396" bestFit="1" customWidth="1"/>
    <col min="11" max="11" width="19.28515625" style="396" customWidth="1"/>
    <col min="12" max="12" width="23.85546875" style="396" customWidth="1"/>
    <col min="13" max="16384" width="11.42578125" style="396"/>
  </cols>
  <sheetData>
    <row r="1" spans="1:12" ht="23.25">
      <c r="B1" s="1230" t="s">
        <v>1</v>
      </c>
      <c r="C1" s="1230"/>
      <c r="D1" s="1230"/>
      <c r="E1" s="1230"/>
      <c r="F1" s="1230"/>
      <c r="G1" s="1230"/>
      <c r="H1" s="1230"/>
      <c r="I1" s="1230"/>
      <c r="J1" s="1230"/>
      <c r="K1" s="1230"/>
      <c r="L1" s="1230"/>
    </row>
    <row r="2" spans="1:12" ht="18">
      <c r="B2" s="1225" t="s">
        <v>84</v>
      </c>
      <c r="C2" s="1225"/>
      <c r="D2" s="1225"/>
      <c r="E2" s="1225"/>
      <c r="F2" s="1225"/>
      <c r="G2" s="1225"/>
      <c r="H2" s="1225"/>
      <c r="I2" s="1225"/>
      <c r="J2" s="1225"/>
      <c r="K2" s="1225"/>
      <c r="L2" s="1225"/>
    </row>
    <row r="3" spans="1:12">
      <c r="B3"/>
      <c r="C3"/>
      <c r="D3"/>
      <c r="E3"/>
      <c r="F3"/>
      <c r="G3"/>
      <c r="H3"/>
      <c r="I3"/>
      <c r="J3"/>
      <c r="K3"/>
    </row>
    <row r="4" spans="1:12" ht="18">
      <c r="B4" s="1225" t="s">
        <v>1215</v>
      </c>
      <c r="C4" s="1225"/>
      <c r="D4" s="1225"/>
      <c r="E4" s="1225"/>
      <c r="F4" s="1225"/>
      <c r="G4" s="1225"/>
      <c r="H4" s="1225"/>
      <c r="I4" s="1225"/>
      <c r="J4" s="1225"/>
      <c r="K4" s="1225"/>
      <c r="L4" s="1225"/>
    </row>
    <row r="5" spans="1:12">
      <c r="B5"/>
      <c r="C5"/>
      <c r="D5"/>
      <c r="E5"/>
      <c r="F5"/>
      <c r="G5"/>
      <c r="H5"/>
      <c r="I5"/>
      <c r="J5"/>
      <c r="K5"/>
    </row>
    <row r="6" spans="1:12" ht="18">
      <c r="B6" s="1225" t="s">
        <v>1216</v>
      </c>
      <c r="C6" s="1225"/>
      <c r="D6" s="1225"/>
      <c r="E6" s="1225"/>
      <c r="F6" s="1225"/>
      <c r="G6" s="1225"/>
      <c r="H6" s="1225"/>
      <c r="I6" s="1225"/>
      <c r="J6" s="1225"/>
      <c r="K6" s="1225"/>
      <c r="L6" s="1225"/>
    </row>
    <row r="7" spans="1:12">
      <c r="B7" s="57"/>
      <c r="C7"/>
      <c r="D7"/>
      <c r="E7"/>
      <c r="F7"/>
      <c r="G7"/>
      <c r="H7"/>
      <c r="I7"/>
      <c r="J7"/>
      <c r="K7"/>
    </row>
    <row r="8" spans="1:12">
      <c r="B8" s="290" t="s">
        <v>130</v>
      </c>
      <c r="C8" s="430" t="s">
        <v>88</v>
      </c>
      <c r="D8" s="3"/>
      <c r="E8" s="3"/>
      <c r="F8"/>
      <c r="G8"/>
      <c r="H8" s="92" t="s">
        <v>160</v>
      </c>
      <c r="J8" s="430" t="s">
        <v>1217</v>
      </c>
      <c r="K8" s="3"/>
      <c r="L8" s="399"/>
    </row>
    <row r="11" spans="1:12" s="397" customFormat="1" ht="25.5" customHeight="1">
      <c r="A11" s="1658" t="s">
        <v>1218</v>
      </c>
      <c r="B11" s="1658" t="s">
        <v>1219</v>
      </c>
      <c r="C11" s="1658" t="s">
        <v>1220</v>
      </c>
      <c r="D11" s="1658" t="s">
        <v>1221</v>
      </c>
      <c r="E11" s="1658"/>
      <c r="F11" s="1658"/>
      <c r="G11" s="1658" t="s">
        <v>1222</v>
      </c>
      <c r="H11" s="1658" t="s">
        <v>1223</v>
      </c>
      <c r="I11" s="1658" t="s">
        <v>1224</v>
      </c>
      <c r="J11" s="1658"/>
      <c r="K11" s="1658"/>
      <c r="L11" s="1659" t="s">
        <v>113</v>
      </c>
    </row>
    <row r="12" spans="1:12">
      <c r="A12" s="1658"/>
      <c r="B12" s="1658"/>
      <c r="C12" s="1658"/>
      <c r="D12" s="1660" t="s">
        <v>1225</v>
      </c>
      <c r="E12" s="1660" t="s">
        <v>1226</v>
      </c>
      <c r="F12" s="1660" t="s">
        <v>1227</v>
      </c>
      <c r="G12" s="1658"/>
      <c r="H12" s="1658"/>
      <c r="I12" s="1661" t="s">
        <v>1228</v>
      </c>
      <c r="J12" s="1661" t="s">
        <v>1229</v>
      </c>
      <c r="K12" s="1661" t="s">
        <v>175</v>
      </c>
      <c r="L12" s="1662"/>
    </row>
    <row r="13" spans="1:12" ht="127.5">
      <c r="A13" s="1138" t="s">
        <v>1230</v>
      </c>
      <c r="B13" s="1136" t="s">
        <v>1231</v>
      </c>
      <c r="C13" s="1073" t="s">
        <v>1232</v>
      </c>
      <c r="D13" s="1191" t="s">
        <v>1233</v>
      </c>
      <c r="E13" s="1192"/>
      <c r="F13" s="1192" t="str">
        <f>+D13</f>
        <v>4 MESES</v>
      </c>
      <c r="G13" s="1185">
        <v>44924</v>
      </c>
      <c r="H13" s="1185">
        <v>45046</v>
      </c>
      <c r="I13" s="1220">
        <v>333799312</v>
      </c>
      <c r="J13" s="1220">
        <v>2439303</v>
      </c>
      <c r="K13" s="1220">
        <f>+I13+J13</f>
        <v>336238615</v>
      </c>
      <c r="L13" s="1186" t="s">
        <v>1234</v>
      </c>
    </row>
    <row r="14" spans="1:12" ht="63.75">
      <c r="A14" s="1138" t="s">
        <v>1235</v>
      </c>
      <c r="B14" s="1136" t="s">
        <v>1236</v>
      </c>
      <c r="C14" s="1073" t="s">
        <v>1237</v>
      </c>
      <c r="D14" s="1102" t="s">
        <v>1233</v>
      </c>
      <c r="E14" s="1137"/>
      <c r="F14" s="1102" t="s">
        <v>1233</v>
      </c>
      <c r="G14" s="1219" t="s">
        <v>1238</v>
      </c>
      <c r="H14" s="1183"/>
      <c r="I14" s="1220">
        <f>2125032152+233141243+47000000+90000000+17100000</f>
        <v>2512273395</v>
      </c>
      <c r="J14" s="1220">
        <f>17576267+72000000</f>
        <v>89576267</v>
      </c>
      <c r="K14" s="1220">
        <v>2601849662</v>
      </c>
      <c r="L14" s="1186" t="s">
        <v>1234</v>
      </c>
    </row>
    <row r="15" spans="1:12">
      <c r="A15" s="1138"/>
      <c r="B15" s="1136"/>
      <c r="C15" s="1073"/>
      <c r="D15" s="1181"/>
      <c r="E15" s="398"/>
      <c r="F15" s="1182"/>
      <c r="G15" s="1184"/>
      <c r="H15" s="1184"/>
      <c r="I15" s="1220"/>
      <c r="J15" s="1220"/>
      <c r="K15" s="1220"/>
      <c r="L15" s="1186"/>
    </row>
    <row r="16" spans="1:12">
      <c r="A16" s="1138"/>
      <c r="B16" s="1136"/>
      <c r="C16" s="1073"/>
      <c r="D16" s="1183"/>
      <c r="E16" s="1184"/>
      <c r="F16" s="1183"/>
      <c r="G16" s="1187"/>
      <c r="H16" s="1187"/>
      <c r="I16" s="1220"/>
      <c r="J16" s="1220"/>
      <c r="K16" s="1220"/>
      <c r="L16" s="1186"/>
    </row>
    <row r="18" spans="1:12" ht="15">
      <c r="A18" s="400" t="s">
        <v>1239</v>
      </c>
    </row>
    <row r="20" spans="1:12">
      <c r="J20" s="1231" t="s">
        <v>126</v>
      </c>
      <c r="K20" s="1414"/>
      <c r="L20" s="1414"/>
    </row>
  </sheetData>
  <mergeCells count="13">
    <mergeCell ref="B1:L1"/>
    <mergeCell ref="B2:L2"/>
    <mergeCell ref="B4:L4"/>
    <mergeCell ref="B6:L6"/>
    <mergeCell ref="J20:L20"/>
    <mergeCell ref="I11:K11"/>
    <mergeCell ref="H11:H12"/>
    <mergeCell ref="L11:L12"/>
    <mergeCell ref="A11:A12"/>
    <mergeCell ref="B11:B12"/>
    <mergeCell ref="C11:C12"/>
    <mergeCell ref="D11:F11"/>
    <mergeCell ref="G11:G12"/>
  </mergeCells>
  <hyperlinks>
    <hyperlink ref="J20" location="'TABLA DE CONTENIDO'!A1" display="'TABLA DE CONTENIDO'!A1" xr:uid="{00000000-0004-0000-1E00-000000000000}"/>
    <hyperlink ref="J20:L20" location="'TABLA DE CONTENIDO'!A1" display="VOLVER A TABLA DE CONTENIDO" xr:uid="{00000000-0004-0000-1E00-000001000000}"/>
  </hyperlinks>
  <printOptions horizontalCentered="1" verticalCentered="1"/>
  <pageMargins left="0.23622047244094491" right="0.23622047244094491" top="0.98425196850393704" bottom="0.98425196850393704" header="0" footer="0"/>
  <pageSetup scale="63" orientation="landscape"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pageSetUpPr fitToPage="1"/>
  </sheetPr>
  <dimension ref="A1:CX52"/>
  <sheetViews>
    <sheetView topLeftCell="CG19" zoomScaleNormal="100" workbookViewId="0">
      <selection activeCell="CM36" sqref="CM36"/>
    </sheetView>
  </sheetViews>
  <sheetFormatPr defaultColWidth="11.42578125" defaultRowHeight="12.75"/>
  <cols>
    <col min="1" max="102" width="14.7109375" customWidth="1"/>
  </cols>
  <sheetData>
    <row r="1" spans="1:102" ht="23.25">
      <c r="A1" s="1228" t="s">
        <v>1</v>
      </c>
      <c r="B1" s="1228"/>
      <c r="C1" s="1228"/>
      <c r="D1" s="1228"/>
      <c r="E1" s="1228"/>
      <c r="F1" s="1228"/>
      <c r="G1" s="1228" t="s">
        <v>1</v>
      </c>
      <c r="H1" s="1228"/>
      <c r="I1" s="1228"/>
      <c r="J1" s="1228"/>
      <c r="K1" s="1228"/>
      <c r="L1" s="1228"/>
      <c r="M1" s="1228" t="s">
        <v>1</v>
      </c>
      <c r="N1" s="1228"/>
      <c r="O1" s="1228"/>
      <c r="P1" s="1228"/>
      <c r="Q1" s="1228"/>
      <c r="R1" s="1228"/>
      <c r="S1" s="1228" t="s">
        <v>1</v>
      </c>
      <c r="T1" s="1228"/>
      <c r="U1" s="1228"/>
      <c r="V1" s="1228"/>
      <c r="W1" s="1228"/>
      <c r="X1" s="1228"/>
      <c r="Y1" s="1228" t="s">
        <v>1</v>
      </c>
      <c r="Z1" s="1228"/>
      <c r="AA1" s="1228"/>
      <c r="AB1" s="1228"/>
      <c r="AC1" s="1228"/>
      <c r="AD1" s="1228"/>
      <c r="AE1" s="1228" t="s">
        <v>1</v>
      </c>
      <c r="AF1" s="1228"/>
      <c r="AG1" s="1228"/>
      <c r="AH1" s="1228"/>
      <c r="AI1" s="1228"/>
      <c r="AJ1" s="1228"/>
      <c r="AK1" s="1228" t="s">
        <v>1</v>
      </c>
      <c r="AL1" s="1228"/>
      <c r="AM1" s="1228"/>
      <c r="AN1" s="1228"/>
      <c r="AO1" s="1228"/>
      <c r="AP1" s="1228"/>
      <c r="AQ1" s="1228" t="s">
        <v>1</v>
      </c>
      <c r="AR1" s="1228"/>
      <c r="AS1" s="1228"/>
      <c r="AT1" s="1228"/>
      <c r="AU1" s="1228"/>
      <c r="AV1" s="1228"/>
      <c r="AW1" s="1228" t="s">
        <v>1</v>
      </c>
      <c r="AX1" s="1228"/>
      <c r="AY1" s="1228"/>
      <c r="AZ1" s="1228"/>
      <c r="BA1" s="1228"/>
      <c r="BB1" s="1228"/>
      <c r="BC1" s="1228" t="s">
        <v>1</v>
      </c>
      <c r="BD1" s="1228"/>
      <c r="BE1" s="1228"/>
      <c r="BF1" s="1228"/>
      <c r="BG1" s="1228"/>
      <c r="BH1" s="1228"/>
      <c r="BI1" s="1228" t="s">
        <v>1</v>
      </c>
      <c r="BJ1" s="1228"/>
      <c r="BK1" s="1228"/>
      <c r="BL1" s="1228"/>
      <c r="BM1" s="1228"/>
      <c r="BN1" s="1228"/>
      <c r="BO1" s="1228" t="s">
        <v>1</v>
      </c>
      <c r="BP1" s="1228"/>
      <c r="BQ1" s="1228"/>
      <c r="BR1" s="1228"/>
      <c r="BS1" s="1228"/>
      <c r="BT1" s="1228"/>
      <c r="BU1" s="1228" t="s">
        <v>1</v>
      </c>
      <c r="BV1" s="1228"/>
      <c r="BW1" s="1228"/>
      <c r="BX1" s="1228"/>
      <c r="BY1" s="1228"/>
      <c r="BZ1" s="1228"/>
      <c r="CA1" s="1228" t="s">
        <v>1</v>
      </c>
      <c r="CB1" s="1228"/>
      <c r="CC1" s="1228"/>
      <c r="CD1" s="1228"/>
      <c r="CE1" s="1228"/>
      <c r="CF1" s="1228"/>
      <c r="CG1" s="1228" t="s">
        <v>1</v>
      </c>
      <c r="CH1" s="1228"/>
      <c r="CI1" s="1228"/>
      <c r="CJ1" s="1228"/>
      <c r="CK1" s="1228"/>
      <c r="CL1" s="1228"/>
      <c r="CM1" s="1228" t="s">
        <v>1</v>
      </c>
      <c r="CN1" s="1228"/>
      <c r="CO1" s="1228"/>
      <c r="CP1" s="1228"/>
      <c r="CQ1" s="1228"/>
      <c r="CR1" s="1228"/>
      <c r="CS1" s="1228" t="s">
        <v>1</v>
      </c>
      <c r="CT1" s="1228"/>
      <c r="CU1" s="1228"/>
      <c r="CV1" s="1228"/>
      <c r="CW1" s="1228"/>
      <c r="CX1" s="1228"/>
    </row>
    <row r="2" spans="1:102" ht="17.25" customHeight="1">
      <c r="A2" s="278"/>
      <c r="B2" s="278"/>
      <c r="C2" s="278"/>
      <c r="D2" s="278"/>
      <c r="E2" s="278"/>
      <c r="F2" s="278"/>
      <c r="G2" s="278"/>
      <c r="H2" s="278"/>
      <c r="I2" s="278"/>
      <c r="J2" s="278"/>
      <c r="K2" s="278"/>
      <c r="L2" s="278"/>
      <c r="M2" s="278"/>
      <c r="N2" s="278"/>
      <c r="O2" s="278"/>
      <c r="P2" s="278"/>
      <c r="Q2" s="278"/>
      <c r="R2" s="278"/>
      <c r="S2" s="278"/>
      <c r="T2" s="278"/>
      <c r="U2" s="278"/>
      <c r="V2" s="278"/>
      <c r="W2" s="278"/>
      <c r="X2" s="278"/>
      <c r="Y2" s="278"/>
      <c r="Z2" s="278"/>
      <c r="AA2" s="278"/>
      <c r="AB2" s="278"/>
      <c r="AC2" s="278"/>
      <c r="AD2" s="278"/>
      <c r="AE2" s="278"/>
      <c r="AF2" s="278"/>
      <c r="AG2" s="278"/>
      <c r="AH2" s="278"/>
      <c r="AI2" s="278"/>
      <c r="AJ2" s="278"/>
      <c r="AK2" s="278"/>
      <c r="AL2" s="278"/>
      <c r="AM2" s="278"/>
      <c r="AN2" s="278"/>
      <c r="AO2" s="278"/>
      <c r="AP2" s="278"/>
      <c r="AQ2" s="278"/>
      <c r="AR2" s="278"/>
      <c r="AS2" s="278"/>
      <c r="AT2" s="278"/>
      <c r="AU2" s="278"/>
      <c r="AV2" s="278"/>
      <c r="AW2" s="278"/>
      <c r="AX2" s="278"/>
      <c r="AY2" s="278"/>
      <c r="AZ2" s="278"/>
      <c r="BA2" s="278"/>
      <c r="BB2" s="278"/>
      <c r="BC2" s="278"/>
      <c r="BD2" s="278"/>
      <c r="BE2" s="278"/>
      <c r="BF2" s="278"/>
      <c r="BG2" s="278"/>
      <c r="BH2" s="278"/>
      <c r="BI2" s="278"/>
      <c r="BJ2" s="278"/>
      <c r="BK2" s="278"/>
      <c r="BL2" s="278"/>
      <c r="BM2" s="278"/>
      <c r="BN2" s="278"/>
      <c r="BO2" s="278"/>
      <c r="BP2" s="278"/>
      <c r="BQ2" s="278"/>
      <c r="BR2" s="278"/>
      <c r="BS2" s="278"/>
      <c r="BT2" s="278"/>
      <c r="BU2" s="278"/>
      <c r="BV2" s="278"/>
      <c r="BW2" s="278"/>
      <c r="BX2" s="278"/>
      <c r="BY2" s="278"/>
      <c r="BZ2" s="278"/>
      <c r="CA2" s="278"/>
      <c r="CB2" s="278"/>
      <c r="CC2" s="278"/>
      <c r="CD2" s="278"/>
      <c r="CE2" s="278"/>
      <c r="CF2" s="278"/>
      <c r="CG2" s="278"/>
      <c r="CH2" s="278"/>
      <c r="CI2" s="278"/>
      <c r="CJ2" s="278"/>
      <c r="CK2" s="278"/>
      <c r="CL2" s="278"/>
      <c r="CM2" s="278"/>
      <c r="CN2" s="278"/>
      <c r="CO2" s="278"/>
      <c r="CP2" s="278"/>
      <c r="CQ2" s="278"/>
      <c r="CR2" s="278"/>
      <c r="CS2" s="278"/>
      <c r="CT2" s="278"/>
      <c r="CU2" s="278"/>
      <c r="CV2" s="278"/>
      <c r="CW2" s="278"/>
      <c r="CX2" s="278"/>
    </row>
    <row r="3" spans="1:102" ht="18">
      <c r="A3" s="1229" t="s">
        <v>84</v>
      </c>
      <c r="B3" s="1229"/>
      <c r="C3" s="1229"/>
      <c r="D3" s="1229"/>
      <c r="E3" s="1229"/>
      <c r="F3" s="1229"/>
      <c r="G3" s="1229" t="s">
        <v>84</v>
      </c>
      <c r="H3" s="1229"/>
      <c r="I3" s="1229"/>
      <c r="J3" s="1229"/>
      <c r="K3" s="1229"/>
      <c r="L3" s="1229"/>
      <c r="M3" s="1229" t="s">
        <v>84</v>
      </c>
      <c r="N3" s="1229"/>
      <c r="O3" s="1229"/>
      <c r="P3" s="1229"/>
      <c r="Q3" s="1229"/>
      <c r="R3" s="1229"/>
      <c r="S3" s="1229" t="s">
        <v>84</v>
      </c>
      <c r="T3" s="1229"/>
      <c r="U3" s="1229"/>
      <c r="V3" s="1229"/>
      <c r="W3" s="1229"/>
      <c r="X3" s="1229"/>
      <c r="Y3" s="1229" t="s">
        <v>84</v>
      </c>
      <c r="Z3" s="1229"/>
      <c r="AA3" s="1229"/>
      <c r="AB3" s="1229"/>
      <c r="AC3" s="1229"/>
      <c r="AD3" s="1229"/>
      <c r="AE3" s="1229" t="s">
        <v>84</v>
      </c>
      <c r="AF3" s="1229"/>
      <c r="AG3" s="1229"/>
      <c r="AH3" s="1229"/>
      <c r="AI3" s="1229"/>
      <c r="AJ3" s="1229"/>
      <c r="AK3" s="1229" t="s">
        <v>84</v>
      </c>
      <c r="AL3" s="1229"/>
      <c r="AM3" s="1229"/>
      <c r="AN3" s="1229"/>
      <c r="AO3" s="1229"/>
      <c r="AP3" s="1229"/>
      <c r="AQ3" s="1229" t="s">
        <v>84</v>
      </c>
      <c r="AR3" s="1229"/>
      <c r="AS3" s="1229"/>
      <c r="AT3" s="1229"/>
      <c r="AU3" s="1229"/>
      <c r="AV3" s="1229"/>
      <c r="AW3" s="1229" t="s">
        <v>84</v>
      </c>
      <c r="AX3" s="1229"/>
      <c r="AY3" s="1229"/>
      <c r="AZ3" s="1229"/>
      <c r="BA3" s="1229"/>
      <c r="BB3" s="1229"/>
      <c r="BC3" s="1229" t="s">
        <v>84</v>
      </c>
      <c r="BD3" s="1229"/>
      <c r="BE3" s="1229"/>
      <c r="BF3" s="1229"/>
      <c r="BG3" s="1229"/>
      <c r="BH3" s="1229"/>
      <c r="BI3" s="1229" t="s">
        <v>84</v>
      </c>
      <c r="BJ3" s="1229"/>
      <c r="BK3" s="1229"/>
      <c r="BL3" s="1229"/>
      <c r="BM3" s="1229"/>
      <c r="BN3" s="1229"/>
      <c r="BO3" s="1229" t="s">
        <v>84</v>
      </c>
      <c r="BP3" s="1229"/>
      <c r="BQ3" s="1229"/>
      <c r="BR3" s="1229"/>
      <c r="BS3" s="1229"/>
      <c r="BT3" s="1229"/>
      <c r="BU3" s="1229" t="s">
        <v>84</v>
      </c>
      <c r="BV3" s="1229"/>
      <c r="BW3" s="1229"/>
      <c r="BX3" s="1229"/>
      <c r="BY3" s="1229"/>
      <c r="BZ3" s="1229"/>
      <c r="CA3" s="1229" t="s">
        <v>84</v>
      </c>
      <c r="CB3" s="1229"/>
      <c r="CC3" s="1229"/>
      <c r="CD3" s="1229"/>
      <c r="CE3" s="1229"/>
      <c r="CF3" s="1229"/>
      <c r="CG3" s="1229" t="s">
        <v>84</v>
      </c>
      <c r="CH3" s="1229"/>
      <c r="CI3" s="1229"/>
      <c r="CJ3" s="1229"/>
      <c r="CK3" s="1229"/>
      <c r="CL3" s="1229"/>
      <c r="CM3" s="1229" t="s">
        <v>84</v>
      </c>
      <c r="CN3" s="1229"/>
      <c r="CO3" s="1229"/>
      <c r="CP3" s="1229"/>
      <c r="CQ3" s="1229"/>
      <c r="CR3" s="1229"/>
      <c r="CS3" s="1229" t="s">
        <v>84</v>
      </c>
      <c r="CT3" s="1229"/>
      <c r="CU3" s="1229"/>
      <c r="CV3" s="1229"/>
      <c r="CW3" s="1229"/>
      <c r="CX3" s="1229"/>
    </row>
    <row r="4" spans="1:102">
      <c r="B4" s="44"/>
      <c r="C4" s="37"/>
      <c r="D4" s="37"/>
      <c r="E4" s="1"/>
      <c r="F4" s="1"/>
      <c r="H4" s="44"/>
      <c r="I4" s="37"/>
      <c r="J4" s="37"/>
      <c r="K4" s="1"/>
      <c r="L4" s="1"/>
      <c r="N4" s="44"/>
      <c r="O4" s="37"/>
      <c r="P4" s="37"/>
      <c r="Q4" s="1"/>
      <c r="R4" s="1"/>
      <c r="T4" s="44"/>
      <c r="U4" s="37"/>
      <c r="V4" s="37"/>
      <c r="W4" s="1"/>
      <c r="X4" s="1"/>
      <c r="Z4" s="44"/>
      <c r="AA4" s="37"/>
      <c r="AB4" s="37"/>
      <c r="AC4" s="1"/>
      <c r="AD4" s="1"/>
      <c r="AF4" s="44"/>
      <c r="AG4" s="37"/>
      <c r="AH4" s="37"/>
      <c r="AI4" s="1"/>
      <c r="AJ4" s="1"/>
      <c r="AL4" s="44"/>
      <c r="AM4" s="37"/>
      <c r="AN4" s="37"/>
      <c r="AO4" s="1"/>
      <c r="AP4" s="1"/>
      <c r="AR4" s="44"/>
      <c r="AS4" s="37"/>
      <c r="AT4" s="37"/>
      <c r="AU4" s="1"/>
      <c r="AV4" s="1"/>
      <c r="AX4" s="44"/>
      <c r="AY4" s="37"/>
      <c r="AZ4" s="37"/>
      <c r="BA4" s="1"/>
      <c r="BB4" s="1"/>
      <c r="BD4" s="44"/>
      <c r="BE4" s="37"/>
      <c r="BF4" s="37"/>
      <c r="BG4" s="1"/>
      <c r="BH4" s="1"/>
      <c r="BJ4" s="44"/>
      <c r="BK4" s="37"/>
      <c r="BL4" s="37"/>
      <c r="BM4" s="1"/>
      <c r="BN4" s="1"/>
      <c r="BP4" s="44"/>
      <c r="BQ4" s="37"/>
      <c r="BR4" s="37"/>
      <c r="BS4" s="1"/>
      <c r="BT4" s="1"/>
      <c r="BV4" s="44"/>
      <c r="BW4" s="37"/>
      <c r="BX4" s="37"/>
      <c r="BY4" s="1"/>
      <c r="BZ4" s="1"/>
      <c r="CB4" s="44"/>
      <c r="CC4" s="37"/>
      <c r="CD4" s="37"/>
      <c r="CE4" s="1"/>
      <c r="CF4" s="1"/>
      <c r="CH4" s="44"/>
      <c r="CI4" s="37"/>
      <c r="CJ4" s="37"/>
      <c r="CK4" s="1"/>
      <c r="CL4" s="1"/>
      <c r="CN4" s="44"/>
      <c r="CO4" s="37"/>
      <c r="CP4" s="37"/>
      <c r="CQ4" s="1"/>
      <c r="CR4" s="1"/>
      <c r="CT4" s="44"/>
      <c r="CU4" s="37"/>
      <c r="CV4" s="37"/>
      <c r="CW4" s="1"/>
      <c r="CX4" s="1"/>
    </row>
    <row r="5" spans="1:102">
      <c r="B5" s="49"/>
      <c r="C5" s="40"/>
      <c r="D5" s="37"/>
      <c r="E5" s="1"/>
      <c r="F5" s="1"/>
      <c r="H5" s="49"/>
      <c r="I5" s="40"/>
      <c r="J5" s="37"/>
      <c r="K5" s="1"/>
      <c r="L5" s="1"/>
      <c r="N5" s="49"/>
      <c r="O5" s="40"/>
      <c r="P5" s="37"/>
      <c r="Q5" s="1"/>
      <c r="R5" s="1"/>
      <c r="T5" s="49"/>
      <c r="U5" s="40"/>
      <c r="V5" s="37"/>
      <c r="W5" s="1"/>
      <c r="X5" s="1"/>
      <c r="Z5" s="49"/>
      <c r="AA5" s="40"/>
      <c r="AB5" s="37"/>
      <c r="AC5" s="1"/>
      <c r="AD5" s="1"/>
      <c r="AF5" s="49"/>
      <c r="AG5" s="40"/>
      <c r="AH5" s="37"/>
      <c r="AI5" s="1"/>
      <c r="AJ5" s="1"/>
      <c r="AL5" s="49"/>
      <c r="AM5" s="40"/>
      <c r="AN5" s="37"/>
      <c r="AO5" s="1"/>
      <c r="AP5" s="1"/>
      <c r="AR5" s="49"/>
      <c r="AS5" s="40"/>
      <c r="AT5" s="37"/>
      <c r="AU5" s="1"/>
      <c r="AV5" s="1"/>
      <c r="AX5" s="49"/>
      <c r="AY5" s="40"/>
      <c r="AZ5" s="37"/>
      <c r="BA5" s="1"/>
      <c r="BB5" s="1"/>
      <c r="BD5" s="49"/>
      <c r="BE5" s="40"/>
      <c r="BF5" s="37"/>
      <c r="BG5" s="1"/>
      <c r="BH5" s="1"/>
      <c r="BJ5" s="49"/>
      <c r="BK5" s="40"/>
      <c r="BL5" s="37"/>
      <c r="BM5" s="1"/>
      <c r="BN5" s="1"/>
      <c r="BP5" s="49"/>
      <c r="BQ5" s="40"/>
      <c r="BR5" s="37"/>
      <c r="BS5" s="1"/>
      <c r="BT5" s="1"/>
      <c r="BV5" s="49"/>
      <c r="BW5" s="40"/>
      <c r="BX5" s="37"/>
      <c r="BY5" s="1"/>
      <c r="BZ5" s="1"/>
      <c r="CB5" s="49"/>
      <c r="CC5" s="40"/>
      <c r="CD5" s="37"/>
      <c r="CE5" s="1"/>
      <c r="CF5" s="1"/>
      <c r="CH5" s="49"/>
      <c r="CI5" s="40"/>
      <c r="CJ5" s="37"/>
      <c r="CK5" s="1"/>
      <c r="CL5" s="1"/>
      <c r="CN5" s="49"/>
      <c r="CO5" s="40"/>
      <c r="CP5" s="37"/>
      <c r="CQ5" s="1"/>
      <c r="CR5" s="1"/>
      <c r="CT5" s="49"/>
      <c r="CU5" s="40"/>
      <c r="CV5" s="37"/>
      <c r="CW5" s="1"/>
      <c r="CX5" s="1"/>
    </row>
    <row r="6" spans="1:102">
      <c r="B6" s="44"/>
      <c r="C6" s="37"/>
      <c r="D6" s="37"/>
      <c r="E6" s="1"/>
      <c r="F6" s="1"/>
      <c r="H6" s="44"/>
      <c r="I6" s="37"/>
      <c r="J6" s="37"/>
      <c r="K6" s="1"/>
      <c r="L6" s="1"/>
      <c r="N6" s="44"/>
      <c r="O6" s="37"/>
      <c r="P6" s="37"/>
      <c r="Q6" s="1"/>
      <c r="R6" s="1"/>
      <c r="T6" s="44"/>
      <c r="U6" s="37"/>
      <c r="V6" s="37"/>
      <c r="W6" s="1"/>
      <c r="X6" s="1"/>
      <c r="Z6" s="44"/>
      <c r="AA6" s="37"/>
      <c r="AB6" s="37"/>
      <c r="AC6" s="1"/>
      <c r="AD6" s="1"/>
      <c r="AF6" s="44"/>
      <c r="AG6" s="37"/>
      <c r="AH6" s="37"/>
      <c r="AI6" s="1"/>
      <c r="AJ6" s="1"/>
      <c r="AL6" s="44"/>
      <c r="AM6" s="37"/>
      <c r="AN6" s="37"/>
      <c r="AO6" s="1"/>
      <c r="AP6" s="1"/>
      <c r="AR6" s="44"/>
      <c r="AS6" s="37"/>
      <c r="AT6" s="37"/>
      <c r="AU6" s="1"/>
      <c r="AV6" s="1"/>
      <c r="AX6" s="44"/>
      <c r="AY6" s="37"/>
      <c r="AZ6" s="37"/>
      <c r="BA6" s="1"/>
      <c r="BB6" s="1"/>
      <c r="BD6" s="44"/>
      <c r="BE6" s="37"/>
      <c r="BF6" s="37"/>
      <c r="BG6" s="1"/>
      <c r="BH6" s="1"/>
      <c r="BJ6" s="44"/>
      <c r="BK6" s="37"/>
      <c r="BL6" s="37"/>
      <c r="BM6" s="1"/>
      <c r="BN6" s="1"/>
      <c r="BP6" s="44"/>
      <c r="BQ6" s="37"/>
      <c r="BR6" s="37"/>
      <c r="BS6" s="1"/>
      <c r="BT6" s="1"/>
      <c r="BV6" s="44"/>
      <c r="BW6" s="37"/>
      <c r="BX6" s="37"/>
      <c r="BY6" s="1"/>
      <c r="BZ6" s="1"/>
      <c r="CB6" s="44"/>
      <c r="CC6" s="37"/>
      <c r="CD6" s="37"/>
      <c r="CE6" s="1"/>
      <c r="CF6" s="1"/>
      <c r="CH6" s="44"/>
      <c r="CI6" s="37"/>
      <c r="CJ6" s="37"/>
      <c r="CK6" s="1"/>
      <c r="CL6" s="1"/>
      <c r="CN6" s="44"/>
      <c r="CO6" s="37"/>
      <c r="CP6" s="37"/>
      <c r="CQ6" s="1"/>
      <c r="CR6" s="1"/>
      <c r="CT6" s="44"/>
      <c r="CU6" s="37"/>
      <c r="CV6" s="37"/>
      <c r="CW6" s="1"/>
      <c r="CX6" s="1"/>
    </row>
    <row r="7" spans="1:102" ht="20.25">
      <c r="A7" s="1221" t="s">
        <v>1240</v>
      </c>
      <c r="B7" s="1221"/>
      <c r="C7" s="1221"/>
      <c r="D7" s="1221"/>
      <c r="E7" s="1221"/>
      <c r="F7" s="1221"/>
      <c r="G7" s="1221" t="s">
        <v>1240</v>
      </c>
      <c r="H7" s="1221"/>
      <c r="I7" s="1221"/>
      <c r="J7" s="1221"/>
      <c r="K7" s="1221"/>
      <c r="L7" s="1221"/>
      <c r="M7" s="1221" t="s">
        <v>1240</v>
      </c>
      <c r="N7" s="1221"/>
      <c r="O7" s="1221"/>
      <c r="P7" s="1221"/>
      <c r="Q7" s="1221"/>
      <c r="R7" s="1221"/>
      <c r="S7" s="1221" t="s">
        <v>1240</v>
      </c>
      <c r="T7" s="1221"/>
      <c r="U7" s="1221"/>
      <c r="V7" s="1221"/>
      <c r="W7" s="1221"/>
      <c r="X7" s="1221"/>
      <c r="Y7" s="1221" t="s">
        <v>1240</v>
      </c>
      <c r="Z7" s="1221"/>
      <c r="AA7" s="1221"/>
      <c r="AB7" s="1221"/>
      <c r="AC7" s="1221"/>
      <c r="AD7" s="1221"/>
      <c r="AE7" s="1221" t="s">
        <v>1240</v>
      </c>
      <c r="AF7" s="1221"/>
      <c r="AG7" s="1221"/>
      <c r="AH7" s="1221"/>
      <c r="AI7" s="1221"/>
      <c r="AJ7" s="1221"/>
      <c r="AK7" s="1221" t="s">
        <v>1240</v>
      </c>
      <c r="AL7" s="1221"/>
      <c r="AM7" s="1221"/>
      <c r="AN7" s="1221"/>
      <c r="AO7" s="1221"/>
      <c r="AP7" s="1221"/>
      <c r="AQ7" s="1221" t="s">
        <v>1240</v>
      </c>
      <c r="AR7" s="1221"/>
      <c r="AS7" s="1221"/>
      <c r="AT7" s="1221"/>
      <c r="AU7" s="1221"/>
      <c r="AV7" s="1221"/>
      <c r="AW7" s="1221" t="s">
        <v>1240</v>
      </c>
      <c r="AX7" s="1221"/>
      <c r="AY7" s="1221"/>
      <c r="AZ7" s="1221"/>
      <c r="BA7" s="1221"/>
      <c r="BB7" s="1221"/>
      <c r="BC7" s="1221" t="s">
        <v>1240</v>
      </c>
      <c r="BD7" s="1221"/>
      <c r="BE7" s="1221"/>
      <c r="BF7" s="1221"/>
      <c r="BG7" s="1221"/>
      <c r="BH7" s="1221"/>
      <c r="BI7" s="1221" t="s">
        <v>1240</v>
      </c>
      <c r="BJ7" s="1221"/>
      <c r="BK7" s="1221"/>
      <c r="BL7" s="1221"/>
      <c r="BM7" s="1221"/>
      <c r="BN7" s="1221"/>
      <c r="BO7" s="1221" t="s">
        <v>1240</v>
      </c>
      <c r="BP7" s="1221"/>
      <c r="BQ7" s="1221"/>
      <c r="BR7" s="1221"/>
      <c r="BS7" s="1221"/>
      <c r="BT7" s="1221"/>
      <c r="BU7" s="1221" t="s">
        <v>1240</v>
      </c>
      <c r="BV7" s="1221"/>
      <c r="BW7" s="1221"/>
      <c r="BX7" s="1221"/>
      <c r="BY7" s="1221"/>
      <c r="BZ7" s="1221"/>
      <c r="CA7" s="1221" t="s">
        <v>1240</v>
      </c>
      <c r="CB7" s="1221"/>
      <c r="CC7" s="1221"/>
      <c r="CD7" s="1221"/>
      <c r="CE7" s="1221"/>
      <c r="CF7" s="1221"/>
      <c r="CG7" s="1221" t="s">
        <v>1240</v>
      </c>
      <c r="CH7" s="1221"/>
      <c r="CI7" s="1221"/>
      <c r="CJ7" s="1221"/>
      <c r="CK7" s="1221"/>
      <c r="CL7" s="1221"/>
      <c r="CM7" s="1221" t="s">
        <v>1240</v>
      </c>
      <c r="CN7" s="1221"/>
      <c r="CO7" s="1221"/>
      <c r="CP7" s="1221"/>
      <c r="CQ7" s="1221"/>
      <c r="CR7" s="1221"/>
      <c r="CS7" s="1221" t="s">
        <v>1240</v>
      </c>
      <c r="CT7" s="1221"/>
      <c r="CU7" s="1221"/>
      <c r="CV7" s="1221"/>
      <c r="CW7" s="1221"/>
      <c r="CX7" s="1221"/>
    </row>
    <row r="8" spans="1:102">
      <c r="B8" s="44"/>
      <c r="C8" s="37"/>
      <c r="D8" s="37"/>
      <c r="E8" s="1"/>
      <c r="F8" s="1"/>
      <c r="H8" s="44"/>
      <c r="I8" s="37"/>
      <c r="J8" s="37"/>
      <c r="K8" s="1"/>
      <c r="L8" s="1"/>
      <c r="N8" s="44"/>
      <c r="O8" s="37"/>
      <c r="P8" s="37"/>
      <c r="Q8" s="1"/>
      <c r="R8" s="1"/>
      <c r="T8" s="44"/>
      <c r="U8" s="37"/>
      <c r="V8" s="37"/>
      <c r="W8" s="1"/>
      <c r="X8" s="1"/>
      <c r="Z8" s="44"/>
      <c r="AA8" s="37"/>
      <c r="AB8" s="37"/>
      <c r="AC8" s="1"/>
      <c r="AD8" s="1"/>
      <c r="AF8" s="44"/>
      <c r="AG8" s="37"/>
      <c r="AH8" s="37"/>
      <c r="AI8" s="1"/>
      <c r="AJ8" s="1"/>
      <c r="AL8" s="44"/>
      <c r="AM8" s="37"/>
      <c r="AN8" s="37"/>
      <c r="AO8" s="1"/>
      <c r="AP8" s="1"/>
      <c r="AR8" s="44"/>
      <c r="AS8" s="37"/>
      <c r="AT8" s="37"/>
      <c r="AU8" s="1"/>
      <c r="AV8" s="1"/>
      <c r="AX8" s="44"/>
      <c r="AY8" s="37"/>
      <c r="AZ8" s="37"/>
      <c r="BA8" s="1"/>
      <c r="BB8" s="1"/>
      <c r="BD8" s="44"/>
      <c r="BE8" s="37"/>
      <c r="BF8" s="37"/>
      <c r="BG8" s="1"/>
      <c r="BH8" s="1"/>
      <c r="BJ8" s="44"/>
      <c r="BK8" s="37"/>
      <c r="BL8" s="37"/>
      <c r="BM8" s="1"/>
      <c r="BN8" s="1"/>
      <c r="BP8" s="44"/>
      <c r="BQ8" s="37"/>
      <c r="BR8" s="37"/>
      <c r="BS8" s="1"/>
      <c r="BT8" s="1"/>
      <c r="BV8" s="44"/>
      <c r="BW8" s="37"/>
      <c r="BX8" s="37"/>
      <c r="BY8" s="1"/>
      <c r="BZ8" s="1"/>
      <c r="CB8" s="44"/>
      <c r="CC8" s="37"/>
      <c r="CD8" s="37"/>
      <c r="CE8" s="1"/>
      <c r="CF8" s="1"/>
      <c r="CH8" s="44"/>
      <c r="CI8" s="37"/>
      <c r="CJ8" s="37"/>
      <c r="CK8" s="1"/>
      <c r="CL8" s="1"/>
      <c r="CN8" s="44"/>
      <c r="CO8" s="37"/>
      <c r="CP8" s="37"/>
      <c r="CQ8" s="1"/>
      <c r="CR8" s="1"/>
      <c r="CT8" s="44"/>
      <c r="CU8" s="37"/>
      <c r="CV8" s="37"/>
      <c r="CW8" s="1"/>
      <c r="CX8" s="1"/>
    </row>
    <row r="9" spans="1:102">
      <c r="A9" s="175" t="s">
        <v>130</v>
      </c>
      <c r="B9" s="38"/>
      <c r="C9" s="3" t="s">
        <v>88</v>
      </c>
      <c r="D9" s="3"/>
      <c r="E9" s="3"/>
      <c r="G9" s="175" t="s">
        <v>130</v>
      </c>
      <c r="H9" s="38"/>
      <c r="I9" s="3" t="s">
        <v>88</v>
      </c>
      <c r="J9" s="3"/>
      <c r="K9" s="3"/>
      <c r="M9" s="175" t="s">
        <v>130</v>
      </c>
      <c r="N9" s="38"/>
      <c r="O9" s="3" t="s">
        <v>88</v>
      </c>
      <c r="P9" s="3"/>
      <c r="Q9" s="3"/>
      <c r="S9" s="175" t="s">
        <v>130</v>
      </c>
      <c r="T9" s="38"/>
      <c r="U9" s="3" t="s">
        <v>88</v>
      </c>
      <c r="V9" s="3"/>
      <c r="W9" s="3"/>
      <c r="Y9" s="175" t="s">
        <v>130</v>
      </c>
      <c r="Z9" s="38"/>
      <c r="AA9" s="3" t="s">
        <v>88</v>
      </c>
      <c r="AB9" s="3"/>
      <c r="AC9" s="3"/>
      <c r="AE9" s="175" t="s">
        <v>130</v>
      </c>
      <c r="AF9" s="38"/>
      <c r="AG9" s="3" t="s">
        <v>88</v>
      </c>
      <c r="AH9" s="3"/>
      <c r="AI9" s="3"/>
      <c r="AK9" s="175" t="s">
        <v>130</v>
      </c>
      <c r="AL9" s="38"/>
      <c r="AM9" s="3" t="s">
        <v>88</v>
      </c>
      <c r="AN9" s="3"/>
      <c r="AO9" s="3"/>
      <c r="AQ9" s="175" t="s">
        <v>130</v>
      </c>
      <c r="AR9" s="38"/>
      <c r="AS9" s="3" t="s">
        <v>88</v>
      </c>
      <c r="AT9" s="3"/>
      <c r="AU9" s="3"/>
      <c r="AW9" s="175" t="s">
        <v>130</v>
      </c>
      <c r="AX9" s="38"/>
      <c r="AY9" s="3" t="s">
        <v>88</v>
      </c>
      <c r="AZ9" s="3"/>
      <c r="BA9" s="3"/>
      <c r="BC9" s="175" t="s">
        <v>130</v>
      </c>
      <c r="BD9" s="38"/>
      <c r="BE9" s="3" t="s">
        <v>88</v>
      </c>
      <c r="BF9" s="3"/>
      <c r="BG9" s="3"/>
      <c r="BI9" s="175" t="s">
        <v>130</v>
      </c>
      <c r="BJ9" s="38"/>
      <c r="BK9" s="3" t="s">
        <v>88</v>
      </c>
      <c r="BL9" s="3"/>
      <c r="BM9" s="3"/>
      <c r="BO9" s="175" t="s">
        <v>130</v>
      </c>
      <c r="BP9" s="38"/>
      <c r="BQ9" s="3" t="s">
        <v>88</v>
      </c>
      <c r="BR9" s="3"/>
      <c r="BS9" s="3"/>
      <c r="BU9" s="175" t="s">
        <v>130</v>
      </c>
      <c r="BV9" s="38"/>
      <c r="BW9" s="3" t="s">
        <v>88</v>
      </c>
      <c r="BX9" s="3"/>
      <c r="BY9" s="3"/>
      <c r="CA9" s="175" t="s">
        <v>130</v>
      </c>
      <c r="CB9" s="38"/>
      <c r="CC9" s="3" t="s">
        <v>88</v>
      </c>
      <c r="CD9" s="3"/>
      <c r="CE9" s="3"/>
      <c r="CG9" s="175" t="s">
        <v>130</v>
      </c>
      <c r="CH9" s="38"/>
      <c r="CI9" s="3" t="s">
        <v>88</v>
      </c>
      <c r="CJ9" s="3"/>
      <c r="CK9" s="3"/>
      <c r="CM9" s="175" t="s">
        <v>130</v>
      </c>
      <c r="CN9" s="38"/>
      <c r="CO9" s="3" t="s">
        <v>88</v>
      </c>
      <c r="CP9" s="3"/>
      <c r="CQ9" s="3"/>
      <c r="CS9" s="175" t="s">
        <v>130</v>
      </c>
      <c r="CT9" s="38"/>
      <c r="CU9" s="3" t="s">
        <v>88</v>
      </c>
      <c r="CV9" s="3"/>
      <c r="CW9" s="3"/>
    </row>
    <row r="10" spans="1:102">
      <c r="A10" s="175"/>
      <c r="B10" s="38"/>
      <c r="G10" s="175"/>
      <c r="H10" s="38"/>
      <c r="M10" s="175"/>
      <c r="N10" s="38"/>
      <c r="S10" s="175"/>
      <c r="T10" s="38"/>
      <c r="Y10" s="175"/>
      <c r="Z10" s="38"/>
      <c r="AE10" s="175"/>
      <c r="AF10" s="38"/>
      <c r="AK10" s="175"/>
      <c r="AL10" s="38"/>
      <c r="AQ10" s="175"/>
      <c r="AR10" s="38"/>
      <c r="AW10" s="175"/>
      <c r="AX10" s="38"/>
      <c r="BC10" s="175"/>
      <c r="BD10" s="38"/>
      <c r="BI10" s="175"/>
      <c r="BJ10" s="38"/>
      <c r="BO10" s="175"/>
      <c r="BP10" s="38"/>
      <c r="BU10" s="175"/>
      <c r="BV10" s="38"/>
      <c r="CA10" s="175"/>
      <c r="CB10" s="38"/>
      <c r="CG10" s="175"/>
      <c r="CH10" s="38"/>
      <c r="CM10" s="175"/>
      <c r="CN10" s="38"/>
      <c r="CS10" s="175"/>
      <c r="CT10" s="38"/>
    </row>
    <row r="11" spans="1:102">
      <c r="A11" s="1431" t="s">
        <v>1241</v>
      </c>
      <c r="B11" s="1431"/>
      <c r="C11" s="1431"/>
      <c r="D11" s="1431"/>
      <c r="E11" s="1431"/>
      <c r="F11" s="1431"/>
      <c r="G11" s="1431" t="str">
        <f>+A11</f>
        <v>TRIMESTRE EVALUADO: ENERO - MARZO / 2023</v>
      </c>
      <c r="H11" s="1431"/>
      <c r="I11" s="1431"/>
      <c r="J11" s="1431"/>
      <c r="K11" s="1431"/>
      <c r="L11" s="1431"/>
      <c r="M11" s="1431" t="str">
        <f>+G11</f>
        <v>TRIMESTRE EVALUADO: ENERO - MARZO / 2023</v>
      </c>
      <c r="N11" s="1431"/>
      <c r="O11" s="1431"/>
      <c r="P11" s="1431"/>
      <c r="Q11" s="1431"/>
      <c r="R11" s="1431"/>
      <c r="S11" s="1431" t="str">
        <f>+M11</f>
        <v>TRIMESTRE EVALUADO: ENERO - MARZO / 2023</v>
      </c>
      <c r="T11" s="1431"/>
      <c r="U11" s="1431"/>
      <c r="V11" s="1431"/>
      <c r="W11" s="1431"/>
      <c r="X11" s="1431"/>
      <c r="Y11" s="1431" t="str">
        <f>+S11</f>
        <v>TRIMESTRE EVALUADO: ENERO - MARZO / 2023</v>
      </c>
      <c r="Z11" s="1431"/>
      <c r="AA11" s="1431"/>
      <c r="AB11" s="1431"/>
      <c r="AC11" s="1431"/>
      <c r="AD11" s="1431"/>
      <c r="AE11" s="1431" t="str">
        <f>+Y11</f>
        <v>TRIMESTRE EVALUADO: ENERO - MARZO / 2023</v>
      </c>
      <c r="AF11" s="1431"/>
      <c r="AG11" s="1431"/>
      <c r="AH11" s="1431"/>
      <c r="AI11" s="1431"/>
      <c r="AJ11" s="1431"/>
      <c r="AK11" s="1431" t="str">
        <f>+AE11</f>
        <v>TRIMESTRE EVALUADO: ENERO - MARZO / 2023</v>
      </c>
      <c r="AL11" s="1431"/>
      <c r="AM11" s="1431"/>
      <c r="AN11" s="1431"/>
      <c r="AO11" s="1431"/>
      <c r="AP11" s="1431"/>
      <c r="AQ11" s="1431" t="str">
        <f>+AK11</f>
        <v>TRIMESTRE EVALUADO: ENERO - MARZO / 2023</v>
      </c>
      <c r="AR11" s="1431"/>
      <c r="AS11" s="1431"/>
      <c r="AT11" s="1431"/>
      <c r="AU11" s="1431"/>
      <c r="AV11" s="1431"/>
      <c r="AW11" s="1431" t="str">
        <f>+AQ11</f>
        <v>TRIMESTRE EVALUADO: ENERO - MARZO / 2023</v>
      </c>
      <c r="AX11" s="1431"/>
      <c r="AY11" s="1431"/>
      <c r="AZ11" s="1431"/>
      <c r="BA11" s="1431"/>
      <c r="BB11" s="1431"/>
      <c r="BC11" s="1431" t="str">
        <f>+AW11</f>
        <v>TRIMESTRE EVALUADO: ENERO - MARZO / 2023</v>
      </c>
      <c r="BD11" s="1431"/>
      <c r="BE11" s="1431"/>
      <c r="BF11" s="1431"/>
      <c r="BG11" s="1431"/>
      <c r="BH11" s="1431"/>
      <c r="BI11" s="1431" t="str">
        <f>+BC11</f>
        <v>TRIMESTRE EVALUADO: ENERO - MARZO / 2023</v>
      </c>
      <c r="BJ11" s="1431"/>
      <c r="BK11" s="1431"/>
      <c r="BL11" s="1431"/>
      <c r="BM11" s="1431"/>
      <c r="BN11" s="1431"/>
      <c r="BO11" s="1431" t="str">
        <f>+BI11</f>
        <v>TRIMESTRE EVALUADO: ENERO - MARZO / 2023</v>
      </c>
      <c r="BP11" s="1431"/>
      <c r="BQ11" s="1431"/>
      <c r="BR11" s="1431"/>
      <c r="BS11" s="1431"/>
      <c r="BT11" s="1431"/>
      <c r="BU11" s="1431" t="str">
        <f>+BO11</f>
        <v>TRIMESTRE EVALUADO: ENERO - MARZO / 2023</v>
      </c>
      <c r="BV11" s="1431"/>
      <c r="BW11" s="1431"/>
      <c r="BX11" s="1431"/>
      <c r="BY11" s="1431"/>
      <c r="BZ11" s="1431"/>
      <c r="CA11" s="1431" t="str">
        <f>+BU11</f>
        <v>TRIMESTRE EVALUADO: ENERO - MARZO / 2023</v>
      </c>
      <c r="CB11" s="1431"/>
      <c r="CC11" s="1431"/>
      <c r="CD11" s="1431"/>
      <c r="CE11" s="1431"/>
      <c r="CF11" s="1431"/>
      <c r="CG11" s="1431" t="str">
        <f>+CA11</f>
        <v>TRIMESTRE EVALUADO: ENERO - MARZO / 2023</v>
      </c>
      <c r="CH11" s="1431"/>
      <c r="CI11" s="1431"/>
      <c r="CJ11" s="1431"/>
      <c r="CK11" s="1431"/>
      <c r="CL11" s="1431"/>
      <c r="CM11" s="1431" t="str">
        <f>+CG11</f>
        <v>TRIMESTRE EVALUADO: ENERO - MARZO / 2023</v>
      </c>
      <c r="CN11" s="1431"/>
      <c r="CO11" s="1431"/>
      <c r="CP11" s="1431"/>
      <c r="CQ11" s="1431"/>
      <c r="CR11" s="1431"/>
      <c r="CS11" s="1431" t="str">
        <f>+CM11</f>
        <v>TRIMESTRE EVALUADO: ENERO - MARZO / 2023</v>
      </c>
      <c r="CT11" s="1431"/>
      <c r="CU11" s="1431"/>
      <c r="CV11" s="1431"/>
      <c r="CW11" s="1431"/>
      <c r="CX11" s="1431"/>
    </row>
    <row r="12" spans="1:102" ht="13.5" thickBot="1"/>
    <row r="13" spans="1:102">
      <c r="A13" s="16"/>
      <c r="B13" s="17"/>
      <c r="C13" s="18"/>
      <c r="D13" s="17"/>
      <c r="E13" s="17"/>
      <c r="F13" s="18"/>
      <c r="G13" s="16"/>
      <c r="H13" s="17"/>
      <c r="I13" s="18"/>
      <c r="J13" s="17"/>
      <c r="K13" s="17"/>
      <c r="L13" s="18"/>
      <c r="M13" s="16"/>
      <c r="N13" s="17"/>
      <c r="O13" s="18"/>
      <c r="P13" s="17"/>
      <c r="Q13" s="17"/>
      <c r="R13" s="18"/>
      <c r="S13" s="16"/>
      <c r="T13" s="17"/>
      <c r="U13" s="18"/>
      <c r="V13" s="17"/>
      <c r="W13" s="17"/>
      <c r="X13" s="18"/>
      <c r="Y13" s="16"/>
      <c r="Z13" s="17"/>
      <c r="AA13" s="18"/>
      <c r="AB13" s="17"/>
      <c r="AC13" s="17"/>
      <c r="AD13" s="18"/>
      <c r="AE13" s="16"/>
      <c r="AF13" s="17"/>
      <c r="AG13" s="18"/>
      <c r="AH13" s="17"/>
      <c r="AI13" s="17"/>
      <c r="AJ13" s="18"/>
      <c r="AK13" s="16"/>
      <c r="AL13" s="17"/>
      <c r="AM13" s="18"/>
      <c r="AN13" s="17"/>
      <c r="AO13" s="17"/>
      <c r="AP13" s="18"/>
      <c r="AQ13" s="16"/>
      <c r="AR13" s="17"/>
      <c r="AS13" s="18"/>
      <c r="AT13" s="17"/>
      <c r="AU13" s="17"/>
      <c r="AV13" s="18"/>
      <c r="AW13" s="16"/>
      <c r="AX13" s="17"/>
      <c r="AY13" s="18"/>
      <c r="AZ13" s="17"/>
      <c r="BA13" s="17"/>
      <c r="BB13" s="18"/>
      <c r="BC13" s="16"/>
      <c r="BD13" s="17"/>
      <c r="BE13" s="18"/>
      <c r="BF13" s="17"/>
      <c r="BG13" s="17"/>
      <c r="BH13" s="18"/>
      <c r="BI13" s="16"/>
      <c r="BJ13" s="17"/>
      <c r="BK13" s="18"/>
      <c r="BL13" s="17"/>
      <c r="BM13" s="17"/>
      <c r="BN13" s="18"/>
      <c r="BO13" s="16"/>
      <c r="BP13" s="17"/>
      <c r="BQ13" s="18"/>
      <c r="BR13" s="17"/>
      <c r="BS13" s="17"/>
      <c r="BT13" s="18"/>
      <c r="BU13" s="16"/>
      <c r="BV13" s="17"/>
      <c r="BW13" s="18"/>
      <c r="BX13" s="17"/>
      <c r="BY13" s="17"/>
      <c r="BZ13" s="18"/>
      <c r="CA13" s="16"/>
      <c r="CB13" s="17"/>
      <c r="CC13" s="18"/>
      <c r="CD13" s="17"/>
      <c r="CE13" s="17"/>
      <c r="CF13" s="18"/>
      <c r="CG13" s="16"/>
      <c r="CH13" s="17"/>
      <c r="CI13" s="18"/>
      <c r="CJ13" s="17"/>
      <c r="CK13" s="17"/>
      <c r="CL13" s="18"/>
      <c r="CM13" s="16"/>
      <c r="CN13" s="17"/>
      <c r="CO13" s="18"/>
      <c r="CP13" s="17"/>
      <c r="CQ13" s="17"/>
      <c r="CR13" s="18"/>
      <c r="CS13" s="16"/>
      <c r="CT13" s="17"/>
      <c r="CU13" s="18"/>
      <c r="CV13" s="17"/>
      <c r="CW13" s="17"/>
      <c r="CX13" s="18"/>
    </row>
    <row r="14" spans="1:102">
      <c r="A14" s="9"/>
      <c r="C14" s="19"/>
      <c r="F14" s="19"/>
      <c r="G14" s="9"/>
      <c r="I14" s="19"/>
      <c r="L14" s="19"/>
      <c r="M14" s="9"/>
      <c r="O14" s="19"/>
      <c r="R14" s="19"/>
      <c r="S14" s="9"/>
      <c r="U14" s="19"/>
      <c r="X14" s="19"/>
      <c r="Y14" s="9"/>
      <c r="AA14" s="19"/>
      <c r="AD14" s="19"/>
      <c r="AE14" s="9"/>
      <c r="AG14" s="19"/>
      <c r="AJ14" s="19"/>
      <c r="AK14" s="9"/>
      <c r="AM14" s="19"/>
      <c r="AP14" s="19"/>
      <c r="AQ14" s="9"/>
      <c r="AS14" s="19"/>
      <c r="AV14" s="19"/>
      <c r="AW14" s="9"/>
      <c r="AY14" s="19"/>
      <c r="BB14" s="19"/>
      <c r="BC14" s="9"/>
      <c r="BE14" s="19"/>
      <c r="BH14" s="19"/>
      <c r="BI14" s="9"/>
      <c r="BK14" s="19"/>
      <c r="BN14" s="19"/>
      <c r="BO14" s="9"/>
      <c r="BQ14" s="19"/>
      <c r="BT14" s="19"/>
      <c r="BU14" s="9"/>
      <c r="BW14" s="19"/>
      <c r="BZ14" s="19"/>
      <c r="CA14" s="9"/>
      <c r="CC14" s="19"/>
      <c r="CF14" s="19"/>
      <c r="CG14" s="9"/>
      <c r="CI14" s="19"/>
      <c r="CL14" s="19"/>
      <c r="CM14" s="9"/>
      <c r="CO14" s="19"/>
      <c r="CR14" s="19"/>
      <c r="CS14" s="9"/>
      <c r="CU14" s="19"/>
      <c r="CX14" s="19"/>
    </row>
    <row r="15" spans="1:102">
      <c r="A15" s="9"/>
      <c r="C15" s="19"/>
      <c r="F15" s="19"/>
      <c r="G15" s="9"/>
      <c r="I15" s="19"/>
      <c r="L15" s="19"/>
      <c r="M15" s="9"/>
      <c r="O15" s="19"/>
      <c r="R15" s="19"/>
      <c r="S15" s="9"/>
      <c r="U15" s="19"/>
      <c r="X15" s="19"/>
      <c r="Y15" s="9"/>
      <c r="AA15" s="19"/>
      <c r="AD15" s="19"/>
      <c r="AE15" s="9"/>
      <c r="AG15" s="19"/>
      <c r="AJ15" s="19"/>
      <c r="AK15" s="9"/>
      <c r="AM15" s="19"/>
      <c r="AP15" s="19"/>
      <c r="AQ15" s="9"/>
      <c r="AS15" s="19"/>
      <c r="AV15" s="19"/>
      <c r="AW15" s="9"/>
      <c r="AY15" s="19"/>
      <c r="BB15" s="19"/>
      <c r="BC15" s="9"/>
      <c r="BE15" s="19"/>
      <c r="BH15" s="19"/>
      <c r="BI15" s="9"/>
      <c r="BK15" s="19"/>
      <c r="BN15" s="19"/>
      <c r="BO15" s="9"/>
      <c r="BQ15" s="19"/>
      <c r="BT15" s="19"/>
      <c r="BU15" s="9"/>
      <c r="BW15" s="19"/>
      <c r="BZ15" s="19"/>
      <c r="CA15" s="9"/>
      <c r="CC15" s="19"/>
      <c r="CF15" s="19"/>
      <c r="CG15" s="9"/>
      <c r="CI15" s="19"/>
      <c r="CL15" s="19"/>
      <c r="CM15" s="9"/>
      <c r="CO15" s="19"/>
      <c r="CR15" s="19"/>
      <c r="CS15" s="9"/>
      <c r="CU15" s="19"/>
      <c r="CX15" s="19"/>
    </row>
    <row r="16" spans="1:102">
      <c r="A16" s="9"/>
      <c r="C16" s="19"/>
      <c r="F16" s="19"/>
      <c r="G16" s="9"/>
      <c r="I16" s="19"/>
      <c r="L16" s="19"/>
      <c r="M16" s="9"/>
      <c r="O16" s="19"/>
      <c r="R16" s="19"/>
      <c r="S16" s="9"/>
      <c r="U16" s="19"/>
      <c r="X16" s="19"/>
      <c r="Y16" s="9"/>
      <c r="AA16" s="19"/>
      <c r="AD16" s="19"/>
      <c r="AE16" s="9"/>
      <c r="AG16" s="19"/>
      <c r="AJ16" s="19"/>
      <c r="AK16" s="9"/>
      <c r="AM16" s="19"/>
      <c r="AP16" s="19"/>
      <c r="AQ16" s="9"/>
      <c r="AS16" s="19"/>
      <c r="AV16" s="19"/>
      <c r="AW16" s="9"/>
      <c r="AY16" s="19"/>
      <c r="BB16" s="19"/>
      <c r="BC16" s="9"/>
      <c r="BE16" s="19"/>
      <c r="BH16" s="19"/>
      <c r="BI16" s="9"/>
      <c r="BK16" s="19"/>
      <c r="BN16" s="19"/>
      <c r="BO16" s="9"/>
      <c r="BQ16" s="19"/>
      <c r="BT16" s="19"/>
      <c r="BU16" s="9"/>
      <c r="BW16" s="19"/>
      <c r="BZ16" s="19"/>
      <c r="CA16" s="9"/>
      <c r="CC16" s="19"/>
      <c r="CF16" s="19"/>
      <c r="CG16" s="9"/>
      <c r="CI16" s="19"/>
      <c r="CL16" s="19"/>
      <c r="CM16" s="9"/>
      <c r="CO16" s="19"/>
      <c r="CR16" s="19"/>
      <c r="CS16" s="9"/>
      <c r="CU16" s="19"/>
      <c r="CX16" s="19"/>
    </row>
    <row r="17" spans="1:102">
      <c r="A17" s="9"/>
      <c r="C17" s="19"/>
      <c r="F17" s="19"/>
      <c r="G17" s="9"/>
      <c r="I17" s="19"/>
      <c r="L17" s="19"/>
      <c r="M17" s="9"/>
      <c r="O17" s="19"/>
      <c r="R17" s="19"/>
      <c r="S17" s="9"/>
      <c r="U17" s="19"/>
      <c r="X17" s="19"/>
      <c r="Y17" s="9"/>
      <c r="AA17" s="19"/>
      <c r="AD17" s="19"/>
      <c r="AE17" s="9"/>
      <c r="AG17" s="19"/>
      <c r="AJ17" s="19"/>
      <c r="AK17" s="9"/>
      <c r="AM17" s="19"/>
      <c r="AP17" s="19"/>
      <c r="AQ17" s="9"/>
      <c r="AS17" s="19"/>
      <c r="AV17" s="19"/>
      <c r="AW17" s="9"/>
      <c r="AY17" s="19"/>
      <c r="BB17" s="19"/>
      <c r="BC17" s="9"/>
      <c r="BE17" s="19"/>
      <c r="BH17" s="19"/>
      <c r="BI17" s="9"/>
      <c r="BK17" s="19"/>
      <c r="BN17" s="19"/>
      <c r="BO17" s="9"/>
      <c r="BQ17" s="19"/>
      <c r="BT17" s="19"/>
      <c r="BU17" s="9"/>
      <c r="BW17" s="19"/>
      <c r="BZ17" s="19"/>
      <c r="CA17" s="9"/>
      <c r="CC17" s="19"/>
      <c r="CF17" s="19"/>
      <c r="CG17" s="9"/>
      <c r="CI17" s="19"/>
      <c r="CL17" s="19"/>
      <c r="CM17" s="9"/>
      <c r="CO17" s="19"/>
      <c r="CR17" s="19"/>
      <c r="CS17" s="9"/>
      <c r="CU17" s="19"/>
      <c r="CX17" s="19"/>
    </row>
    <row r="18" spans="1:102">
      <c r="A18" s="9"/>
      <c r="C18" s="19"/>
      <c r="F18" s="19"/>
      <c r="G18" s="9"/>
      <c r="I18" s="19"/>
      <c r="L18" s="19"/>
      <c r="M18" s="9"/>
      <c r="O18" s="19"/>
      <c r="R18" s="19"/>
      <c r="S18" s="9"/>
      <c r="U18" s="19"/>
      <c r="X18" s="19"/>
      <c r="Y18" s="9"/>
      <c r="AA18" s="19"/>
      <c r="AD18" s="19"/>
      <c r="AE18" s="9"/>
      <c r="AG18" s="19"/>
      <c r="AJ18" s="19"/>
      <c r="AK18" s="9"/>
      <c r="AM18" s="19"/>
      <c r="AP18" s="19"/>
      <c r="AQ18" s="9"/>
      <c r="AS18" s="19"/>
      <c r="AV18" s="19"/>
      <c r="AW18" s="9"/>
      <c r="AY18" s="19"/>
      <c r="BB18" s="19"/>
      <c r="BC18" s="9"/>
      <c r="BE18" s="19"/>
      <c r="BH18" s="19"/>
      <c r="BI18" s="9"/>
      <c r="BK18" s="19"/>
      <c r="BN18" s="19"/>
      <c r="BO18" s="9"/>
      <c r="BQ18" s="19"/>
      <c r="BT18" s="19"/>
      <c r="BU18" s="9"/>
      <c r="BW18" s="19"/>
      <c r="BZ18" s="19"/>
      <c r="CA18" s="9"/>
      <c r="CC18" s="19"/>
      <c r="CF18" s="19"/>
      <c r="CG18" s="9"/>
      <c r="CI18" s="19"/>
      <c r="CL18" s="19"/>
      <c r="CM18" s="9"/>
      <c r="CO18" s="19"/>
      <c r="CR18" s="19"/>
      <c r="CS18" s="9"/>
      <c r="CU18" s="19"/>
      <c r="CX18" s="19"/>
    </row>
    <row r="19" spans="1:102">
      <c r="A19" s="9"/>
      <c r="C19" s="19"/>
      <c r="F19" s="19"/>
      <c r="G19" s="9"/>
      <c r="I19" s="19"/>
      <c r="L19" s="19"/>
      <c r="M19" s="9"/>
      <c r="O19" s="19"/>
      <c r="R19" s="19"/>
      <c r="S19" s="9"/>
      <c r="U19" s="19"/>
      <c r="X19" s="19"/>
      <c r="Y19" s="9"/>
      <c r="AA19" s="19"/>
      <c r="AD19" s="19"/>
      <c r="AE19" s="9"/>
      <c r="AG19" s="19"/>
      <c r="AJ19" s="19"/>
      <c r="AK19" s="9"/>
      <c r="AM19" s="19"/>
      <c r="AP19" s="19"/>
      <c r="AQ19" s="9"/>
      <c r="AS19" s="19"/>
      <c r="AV19" s="19"/>
      <c r="AW19" s="9"/>
      <c r="AY19" s="19"/>
      <c r="BB19" s="19"/>
      <c r="BC19" s="9"/>
      <c r="BE19" s="19"/>
      <c r="BH19" s="19"/>
      <c r="BI19" s="9"/>
      <c r="BK19" s="19"/>
      <c r="BN19" s="19"/>
      <c r="BO19" s="9"/>
      <c r="BQ19" s="19"/>
      <c r="BT19" s="19"/>
      <c r="BU19" s="9"/>
      <c r="BW19" s="19"/>
      <c r="BZ19" s="19"/>
      <c r="CA19" s="9"/>
      <c r="CC19" s="19"/>
      <c r="CF19" s="19"/>
      <c r="CG19" s="9"/>
      <c r="CI19" s="19"/>
      <c r="CL19" s="19"/>
      <c r="CM19" s="9"/>
      <c r="CO19" s="19"/>
      <c r="CR19" s="19"/>
      <c r="CS19" s="9"/>
      <c r="CU19" s="19"/>
      <c r="CX19" s="19"/>
    </row>
    <row r="20" spans="1:102">
      <c r="A20" s="9"/>
      <c r="C20" s="19"/>
      <c r="F20" s="19"/>
      <c r="G20" s="9"/>
      <c r="I20" s="19"/>
      <c r="L20" s="19"/>
      <c r="M20" s="9"/>
      <c r="O20" s="19"/>
      <c r="R20" s="19"/>
      <c r="S20" s="9"/>
      <c r="U20" s="19"/>
      <c r="X20" s="19"/>
      <c r="Y20" s="9"/>
      <c r="AA20" s="19"/>
      <c r="AD20" s="19"/>
      <c r="AE20" s="9"/>
      <c r="AG20" s="19"/>
      <c r="AJ20" s="19"/>
      <c r="AK20" s="9"/>
      <c r="AM20" s="19"/>
      <c r="AP20" s="19"/>
      <c r="AQ20" s="9"/>
      <c r="AS20" s="19"/>
      <c r="AV20" s="19"/>
      <c r="AW20" s="9"/>
      <c r="AY20" s="19"/>
      <c r="BB20" s="19"/>
      <c r="BC20" s="9"/>
      <c r="BE20" s="19"/>
      <c r="BH20" s="19"/>
      <c r="BI20" s="9"/>
      <c r="BK20" s="19"/>
      <c r="BN20" s="19"/>
      <c r="BO20" s="9"/>
      <c r="BQ20" s="19"/>
      <c r="BT20" s="19"/>
      <c r="BU20" s="9"/>
      <c r="BW20" s="19"/>
      <c r="BZ20" s="19"/>
      <c r="CA20" s="9"/>
      <c r="CC20" s="19"/>
      <c r="CF20" s="19"/>
      <c r="CG20" s="9"/>
      <c r="CI20" s="19"/>
      <c r="CL20" s="19"/>
      <c r="CM20" s="9"/>
      <c r="CO20" s="19"/>
      <c r="CR20" s="19"/>
      <c r="CS20" s="9"/>
      <c r="CU20" s="19"/>
      <c r="CX20" s="19"/>
    </row>
    <row r="21" spans="1:102">
      <c r="A21" s="9"/>
      <c r="C21" s="19"/>
      <c r="F21" s="19"/>
      <c r="G21" s="9"/>
      <c r="I21" s="19"/>
      <c r="L21" s="19"/>
      <c r="M21" s="9"/>
      <c r="O21" s="19"/>
      <c r="R21" s="19"/>
      <c r="S21" s="9"/>
      <c r="U21" s="19"/>
      <c r="X21" s="19"/>
      <c r="Y21" s="9"/>
      <c r="AA21" s="19"/>
      <c r="AD21" s="19"/>
      <c r="AE21" s="9"/>
      <c r="AG21" s="19"/>
      <c r="AJ21" s="19"/>
      <c r="AK21" s="9"/>
      <c r="AM21" s="19"/>
      <c r="AP21" s="19"/>
      <c r="AQ21" s="9"/>
      <c r="AS21" s="19"/>
      <c r="AV21" s="19"/>
      <c r="AW21" s="9"/>
      <c r="AY21" s="19"/>
      <c r="BB21" s="19"/>
      <c r="BC21" s="9"/>
      <c r="BE21" s="19"/>
      <c r="BH21" s="19"/>
      <c r="BI21" s="9"/>
      <c r="BK21" s="19"/>
      <c r="BN21" s="19"/>
      <c r="BO21" s="9"/>
      <c r="BQ21" s="19"/>
      <c r="BT21" s="19"/>
      <c r="BU21" s="9"/>
      <c r="BW21" s="19"/>
      <c r="BZ21" s="19"/>
      <c r="CA21" s="9"/>
      <c r="CC21" s="19"/>
      <c r="CF21" s="19"/>
      <c r="CG21" s="9"/>
      <c r="CI21" s="19"/>
      <c r="CL21" s="19"/>
      <c r="CM21" s="9"/>
      <c r="CO21" s="19"/>
      <c r="CR21" s="19"/>
      <c r="CS21" s="9"/>
      <c r="CU21" s="19"/>
      <c r="CX21" s="19"/>
    </row>
    <row r="22" spans="1:102" ht="13.5" thickBot="1">
      <c r="A22" s="9"/>
      <c r="C22" s="19"/>
      <c r="F22" s="19"/>
      <c r="G22" s="9"/>
      <c r="I22" s="19"/>
      <c r="L22" s="19"/>
      <c r="M22" s="9"/>
      <c r="O22" s="19"/>
      <c r="R22" s="19"/>
      <c r="S22" s="9"/>
      <c r="U22" s="19"/>
      <c r="X22" s="19"/>
      <c r="Y22" s="9"/>
      <c r="AA22" s="19"/>
      <c r="AD22" s="19"/>
      <c r="AE22" s="9"/>
      <c r="AG22" s="19"/>
      <c r="AJ22" s="19"/>
      <c r="AK22" s="9"/>
      <c r="AM22" s="19"/>
      <c r="AP22" s="19"/>
      <c r="AQ22" s="9"/>
      <c r="AS22" s="19"/>
      <c r="AV22" s="19"/>
      <c r="AW22" s="9"/>
      <c r="AY22" s="19"/>
      <c r="BB22" s="19"/>
      <c r="BC22" s="9"/>
      <c r="BE22" s="19"/>
      <c r="BH22" s="19"/>
      <c r="BI22" s="9"/>
      <c r="BK22" s="19"/>
      <c r="BN22" s="19"/>
      <c r="BO22" s="9"/>
      <c r="BQ22" s="19"/>
      <c r="BT22" s="19"/>
      <c r="BU22" s="9"/>
      <c r="BW22" s="19"/>
      <c r="BZ22" s="19"/>
      <c r="CA22" s="9"/>
      <c r="CC22" s="19"/>
      <c r="CF22" s="19"/>
      <c r="CG22" s="9"/>
      <c r="CI22" s="19"/>
      <c r="CL22" s="19"/>
      <c r="CM22" s="9"/>
      <c r="CO22" s="19"/>
      <c r="CR22" s="19"/>
      <c r="CS22" s="9"/>
      <c r="CU22" s="19"/>
      <c r="CX22" s="19"/>
    </row>
    <row r="23" spans="1:102" ht="25.5" customHeight="1">
      <c r="A23" s="1432" t="s">
        <v>1242</v>
      </c>
      <c r="B23" s="1433"/>
      <c r="C23" s="1433"/>
      <c r="D23" s="1433"/>
      <c r="E23" s="1433"/>
      <c r="F23" s="1434"/>
      <c r="G23" s="1432" t="str">
        <f>+A45</f>
        <v xml:space="preserve">LA UNIÓN - SONSÓN. MUNICIPIO DE LA UNIÓN. INSTALACIÓN DE MARCA VIALES (PROHIBIDO PARQUEAR) PASO NACIONAL </v>
      </c>
      <c r="H23" s="1433"/>
      <c r="I23" s="1433"/>
      <c r="J23" s="1433"/>
      <c r="K23" s="1433"/>
      <c r="L23" s="1434"/>
      <c r="M23" s="1432" t="s">
        <v>1243</v>
      </c>
      <c r="N23" s="1433"/>
      <c r="O23" s="1433"/>
      <c r="P23" s="1433"/>
      <c r="Q23" s="1433"/>
      <c r="R23" s="1434"/>
      <c r="S23" s="1432" t="s">
        <v>1244</v>
      </c>
      <c r="T23" s="1433"/>
      <c r="U23" s="1433"/>
      <c r="V23" s="1433"/>
      <c r="W23" s="1433"/>
      <c r="X23" s="1434"/>
      <c r="Y23" s="1432" t="str">
        <f>+S45</f>
        <v>LA UNIÓN - SONSÓN. INSPECCIÓN DE LA CARRETERA AL CONTRATO 1682 DE 2022</v>
      </c>
      <c r="Z23" s="1433"/>
      <c r="AA23" s="1433"/>
      <c r="AB23" s="1433"/>
      <c r="AC23" s="1433"/>
      <c r="AD23" s="1434"/>
      <c r="AE23" s="1432" t="str">
        <f>+Y45</f>
        <v>LA UNIÓN - SONSÓN. MUNICIPIO DE SONSON. PR94+0800. SELLAMIENTO DE GRIETAS Y REPARACIONES EN FALLO GEOLOGICO</v>
      </c>
      <c r="AF23" s="1433"/>
      <c r="AG23" s="1433"/>
      <c r="AH23" s="1433"/>
      <c r="AI23" s="1433"/>
      <c r="AJ23" s="1434"/>
      <c r="AK23" s="1432" t="s">
        <v>1245</v>
      </c>
      <c r="AL23" s="1433"/>
      <c r="AM23" s="1433"/>
      <c r="AN23" s="1433"/>
      <c r="AO23" s="1433"/>
      <c r="AP23" s="1434"/>
      <c r="AQ23" s="1432" t="str">
        <f>+AK45</f>
        <v>LA UNIÓN - SONSON. TRABAJOS DE MANTENIMIENTO RUTINARIO</v>
      </c>
      <c r="AR23" s="1433"/>
      <c r="AS23" s="1433"/>
      <c r="AT23" s="1433"/>
      <c r="AU23" s="1433"/>
      <c r="AV23" s="1434"/>
      <c r="AW23" s="1432" t="s">
        <v>1246</v>
      </c>
      <c r="AX23" s="1433"/>
      <c r="AY23" s="1433"/>
      <c r="AZ23" s="1433"/>
      <c r="BA23" s="1433"/>
      <c r="BB23" s="1434"/>
      <c r="BC23" s="1432" t="str">
        <f>+AW45</f>
        <v>LA UNIÓN - SONSON. MUNICIPIO DE LA SONSON. PR97+0300. INSTALACION DE LINEAS LOGARITMICAS</v>
      </c>
      <c r="BD23" s="1433"/>
      <c r="BE23" s="1433"/>
      <c r="BF23" s="1433"/>
      <c r="BG23" s="1433"/>
      <c r="BH23" s="1434"/>
      <c r="BI23" s="1432" t="str">
        <f>+BC45</f>
        <v>LA UNIÓN - SONSON. BACHEO CON MATERIAL SELECCIONADO</v>
      </c>
      <c r="BJ23" s="1433"/>
      <c r="BK23" s="1433"/>
      <c r="BL23" s="1433"/>
      <c r="BM23" s="1433"/>
      <c r="BN23" s="1434"/>
      <c r="BO23" s="1432" t="s">
        <v>1247</v>
      </c>
      <c r="BP23" s="1433"/>
      <c r="BQ23" s="1433"/>
      <c r="BR23" s="1433"/>
      <c r="BS23" s="1433"/>
      <c r="BT23" s="1434"/>
      <c r="BU23" s="1432" t="str">
        <f>+BO45</f>
        <v>LA UNION - SONSÓN. MUNICPIO DE LA UNIÓN. PR49+0015 AL PR49+0800. TAPAHUECOS CON MEZCLA DENSA EN CALIENTE POR PASO NACIONAL POR LA UNIÓN</v>
      </c>
      <c r="BV23" s="1433"/>
      <c r="BW23" s="1433"/>
      <c r="BX23" s="1433"/>
      <c r="BY23" s="1433"/>
      <c r="BZ23" s="1434"/>
      <c r="CA23" s="1432" t="s">
        <v>1248</v>
      </c>
      <c r="CB23" s="1433"/>
      <c r="CC23" s="1433"/>
      <c r="CD23" s="1433"/>
      <c r="CE23" s="1433"/>
      <c r="CF23" s="1434"/>
      <c r="CG23" s="1432" t="str">
        <f>+CA45</f>
        <v>LA UNIÓN - SONSÓN. SEGIMIENTO AL CONTRATO 1681 DE 2022 EN LOS PR´S 70+0085, 81+0200 Y 81+0250</v>
      </c>
      <c r="CH23" s="1433"/>
      <c r="CI23" s="1433"/>
      <c r="CJ23" s="1433"/>
      <c r="CK23" s="1433"/>
      <c r="CL23" s="1434"/>
      <c r="CM23" s="1432" t="str">
        <f>+CG45</f>
        <v>LA UNIÓN - SONSÓN. SEGIMIENTO AL CONTRATO 1681 DE 2022 EN LOS PR´S 70+0085, 81+0200 Y 81+0250</v>
      </c>
      <c r="CN23" s="1433"/>
      <c r="CO23" s="1433"/>
      <c r="CP23" s="1433"/>
      <c r="CQ23" s="1433"/>
      <c r="CR23" s="1434"/>
      <c r="CS23" s="1432" t="str">
        <f>+CM45</f>
        <v>LA UNION - SONSÓN. SEGUIMIENTO AL CONTRATO 1682 DE 2022 EN LOS PR´S 53+0975 Y 89+0000</v>
      </c>
      <c r="CT23" s="1433"/>
      <c r="CU23" s="1433"/>
      <c r="CV23" s="1433"/>
      <c r="CW23" s="1433"/>
      <c r="CX23" s="1434"/>
    </row>
    <row r="24" spans="1:102" ht="13.5" thickBot="1">
      <c r="A24" s="1435"/>
      <c r="B24" s="1436"/>
      <c r="C24" s="1436"/>
      <c r="D24" s="1436"/>
      <c r="E24" s="1436"/>
      <c r="F24" s="1437"/>
      <c r="G24" s="1435"/>
      <c r="H24" s="1436"/>
      <c r="I24" s="1436"/>
      <c r="J24" s="1436"/>
      <c r="K24" s="1436"/>
      <c r="L24" s="1437"/>
      <c r="M24" s="1435"/>
      <c r="N24" s="1436"/>
      <c r="O24" s="1436"/>
      <c r="P24" s="1436"/>
      <c r="Q24" s="1436"/>
      <c r="R24" s="1437"/>
      <c r="S24" s="1435"/>
      <c r="T24" s="1436"/>
      <c r="U24" s="1436"/>
      <c r="V24" s="1436"/>
      <c r="W24" s="1436"/>
      <c r="X24" s="1437"/>
      <c r="Y24" s="1435"/>
      <c r="Z24" s="1436"/>
      <c r="AA24" s="1436"/>
      <c r="AB24" s="1436"/>
      <c r="AC24" s="1436"/>
      <c r="AD24" s="1437"/>
      <c r="AE24" s="1435"/>
      <c r="AF24" s="1436"/>
      <c r="AG24" s="1436"/>
      <c r="AH24" s="1436"/>
      <c r="AI24" s="1436"/>
      <c r="AJ24" s="1437"/>
      <c r="AK24" s="1435"/>
      <c r="AL24" s="1436"/>
      <c r="AM24" s="1436"/>
      <c r="AN24" s="1436"/>
      <c r="AO24" s="1436"/>
      <c r="AP24" s="1437"/>
      <c r="AQ24" s="1435"/>
      <c r="AR24" s="1436"/>
      <c r="AS24" s="1436"/>
      <c r="AT24" s="1436"/>
      <c r="AU24" s="1436"/>
      <c r="AV24" s="1437"/>
      <c r="AW24" s="1435"/>
      <c r="AX24" s="1436"/>
      <c r="AY24" s="1436"/>
      <c r="AZ24" s="1436"/>
      <c r="BA24" s="1436"/>
      <c r="BB24" s="1437"/>
      <c r="BC24" s="1435"/>
      <c r="BD24" s="1436"/>
      <c r="BE24" s="1436"/>
      <c r="BF24" s="1436"/>
      <c r="BG24" s="1436"/>
      <c r="BH24" s="1437"/>
      <c r="BI24" s="1435"/>
      <c r="BJ24" s="1436"/>
      <c r="BK24" s="1436"/>
      <c r="BL24" s="1436"/>
      <c r="BM24" s="1436"/>
      <c r="BN24" s="1437"/>
      <c r="BO24" s="1435"/>
      <c r="BP24" s="1436"/>
      <c r="BQ24" s="1436"/>
      <c r="BR24" s="1436"/>
      <c r="BS24" s="1436"/>
      <c r="BT24" s="1437"/>
      <c r="BU24" s="1435"/>
      <c r="BV24" s="1436"/>
      <c r="BW24" s="1436"/>
      <c r="BX24" s="1436"/>
      <c r="BY24" s="1436"/>
      <c r="BZ24" s="1437"/>
      <c r="CA24" s="1435"/>
      <c r="CB24" s="1436"/>
      <c r="CC24" s="1436"/>
      <c r="CD24" s="1436"/>
      <c r="CE24" s="1436"/>
      <c r="CF24" s="1437"/>
      <c r="CG24" s="1435"/>
      <c r="CH24" s="1436"/>
      <c r="CI24" s="1436"/>
      <c r="CJ24" s="1436"/>
      <c r="CK24" s="1436"/>
      <c r="CL24" s="1437"/>
      <c r="CM24" s="1435"/>
      <c r="CN24" s="1436"/>
      <c r="CO24" s="1436"/>
      <c r="CP24" s="1436"/>
      <c r="CQ24" s="1436"/>
      <c r="CR24" s="1437"/>
      <c r="CS24" s="1435"/>
      <c r="CT24" s="1436"/>
      <c r="CU24" s="1436"/>
      <c r="CV24" s="1436"/>
      <c r="CW24" s="1436"/>
      <c r="CX24" s="1437"/>
    </row>
    <row r="25" spans="1:102">
      <c r="A25" s="9"/>
      <c r="C25" s="19"/>
      <c r="F25" s="19"/>
      <c r="G25" s="9"/>
      <c r="I25" s="19"/>
      <c r="L25" s="19"/>
      <c r="M25" s="9"/>
      <c r="O25" s="19"/>
      <c r="R25" s="19"/>
      <c r="S25" s="9"/>
      <c r="U25" s="19"/>
      <c r="X25" s="19"/>
      <c r="Y25" s="9"/>
      <c r="AA25" s="19"/>
      <c r="AD25" s="19"/>
      <c r="AE25" s="9"/>
      <c r="AG25" s="19"/>
      <c r="AJ25" s="19"/>
      <c r="AK25" s="9"/>
      <c r="AM25" s="19"/>
      <c r="AP25" s="19"/>
      <c r="AQ25" s="9"/>
      <c r="AS25" s="19"/>
      <c r="AV25" s="19"/>
      <c r="AW25" s="9"/>
      <c r="AY25" s="19"/>
      <c r="BB25" s="19"/>
      <c r="BC25" s="9"/>
      <c r="BE25" s="19"/>
      <c r="BH25" s="19"/>
      <c r="BI25" s="9"/>
      <c r="BK25" s="19"/>
      <c r="BN25" s="19"/>
      <c r="BO25" s="9"/>
      <c r="BQ25" s="19"/>
      <c r="BT25" s="19"/>
      <c r="BU25" s="9"/>
      <c r="BW25" s="19"/>
      <c r="BZ25" s="19"/>
      <c r="CA25" s="9"/>
      <c r="CC25" s="19"/>
      <c r="CF25" s="19"/>
      <c r="CG25" s="9"/>
      <c r="CI25" s="19"/>
      <c r="CL25" s="19"/>
      <c r="CM25" s="9"/>
      <c r="CO25" s="19"/>
      <c r="CR25" s="19"/>
      <c r="CS25" s="9"/>
      <c r="CU25" s="19"/>
      <c r="CX25" s="19"/>
    </row>
    <row r="26" spans="1:102">
      <c r="A26" s="9"/>
      <c r="C26" s="19"/>
      <c r="F26" s="19"/>
      <c r="G26" s="9"/>
      <c r="I26" s="19"/>
      <c r="L26" s="19"/>
      <c r="M26" s="9"/>
      <c r="O26" s="19"/>
      <c r="R26" s="19"/>
      <c r="S26" s="9"/>
      <c r="U26" s="19"/>
      <c r="X26" s="19"/>
      <c r="Y26" s="9"/>
      <c r="AA26" s="19"/>
      <c r="AD26" s="19"/>
      <c r="AE26" s="9"/>
      <c r="AG26" s="19"/>
      <c r="AJ26" s="19"/>
      <c r="AK26" s="9"/>
      <c r="AM26" s="19"/>
      <c r="AP26" s="19"/>
      <c r="AQ26" s="9"/>
      <c r="AS26" s="19"/>
      <c r="AV26" s="19"/>
      <c r="AW26" s="9"/>
      <c r="AY26" s="19"/>
      <c r="BB26" s="19"/>
      <c r="BC26" s="9"/>
      <c r="BE26" s="19"/>
      <c r="BH26" s="19"/>
      <c r="BI26" s="9"/>
      <c r="BK26" s="19"/>
      <c r="BN26" s="19"/>
      <c r="BO26" s="9"/>
      <c r="BQ26" s="19"/>
      <c r="BT26" s="19"/>
      <c r="BU26" s="9"/>
      <c r="BW26" s="19"/>
      <c r="BZ26" s="19"/>
      <c r="CA26" s="9"/>
      <c r="CC26" s="19"/>
      <c r="CF26" s="19"/>
      <c r="CG26" s="9"/>
      <c r="CI26" s="19"/>
      <c r="CL26" s="19"/>
      <c r="CM26" s="9"/>
      <c r="CO26" s="19"/>
      <c r="CR26" s="19"/>
      <c r="CS26" s="9"/>
      <c r="CU26" s="19"/>
      <c r="CX26" s="19"/>
    </row>
    <row r="27" spans="1:102">
      <c r="A27" s="9"/>
      <c r="C27" s="19"/>
      <c r="F27" s="19"/>
      <c r="G27" s="9"/>
      <c r="I27" s="19"/>
      <c r="L27" s="19"/>
      <c r="M27" s="9"/>
      <c r="O27" s="19"/>
      <c r="R27" s="19"/>
      <c r="S27" s="9"/>
      <c r="U27" s="19"/>
      <c r="X27" s="19"/>
      <c r="Y27" s="9"/>
      <c r="AA27" s="19"/>
      <c r="AD27" s="19"/>
      <c r="AE27" s="9"/>
      <c r="AG27" s="19"/>
      <c r="AJ27" s="19"/>
      <c r="AK27" s="9"/>
      <c r="AM27" s="19"/>
      <c r="AP27" s="19"/>
      <c r="AQ27" s="9"/>
      <c r="AS27" s="19"/>
      <c r="AV27" s="19"/>
      <c r="AW27" s="9"/>
      <c r="AY27" s="19"/>
      <c r="BB27" s="19"/>
      <c r="BC27" s="9"/>
      <c r="BE27" s="19"/>
      <c r="BH27" s="19"/>
      <c r="BI27" s="9"/>
      <c r="BK27" s="19"/>
      <c r="BN27" s="19"/>
      <c r="BO27" s="9"/>
      <c r="BQ27" s="19"/>
      <c r="BT27" s="19"/>
      <c r="BU27" s="9"/>
      <c r="BW27" s="19"/>
      <c r="BZ27" s="19"/>
      <c r="CA27" s="9"/>
      <c r="CC27" s="19"/>
      <c r="CF27" s="19"/>
      <c r="CG27" s="9"/>
      <c r="CI27" s="19"/>
      <c r="CL27" s="19"/>
      <c r="CM27" s="9"/>
      <c r="CO27" s="19"/>
      <c r="CR27" s="19"/>
      <c r="CS27" s="9"/>
      <c r="CU27" s="19"/>
      <c r="CX27" s="19"/>
    </row>
    <row r="28" spans="1:102">
      <c r="A28" s="9"/>
      <c r="C28" s="19"/>
      <c r="F28" s="19"/>
      <c r="G28" s="9"/>
      <c r="I28" s="19"/>
      <c r="L28" s="19"/>
      <c r="M28" s="9"/>
      <c r="O28" s="19"/>
      <c r="R28" s="19"/>
      <c r="S28" s="9"/>
      <c r="U28" s="19"/>
      <c r="X28" s="19"/>
      <c r="Y28" s="9"/>
      <c r="AA28" s="19"/>
      <c r="AD28" s="19"/>
      <c r="AE28" s="9"/>
      <c r="AG28" s="19"/>
      <c r="AJ28" s="19"/>
      <c r="AK28" s="9"/>
      <c r="AM28" s="19"/>
      <c r="AP28" s="19"/>
      <c r="AQ28" s="9"/>
      <c r="AS28" s="19"/>
      <c r="AV28" s="19"/>
      <c r="AW28" s="9"/>
      <c r="AY28" s="19"/>
      <c r="BB28" s="19"/>
      <c r="BC28" s="9"/>
      <c r="BE28" s="19"/>
      <c r="BH28" s="19"/>
      <c r="BI28" s="9"/>
      <c r="BK28" s="19"/>
      <c r="BN28" s="19"/>
      <c r="BO28" s="9"/>
      <c r="BQ28" s="19"/>
      <c r="BT28" s="19"/>
      <c r="BU28" s="9"/>
      <c r="BW28" s="19"/>
      <c r="BZ28" s="19"/>
      <c r="CA28" s="9"/>
      <c r="CC28" s="19"/>
      <c r="CF28" s="19"/>
      <c r="CG28" s="9"/>
      <c r="CI28" s="19"/>
      <c r="CL28" s="19"/>
      <c r="CM28" s="9"/>
      <c r="CO28" s="19"/>
      <c r="CR28" s="19"/>
      <c r="CS28" s="9"/>
      <c r="CU28" s="19"/>
      <c r="CX28" s="19"/>
    </row>
    <row r="29" spans="1:102">
      <c r="A29" s="9"/>
      <c r="C29" s="19"/>
      <c r="F29" s="19"/>
      <c r="G29" s="9"/>
      <c r="I29" s="19"/>
      <c r="L29" s="19"/>
      <c r="M29" s="9"/>
      <c r="O29" s="19"/>
      <c r="R29" s="19"/>
      <c r="S29" s="9"/>
      <c r="U29" s="19"/>
      <c r="X29" s="19"/>
      <c r="Y29" s="9"/>
      <c r="AA29" s="19"/>
      <c r="AD29" s="19"/>
      <c r="AE29" s="9"/>
      <c r="AG29" s="19"/>
      <c r="AJ29" s="19"/>
      <c r="AK29" s="9"/>
      <c r="AM29" s="19"/>
      <c r="AP29" s="19"/>
      <c r="AQ29" s="9"/>
      <c r="AS29" s="19"/>
      <c r="AV29" s="19"/>
      <c r="AW29" s="9"/>
      <c r="AY29" s="19"/>
      <c r="BB29" s="19"/>
      <c r="BC29" s="9"/>
      <c r="BE29" s="19"/>
      <c r="BH29" s="19"/>
      <c r="BI29" s="9"/>
      <c r="BK29" s="19"/>
      <c r="BN29" s="19"/>
      <c r="BO29" s="9"/>
      <c r="BQ29" s="19"/>
      <c r="BT29" s="19"/>
      <c r="BU29" s="9"/>
      <c r="BW29" s="19"/>
      <c r="BZ29" s="19"/>
      <c r="CA29" s="9"/>
      <c r="CC29" s="19"/>
      <c r="CF29" s="19"/>
      <c r="CG29" s="9"/>
      <c r="CI29" s="19"/>
      <c r="CL29" s="19"/>
      <c r="CM29" s="9"/>
      <c r="CO29" s="19"/>
      <c r="CR29" s="19"/>
      <c r="CS29" s="9"/>
      <c r="CU29" s="19"/>
      <c r="CX29" s="19"/>
    </row>
    <row r="30" spans="1:102">
      <c r="A30" s="9"/>
      <c r="C30" s="19"/>
      <c r="F30" s="19"/>
      <c r="G30" s="9"/>
      <c r="I30" s="19"/>
      <c r="L30" s="19"/>
      <c r="M30" s="9"/>
      <c r="O30" s="19"/>
      <c r="R30" s="19"/>
      <c r="S30" s="9"/>
      <c r="U30" s="19"/>
      <c r="X30" s="19"/>
      <c r="Y30" s="9"/>
      <c r="AA30" s="19"/>
      <c r="AD30" s="19"/>
      <c r="AE30" s="9"/>
      <c r="AG30" s="19"/>
      <c r="AJ30" s="19"/>
      <c r="AK30" s="9"/>
      <c r="AM30" s="19"/>
      <c r="AP30" s="19"/>
      <c r="AQ30" s="9"/>
      <c r="AS30" s="19"/>
      <c r="AV30" s="19"/>
      <c r="AW30" s="9"/>
      <c r="AY30" s="19"/>
      <c r="BB30" s="19"/>
      <c r="BC30" s="9"/>
      <c r="BE30" s="19"/>
      <c r="BH30" s="19"/>
      <c r="BI30" s="9"/>
      <c r="BK30" s="19"/>
      <c r="BN30" s="19"/>
      <c r="BO30" s="9"/>
      <c r="BQ30" s="19"/>
      <c r="BT30" s="19"/>
      <c r="BU30" s="9"/>
      <c r="BW30" s="19"/>
      <c r="BZ30" s="19"/>
      <c r="CA30" s="9"/>
      <c r="CC30" s="19"/>
      <c r="CF30" s="19"/>
      <c r="CG30" s="9"/>
      <c r="CI30" s="19"/>
      <c r="CL30" s="19"/>
      <c r="CM30" s="9"/>
      <c r="CO30" s="19"/>
      <c r="CR30" s="19"/>
      <c r="CS30" s="9"/>
      <c r="CU30" s="19"/>
      <c r="CX30" s="19"/>
    </row>
    <row r="31" spans="1:102">
      <c r="A31" s="9"/>
      <c r="C31" s="19"/>
      <c r="F31" s="19"/>
      <c r="G31" s="9"/>
      <c r="I31" s="19"/>
      <c r="L31" s="19"/>
      <c r="M31" s="9"/>
      <c r="O31" s="19"/>
      <c r="R31" s="19"/>
      <c r="S31" s="9"/>
      <c r="U31" s="19"/>
      <c r="X31" s="19"/>
      <c r="Y31" s="9"/>
      <c r="AA31" s="19"/>
      <c r="AD31" s="19"/>
      <c r="AE31" s="9"/>
      <c r="AG31" s="19"/>
      <c r="AJ31" s="19"/>
      <c r="AK31" s="9"/>
      <c r="AM31" s="19"/>
      <c r="AP31" s="19"/>
      <c r="AQ31" s="9"/>
      <c r="AS31" s="19"/>
      <c r="AV31" s="19"/>
      <c r="AW31" s="9"/>
      <c r="AY31" s="19"/>
      <c r="BB31" s="19"/>
      <c r="BC31" s="9"/>
      <c r="BE31" s="19"/>
      <c r="BH31" s="19"/>
      <c r="BI31" s="9"/>
      <c r="BK31" s="19"/>
      <c r="BN31" s="19"/>
      <c r="BO31" s="9"/>
      <c r="BQ31" s="19"/>
      <c r="BT31" s="19"/>
      <c r="BU31" s="9"/>
      <c r="BW31" s="19"/>
      <c r="BZ31" s="19"/>
      <c r="CA31" s="9"/>
      <c r="CC31" s="19"/>
      <c r="CF31" s="19"/>
      <c r="CG31" s="9"/>
      <c r="CI31" s="19"/>
      <c r="CL31" s="19"/>
      <c r="CM31" s="9"/>
      <c r="CO31" s="19"/>
      <c r="CR31" s="19"/>
      <c r="CS31" s="9"/>
      <c r="CU31" s="19"/>
      <c r="CX31" s="19"/>
    </row>
    <row r="32" spans="1:102">
      <c r="A32" s="9"/>
      <c r="C32" s="19"/>
      <c r="F32" s="19"/>
      <c r="G32" s="9"/>
      <c r="I32" s="19"/>
      <c r="L32" s="19"/>
      <c r="M32" s="9"/>
      <c r="O32" s="19"/>
      <c r="R32" s="19"/>
      <c r="S32" s="9"/>
      <c r="U32" s="19"/>
      <c r="X32" s="19"/>
      <c r="Y32" s="9"/>
      <c r="AA32" s="19"/>
      <c r="AD32" s="19"/>
      <c r="AE32" s="9"/>
      <c r="AG32" s="19"/>
      <c r="AJ32" s="19"/>
      <c r="AK32" s="9"/>
      <c r="AM32" s="19"/>
      <c r="AP32" s="19"/>
      <c r="AQ32" s="9"/>
      <c r="AS32" s="19"/>
      <c r="AV32" s="19"/>
      <c r="AW32" s="9"/>
      <c r="AY32" s="19"/>
      <c r="BB32" s="19"/>
      <c r="BC32" s="9"/>
      <c r="BE32" s="19"/>
      <c r="BH32" s="19"/>
      <c r="BI32" s="9"/>
      <c r="BK32" s="19"/>
      <c r="BN32" s="19"/>
      <c r="BO32" s="9"/>
      <c r="BQ32" s="19"/>
      <c r="BT32" s="19"/>
      <c r="BU32" s="9"/>
      <c r="BW32" s="19"/>
      <c r="BZ32" s="19"/>
      <c r="CA32" s="9"/>
      <c r="CC32" s="19"/>
      <c r="CF32" s="19"/>
      <c r="CG32" s="9"/>
      <c r="CI32" s="19"/>
      <c r="CL32" s="19"/>
      <c r="CM32" s="9"/>
      <c r="CO32" s="19"/>
      <c r="CR32" s="19"/>
      <c r="CS32" s="9"/>
      <c r="CU32" s="19"/>
      <c r="CX32" s="19"/>
    </row>
    <row r="33" spans="1:102" ht="13.5" thickBot="1">
      <c r="A33" s="9"/>
      <c r="C33" s="19"/>
      <c r="F33" s="19"/>
      <c r="G33" s="9"/>
      <c r="I33" s="19"/>
      <c r="L33" s="19"/>
      <c r="M33" s="9"/>
      <c r="O33" s="19"/>
      <c r="R33" s="19"/>
      <c r="S33" s="9"/>
      <c r="U33" s="19"/>
      <c r="X33" s="19"/>
      <c r="Y33" s="9"/>
      <c r="AA33" s="19"/>
      <c r="AD33" s="19"/>
      <c r="AE33" s="9"/>
      <c r="AG33" s="19"/>
      <c r="AJ33" s="19"/>
      <c r="AK33" s="9"/>
      <c r="AM33" s="19"/>
      <c r="AP33" s="19"/>
      <c r="AQ33" s="9"/>
      <c r="AS33" s="19"/>
      <c r="AV33" s="19"/>
      <c r="AW33" s="9"/>
      <c r="AY33" s="19"/>
      <c r="BB33" s="19"/>
      <c r="BC33" s="9"/>
      <c r="BE33" s="19"/>
      <c r="BH33" s="19"/>
      <c r="BI33" s="9"/>
      <c r="BK33" s="19"/>
      <c r="BN33" s="19"/>
      <c r="BO33" s="9"/>
      <c r="BQ33" s="19"/>
      <c r="BT33" s="19"/>
      <c r="BU33" s="9"/>
      <c r="BW33" s="19"/>
      <c r="BZ33" s="19"/>
      <c r="CA33" s="9"/>
      <c r="CC33" s="19"/>
      <c r="CF33" s="19"/>
      <c r="CG33" s="9"/>
      <c r="CI33" s="19"/>
      <c r="CL33" s="19"/>
      <c r="CM33" s="9"/>
      <c r="CO33" s="19"/>
      <c r="CR33" s="19"/>
      <c r="CS33" s="9"/>
      <c r="CU33" s="19"/>
      <c r="CX33" s="19"/>
    </row>
    <row r="34" spans="1:102" ht="12.75" customHeight="1">
      <c r="A34" s="1432" t="str">
        <f>+A23</f>
        <v>LA UNIÓN - SONSÓN. MUNICIPIO DE LA UNIÓN. ATENCIÓN DE EMERGENCIA EN EL PR49+0410</v>
      </c>
      <c r="B34" s="1433"/>
      <c r="C34" s="1433"/>
      <c r="D34" s="1433"/>
      <c r="E34" s="1433"/>
      <c r="F34" s="1434"/>
      <c r="G34" s="1432" t="s">
        <v>1249</v>
      </c>
      <c r="H34" s="1433"/>
      <c r="I34" s="1433"/>
      <c r="J34" s="1433"/>
      <c r="K34" s="1433"/>
      <c r="L34" s="1434"/>
      <c r="M34" s="1432" t="str">
        <f>+M23</f>
        <v>LA UNIÓN - SONSÓN. RECORRIDO DE INSPECCIÓN AL CONTRATO 1681 DE 2022</v>
      </c>
      <c r="N34" s="1433"/>
      <c r="O34" s="1433"/>
      <c r="P34" s="1433"/>
      <c r="Q34" s="1433"/>
      <c r="R34" s="1434"/>
      <c r="S34" s="1432" t="str">
        <f>+S23</f>
        <v>LA UNIÓN - SONSÓN. BACHEO CON MATERIAL SELECCIONADO EN HUECOS PELIGROSOS</v>
      </c>
      <c r="T34" s="1433"/>
      <c r="U34" s="1433"/>
      <c r="V34" s="1433"/>
      <c r="W34" s="1433"/>
      <c r="X34" s="1434"/>
      <c r="Y34" s="1432" t="s">
        <v>1250</v>
      </c>
      <c r="Z34" s="1433"/>
      <c r="AA34" s="1433"/>
      <c r="AB34" s="1433"/>
      <c r="AC34" s="1433"/>
      <c r="AD34" s="1434"/>
      <c r="AE34" s="1432" t="s">
        <v>1251</v>
      </c>
      <c r="AF34" s="1433"/>
      <c r="AG34" s="1433"/>
      <c r="AH34" s="1433"/>
      <c r="AI34" s="1433"/>
      <c r="AJ34" s="1434"/>
      <c r="AK34" s="1432" t="str">
        <f>+AK23</f>
        <v>LA UNIÓN - SONSON. MUNICIPIO DE SONSÓN. PR94+0600. REPARACIÓN DE DESCOLE</v>
      </c>
      <c r="AL34" s="1433"/>
      <c r="AM34" s="1433"/>
      <c r="AN34" s="1433"/>
      <c r="AO34" s="1433"/>
      <c r="AP34" s="1434"/>
      <c r="AQ34" s="1432" t="str">
        <f>+AQ23</f>
        <v>LA UNIÓN - SONSON. TRABAJOS DE MANTENIMIENTO RUTINARIO</v>
      </c>
      <c r="AR34" s="1433"/>
      <c r="AS34" s="1433"/>
      <c r="AT34" s="1433"/>
      <c r="AU34" s="1433"/>
      <c r="AV34" s="1434"/>
      <c r="AW34" s="1432" t="s">
        <v>1252</v>
      </c>
      <c r="AX34" s="1433"/>
      <c r="AY34" s="1433"/>
      <c r="AZ34" s="1433"/>
      <c r="BA34" s="1433"/>
      <c r="BB34" s="1434"/>
      <c r="BC34" s="1432" t="s">
        <v>1253</v>
      </c>
      <c r="BD34" s="1433"/>
      <c r="BE34" s="1433"/>
      <c r="BF34" s="1433"/>
      <c r="BG34" s="1433"/>
      <c r="BH34" s="1434"/>
      <c r="BI34" s="1432" t="s">
        <v>1254</v>
      </c>
      <c r="BJ34" s="1433"/>
      <c r="BK34" s="1433"/>
      <c r="BL34" s="1433"/>
      <c r="BM34" s="1433"/>
      <c r="BN34" s="1434"/>
      <c r="BO34" s="1432" t="s">
        <v>1255</v>
      </c>
      <c r="BP34" s="1433"/>
      <c r="BQ34" s="1433"/>
      <c r="BR34" s="1433"/>
      <c r="BS34" s="1433"/>
      <c r="BT34" s="1434"/>
      <c r="BU34" s="1432" t="str">
        <f>+BU23</f>
        <v>LA UNION - SONSÓN. MUNICPIO DE LA UNIÓN. PR49+0015 AL PR49+0800. TAPAHUECOS CON MEZCLA DENSA EN CALIENTE POR PASO NACIONAL POR LA UNIÓN</v>
      </c>
      <c r="BV34" s="1433"/>
      <c r="BW34" s="1433"/>
      <c r="BX34" s="1433"/>
      <c r="BY34" s="1433"/>
      <c r="BZ34" s="1434"/>
      <c r="CA34" s="1432" t="str">
        <f>+CA23</f>
        <v>LA UNIÓN - SONSÓN. SEGIMIENTO AL CONTRATO 1681 DE 2022 EN LOS PR´S 70+0085, 81+0200 Y 81+0250</v>
      </c>
      <c r="CB34" s="1433"/>
      <c r="CC34" s="1433"/>
      <c r="CD34" s="1433"/>
      <c r="CE34" s="1433"/>
      <c r="CF34" s="1434"/>
      <c r="CG34" s="1432" t="str">
        <f>+CG23</f>
        <v>LA UNIÓN - SONSÓN. SEGIMIENTO AL CONTRATO 1681 DE 2022 EN LOS PR´S 70+0085, 81+0200 Y 81+0250</v>
      </c>
      <c r="CH34" s="1433"/>
      <c r="CI34" s="1433"/>
      <c r="CJ34" s="1433"/>
      <c r="CK34" s="1433"/>
      <c r="CL34" s="1434"/>
      <c r="CM34" s="1432" t="s">
        <v>1256</v>
      </c>
      <c r="CN34" s="1433"/>
      <c r="CO34" s="1433"/>
      <c r="CP34" s="1433"/>
      <c r="CQ34" s="1433"/>
      <c r="CR34" s="1434"/>
      <c r="CS34" s="1432" t="str">
        <f>+CS23</f>
        <v>LA UNION - SONSÓN. SEGUIMIENTO AL CONTRATO 1682 DE 2022 EN LOS PR´S 53+0975 Y 89+0000</v>
      </c>
      <c r="CT34" s="1433"/>
      <c r="CU34" s="1433"/>
      <c r="CV34" s="1433"/>
      <c r="CW34" s="1433"/>
      <c r="CX34" s="1434"/>
    </row>
    <row r="35" spans="1:102" ht="21.75" customHeight="1" thickBot="1">
      <c r="A35" s="1435"/>
      <c r="B35" s="1436"/>
      <c r="C35" s="1436"/>
      <c r="D35" s="1436"/>
      <c r="E35" s="1436"/>
      <c r="F35" s="1437"/>
      <c r="G35" s="1435"/>
      <c r="H35" s="1436"/>
      <c r="I35" s="1436"/>
      <c r="J35" s="1436"/>
      <c r="K35" s="1436"/>
      <c r="L35" s="1437"/>
      <c r="M35" s="1435"/>
      <c r="N35" s="1436"/>
      <c r="O35" s="1436"/>
      <c r="P35" s="1436"/>
      <c r="Q35" s="1436"/>
      <c r="R35" s="1437"/>
      <c r="S35" s="1435"/>
      <c r="T35" s="1436"/>
      <c r="U35" s="1436"/>
      <c r="V35" s="1436"/>
      <c r="W35" s="1436"/>
      <c r="X35" s="1437"/>
      <c r="Y35" s="1435"/>
      <c r="Z35" s="1436"/>
      <c r="AA35" s="1436"/>
      <c r="AB35" s="1436"/>
      <c r="AC35" s="1436"/>
      <c r="AD35" s="1437"/>
      <c r="AE35" s="1435"/>
      <c r="AF35" s="1436"/>
      <c r="AG35" s="1436"/>
      <c r="AH35" s="1436"/>
      <c r="AI35" s="1436"/>
      <c r="AJ35" s="1437"/>
      <c r="AK35" s="1435"/>
      <c r="AL35" s="1436"/>
      <c r="AM35" s="1436"/>
      <c r="AN35" s="1436"/>
      <c r="AO35" s="1436"/>
      <c r="AP35" s="1437"/>
      <c r="AQ35" s="1435"/>
      <c r="AR35" s="1436"/>
      <c r="AS35" s="1436"/>
      <c r="AT35" s="1436"/>
      <c r="AU35" s="1436"/>
      <c r="AV35" s="1437"/>
      <c r="AW35" s="1435"/>
      <c r="AX35" s="1436"/>
      <c r="AY35" s="1436"/>
      <c r="AZ35" s="1436"/>
      <c r="BA35" s="1436"/>
      <c r="BB35" s="1437"/>
      <c r="BC35" s="1435"/>
      <c r="BD35" s="1436"/>
      <c r="BE35" s="1436"/>
      <c r="BF35" s="1436"/>
      <c r="BG35" s="1436"/>
      <c r="BH35" s="1437"/>
      <c r="BI35" s="1435"/>
      <c r="BJ35" s="1436"/>
      <c r="BK35" s="1436"/>
      <c r="BL35" s="1436"/>
      <c r="BM35" s="1436"/>
      <c r="BN35" s="1437"/>
      <c r="BO35" s="1435"/>
      <c r="BP35" s="1436"/>
      <c r="BQ35" s="1436"/>
      <c r="BR35" s="1436"/>
      <c r="BS35" s="1436"/>
      <c r="BT35" s="1437"/>
      <c r="BU35" s="1435"/>
      <c r="BV35" s="1436"/>
      <c r="BW35" s="1436"/>
      <c r="BX35" s="1436"/>
      <c r="BY35" s="1436"/>
      <c r="BZ35" s="1437"/>
      <c r="CA35" s="1435"/>
      <c r="CB35" s="1436"/>
      <c r="CC35" s="1436"/>
      <c r="CD35" s="1436"/>
      <c r="CE35" s="1436"/>
      <c r="CF35" s="1437"/>
      <c r="CG35" s="1435"/>
      <c r="CH35" s="1436"/>
      <c r="CI35" s="1436"/>
      <c r="CJ35" s="1436"/>
      <c r="CK35" s="1436"/>
      <c r="CL35" s="1437"/>
      <c r="CM35" s="1435"/>
      <c r="CN35" s="1436"/>
      <c r="CO35" s="1436"/>
      <c r="CP35" s="1436"/>
      <c r="CQ35" s="1436"/>
      <c r="CR35" s="1437"/>
      <c r="CS35" s="1435"/>
      <c r="CT35" s="1436"/>
      <c r="CU35" s="1436"/>
      <c r="CV35" s="1436"/>
      <c r="CW35" s="1436"/>
      <c r="CX35" s="1437"/>
    </row>
    <row r="36" spans="1:102">
      <c r="A36" s="9"/>
      <c r="C36" s="19"/>
      <c r="F36" s="19"/>
      <c r="G36" s="9"/>
      <c r="I36" s="19"/>
      <c r="L36" s="19"/>
      <c r="M36" s="9"/>
      <c r="O36" s="19"/>
      <c r="R36" s="19"/>
      <c r="S36" s="9"/>
      <c r="U36" s="19"/>
      <c r="X36" s="19"/>
      <c r="Y36" s="9"/>
      <c r="AA36" s="19"/>
      <c r="AD36" s="19"/>
      <c r="AE36" s="9"/>
      <c r="AG36" s="19"/>
      <c r="AJ36" s="19"/>
      <c r="AK36" s="9"/>
      <c r="AM36" s="19"/>
      <c r="AP36" s="19"/>
      <c r="AQ36" s="9"/>
      <c r="AS36" s="19"/>
      <c r="AV36" s="19"/>
      <c r="AW36" s="9"/>
      <c r="AY36" s="19"/>
      <c r="BB36" s="19"/>
      <c r="BC36" s="9"/>
      <c r="BE36" s="19"/>
      <c r="BH36" s="19"/>
      <c r="BI36" s="9"/>
      <c r="BK36" s="19"/>
      <c r="BN36" s="19"/>
      <c r="BO36" s="9"/>
      <c r="BQ36" s="19"/>
      <c r="BT36" s="19"/>
      <c r="BU36" s="9"/>
      <c r="BW36" s="19"/>
      <c r="BZ36" s="19"/>
      <c r="CA36" s="9"/>
      <c r="CC36" s="19"/>
      <c r="CF36" s="19"/>
      <c r="CG36" s="9"/>
      <c r="CI36" s="19"/>
      <c r="CL36" s="19"/>
      <c r="CM36" s="9"/>
      <c r="CO36" s="19"/>
      <c r="CR36" s="19"/>
      <c r="CS36" s="9"/>
      <c r="CU36" s="19"/>
      <c r="CX36" s="19"/>
    </row>
    <row r="37" spans="1:102">
      <c r="A37" s="9"/>
      <c r="C37" s="19"/>
      <c r="F37" s="19"/>
      <c r="G37" s="9"/>
      <c r="I37" s="19"/>
      <c r="L37" s="19"/>
      <c r="M37" s="9"/>
      <c r="O37" s="19"/>
      <c r="R37" s="19"/>
      <c r="S37" s="9"/>
      <c r="U37" s="19"/>
      <c r="X37" s="19"/>
      <c r="Y37" s="9"/>
      <c r="AA37" s="19"/>
      <c r="AD37" s="19"/>
      <c r="AE37" s="9"/>
      <c r="AG37" s="19"/>
      <c r="AJ37" s="19"/>
      <c r="AK37" s="9"/>
      <c r="AM37" s="19"/>
      <c r="AP37" s="19"/>
      <c r="AQ37" s="9"/>
      <c r="AS37" s="19"/>
      <c r="AV37" s="19"/>
      <c r="AW37" s="9"/>
      <c r="AY37" s="19"/>
      <c r="BB37" s="19"/>
      <c r="BC37" s="9"/>
      <c r="BE37" s="19"/>
      <c r="BH37" s="19"/>
      <c r="BI37" s="9"/>
      <c r="BK37" s="19"/>
      <c r="BN37" s="19"/>
      <c r="BO37" s="9"/>
      <c r="BQ37" s="19"/>
      <c r="BT37" s="19"/>
      <c r="BU37" s="9"/>
      <c r="BW37" s="19"/>
      <c r="BZ37" s="19"/>
      <c r="CA37" s="9"/>
      <c r="CC37" s="19"/>
      <c r="CF37" s="19"/>
      <c r="CG37" s="9"/>
      <c r="CI37" s="19"/>
      <c r="CL37" s="19"/>
      <c r="CM37" s="9"/>
      <c r="CO37" s="19"/>
      <c r="CR37" s="19"/>
      <c r="CS37" s="9"/>
      <c r="CU37" s="19"/>
      <c r="CX37" s="19"/>
    </row>
    <row r="38" spans="1:102">
      <c r="A38" s="9"/>
      <c r="C38" s="19"/>
      <c r="F38" s="19"/>
      <c r="G38" s="9"/>
      <c r="I38" s="19"/>
      <c r="L38" s="19"/>
      <c r="M38" s="9"/>
      <c r="O38" s="19"/>
      <c r="R38" s="19"/>
      <c r="S38" s="9"/>
      <c r="U38" s="19"/>
      <c r="X38" s="19"/>
      <c r="Y38" s="9"/>
      <c r="AA38" s="19"/>
      <c r="AD38" s="19"/>
      <c r="AE38" s="9"/>
      <c r="AG38" s="19"/>
      <c r="AJ38" s="19"/>
      <c r="AK38" s="9"/>
      <c r="AM38" s="19"/>
      <c r="AP38" s="19"/>
      <c r="AQ38" s="9"/>
      <c r="AS38" s="19"/>
      <c r="AV38" s="19"/>
      <c r="AW38" s="9"/>
      <c r="AY38" s="19"/>
      <c r="BB38" s="19"/>
      <c r="BC38" s="9"/>
      <c r="BE38" s="19"/>
      <c r="BH38" s="19"/>
      <c r="BI38" s="9"/>
      <c r="BK38" s="19"/>
      <c r="BN38" s="19"/>
      <c r="BO38" s="9"/>
      <c r="BQ38" s="19"/>
      <c r="BT38" s="19"/>
      <c r="BU38" s="9"/>
      <c r="BW38" s="19"/>
      <c r="BZ38" s="19"/>
      <c r="CA38" s="9"/>
      <c r="CC38" s="19"/>
      <c r="CF38" s="19"/>
      <c r="CG38" s="9"/>
      <c r="CI38" s="19"/>
      <c r="CL38" s="19"/>
      <c r="CM38" s="9"/>
      <c r="CO38" s="19"/>
      <c r="CR38" s="19"/>
      <c r="CS38" s="9"/>
      <c r="CU38" s="19"/>
      <c r="CX38" s="19"/>
    </row>
    <row r="39" spans="1:102">
      <c r="A39" s="9"/>
      <c r="C39" s="19"/>
      <c r="F39" s="19"/>
      <c r="G39" s="9"/>
      <c r="I39" s="19"/>
      <c r="L39" s="19"/>
      <c r="M39" s="9"/>
      <c r="O39" s="19"/>
      <c r="R39" s="19"/>
      <c r="S39" s="9"/>
      <c r="U39" s="19"/>
      <c r="X39" s="19"/>
      <c r="Y39" s="9"/>
      <c r="AA39" s="19"/>
      <c r="AD39" s="19"/>
      <c r="AE39" s="9"/>
      <c r="AG39" s="19"/>
      <c r="AJ39" s="19"/>
      <c r="AK39" s="9"/>
      <c r="AM39" s="19"/>
      <c r="AP39" s="19"/>
      <c r="AQ39" s="9"/>
      <c r="AS39" s="19"/>
      <c r="AV39" s="19"/>
      <c r="AW39" s="9"/>
      <c r="AY39" s="19"/>
      <c r="BB39" s="19"/>
      <c r="BC39" s="9"/>
      <c r="BE39" s="19"/>
      <c r="BH39" s="19"/>
      <c r="BI39" s="9"/>
      <c r="BK39" s="19"/>
      <c r="BN39" s="19"/>
      <c r="BO39" s="9"/>
      <c r="BQ39" s="19"/>
      <c r="BT39" s="19"/>
      <c r="BU39" s="9"/>
      <c r="BW39" s="19"/>
      <c r="BZ39" s="19"/>
      <c r="CA39" s="9"/>
      <c r="CC39" s="19"/>
      <c r="CF39" s="19"/>
      <c r="CG39" s="9"/>
      <c r="CI39" s="19"/>
      <c r="CL39" s="19"/>
      <c r="CM39" s="9"/>
      <c r="CO39" s="19"/>
      <c r="CR39" s="19"/>
      <c r="CS39" s="9"/>
      <c r="CU39" s="19"/>
      <c r="CX39" s="19"/>
    </row>
    <row r="40" spans="1:102">
      <c r="A40" s="9"/>
      <c r="C40" s="19"/>
      <c r="F40" s="19"/>
      <c r="G40" s="9"/>
      <c r="I40" s="19"/>
      <c r="L40" s="19"/>
      <c r="M40" s="9"/>
      <c r="O40" s="19"/>
      <c r="R40" s="19"/>
      <c r="S40" s="9"/>
      <c r="U40" s="19"/>
      <c r="X40" s="19"/>
      <c r="Y40" s="9"/>
      <c r="AA40" s="19"/>
      <c r="AD40" s="19"/>
      <c r="AE40" s="9"/>
      <c r="AG40" s="19"/>
      <c r="AJ40" s="19"/>
      <c r="AK40" s="9"/>
      <c r="AM40" s="19"/>
      <c r="AP40" s="19"/>
      <c r="AQ40" s="9"/>
      <c r="AS40" s="19"/>
      <c r="AV40" s="19"/>
      <c r="AW40" s="9"/>
      <c r="AY40" s="19"/>
      <c r="BB40" s="19"/>
      <c r="BC40" s="9"/>
      <c r="BE40" s="19"/>
      <c r="BH40" s="19"/>
      <c r="BI40" s="9"/>
      <c r="BK40" s="19"/>
      <c r="BN40" s="19"/>
      <c r="BO40" s="9"/>
      <c r="BQ40" s="19"/>
      <c r="BT40" s="19"/>
      <c r="BU40" s="9"/>
      <c r="BW40" s="19"/>
      <c r="BZ40" s="19"/>
      <c r="CA40" s="9"/>
      <c r="CC40" s="19"/>
      <c r="CF40" s="19"/>
      <c r="CG40" s="9"/>
      <c r="CI40" s="19"/>
      <c r="CL40" s="19"/>
      <c r="CM40" s="9"/>
      <c r="CO40" s="19"/>
      <c r="CR40" s="19"/>
      <c r="CS40" s="9"/>
      <c r="CU40" s="19"/>
      <c r="CX40" s="19"/>
    </row>
    <row r="41" spans="1:102">
      <c r="A41" s="9"/>
      <c r="C41" s="19"/>
      <c r="F41" s="19"/>
      <c r="G41" s="9"/>
      <c r="I41" s="19"/>
      <c r="L41" s="19"/>
      <c r="M41" s="9"/>
      <c r="O41" s="19"/>
      <c r="R41" s="19"/>
      <c r="S41" s="9"/>
      <c r="U41" s="19"/>
      <c r="X41" s="19"/>
      <c r="Y41" s="9"/>
      <c r="AA41" s="19"/>
      <c r="AD41" s="19"/>
      <c r="AE41" s="9"/>
      <c r="AG41" s="19"/>
      <c r="AJ41" s="19"/>
      <c r="AK41" s="9"/>
      <c r="AM41" s="19"/>
      <c r="AP41" s="19"/>
      <c r="AQ41" s="9"/>
      <c r="AS41" s="19"/>
      <c r="AV41" s="19"/>
      <c r="AW41" s="9"/>
      <c r="AY41" s="19"/>
      <c r="BB41" s="19"/>
      <c r="BC41" s="9"/>
      <c r="BE41" s="19"/>
      <c r="BH41" s="19"/>
      <c r="BI41" s="9"/>
      <c r="BK41" s="19"/>
      <c r="BN41" s="19"/>
      <c r="BO41" s="9"/>
      <c r="BQ41" s="19"/>
      <c r="BT41" s="19"/>
      <c r="BU41" s="9"/>
      <c r="BW41" s="19"/>
      <c r="BZ41" s="19"/>
      <c r="CA41" s="9"/>
      <c r="CC41" s="19"/>
      <c r="CF41" s="19"/>
      <c r="CG41" s="9"/>
      <c r="CI41" s="19"/>
      <c r="CL41" s="19"/>
      <c r="CM41" s="9"/>
      <c r="CO41" s="19"/>
      <c r="CR41" s="19"/>
      <c r="CS41" s="9"/>
      <c r="CU41" s="19"/>
      <c r="CX41" s="19"/>
    </row>
    <row r="42" spans="1:102">
      <c r="A42" s="9"/>
      <c r="C42" s="19"/>
      <c r="F42" s="19"/>
      <c r="G42" s="9"/>
      <c r="I42" s="19"/>
      <c r="L42" s="19"/>
      <c r="M42" s="9"/>
      <c r="O42" s="19"/>
      <c r="R42" s="19"/>
      <c r="S42" s="9"/>
      <c r="U42" s="19"/>
      <c r="X42" s="19"/>
      <c r="Y42" s="9"/>
      <c r="AA42" s="19"/>
      <c r="AD42" s="19"/>
      <c r="AE42" s="9"/>
      <c r="AG42" s="19"/>
      <c r="AJ42" s="19"/>
      <c r="AK42" s="9"/>
      <c r="AM42" s="19"/>
      <c r="AP42" s="19"/>
      <c r="AQ42" s="9"/>
      <c r="AS42" s="19"/>
      <c r="AV42" s="19"/>
      <c r="AW42" s="9"/>
      <c r="AY42" s="19"/>
      <c r="BB42" s="19"/>
      <c r="BC42" s="9"/>
      <c r="BE42" s="19"/>
      <c r="BH42" s="19"/>
      <c r="BI42" s="9"/>
      <c r="BK42" s="19"/>
      <c r="BN42" s="19"/>
      <c r="BO42" s="9"/>
      <c r="BQ42" s="19"/>
      <c r="BT42" s="19"/>
      <c r="BU42" s="9"/>
      <c r="BW42" s="19"/>
      <c r="BZ42" s="19"/>
      <c r="CA42" s="9"/>
      <c r="CC42" s="19"/>
      <c r="CF42" s="19"/>
      <c r="CG42" s="9"/>
      <c r="CI42" s="19"/>
      <c r="CL42" s="19"/>
      <c r="CM42" s="9"/>
      <c r="CO42" s="19"/>
      <c r="CR42" s="19"/>
      <c r="CS42" s="9"/>
      <c r="CU42" s="19"/>
      <c r="CX42" s="19"/>
    </row>
    <row r="43" spans="1:102">
      <c r="A43" s="9"/>
      <c r="C43" s="19"/>
      <c r="F43" s="19"/>
      <c r="G43" s="9"/>
      <c r="I43" s="19"/>
      <c r="L43" s="19"/>
      <c r="M43" s="9"/>
      <c r="O43" s="19"/>
      <c r="R43" s="19"/>
      <c r="S43" s="9"/>
      <c r="U43" s="19"/>
      <c r="X43" s="19"/>
      <c r="Y43" s="9"/>
      <c r="AA43" s="19"/>
      <c r="AD43" s="19"/>
      <c r="AE43" s="9"/>
      <c r="AG43" s="19"/>
      <c r="AJ43" s="19"/>
      <c r="AK43" s="9"/>
      <c r="AM43" s="19"/>
      <c r="AP43" s="19"/>
      <c r="AQ43" s="9"/>
      <c r="AS43" s="19"/>
      <c r="AV43" s="19"/>
      <c r="AW43" s="9"/>
      <c r="AY43" s="19"/>
      <c r="BB43" s="19"/>
      <c r="BC43" s="9"/>
      <c r="BE43" s="19"/>
      <c r="BH43" s="19"/>
      <c r="BI43" s="9"/>
      <c r="BK43" s="19"/>
      <c r="BN43" s="19"/>
      <c r="BO43" s="9"/>
      <c r="BQ43" s="19"/>
      <c r="BT43" s="19"/>
      <c r="BU43" s="9"/>
      <c r="BW43" s="19"/>
      <c r="BZ43" s="19"/>
      <c r="CA43" s="9"/>
      <c r="CC43" s="19"/>
      <c r="CF43" s="19"/>
      <c r="CG43" s="9"/>
      <c r="CI43" s="19"/>
      <c r="CL43" s="19"/>
      <c r="CM43" s="9"/>
      <c r="CO43" s="19"/>
      <c r="CR43" s="19"/>
      <c r="CS43" s="9"/>
      <c r="CU43" s="19"/>
      <c r="CX43" s="19"/>
    </row>
    <row r="44" spans="1:102" ht="13.5" thickBot="1">
      <c r="A44" s="9"/>
      <c r="C44" s="19"/>
      <c r="F44" s="19"/>
      <c r="G44" s="9"/>
      <c r="I44" s="19"/>
      <c r="L44" s="19"/>
      <c r="M44" s="9"/>
      <c r="O44" s="19"/>
      <c r="R44" s="19"/>
      <c r="S44" s="9"/>
      <c r="U44" s="19"/>
      <c r="X44" s="19"/>
      <c r="Y44" s="9"/>
      <c r="AA44" s="19"/>
      <c r="AD44" s="19"/>
      <c r="AE44" s="9"/>
      <c r="AG44" s="19"/>
      <c r="AJ44" s="19"/>
      <c r="AK44" s="9"/>
      <c r="AM44" s="19"/>
      <c r="AP44" s="19"/>
      <c r="AQ44" s="9"/>
      <c r="AS44" s="19"/>
      <c r="AV44" s="19"/>
      <c r="AW44" s="9"/>
      <c r="AY44" s="19"/>
      <c r="BB44" s="19"/>
      <c r="BC44" s="9"/>
      <c r="BE44" s="19"/>
      <c r="BH44" s="19"/>
      <c r="BI44" s="9"/>
      <c r="BK44" s="19"/>
      <c r="BN44" s="19"/>
      <c r="BO44" s="9"/>
      <c r="BQ44" s="19"/>
      <c r="BT44" s="19"/>
      <c r="BU44" s="9"/>
      <c r="BW44" s="19"/>
      <c r="BZ44" s="19"/>
      <c r="CA44" s="9"/>
      <c r="CC44" s="19"/>
      <c r="CF44" s="19"/>
      <c r="CG44" s="9"/>
      <c r="CI44" s="19"/>
      <c r="CL44" s="19"/>
      <c r="CM44" s="9"/>
      <c r="CO44" s="19"/>
      <c r="CR44" s="19"/>
      <c r="CS44" s="9"/>
      <c r="CU44" s="19"/>
      <c r="CX44" s="19"/>
    </row>
    <row r="45" spans="1:102" ht="23.25" customHeight="1">
      <c r="A45" s="1432" t="s">
        <v>1257</v>
      </c>
      <c r="B45" s="1433"/>
      <c r="C45" s="1433"/>
      <c r="D45" s="1433"/>
      <c r="E45" s="1433"/>
      <c r="F45" s="1434"/>
      <c r="G45" s="1432" t="str">
        <f>+G34</f>
        <v>LA UNIÓN - SONSÓN. MUNICIPIO DE LA ABEJORRAL. PR77+0300. REPARACIÓN DE GRIETA, MURO DE CONTENCIÓN</v>
      </c>
      <c r="H45" s="1433"/>
      <c r="I45" s="1433"/>
      <c r="J45" s="1433"/>
      <c r="K45" s="1433"/>
      <c r="L45" s="1434"/>
      <c r="M45" s="1432" t="s">
        <v>1258</v>
      </c>
      <c r="N45" s="1433"/>
      <c r="O45" s="1433"/>
      <c r="P45" s="1433"/>
      <c r="Q45" s="1433"/>
      <c r="R45" s="1434"/>
      <c r="S45" s="1432" t="s">
        <v>1259</v>
      </c>
      <c r="T45" s="1433"/>
      <c r="U45" s="1433"/>
      <c r="V45" s="1433"/>
      <c r="W45" s="1433"/>
      <c r="X45" s="1434"/>
      <c r="Y45" s="1432" t="str">
        <f>+Y34</f>
        <v>LA UNIÓN - SONSÓN. MUNICIPIO DE SONSON. PR94+0800. SELLAMIENTO DE GRIETAS Y REPARACIONES EN FALLO GEOLOGICO</v>
      </c>
      <c r="Z45" s="1433"/>
      <c r="AA45" s="1433"/>
      <c r="AB45" s="1433"/>
      <c r="AC45" s="1433"/>
      <c r="AD45" s="1434"/>
      <c r="AE45" s="1432" t="str">
        <f>+AE34</f>
        <v>LA UNIÓN - SONSÓN. MUNICIPIO DE SONSON. PR91+0400. SELLAMIENTO DE TUBERIAA DE ALCANTARILLADO</v>
      </c>
      <c r="AF45" s="1433"/>
      <c r="AG45" s="1433"/>
      <c r="AH45" s="1433"/>
      <c r="AI45" s="1433"/>
      <c r="AJ45" s="1434"/>
      <c r="AK45" s="1432" t="s">
        <v>1260</v>
      </c>
      <c r="AL45" s="1433"/>
      <c r="AM45" s="1433"/>
      <c r="AN45" s="1433"/>
      <c r="AO45" s="1433"/>
      <c r="AP45" s="1434"/>
      <c r="AQ45" s="1432" t="s">
        <v>1261</v>
      </c>
      <c r="AR45" s="1433"/>
      <c r="AS45" s="1433"/>
      <c r="AT45" s="1433"/>
      <c r="AU45" s="1433"/>
      <c r="AV45" s="1434"/>
      <c r="AW45" s="1432" t="s">
        <v>1262</v>
      </c>
      <c r="AX45" s="1433"/>
      <c r="AY45" s="1433"/>
      <c r="AZ45" s="1433"/>
      <c r="BA45" s="1433"/>
      <c r="BB45" s="1434"/>
      <c r="BC45" s="1432" t="s">
        <v>1263</v>
      </c>
      <c r="BD45" s="1433"/>
      <c r="BE45" s="1433"/>
      <c r="BF45" s="1433"/>
      <c r="BG45" s="1433"/>
      <c r="BH45" s="1434"/>
      <c r="BI45" s="1432" t="str">
        <f>+BI34</f>
        <v>LA UNION - SONSÓN. MUNICIPIO DE LA UNIÓN. INSTALACION DE MARCAS VIALES(PROHIBIDO PARQUEAR)</v>
      </c>
      <c r="BJ45" s="1433"/>
      <c r="BK45" s="1433"/>
      <c r="BL45" s="1433"/>
      <c r="BM45" s="1433"/>
      <c r="BN45" s="1434"/>
      <c r="BO45" s="1432" t="s">
        <v>1264</v>
      </c>
      <c r="BP45" s="1433"/>
      <c r="BQ45" s="1433"/>
      <c r="BR45" s="1433"/>
      <c r="BS45" s="1433"/>
      <c r="BT45" s="1434"/>
      <c r="BU45" s="1432" t="s">
        <v>1265</v>
      </c>
      <c r="BV45" s="1433"/>
      <c r="BW45" s="1433"/>
      <c r="BX45" s="1433"/>
      <c r="BY45" s="1433"/>
      <c r="BZ45" s="1434"/>
      <c r="CA45" s="1432" t="str">
        <f>+CA34</f>
        <v>LA UNIÓN - SONSÓN. SEGIMIENTO AL CONTRATO 1681 DE 2022 EN LOS PR´S 70+0085, 81+0200 Y 81+0250</v>
      </c>
      <c r="CB45" s="1433"/>
      <c r="CC45" s="1433"/>
      <c r="CD45" s="1433"/>
      <c r="CE45" s="1433"/>
      <c r="CF45" s="1434"/>
      <c r="CG45" s="1432" t="str">
        <f>+CG34</f>
        <v>LA UNIÓN - SONSÓN. SEGIMIENTO AL CONTRATO 1681 DE 2022 EN LOS PR´S 70+0085, 81+0200 Y 81+0250</v>
      </c>
      <c r="CH45" s="1433"/>
      <c r="CI45" s="1433"/>
      <c r="CJ45" s="1433"/>
      <c r="CK45" s="1433"/>
      <c r="CL45" s="1434"/>
      <c r="CM45" s="1432" t="str">
        <f>+CM34</f>
        <v>LA UNION - SONSÓN. SEGUIMIENTO AL CONTRATO 1682 DE 2022 EN LOS PR´S 53+0975 Y 89+0000</v>
      </c>
      <c r="CN45" s="1433"/>
      <c r="CO45" s="1433"/>
      <c r="CP45" s="1433"/>
      <c r="CQ45" s="1433"/>
      <c r="CR45" s="1434"/>
      <c r="CS45" s="1432"/>
      <c r="CT45" s="1433"/>
      <c r="CU45" s="1433"/>
      <c r="CV45" s="1433"/>
      <c r="CW45" s="1433"/>
      <c r="CX45" s="1434"/>
    </row>
    <row r="46" spans="1:102" ht="13.5" thickBot="1">
      <c r="A46" s="1435"/>
      <c r="B46" s="1436"/>
      <c r="C46" s="1436"/>
      <c r="D46" s="1436"/>
      <c r="E46" s="1436"/>
      <c r="F46" s="1437"/>
      <c r="G46" s="1435"/>
      <c r="H46" s="1436"/>
      <c r="I46" s="1436"/>
      <c r="J46" s="1436"/>
      <c r="K46" s="1436"/>
      <c r="L46" s="1437"/>
      <c r="M46" s="1435"/>
      <c r="N46" s="1436"/>
      <c r="O46" s="1436"/>
      <c r="P46" s="1436"/>
      <c r="Q46" s="1436"/>
      <c r="R46" s="1437"/>
      <c r="S46" s="1435"/>
      <c r="T46" s="1436"/>
      <c r="U46" s="1436"/>
      <c r="V46" s="1436"/>
      <c r="W46" s="1436"/>
      <c r="X46" s="1437"/>
      <c r="Y46" s="1435"/>
      <c r="Z46" s="1436"/>
      <c r="AA46" s="1436"/>
      <c r="AB46" s="1436"/>
      <c r="AC46" s="1436"/>
      <c r="AD46" s="1437"/>
      <c r="AE46" s="1435"/>
      <c r="AF46" s="1436"/>
      <c r="AG46" s="1436"/>
      <c r="AH46" s="1436"/>
      <c r="AI46" s="1436"/>
      <c r="AJ46" s="1437"/>
      <c r="AK46" s="1435"/>
      <c r="AL46" s="1436"/>
      <c r="AM46" s="1436"/>
      <c r="AN46" s="1436"/>
      <c r="AO46" s="1436"/>
      <c r="AP46" s="1437"/>
      <c r="AQ46" s="1435"/>
      <c r="AR46" s="1436"/>
      <c r="AS46" s="1436"/>
      <c r="AT46" s="1436"/>
      <c r="AU46" s="1436"/>
      <c r="AV46" s="1437"/>
      <c r="AW46" s="1435"/>
      <c r="AX46" s="1436"/>
      <c r="AY46" s="1436"/>
      <c r="AZ46" s="1436"/>
      <c r="BA46" s="1436"/>
      <c r="BB46" s="1437"/>
      <c r="BC46" s="1435"/>
      <c r="BD46" s="1436"/>
      <c r="BE46" s="1436"/>
      <c r="BF46" s="1436"/>
      <c r="BG46" s="1436"/>
      <c r="BH46" s="1437"/>
      <c r="BI46" s="1435"/>
      <c r="BJ46" s="1436"/>
      <c r="BK46" s="1436"/>
      <c r="BL46" s="1436"/>
      <c r="BM46" s="1436"/>
      <c r="BN46" s="1437"/>
      <c r="BO46" s="1435"/>
      <c r="BP46" s="1436"/>
      <c r="BQ46" s="1436"/>
      <c r="BR46" s="1436"/>
      <c r="BS46" s="1436"/>
      <c r="BT46" s="1437"/>
      <c r="BU46" s="1435"/>
      <c r="BV46" s="1436"/>
      <c r="BW46" s="1436"/>
      <c r="BX46" s="1436"/>
      <c r="BY46" s="1436"/>
      <c r="BZ46" s="1437"/>
      <c r="CA46" s="1435"/>
      <c r="CB46" s="1436"/>
      <c r="CC46" s="1436"/>
      <c r="CD46" s="1436"/>
      <c r="CE46" s="1436"/>
      <c r="CF46" s="1437"/>
      <c r="CG46" s="1435"/>
      <c r="CH46" s="1436"/>
      <c r="CI46" s="1436"/>
      <c r="CJ46" s="1436"/>
      <c r="CK46" s="1436"/>
      <c r="CL46" s="1437"/>
      <c r="CM46" s="1435"/>
      <c r="CN46" s="1436"/>
      <c r="CO46" s="1436"/>
      <c r="CP46" s="1436"/>
      <c r="CQ46" s="1436"/>
      <c r="CR46" s="1437"/>
      <c r="CS46" s="1435"/>
      <c r="CT46" s="1436"/>
      <c r="CU46" s="1436"/>
      <c r="CV46" s="1436"/>
      <c r="CW46" s="1436"/>
      <c r="CX46" s="1437"/>
    </row>
    <row r="48" spans="1:102">
      <c r="A48" s="63" t="s">
        <v>1266</v>
      </c>
      <c r="G48" s="63" t="s">
        <v>1266</v>
      </c>
      <c r="M48" s="63" t="s">
        <v>1266</v>
      </c>
      <c r="S48" s="63" t="s">
        <v>1266</v>
      </c>
      <c r="Y48" s="63" t="s">
        <v>1266</v>
      </c>
      <c r="AE48" s="63" t="s">
        <v>1266</v>
      </c>
      <c r="AK48" s="63" t="s">
        <v>1266</v>
      </c>
      <c r="AQ48" s="63" t="s">
        <v>1266</v>
      </c>
      <c r="AW48" s="63" t="s">
        <v>1266</v>
      </c>
      <c r="BC48" s="63" t="s">
        <v>1266</v>
      </c>
      <c r="BI48" s="63" t="s">
        <v>1266</v>
      </c>
      <c r="BO48" s="63" t="s">
        <v>1266</v>
      </c>
      <c r="BU48" s="63" t="s">
        <v>1266</v>
      </c>
      <c r="CA48" s="63" t="s">
        <v>1266</v>
      </c>
      <c r="CG48" s="63" t="s">
        <v>1266</v>
      </c>
      <c r="CM48" s="63" t="s">
        <v>1266</v>
      </c>
      <c r="CS48" s="63" t="s">
        <v>1266</v>
      </c>
    </row>
    <row r="49" spans="1:102">
      <c r="A49" s="63" t="s">
        <v>1267</v>
      </c>
      <c r="G49" s="63" t="s">
        <v>1267</v>
      </c>
      <c r="M49" s="63" t="s">
        <v>1267</v>
      </c>
      <c r="S49" s="63" t="s">
        <v>1267</v>
      </c>
      <c r="Y49" s="63" t="s">
        <v>1267</v>
      </c>
      <c r="AE49" s="63" t="s">
        <v>1267</v>
      </c>
      <c r="AK49" s="63" t="s">
        <v>1267</v>
      </c>
      <c r="AQ49" s="63" t="s">
        <v>1267</v>
      </c>
      <c r="AW49" s="63" t="s">
        <v>1267</v>
      </c>
      <c r="BC49" s="63" t="s">
        <v>1267</v>
      </c>
      <c r="BI49" s="63" t="s">
        <v>1267</v>
      </c>
      <c r="BO49" s="63" t="s">
        <v>1267</v>
      </c>
      <c r="BU49" s="63" t="s">
        <v>1267</v>
      </c>
      <c r="CA49" s="63" t="s">
        <v>1267</v>
      </c>
      <c r="CG49" s="63" t="s">
        <v>1267</v>
      </c>
      <c r="CM49" s="63" t="s">
        <v>1267</v>
      </c>
      <c r="CS49" s="63" t="s">
        <v>1267</v>
      </c>
    </row>
    <row r="50" spans="1:102">
      <c r="A50" s="1663" t="s">
        <v>1268</v>
      </c>
      <c r="B50" s="354"/>
      <c r="C50" s="354"/>
      <c r="D50" s="354"/>
      <c r="E50" s="354"/>
      <c r="F50" s="354"/>
      <c r="G50" s="1663" t="s">
        <v>1268</v>
      </c>
      <c r="H50" s="354"/>
      <c r="I50" s="354"/>
      <c r="J50" s="354"/>
      <c r="K50" s="354"/>
      <c r="L50" s="354"/>
      <c r="M50" s="1663" t="s">
        <v>1268</v>
      </c>
      <c r="N50" s="354"/>
      <c r="O50" s="354"/>
      <c r="P50" s="354"/>
      <c r="Q50" s="354"/>
      <c r="R50" s="354"/>
      <c r="S50" s="1663" t="s">
        <v>1268</v>
      </c>
      <c r="T50" s="354"/>
      <c r="U50" s="354"/>
      <c r="V50" s="354"/>
      <c r="W50" s="354"/>
      <c r="X50" s="354"/>
      <c r="Y50" s="1663" t="s">
        <v>1268</v>
      </c>
      <c r="Z50" s="354"/>
      <c r="AA50" s="354"/>
      <c r="AB50" s="354"/>
      <c r="AC50" s="354"/>
      <c r="AD50" s="354"/>
      <c r="AE50" s="1663" t="s">
        <v>1268</v>
      </c>
      <c r="AF50" s="354"/>
      <c r="AG50" s="354"/>
      <c r="AH50" s="354"/>
      <c r="AI50" s="354"/>
      <c r="AJ50" s="354"/>
      <c r="AK50" s="1663" t="s">
        <v>1268</v>
      </c>
      <c r="AL50" s="354"/>
      <c r="AM50" s="354"/>
      <c r="AN50" s="354"/>
      <c r="AO50" s="354"/>
      <c r="AP50" s="354"/>
      <c r="AQ50" s="1663" t="s">
        <v>1268</v>
      </c>
      <c r="AR50" s="354"/>
      <c r="AS50" s="354"/>
      <c r="AT50" s="354"/>
      <c r="AU50" s="354"/>
      <c r="AV50" s="354"/>
      <c r="AW50" s="1663" t="s">
        <v>1268</v>
      </c>
      <c r="AX50" s="354"/>
      <c r="AY50" s="354"/>
      <c r="AZ50" s="354"/>
      <c r="BA50" s="354"/>
      <c r="BB50" s="354"/>
      <c r="BC50" s="1663" t="s">
        <v>1268</v>
      </c>
      <c r="BD50" s="354"/>
      <c r="BE50" s="354"/>
      <c r="BF50" s="354"/>
      <c r="BG50" s="354"/>
      <c r="BH50" s="354"/>
      <c r="BI50" s="1663" t="s">
        <v>1268</v>
      </c>
      <c r="BJ50" s="354"/>
      <c r="BK50" s="354"/>
      <c r="BL50" s="354"/>
      <c r="BM50" s="354"/>
      <c r="BN50" s="354"/>
      <c r="BO50" s="1663" t="s">
        <v>1268</v>
      </c>
      <c r="BP50" s="354"/>
      <c r="BQ50" s="354"/>
      <c r="BR50" s="354"/>
      <c r="BS50" s="354"/>
      <c r="BT50" s="354"/>
      <c r="BU50" s="1663" t="s">
        <v>1268</v>
      </c>
      <c r="BV50" s="354"/>
      <c r="BW50" s="354"/>
      <c r="BX50" s="354"/>
      <c r="BY50" s="354"/>
      <c r="BZ50" s="354"/>
      <c r="CA50" s="1663" t="s">
        <v>1268</v>
      </c>
      <c r="CB50" s="354"/>
      <c r="CC50" s="354"/>
      <c r="CD50" s="354"/>
      <c r="CE50" s="354"/>
      <c r="CF50" s="354"/>
      <c r="CG50" s="1663" t="s">
        <v>1268</v>
      </c>
      <c r="CH50" s="354"/>
      <c r="CI50" s="354"/>
      <c r="CJ50" s="354"/>
      <c r="CK50" s="354"/>
      <c r="CL50" s="354"/>
      <c r="CM50" s="1663" t="s">
        <v>1268</v>
      </c>
      <c r="CN50" s="354"/>
      <c r="CO50" s="354"/>
      <c r="CP50" s="354"/>
      <c r="CQ50" s="354"/>
      <c r="CR50" s="354"/>
      <c r="CS50" s="1663" t="s">
        <v>1268</v>
      </c>
      <c r="CT50" s="354"/>
      <c r="CU50" s="354"/>
      <c r="CV50" s="354"/>
      <c r="CW50" s="354"/>
      <c r="CX50" s="354"/>
    </row>
    <row r="52" spans="1:102">
      <c r="D52" s="1231" t="s">
        <v>126</v>
      </c>
      <c r="E52" s="1231"/>
      <c r="F52" s="1231"/>
      <c r="J52" s="1231" t="s">
        <v>126</v>
      </c>
      <c r="K52" s="1231"/>
      <c r="L52" s="1231"/>
      <c r="P52" s="1231" t="s">
        <v>126</v>
      </c>
      <c r="Q52" s="1231"/>
      <c r="R52" s="1231"/>
      <c r="V52" s="1231" t="s">
        <v>126</v>
      </c>
      <c r="W52" s="1231"/>
      <c r="X52" s="1231"/>
      <c r="AB52" s="1231" t="s">
        <v>126</v>
      </c>
      <c r="AC52" s="1231"/>
      <c r="AD52" s="1231"/>
      <c r="AH52" s="1231" t="s">
        <v>126</v>
      </c>
      <c r="AI52" s="1231"/>
      <c r="AJ52" s="1231"/>
      <c r="AN52" s="1231" t="s">
        <v>126</v>
      </c>
      <c r="AO52" s="1231"/>
      <c r="AP52" s="1231"/>
      <c r="AT52" s="1231" t="s">
        <v>126</v>
      </c>
      <c r="AU52" s="1231"/>
      <c r="AV52" s="1231"/>
      <c r="AZ52" s="1231" t="s">
        <v>126</v>
      </c>
      <c r="BA52" s="1231"/>
      <c r="BB52" s="1231"/>
      <c r="BF52" s="1231" t="s">
        <v>126</v>
      </c>
      <c r="BG52" s="1231"/>
      <c r="BH52" s="1231"/>
      <c r="BL52" s="1231" t="s">
        <v>126</v>
      </c>
      <c r="BM52" s="1231"/>
      <c r="BN52" s="1231"/>
      <c r="BR52" s="1231" t="s">
        <v>126</v>
      </c>
      <c r="BS52" s="1231"/>
      <c r="BT52" s="1231"/>
      <c r="BX52" s="1231" t="s">
        <v>126</v>
      </c>
      <c r="BY52" s="1231"/>
      <c r="BZ52" s="1231"/>
      <c r="CD52" s="1231" t="s">
        <v>126</v>
      </c>
      <c r="CE52" s="1231"/>
      <c r="CF52" s="1231"/>
      <c r="CJ52" s="1231" t="s">
        <v>126</v>
      </c>
      <c r="CK52" s="1231"/>
      <c r="CL52" s="1231"/>
      <c r="CP52" s="1231" t="s">
        <v>126</v>
      </c>
      <c r="CQ52" s="1231"/>
      <c r="CR52" s="1231"/>
      <c r="CV52" s="1231" t="s">
        <v>126</v>
      </c>
      <c r="CW52" s="1231"/>
      <c r="CX52" s="1231"/>
    </row>
  </sheetData>
  <mergeCells count="136">
    <mergeCell ref="CM1:CR1"/>
    <mergeCell ref="CM3:CR3"/>
    <mergeCell ref="CM7:CR7"/>
    <mergeCell ref="CM11:CR11"/>
    <mergeCell ref="CM23:CR24"/>
    <mergeCell ref="CM34:CR35"/>
    <mergeCell ref="CM45:CR46"/>
    <mergeCell ref="CP52:CR52"/>
    <mergeCell ref="CS1:CX1"/>
    <mergeCell ref="CS3:CX3"/>
    <mergeCell ref="CS7:CX7"/>
    <mergeCell ref="CS11:CX11"/>
    <mergeCell ref="CS23:CX24"/>
    <mergeCell ref="CS34:CX35"/>
    <mergeCell ref="CS45:CX46"/>
    <mergeCell ref="CV52:CX52"/>
    <mergeCell ref="CG34:CL35"/>
    <mergeCell ref="CG45:CL46"/>
    <mergeCell ref="CJ52:CL52"/>
    <mergeCell ref="CG1:CL1"/>
    <mergeCell ref="CG3:CL3"/>
    <mergeCell ref="CG7:CL7"/>
    <mergeCell ref="CG11:CL11"/>
    <mergeCell ref="CG23:CL24"/>
    <mergeCell ref="BU34:BZ35"/>
    <mergeCell ref="BU45:BZ46"/>
    <mergeCell ref="BX52:BZ52"/>
    <mergeCell ref="CA1:CF1"/>
    <mergeCell ref="CA3:CF3"/>
    <mergeCell ref="CA7:CF7"/>
    <mergeCell ref="CA11:CF11"/>
    <mergeCell ref="CA23:CF24"/>
    <mergeCell ref="CA34:CF35"/>
    <mergeCell ref="CA45:CF46"/>
    <mergeCell ref="CD52:CF52"/>
    <mergeCell ref="BU1:BZ1"/>
    <mergeCell ref="BU3:BZ3"/>
    <mergeCell ref="BU7:BZ7"/>
    <mergeCell ref="BU11:BZ11"/>
    <mergeCell ref="BU23:BZ24"/>
    <mergeCell ref="BO34:BT35"/>
    <mergeCell ref="BO45:BT46"/>
    <mergeCell ref="M1:R1"/>
    <mergeCell ref="M3:R3"/>
    <mergeCell ref="M7:R7"/>
    <mergeCell ref="M11:R11"/>
    <mergeCell ref="Y3:AD3"/>
    <mergeCell ref="Y7:AD7"/>
    <mergeCell ref="Y11:AD11"/>
    <mergeCell ref="Y23:AD24"/>
    <mergeCell ref="Y34:AD35"/>
    <mergeCell ref="Y45:AD46"/>
    <mergeCell ref="S1:X1"/>
    <mergeCell ref="S3:X3"/>
    <mergeCell ref="S7:X7"/>
    <mergeCell ref="S11:X11"/>
    <mergeCell ref="S45:X46"/>
    <mergeCell ref="AQ34:AV35"/>
    <mergeCell ref="AQ45:AV46"/>
    <mergeCell ref="BC34:BH35"/>
    <mergeCell ref="BC45:BH46"/>
    <mergeCell ref="BR52:BT52"/>
    <mergeCell ref="BO1:BT1"/>
    <mergeCell ref="BO3:BT3"/>
    <mergeCell ref="BO7:BT7"/>
    <mergeCell ref="BO11:BT11"/>
    <mergeCell ref="BO23:BT24"/>
    <mergeCell ref="AB52:AD52"/>
    <mergeCell ref="AH52:AJ52"/>
    <mergeCell ref="AE1:AJ1"/>
    <mergeCell ref="AE3:AJ3"/>
    <mergeCell ref="AE7:AJ7"/>
    <mergeCell ref="AE11:AJ11"/>
    <mergeCell ref="AE23:AJ24"/>
    <mergeCell ref="AE34:AJ35"/>
    <mergeCell ref="BI34:BN35"/>
    <mergeCell ref="BI45:BN46"/>
    <mergeCell ref="BL52:BN52"/>
    <mergeCell ref="BI1:BN1"/>
    <mergeCell ref="BI3:BN3"/>
    <mergeCell ref="BI7:BN7"/>
    <mergeCell ref="BI11:BN11"/>
    <mergeCell ref="BI23:BN24"/>
    <mergeCell ref="AE45:AJ46"/>
    <mergeCell ref="Y1:AD1"/>
    <mergeCell ref="A1:F1"/>
    <mergeCell ref="A3:F3"/>
    <mergeCell ref="A7:F7"/>
    <mergeCell ref="A11:F11"/>
    <mergeCell ref="G1:L1"/>
    <mergeCell ref="G3:L3"/>
    <mergeCell ref="G7:L7"/>
    <mergeCell ref="G11:L11"/>
    <mergeCell ref="D52:F52"/>
    <mergeCell ref="A23:F24"/>
    <mergeCell ref="A45:F46"/>
    <mergeCell ref="V52:X52"/>
    <mergeCell ref="M23:R24"/>
    <mergeCell ref="M34:R35"/>
    <mergeCell ref="M45:R46"/>
    <mergeCell ref="P52:R52"/>
    <mergeCell ref="J52:L52"/>
    <mergeCell ref="G34:L35"/>
    <mergeCell ref="A34:F35"/>
    <mergeCell ref="S34:X35"/>
    <mergeCell ref="S23:X24"/>
    <mergeCell ref="G23:L24"/>
    <mergeCell ref="G45:L46"/>
    <mergeCell ref="AT52:AV52"/>
    <mergeCell ref="AK1:AP1"/>
    <mergeCell ref="AK3:AP3"/>
    <mergeCell ref="AK7:AP7"/>
    <mergeCell ref="AK11:AP11"/>
    <mergeCell ref="AK23:AP24"/>
    <mergeCell ref="AK34:AP35"/>
    <mergeCell ref="AK45:AP46"/>
    <mergeCell ref="AN52:AP52"/>
    <mergeCell ref="AQ1:AV1"/>
    <mergeCell ref="AQ3:AV3"/>
    <mergeCell ref="AQ7:AV7"/>
    <mergeCell ref="AQ11:AV11"/>
    <mergeCell ref="AQ23:AV24"/>
    <mergeCell ref="BF52:BH52"/>
    <mergeCell ref="AW1:BB1"/>
    <mergeCell ref="AW3:BB3"/>
    <mergeCell ref="AW7:BB7"/>
    <mergeCell ref="AW11:BB11"/>
    <mergeCell ref="AW23:BB24"/>
    <mergeCell ref="AW34:BB35"/>
    <mergeCell ref="AW45:BB46"/>
    <mergeCell ref="AZ52:BB52"/>
    <mergeCell ref="BC1:BH1"/>
    <mergeCell ref="BC3:BH3"/>
    <mergeCell ref="BC7:BH7"/>
    <mergeCell ref="BC11:BH11"/>
    <mergeCell ref="BC23:BH24"/>
  </mergeCells>
  <phoneticPr fontId="5" type="noConversion"/>
  <hyperlinks>
    <hyperlink ref="D52" location="'TABLA DE CONTENIDO'!A1" display="'TABLA DE CONTENIDO'!A1" xr:uid="{00000000-0004-0000-1F00-000000000000}"/>
    <hyperlink ref="D52:E52" location="'TABLA DE CONTENIDO'!A1" display="VOLVER A TABLA DE CONTENIDO" xr:uid="{00000000-0004-0000-1F00-000001000000}"/>
    <hyperlink ref="J52" location="'TABLA DE CONTENIDO'!A1" display="'TABLA DE CONTENIDO'!A1" xr:uid="{00000000-0004-0000-1F00-000002000000}"/>
    <hyperlink ref="J52:K52" location="'TABLA DE CONTENIDO'!A1" display="VOLVER A TABLA DE CONTENIDO" xr:uid="{00000000-0004-0000-1F00-000003000000}"/>
    <hyperlink ref="P52" location="'TABLA DE CONTENIDO'!A1" display="'TABLA DE CONTENIDO'!A1" xr:uid="{00000000-0004-0000-1F00-000004000000}"/>
    <hyperlink ref="P52:Q52" location="'TABLA DE CONTENIDO'!A1" display="VOLVER A TABLA DE CONTENIDO" xr:uid="{00000000-0004-0000-1F00-000005000000}"/>
    <hyperlink ref="V52" location="'TABLA DE CONTENIDO'!A1" display="'TABLA DE CONTENIDO'!A1" xr:uid="{00000000-0004-0000-1F00-000006000000}"/>
    <hyperlink ref="V52:W52" location="'TABLA DE CONTENIDO'!A1" display="VOLVER A TABLA DE CONTENIDO" xr:uid="{00000000-0004-0000-1F00-000007000000}"/>
    <hyperlink ref="AB52" location="'TABLA DE CONTENIDO'!A1" display="'TABLA DE CONTENIDO'!A1" xr:uid="{00000000-0004-0000-1F00-000008000000}"/>
    <hyperlink ref="AB52:AC52" location="'TABLA DE CONTENIDO'!A1" display="VOLVER A TABLA DE CONTENIDO" xr:uid="{00000000-0004-0000-1F00-000009000000}"/>
    <hyperlink ref="AH52" location="'TABLA DE CONTENIDO'!A1" display="'TABLA DE CONTENIDO'!A1" xr:uid="{00000000-0004-0000-1F00-00000A000000}"/>
    <hyperlink ref="AH52:AI52" location="'TABLA DE CONTENIDO'!A1" display="VOLVER A TABLA DE CONTENIDO" xr:uid="{00000000-0004-0000-1F00-00000B000000}"/>
    <hyperlink ref="AN52" location="'TABLA DE CONTENIDO'!A1" display="'TABLA DE CONTENIDO'!A1" xr:uid="{00000000-0004-0000-1F00-00000C000000}"/>
    <hyperlink ref="AN52:AO52" location="'TABLA DE CONTENIDO'!A1" display="VOLVER A TABLA DE CONTENIDO" xr:uid="{00000000-0004-0000-1F00-00000D000000}"/>
    <hyperlink ref="AT52" location="'TABLA DE CONTENIDO'!A1" display="'TABLA DE CONTENIDO'!A1" xr:uid="{00000000-0004-0000-1F00-00000E000000}"/>
    <hyperlink ref="AT52:AU52" location="'TABLA DE CONTENIDO'!A1" display="VOLVER A TABLA DE CONTENIDO" xr:uid="{00000000-0004-0000-1F00-00000F000000}"/>
    <hyperlink ref="AZ52" location="'TABLA DE CONTENIDO'!A1" display="'TABLA DE CONTENIDO'!A1" xr:uid="{00000000-0004-0000-1F00-000010000000}"/>
    <hyperlink ref="AZ52:BA52" location="'TABLA DE CONTENIDO'!A1" display="VOLVER A TABLA DE CONTENIDO" xr:uid="{00000000-0004-0000-1F00-000011000000}"/>
    <hyperlink ref="BF52" location="'TABLA DE CONTENIDO'!A1" display="'TABLA DE CONTENIDO'!A1" xr:uid="{00000000-0004-0000-1F00-000012000000}"/>
    <hyperlink ref="BF52:BG52" location="'TABLA DE CONTENIDO'!A1" display="VOLVER A TABLA DE CONTENIDO" xr:uid="{00000000-0004-0000-1F00-000013000000}"/>
    <hyperlink ref="BL52" location="'TABLA DE CONTENIDO'!A1" display="'TABLA DE CONTENIDO'!A1" xr:uid="{00000000-0004-0000-1F00-000014000000}"/>
    <hyperlink ref="BL52:BM52" location="'TABLA DE CONTENIDO'!A1" display="VOLVER A TABLA DE CONTENIDO" xr:uid="{00000000-0004-0000-1F00-000015000000}"/>
    <hyperlink ref="BR52" location="'TABLA DE CONTENIDO'!A1" display="'TABLA DE CONTENIDO'!A1" xr:uid="{00000000-0004-0000-1F00-000016000000}"/>
    <hyperlink ref="BR52:BS52" location="'TABLA DE CONTENIDO'!A1" display="VOLVER A TABLA DE CONTENIDO" xr:uid="{00000000-0004-0000-1F00-000017000000}"/>
    <hyperlink ref="BX52" location="'TABLA DE CONTENIDO'!A1" display="'TABLA DE CONTENIDO'!A1" xr:uid="{00000000-0004-0000-1F00-000018000000}"/>
    <hyperlink ref="BX52:BY52" location="'TABLA DE CONTENIDO'!A1" display="VOLVER A TABLA DE CONTENIDO" xr:uid="{00000000-0004-0000-1F00-000019000000}"/>
    <hyperlink ref="CD52" location="'TABLA DE CONTENIDO'!A1" display="'TABLA DE CONTENIDO'!A1" xr:uid="{00000000-0004-0000-1F00-00001A000000}"/>
    <hyperlink ref="CD52:CE52" location="'TABLA DE CONTENIDO'!A1" display="VOLVER A TABLA DE CONTENIDO" xr:uid="{00000000-0004-0000-1F00-00001B000000}"/>
    <hyperlink ref="CJ52" location="'TABLA DE CONTENIDO'!A1" display="'TABLA DE CONTENIDO'!A1" xr:uid="{00000000-0004-0000-1F00-00001C000000}"/>
    <hyperlink ref="CJ52:CK52" location="'TABLA DE CONTENIDO'!A1" display="VOLVER A TABLA DE CONTENIDO" xr:uid="{00000000-0004-0000-1F00-00001D000000}"/>
    <hyperlink ref="CP52" location="'TABLA DE CONTENIDO'!A1" display="'TABLA DE CONTENIDO'!A1" xr:uid="{00000000-0004-0000-1F00-00001E000000}"/>
    <hyperlink ref="CP52:CQ52" location="'TABLA DE CONTENIDO'!A1" display="VOLVER A TABLA DE CONTENIDO" xr:uid="{00000000-0004-0000-1F00-00001F000000}"/>
    <hyperlink ref="CV52" location="'TABLA DE CONTENIDO'!A1" display="'TABLA DE CONTENIDO'!A1" xr:uid="{00000000-0004-0000-1F00-000020000000}"/>
    <hyperlink ref="CV52:CW52" location="'TABLA DE CONTENIDO'!A1" display="VOLVER A TABLA DE CONTENIDO" xr:uid="{00000000-0004-0000-1F00-000021000000}"/>
  </hyperlinks>
  <printOptions horizontalCentered="1" verticalCentered="1"/>
  <pageMargins left="0.59055118110236227" right="0.39370078740157483" top="0.78740157480314965" bottom="0.39370078740157483" header="0" footer="0"/>
  <pageSetup scale="99" orientation="portrait" horizontalDpi="300" verticalDpi="300" r:id="rId1"/>
  <headerFooter alignWithMargins="0"/>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pageSetUpPr fitToPage="1"/>
  </sheetPr>
  <dimension ref="A1:U94"/>
  <sheetViews>
    <sheetView topLeftCell="A49" zoomScale="91" zoomScaleNormal="91" workbookViewId="0">
      <selection activeCell="U68" sqref="U68"/>
    </sheetView>
  </sheetViews>
  <sheetFormatPr defaultColWidth="11.42578125" defaultRowHeight="12.75"/>
  <cols>
    <col min="1" max="3" width="14.7109375" customWidth="1"/>
    <col min="4" max="4" width="24.28515625" customWidth="1"/>
    <col min="5" max="8" width="14.7109375" customWidth="1"/>
    <col min="9" max="9" width="10.7109375" customWidth="1"/>
  </cols>
  <sheetData>
    <row r="1" spans="1:21" ht="23.25">
      <c r="A1" s="1228" t="s">
        <v>1</v>
      </c>
      <c r="B1" s="1228"/>
      <c r="C1" s="1228"/>
      <c r="D1" s="1228"/>
      <c r="E1" s="1228" t="s">
        <v>1</v>
      </c>
      <c r="F1" s="1228"/>
      <c r="G1" s="1228"/>
      <c r="H1" s="1228"/>
      <c r="I1" s="1228"/>
      <c r="J1" s="1228" t="s">
        <v>1</v>
      </c>
      <c r="K1" s="1228"/>
      <c r="L1" s="1228"/>
      <c r="M1" s="1228"/>
      <c r="N1" s="1228"/>
      <c r="O1" s="1228"/>
      <c r="P1" s="1228" t="s">
        <v>1</v>
      </c>
      <c r="Q1" s="1228"/>
      <c r="R1" s="1228"/>
      <c r="S1" s="1228"/>
      <c r="T1" s="1228"/>
      <c r="U1" s="1228"/>
    </row>
    <row r="2" spans="1:21" ht="11.25" customHeight="1">
      <c r="A2" s="278"/>
      <c r="B2" s="278"/>
      <c r="C2" s="278"/>
      <c r="D2" s="278"/>
      <c r="E2" s="278"/>
      <c r="F2" s="278"/>
      <c r="G2" s="278"/>
      <c r="H2" s="278"/>
      <c r="I2" s="278"/>
      <c r="J2" s="278"/>
      <c r="K2" s="278"/>
      <c r="L2" s="278"/>
      <c r="M2" s="278"/>
      <c r="N2" s="278"/>
      <c r="O2" s="278"/>
      <c r="P2" s="278"/>
      <c r="Q2" s="278"/>
      <c r="R2" s="278"/>
      <c r="S2" s="278"/>
      <c r="T2" s="278"/>
      <c r="U2" s="278"/>
    </row>
    <row r="3" spans="1:21" ht="18">
      <c r="A3" s="1229" t="s">
        <v>84</v>
      </c>
      <c r="B3" s="1229"/>
      <c r="C3" s="1229"/>
      <c r="D3" s="1229"/>
      <c r="E3" s="1229" t="s">
        <v>84</v>
      </c>
      <c r="F3" s="1229"/>
      <c r="G3" s="1229"/>
      <c r="H3" s="1229"/>
      <c r="I3" s="1229"/>
      <c r="J3" s="1229" t="s">
        <v>84</v>
      </c>
      <c r="K3" s="1229"/>
      <c r="L3" s="1229"/>
      <c r="M3" s="1229"/>
      <c r="N3" s="1229"/>
      <c r="O3" s="1229"/>
      <c r="P3" s="1229" t="s">
        <v>84</v>
      </c>
      <c r="Q3" s="1229"/>
      <c r="R3" s="1229"/>
      <c r="S3" s="1229"/>
      <c r="T3" s="1229"/>
      <c r="U3" s="1229"/>
    </row>
    <row r="4" spans="1:21">
      <c r="B4" s="44"/>
      <c r="C4" s="37"/>
      <c r="D4" s="37"/>
      <c r="F4" s="44"/>
      <c r="G4" s="37"/>
      <c r="H4" s="37"/>
      <c r="I4" s="1"/>
    </row>
    <row r="5" spans="1:21" ht="20.25">
      <c r="A5" s="1221" t="s">
        <v>1269</v>
      </c>
      <c r="B5" s="1221"/>
      <c r="C5" s="1221"/>
      <c r="D5" s="1221"/>
      <c r="E5" s="1221" t="s">
        <v>1269</v>
      </c>
      <c r="F5" s="1221"/>
      <c r="G5" s="1221"/>
      <c r="H5" s="1221"/>
      <c r="I5" s="1221"/>
      <c r="J5" s="1221" t="s">
        <v>1269</v>
      </c>
      <c r="K5" s="1221"/>
      <c r="L5" s="1221"/>
      <c r="M5" s="1221"/>
      <c r="N5" s="1221"/>
      <c r="O5" s="1221"/>
      <c r="P5" s="1221" t="s">
        <v>1269</v>
      </c>
      <c r="Q5" s="1221"/>
      <c r="R5" s="1221"/>
      <c r="S5" s="1221"/>
      <c r="T5" s="1221"/>
      <c r="U5" s="1221"/>
    </row>
    <row r="6" spans="1:21">
      <c r="B6" s="44"/>
      <c r="C6" s="37"/>
      <c r="D6" s="37"/>
      <c r="F6" s="44"/>
      <c r="G6" s="37"/>
      <c r="H6" s="37"/>
      <c r="I6" s="1"/>
      <c r="K6" s="44"/>
      <c r="L6" s="37"/>
      <c r="M6" s="37"/>
      <c r="N6" s="1"/>
      <c r="O6" s="1"/>
      <c r="Q6" s="44"/>
      <c r="R6" s="37"/>
      <c r="S6" s="37"/>
      <c r="T6" s="1"/>
      <c r="U6" s="1"/>
    </row>
    <row r="7" spans="1:21">
      <c r="A7" s="175" t="s">
        <v>130</v>
      </c>
      <c r="B7" s="38"/>
      <c r="C7" s="430" t="s">
        <v>194</v>
      </c>
      <c r="D7" s="3"/>
      <c r="E7" s="175" t="s">
        <v>130</v>
      </c>
      <c r="F7" s="38"/>
      <c r="G7" s="430" t="s">
        <v>194</v>
      </c>
      <c r="H7" s="3"/>
      <c r="J7" s="175" t="s">
        <v>130</v>
      </c>
      <c r="K7" s="38"/>
      <c r="L7" s="430" t="s">
        <v>194</v>
      </c>
      <c r="M7" s="3"/>
      <c r="N7" s="3"/>
      <c r="P7" s="175" t="s">
        <v>130</v>
      </c>
      <c r="Q7" s="38"/>
      <c r="R7" s="430" t="s">
        <v>194</v>
      </c>
      <c r="S7" s="3"/>
      <c r="T7" s="3"/>
    </row>
    <row r="8" spans="1:21">
      <c r="A8" s="175"/>
      <c r="B8" s="38"/>
      <c r="E8" s="175"/>
      <c r="F8" s="38"/>
      <c r="J8" s="175"/>
      <c r="K8" s="38"/>
      <c r="P8" s="175"/>
      <c r="Q8" s="38"/>
    </row>
    <row r="9" spans="1:21">
      <c r="A9" s="1431" t="s">
        <v>1270</v>
      </c>
      <c r="B9" s="1431"/>
      <c r="C9" s="1431"/>
      <c r="D9" s="1431"/>
      <c r="E9" s="1431" t="str">
        <f>A9</f>
        <v>TRIMESTRE EVALUADO: ENERO - MARZO 2023</v>
      </c>
      <c r="F9" s="1431"/>
      <c r="G9" s="1431"/>
      <c r="H9" s="1431"/>
      <c r="I9" s="1431"/>
      <c r="J9" s="1431" t="str">
        <f>E9</f>
        <v>TRIMESTRE EVALUADO: ENERO - MARZO 2023</v>
      </c>
      <c r="K9" s="1431"/>
      <c r="L9" s="1431"/>
      <c r="M9" s="1431"/>
      <c r="N9" s="1431"/>
      <c r="O9" s="1431"/>
      <c r="P9" s="1431" t="str">
        <f>E9</f>
        <v>TRIMESTRE EVALUADO: ENERO - MARZO 2023</v>
      </c>
      <c r="Q9" s="1431"/>
      <c r="R9" s="1431"/>
      <c r="S9" s="1431"/>
      <c r="T9" s="1431"/>
      <c r="U9" s="1431"/>
    </row>
    <row r="10" spans="1:21" ht="13.5" thickBot="1"/>
    <row r="11" spans="1:21">
      <c r="A11" s="1082" t="s">
        <v>1271</v>
      </c>
      <c r="B11" s="17"/>
      <c r="C11" s="17"/>
      <c r="D11" s="17"/>
      <c r="E11" s="1082" t="s">
        <v>1272</v>
      </c>
      <c r="F11" s="17"/>
      <c r="G11" s="17"/>
      <c r="H11" s="17"/>
      <c r="I11" s="18"/>
      <c r="J11" s="1082" t="s">
        <v>1273</v>
      </c>
      <c r="K11" s="17"/>
      <c r="L11" s="17"/>
      <c r="M11" s="17"/>
      <c r="N11" s="17"/>
      <c r="O11" s="18"/>
      <c r="P11" s="1082" t="s">
        <v>1274</v>
      </c>
      <c r="Q11" s="17"/>
      <c r="R11" s="17"/>
      <c r="S11" s="17"/>
      <c r="T11" s="17"/>
      <c r="U11" s="18"/>
    </row>
    <row r="12" spans="1:21">
      <c r="A12" s="9"/>
      <c r="E12" s="9"/>
      <c r="I12" s="19"/>
      <c r="J12" s="9"/>
      <c r="O12" s="19"/>
      <c r="P12" s="9"/>
      <c r="U12" s="19"/>
    </row>
    <row r="13" spans="1:21">
      <c r="A13" s="9"/>
      <c r="E13" s="9"/>
      <c r="I13" s="19"/>
      <c r="J13" s="9"/>
      <c r="O13" s="19"/>
      <c r="P13" s="9"/>
      <c r="U13" s="19"/>
    </row>
    <row r="14" spans="1:21">
      <c r="A14" s="9"/>
      <c r="E14" s="9"/>
      <c r="I14" s="19"/>
      <c r="J14" s="9"/>
      <c r="O14" s="19"/>
      <c r="P14" s="9"/>
      <c r="U14" s="19"/>
    </row>
    <row r="15" spans="1:21">
      <c r="A15" s="9"/>
      <c r="E15" s="9"/>
      <c r="I15" s="19"/>
      <c r="J15" s="9"/>
      <c r="O15" s="19"/>
      <c r="P15" s="9"/>
      <c r="U15" s="19"/>
    </row>
    <row r="16" spans="1:21">
      <c r="A16" s="9"/>
      <c r="E16" s="9"/>
      <c r="I16" s="19"/>
      <c r="J16" s="9"/>
      <c r="O16" s="19"/>
      <c r="P16" s="9"/>
      <c r="U16" s="19"/>
    </row>
    <row r="17" spans="1:21">
      <c r="A17" s="9"/>
      <c r="E17" s="9"/>
      <c r="I17" s="19"/>
      <c r="J17" s="9"/>
      <c r="O17" s="19"/>
      <c r="P17" s="9"/>
      <c r="U17" s="19"/>
    </row>
    <row r="18" spans="1:21">
      <c r="A18" s="9"/>
      <c r="E18" s="9"/>
      <c r="I18" s="19"/>
      <c r="J18" s="9"/>
      <c r="O18" s="19"/>
      <c r="P18" s="9"/>
      <c r="U18" s="19"/>
    </row>
    <row r="19" spans="1:21">
      <c r="A19" s="9"/>
      <c r="E19" s="9"/>
      <c r="I19" s="19"/>
      <c r="J19" s="9"/>
      <c r="O19" s="19"/>
      <c r="P19" s="9"/>
      <c r="U19" s="19"/>
    </row>
    <row r="20" spans="1:21">
      <c r="A20" s="9"/>
      <c r="E20" s="9"/>
      <c r="I20" s="19"/>
      <c r="J20" s="9"/>
      <c r="O20" s="19"/>
      <c r="P20" s="9"/>
      <c r="U20" s="19"/>
    </row>
    <row r="21" spans="1:21">
      <c r="A21" s="9"/>
      <c r="E21" s="9"/>
      <c r="I21" s="19"/>
      <c r="J21" s="9"/>
      <c r="O21" s="19"/>
      <c r="P21" s="9"/>
      <c r="U21" s="19"/>
    </row>
    <row r="22" spans="1:21">
      <c r="A22" s="9"/>
      <c r="E22" s="9"/>
      <c r="I22" s="19"/>
      <c r="J22" s="9"/>
      <c r="O22" s="19"/>
      <c r="P22" s="9"/>
      <c r="U22" s="19"/>
    </row>
    <row r="23" spans="1:21">
      <c r="A23" s="9"/>
      <c r="E23" s="9"/>
      <c r="I23" s="19"/>
      <c r="J23" s="9"/>
      <c r="O23" s="19"/>
      <c r="P23" s="9"/>
      <c r="U23" s="19"/>
    </row>
    <row r="24" spans="1:21">
      <c r="A24" s="9"/>
      <c r="E24" s="9"/>
      <c r="I24" s="19"/>
      <c r="J24" s="9"/>
      <c r="O24" s="19"/>
      <c r="P24" s="9"/>
      <c r="U24" s="19"/>
    </row>
    <row r="25" spans="1:21">
      <c r="A25" s="9"/>
      <c r="E25" s="9"/>
      <c r="I25" s="19"/>
      <c r="J25" s="9"/>
      <c r="O25" s="19"/>
      <c r="P25" s="9"/>
      <c r="U25" s="19"/>
    </row>
    <row r="26" spans="1:21">
      <c r="A26" s="9"/>
      <c r="E26" s="9"/>
      <c r="I26" s="19"/>
      <c r="J26" s="9"/>
      <c r="O26" s="19"/>
      <c r="P26" s="9"/>
      <c r="U26" s="19"/>
    </row>
    <row r="27" spans="1:21">
      <c r="A27" s="9"/>
      <c r="E27" s="9"/>
      <c r="I27" s="19"/>
      <c r="J27" s="9"/>
      <c r="O27" s="19"/>
      <c r="P27" s="9"/>
      <c r="U27" s="19"/>
    </row>
    <row r="28" spans="1:21">
      <c r="A28" s="9"/>
      <c r="E28" s="9"/>
      <c r="I28" s="19"/>
      <c r="J28" s="9"/>
      <c r="O28" s="19"/>
      <c r="P28" s="9"/>
      <c r="U28" s="19"/>
    </row>
    <row r="29" spans="1:21">
      <c r="A29" s="9"/>
      <c r="E29" s="9"/>
      <c r="I29" s="19"/>
      <c r="J29" s="9"/>
      <c r="O29" s="19"/>
      <c r="P29" s="9"/>
      <c r="U29" s="19"/>
    </row>
    <row r="30" spans="1:21">
      <c r="A30" s="9"/>
      <c r="E30" s="9"/>
      <c r="I30" s="19"/>
      <c r="J30" s="9"/>
      <c r="O30" s="19"/>
      <c r="P30" s="9"/>
      <c r="U30" s="19"/>
    </row>
    <row r="31" spans="1:21">
      <c r="A31" s="9"/>
      <c r="E31" s="9"/>
      <c r="I31" s="19"/>
      <c r="J31" s="9"/>
      <c r="O31" s="19"/>
      <c r="P31" s="9"/>
      <c r="U31" s="19"/>
    </row>
    <row r="32" spans="1:21">
      <c r="A32" s="9"/>
      <c r="E32" s="9"/>
      <c r="I32" s="19"/>
      <c r="J32" s="9"/>
      <c r="O32" s="19"/>
      <c r="P32" s="9"/>
      <c r="U32" s="19"/>
    </row>
    <row r="33" spans="1:21">
      <c r="A33" s="9"/>
      <c r="E33" s="9"/>
      <c r="I33" s="19"/>
      <c r="J33" s="9"/>
      <c r="O33" s="19"/>
      <c r="P33" s="9"/>
      <c r="U33" s="19"/>
    </row>
    <row r="34" spans="1:21">
      <c r="A34" s="9"/>
      <c r="E34" s="9"/>
      <c r="I34" s="19"/>
      <c r="J34" s="9"/>
      <c r="O34" s="19"/>
      <c r="P34" s="9"/>
      <c r="U34" s="19"/>
    </row>
    <row r="35" spans="1:21">
      <c r="A35" s="9"/>
      <c r="E35" s="9"/>
      <c r="I35" s="19"/>
      <c r="J35" s="9"/>
      <c r="O35" s="19"/>
      <c r="P35" s="9"/>
      <c r="U35" s="19"/>
    </row>
    <row r="36" spans="1:21">
      <c r="A36" s="9"/>
      <c r="E36" s="9"/>
      <c r="I36" s="19"/>
      <c r="J36" s="9"/>
      <c r="O36" s="19"/>
      <c r="P36" s="9"/>
      <c r="U36" s="19"/>
    </row>
    <row r="37" spans="1:21">
      <c r="A37" s="9"/>
      <c r="E37" s="9"/>
      <c r="I37" s="19"/>
      <c r="J37" s="9"/>
      <c r="O37" s="19"/>
      <c r="P37" s="9"/>
      <c r="U37" s="19"/>
    </row>
    <row r="38" spans="1:21">
      <c r="A38" s="9"/>
      <c r="E38" s="9"/>
      <c r="I38" s="19"/>
      <c r="J38" s="9"/>
      <c r="O38" s="19"/>
      <c r="P38" s="9"/>
      <c r="U38" s="19"/>
    </row>
    <row r="39" spans="1:21">
      <c r="A39" s="9"/>
      <c r="E39" s="9"/>
      <c r="I39" s="19"/>
      <c r="J39" s="9"/>
      <c r="O39" s="19"/>
      <c r="P39" s="9"/>
      <c r="U39" s="19"/>
    </row>
    <row r="40" spans="1:21">
      <c r="A40" s="9"/>
      <c r="E40" s="9"/>
      <c r="I40" s="19"/>
      <c r="J40" s="9"/>
      <c r="O40" s="19"/>
      <c r="P40" s="9"/>
      <c r="U40" s="19"/>
    </row>
    <row r="41" spans="1:21">
      <c r="A41" s="9"/>
      <c r="E41" s="9"/>
      <c r="I41" s="19"/>
      <c r="J41" s="9"/>
      <c r="O41" s="19"/>
      <c r="P41" s="9"/>
      <c r="U41" s="19"/>
    </row>
    <row r="42" spans="1:21">
      <c r="A42" s="9"/>
      <c r="E42" s="9"/>
      <c r="I42" s="19"/>
      <c r="J42" s="9"/>
      <c r="O42" s="19"/>
      <c r="P42" s="9"/>
      <c r="U42" s="19"/>
    </row>
    <row r="43" spans="1:21">
      <c r="A43" s="9"/>
      <c r="E43" s="9"/>
      <c r="I43" s="19"/>
      <c r="J43" s="9"/>
      <c r="O43" s="19"/>
      <c r="P43" s="9"/>
      <c r="U43" s="19"/>
    </row>
    <row r="44" spans="1:21" ht="13.5" thickBot="1">
      <c r="A44" s="11"/>
      <c r="B44" s="20"/>
      <c r="C44" s="20"/>
      <c r="D44" s="20"/>
      <c r="E44" s="11"/>
      <c r="F44" s="20"/>
      <c r="G44" s="20"/>
      <c r="H44" s="20"/>
      <c r="I44" s="21"/>
      <c r="J44" s="11"/>
      <c r="K44" s="20"/>
      <c r="L44" s="20"/>
      <c r="M44" s="20"/>
      <c r="N44" s="20"/>
      <c r="O44" s="21"/>
      <c r="P44" s="11"/>
      <c r="Q44" s="20"/>
      <c r="R44" s="20"/>
      <c r="S44" s="20"/>
      <c r="T44" s="20"/>
      <c r="U44" s="21"/>
    </row>
    <row r="45" spans="1:21" ht="23.25">
      <c r="A45" s="1444" t="s">
        <v>1</v>
      </c>
      <c r="B45" s="1228"/>
      <c r="C45" s="1228"/>
      <c r="D45" s="1445"/>
      <c r="E45" s="1228" t="s">
        <v>1</v>
      </c>
      <c r="F45" s="1228"/>
      <c r="G45" s="1228"/>
      <c r="H45" s="1228"/>
      <c r="I45" s="1228"/>
      <c r="J45" s="1228" t="s">
        <v>1</v>
      </c>
      <c r="K45" s="1228"/>
      <c r="L45" s="1228"/>
      <c r="M45" s="1228"/>
      <c r="N45" s="1228"/>
      <c r="O45" s="1228"/>
      <c r="P45" s="1228" t="s">
        <v>1</v>
      </c>
      <c r="Q45" s="1228"/>
      <c r="R45" s="1228"/>
      <c r="S45" s="1228"/>
      <c r="T45" s="1228"/>
      <c r="U45" s="1228"/>
    </row>
    <row r="46" spans="1:21" ht="9" customHeight="1">
      <c r="A46" s="1119"/>
      <c r="B46" s="278"/>
      <c r="C46" s="278"/>
      <c r="D46" s="1120"/>
      <c r="E46" s="278"/>
      <c r="F46" s="278"/>
      <c r="G46" s="278"/>
      <c r="H46" s="278"/>
      <c r="I46" s="278"/>
      <c r="J46" s="278"/>
      <c r="K46" s="278"/>
      <c r="L46" s="278"/>
      <c r="M46" s="278"/>
      <c r="N46" s="278"/>
      <c r="O46" s="278"/>
      <c r="P46" s="278"/>
      <c r="Q46" s="278"/>
      <c r="R46" s="278"/>
      <c r="S46" s="278"/>
      <c r="T46" s="278"/>
      <c r="U46" s="278"/>
    </row>
    <row r="47" spans="1:21" ht="18">
      <c r="A47" s="1438" t="s">
        <v>84</v>
      </c>
      <c r="B47" s="1229"/>
      <c r="C47" s="1229"/>
      <c r="D47" s="1439"/>
      <c r="E47" s="1229" t="s">
        <v>84</v>
      </c>
      <c r="F47" s="1229"/>
      <c r="G47" s="1229"/>
      <c r="H47" s="1229"/>
      <c r="I47" s="1229"/>
      <c r="J47" s="1229" t="s">
        <v>84</v>
      </c>
      <c r="K47" s="1229"/>
      <c r="L47" s="1229"/>
      <c r="M47" s="1229"/>
      <c r="N47" s="1229"/>
      <c r="O47" s="1229"/>
      <c r="P47" s="1229" t="s">
        <v>84</v>
      </c>
      <c r="Q47" s="1229"/>
      <c r="R47" s="1229"/>
      <c r="S47" s="1229"/>
      <c r="T47" s="1229"/>
      <c r="U47" s="1229"/>
    </row>
    <row r="48" spans="1:21">
      <c r="A48" s="9"/>
      <c r="B48" s="44"/>
      <c r="C48" s="37"/>
      <c r="D48" s="1147"/>
      <c r="F48" s="44"/>
      <c r="G48" s="37"/>
      <c r="H48" s="37"/>
      <c r="I48" s="1"/>
    </row>
    <row r="49" spans="1:21" ht="20.25">
      <c r="A49" s="1440" t="s">
        <v>1269</v>
      </c>
      <c r="B49" s="1221"/>
      <c r="C49" s="1221"/>
      <c r="D49" s="1441"/>
      <c r="E49" s="1221" t="s">
        <v>1269</v>
      </c>
      <c r="F49" s="1221"/>
      <c r="G49" s="1221"/>
      <c r="H49" s="1221"/>
      <c r="I49" s="1221"/>
      <c r="J49" s="1221" t="s">
        <v>1269</v>
      </c>
      <c r="K49" s="1221"/>
      <c r="L49" s="1221"/>
      <c r="M49" s="1221"/>
      <c r="N49" s="1221"/>
      <c r="O49" s="1221"/>
      <c r="P49" s="1221" t="s">
        <v>1269</v>
      </c>
      <c r="Q49" s="1221"/>
      <c r="R49" s="1221"/>
      <c r="S49" s="1221"/>
      <c r="T49" s="1221"/>
      <c r="U49" s="1221"/>
    </row>
    <row r="50" spans="1:21">
      <c r="A50" s="9"/>
      <c r="B50" s="44"/>
      <c r="C50" s="37"/>
      <c r="D50" s="1147"/>
      <c r="F50" s="44"/>
      <c r="G50" s="37"/>
      <c r="H50" s="37"/>
      <c r="I50" s="1"/>
      <c r="K50" s="44"/>
      <c r="L50" s="37"/>
      <c r="M50" s="37"/>
      <c r="N50" s="1"/>
      <c r="O50" s="1"/>
      <c r="Q50" s="44"/>
      <c r="R50" s="37"/>
      <c r="S50" s="37"/>
      <c r="T50" s="1"/>
      <c r="U50" s="1"/>
    </row>
    <row r="51" spans="1:21">
      <c r="A51" s="1121" t="s">
        <v>130</v>
      </c>
      <c r="B51" s="38"/>
      <c r="C51" s="430" t="s">
        <v>194</v>
      </c>
      <c r="D51" s="1148"/>
      <c r="E51" s="175" t="s">
        <v>130</v>
      </c>
      <c r="F51" s="38"/>
      <c r="G51" s="430" t="s">
        <v>194</v>
      </c>
      <c r="H51" s="3"/>
      <c r="J51" s="175" t="s">
        <v>130</v>
      </c>
      <c r="K51" s="38"/>
      <c r="L51" s="430" t="s">
        <v>194</v>
      </c>
      <c r="M51" s="3"/>
      <c r="N51" s="3"/>
      <c r="P51" s="175" t="s">
        <v>130</v>
      </c>
      <c r="Q51" s="38"/>
      <c r="R51" s="430" t="s">
        <v>194</v>
      </c>
      <c r="S51" s="3"/>
      <c r="T51" s="3"/>
    </row>
    <row r="52" spans="1:21">
      <c r="A52" s="1121"/>
      <c r="B52" s="38"/>
      <c r="D52" s="19"/>
      <c r="E52" s="175"/>
      <c r="F52" s="38"/>
      <c r="J52" s="175"/>
      <c r="K52" s="38"/>
      <c r="P52" s="175"/>
      <c r="Q52" s="38"/>
    </row>
    <row r="53" spans="1:21">
      <c r="A53" s="1442" t="str">
        <f>A9</f>
        <v>TRIMESTRE EVALUADO: ENERO - MARZO 2023</v>
      </c>
      <c r="B53" s="1431"/>
      <c r="C53" s="1431"/>
      <c r="D53" s="1443"/>
      <c r="E53" s="1431" t="str">
        <f>A53</f>
        <v>TRIMESTRE EVALUADO: ENERO - MARZO 2023</v>
      </c>
      <c r="F53" s="1431"/>
      <c r="G53" s="1431"/>
      <c r="H53" s="1431"/>
      <c r="I53" s="1431"/>
      <c r="J53" s="1431" t="str">
        <f>E53</f>
        <v>TRIMESTRE EVALUADO: ENERO - MARZO 2023</v>
      </c>
      <c r="K53" s="1431"/>
      <c r="L53" s="1431"/>
      <c r="M53" s="1431"/>
      <c r="N53" s="1431"/>
      <c r="O53" s="1431"/>
      <c r="P53" s="1431" t="str">
        <f>E53</f>
        <v>TRIMESTRE EVALUADO: ENERO - MARZO 2023</v>
      </c>
      <c r="Q53" s="1431"/>
      <c r="R53" s="1431"/>
      <c r="S53" s="1431"/>
      <c r="T53" s="1431"/>
      <c r="U53" s="1431"/>
    </row>
    <row r="54" spans="1:21" ht="13.5" thickBot="1">
      <c r="A54" s="9"/>
      <c r="D54" s="19"/>
    </row>
    <row r="55" spans="1:21">
      <c r="A55" s="1082" t="s">
        <v>1275</v>
      </c>
      <c r="B55" s="17"/>
      <c r="C55" s="17"/>
      <c r="D55" s="18"/>
      <c r="E55" s="1082" t="s">
        <v>1276</v>
      </c>
      <c r="F55" s="17"/>
      <c r="G55" s="17"/>
      <c r="H55" s="17"/>
      <c r="I55" s="18"/>
      <c r="J55" s="1082" t="s">
        <v>1277</v>
      </c>
      <c r="K55" s="17"/>
      <c r="L55" s="17"/>
      <c r="M55" s="17"/>
      <c r="N55" s="17"/>
      <c r="O55" s="18"/>
      <c r="P55" s="1082" t="s">
        <v>1278</v>
      </c>
      <c r="Q55" s="17"/>
      <c r="R55" s="17"/>
      <c r="S55" s="17"/>
      <c r="T55" s="17"/>
      <c r="U55" s="18"/>
    </row>
    <row r="56" spans="1:21">
      <c r="A56" s="9"/>
      <c r="D56" s="19"/>
      <c r="E56" s="9"/>
      <c r="I56" s="19"/>
      <c r="J56" s="9"/>
      <c r="O56" s="19"/>
      <c r="P56" s="9"/>
      <c r="U56" s="19"/>
    </row>
    <row r="57" spans="1:21">
      <c r="A57" s="9"/>
      <c r="D57" s="19"/>
      <c r="E57" s="9"/>
      <c r="I57" s="19"/>
      <c r="J57" s="9"/>
      <c r="O57" s="19"/>
      <c r="P57" s="9"/>
      <c r="U57" s="19"/>
    </row>
    <row r="58" spans="1:21">
      <c r="A58" s="9"/>
      <c r="D58" s="19"/>
      <c r="E58" s="9"/>
      <c r="I58" s="19"/>
      <c r="J58" s="9"/>
      <c r="O58" s="19"/>
      <c r="P58" s="9"/>
      <c r="U58" s="19"/>
    </row>
    <row r="59" spans="1:21">
      <c r="A59" s="9"/>
      <c r="D59" s="19"/>
      <c r="E59" s="9"/>
      <c r="I59" s="19"/>
      <c r="J59" s="9"/>
      <c r="O59" s="19"/>
      <c r="P59" s="9"/>
      <c r="U59" s="19"/>
    </row>
    <row r="60" spans="1:21">
      <c r="A60" s="9"/>
      <c r="D60" s="19"/>
      <c r="E60" s="9"/>
      <c r="I60" s="19"/>
      <c r="J60" s="9"/>
      <c r="O60" s="19"/>
      <c r="P60" s="9"/>
      <c r="U60" s="19"/>
    </row>
    <row r="61" spans="1:21">
      <c r="A61" s="9"/>
      <c r="D61" s="19"/>
      <c r="E61" s="9"/>
      <c r="I61" s="19"/>
      <c r="J61" s="9"/>
      <c r="O61" s="19"/>
      <c r="P61" s="9"/>
      <c r="U61" s="19"/>
    </row>
    <row r="62" spans="1:21">
      <c r="A62" s="9"/>
      <c r="D62" s="19"/>
      <c r="E62" s="9"/>
      <c r="I62" s="19"/>
      <c r="J62" s="9"/>
      <c r="O62" s="19"/>
      <c r="P62" s="9"/>
      <c r="U62" s="19"/>
    </row>
    <row r="63" spans="1:21">
      <c r="A63" s="9"/>
      <c r="D63" s="19"/>
      <c r="E63" s="9"/>
      <c r="I63" s="19"/>
      <c r="J63" s="9"/>
      <c r="O63" s="19"/>
      <c r="P63" s="9"/>
      <c r="U63" s="19"/>
    </row>
    <row r="64" spans="1:21">
      <c r="A64" s="9"/>
      <c r="D64" s="19"/>
      <c r="E64" s="9"/>
      <c r="I64" s="19"/>
      <c r="J64" s="9"/>
      <c r="O64" s="19"/>
      <c r="P64" s="9"/>
      <c r="U64" s="19"/>
    </row>
    <row r="65" spans="1:21">
      <c r="A65" s="9"/>
      <c r="D65" s="19"/>
      <c r="E65" s="9"/>
      <c r="I65" s="19"/>
      <c r="J65" s="9"/>
      <c r="O65" s="19"/>
      <c r="P65" s="9"/>
      <c r="U65" s="19"/>
    </row>
    <row r="66" spans="1:21">
      <c r="A66" s="9"/>
      <c r="D66" s="19"/>
      <c r="E66" s="9"/>
      <c r="I66" s="19"/>
      <c r="J66" s="9"/>
      <c r="O66" s="19"/>
      <c r="P66" s="9"/>
      <c r="U66" s="19"/>
    </row>
    <row r="67" spans="1:21">
      <c r="A67" s="9"/>
      <c r="D67" s="19"/>
      <c r="E67" s="9"/>
      <c r="I67" s="19"/>
      <c r="J67" s="9"/>
      <c r="O67" s="19"/>
      <c r="P67" s="9"/>
      <c r="U67" s="19"/>
    </row>
    <row r="68" spans="1:21">
      <c r="A68" s="9"/>
      <c r="D68" s="19"/>
      <c r="E68" s="9"/>
      <c r="I68" s="19"/>
      <c r="J68" s="9"/>
      <c r="O68" s="19"/>
      <c r="P68" s="9"/>
      <c r="U68" s="19"/>
    </row>
    <row r="69" spans="1:21">
      <c r="A69" s="9"/>
      <c r="D69" s="19"/>
      <c r="E69" s="9"/>
      <c r="I69" s="19"/>
      <c r="J69" s="9"/>
      <c r="O69" s="19"/>
      <c r="P69" s="9"/>
      <c r="U69" s="19"/>
    </row>
    <row r="70" spans="1:21">
      <c r="A70" s="9"/>
      <c r="D70" s="19"/>
      <c r="E70" s="9"/>
      <c r="I70" s="19"/>
      <c r="J70" s="9"/>
      <c r="O70" s="19"/>
      <c r="P70" s="9"/>
      <c r="U70" s="19"/>
    </row>
    <row r="71" spans="1:21">
      <c r="A71" s="9"/>
      <c r="D71" s="19"/>
      <c r="E71" s="9"/>
      <c r="I71" s="19"/>
      <c r="J71" s="9"/>
      <c r="O71" s="19"/>
      <c r="P71" s="9"/>
      <c r="U71" s="19"/>
    </row>
    <row r="72" spans="1:21">
      <c r="A72" s="9"/>
      <c r="D72" s="19"/>
      <c r="E72" s="9"/>
      <c r="I72" s="19"/>
      <c r="J72" s="9"/>
      <c r="O72" s="19"/>
      <c r="P72" s="9"/>
      <c r="U72" s="19"/>
    </row>
    <row r="73" spans="1:21">
      <c r="A73" s="9"/>
      <c r="D73" s="19"/>
      <c r="E73" s="9"/>
      <c r="I73" s="19"/>
      <c r="J73" s="9"/>
      <c r="O73" s="19"/>
      <c r="P73" s="9"/>
      <c r="U73" s="19"/>
    </row>
    <row r="74" spans="1:21">
      <c r="A74" s="9"/>
      <c r="D74" s="19"/>
      <c r="E74" s="9"/>
      <c r="I74" s="19"/>
      <c r="J74" s="9"/>
      <c r="O74" s="19"/>
      <c r="P74" s="9"/>
      <c r="U74" s="19"/>
    </row>
    <row r="75" spans="1:21">
      <c r="A75" s="9"/>
      <c r="D75" s="19"/>
      <c r="E75" s="9"/>
      <c r="I75" s="19"/>
      <c r="J75" s="9"/>
      <c r="O75" s="19"/>
      <c r="P75" s="9"/>
      <c r="U75" s="19"/>
    </row>
    <row r="76" spans="1:21">
      <c r="A76" s="9"/>
      <c r="D76" s="19"/>
      <c r="E76" s="9"/>
      <c r="I76" s="19"/>
      <c r="J76" s="9"/>
      <c r="O76" s="19"/>
      <c r="P76" s="9"/>
      <c r="U76" s="19"/>
    </row>
    <row r="77" spans="1:21">
      <c r="A77" s="9"/>
      <c r="D77" s="19"/>
      <c r="E77" s="9"/>
      <c r="I77" s="19"/>
      <c r="J77" s="9"/>
      <c r="O77" s="19"/>
      <c r="P77" s="9"/>
      <c r="U77" s="19"/>
    </row>
    <row r="78" spans="1:21">
      <c r="A78" s="9"/>
      <c r="D78" s="19"/>
      <c r="E78" s="9"/>
      <c r="I78" s="19"/>
      <c r="J78" s="9"/>
      <c r="O78" s="19"/>
      <c r="P78" s="9"/>
      <c r="U78" s="19"/>
    </row>
    <row r="79" spans="1:21">
      <c r="A79" s="9"/>
      <c r="D79" s="19"/>
      <c r="E79" s="9"/>
      <c r="I79" s="19"/>
      <c r="J79" s="9"/>
      <c r="O79" s="19"/>
      <c r="P79" s="9"/>
      <c r="U79" s="19"/>
    </row>
    <row r="80" spans="1:21">
      <c r="A80" s="9"/>
      <c r="D80" s="19"/>
      <c r="E80" s="9"/>
      <c r="I80" s="19"/>
      <c r="J80" s="9"/>
      <c r="O80" s="19"/>
      <c r="P80" s="9"/>
      <c r="U80" s="19"/>
    </row>
    <row r="81" spans="1:21">
      <c r="A81" s="9"/>
      <c r="D81" s="19"/>
      <c r="E81" s="9"/>
      <c r="I81" s="19"/>
      <c r="J81" s="9"/>
      <c r="O81" s="19"/>
      <c r="P81" s="9"/>
      <c r="U81" s="19"/>
    </row>
    <row r="82" spans="1:21">
      <c r="A82" s="9"/>
      <c r="D82" s="19"/>
      <c r="E82" s="9"/>
      <c r="I82" s="19"/>
      <c r="J82" s="9"/>
      <c r="O82" s="19"/>
      <c r="P82" s="9"/>
      <c r="U82" s="19"/>
    </row>
    <row r="83" spans="1:21">
      <c r="A83" s="9"/>
      <c r="D83" s="19"/>
      <c r="E83" s="9"/>
      <c r="I83" s="19"/>
      <c r="J83" s="9"/>
      <c r="O83" s="19"/>
      <c r="P83" s="9"/>
      <c r="U83" s="19"/>
    </row>
    <row r="84" spans="1:21">
      <c r="A84" s="9"/>
      <c r="D84" s="19"/>
      <c r="E84" s="9"/>
      <c r="I84" s="19"/>
      <c r="J84" s="9"/>
      <c r="O84" s="19"/>
      <c r="P84" s="9"/>
      <c r="U84" s="19"/>
    </row>
    <row r="85" spans="1:21">
      <c r="A85" s="9"/>
      <c r="D85" s="19"/>
      <c r="E85" s="9"/>
      <c r="I85" s="19"/>
      <c r="J85" s="9"/>
      <c r="O85" s="19"/>
      <c r="P85" s="9"/>
      <c r="U85" s="19"/>
    </row>
    <row r="86" spans="1:21">
      <c r="A86" s="9"/>
      <c r="D86" s="19"/>
      <c r="E86" s="9"/>
      <c r="I86" s="19"/>
      <c r="J86" s="9"/>
      <c r="O86" s="19"/>
      <c r="P86" s="9"/>
      <c r="U86" s="19"/>
    </row>
    <row r="87" spans="1:21">
      <c r="A87" s="9"/>
      <c r="D87" s="19"/>
      <c r="E87" s="9"/>
      <c r="I87" s="19"/>
      <c r="J87" s="9"/>
      <c r="O87" s="19"/>
      <c r="P87" s="9"/>
      <c r="U87" s="19"/>
    </row>
    <row r="88" spans="1:21" ht="13.5" thickBot="1">
      <c r="A88" s="11"/>
      <c r="B88" s="20"/>
      <c r="C88" s="20"/>
      <c r="D88" s="21"/>
      <c r="E88" s="11"/>
      <c r="F88" s="20"/>
      <c r="G88" s="20"/>
      <c r="H88" s="20"/>
      <c r="I88" s="21"/>
      <c r="J88" s="11"/>
      <c r="K88" s="20"/>
      <c r="L88" s="20"/>
      <c r="M88" s="20"/>
      <c r="N88" s="20"/>
      <c r="O88" s="21"/>
      <c r="P88" s="11"/>
      <c r="Q88" s="20"/>
      <c r="R88" s="20"/>
      <c r="S88" s="20"/>
      <c r="T88" s="20"/>
      <c r="U88" s="21"/>
    </row>
    <row r="91" spans="1:21">
      <c r="A91" s="63" t="s">
        <v>1279</v>
      </c>
      <c r="E91" s="63" t="s">
        <v>1279</v>
      </c>
    </row>
    <row r="92" spans="1:21">
      <c r="A92" s="1664" t="s">
        <v>1280</v>
      </c>
      <c r="B92" s="1664"/>
      <c r="C92" s="1664"/>
      <c r="D92" s="1664"/>
      <c r="E92" s="1664" t="s">
        <v>1280</v>
      </c>
      <c r="F92" s="1664"/>
      <c r="G92" s="1664"/>
      <c r="H92" s="1664"/>
    </row>
    <row r="94" spans="1:21">
      <c r="D94" s="363" t="s">
        <v>126</v>
      </c>
      <c r="H94" s="1231" t="s">
        <v>126</v>
      </c>
      <c r="I94" s="1414"/>
    </row>
  </sheetData>
  <mergeCells count="33">
    <mergeCell ref="J45:O45"/>
    <mergeCell ref="J47:O47"/>
    <mergeCell ref="J49:O49"/>
    <mergeCell ref="J53:O53"/>
    <mergeCell ref="P45:U45"/>
    <mergeCell ref="P47:U47"/>
    <mergeCell ref="P49:U49"/>
    <mergeCell ref="P53:U53"/>
    <mergeCell ref="J5:O5"/>
    <mergeCell ref="J9:O9"/>
    <mergeCell ref="J1:O1"/>
    <mergeCell ref="J3:O3"/>
    <mergeCell ref="P1:U1"/>
    <mergeCell ref="P3:U3"/>
    <mergeCell ref="P5:U5"/>
    <mergeCell ref="P9:U9"/>
    <mergeCell ref="A47:D47"/>
    <mergeCell ref="A49:D49"/>
    <mergeCell ref="A53:D53"/>
    <mergeCell ref="E1:I1"/>
    <mergeCell ref="E3:I3"/>
    <mergeCell ref="E5:I5"/>
    <mergeCell ref="E9:I9"/>
    <mergeCell ref="A1:D1"/>
    <mergeCell ref="A3:D3"/>
    <mergeCell ref="A5:D5"/>
    <mergeCell ref="A9:D9"/>
    <mergeCell ref="A45:D45"/>
    <mergeCell ref="H94:I94"/>
    <mergeCell ref="E45:I45"/>
    <mergeCell ref="E47:I47"/>
    <mergeCell ref="E49:I49"/>
    <mergeCell ref="E53:I53"/>
  </mergeCells>
  <phoneticPr fontId="5" type="noConversion"/>
  <hyperlinks>
    <hyperlink ref="H94" location="'TABLA DE CONTENIDO'!A1" display="'TABLA DE CONTENIDO'!A1" xr:uid="{00000000-0004-0000-2000-000000000000}"/>
    <hyperlink ref="H94:I94" location="'TABLA DE CONTENIDO'!A1" display="VOLVER A TABLA DE CONTENIDO" xr:uid="{00000000-0004-0000-2000-000001000000}"/>
    <hyperlink ref="D94" location="'TABLA DE CONTENIDO'!A1" display="VOLVER A TABLA DE CONTENIDO" xr:uid="{00000000-0004-0000-2000-000002000000}"/>
    <hyperlink ref="D94" location="'TABLA DE CONTENIDO'!A1" display="'TABLA DE CONTENIDO'!A1" xr:uid="{00000000-0004-0000-2000-000003000000}"/>
  </hyperlinks>
  <printOptions horizontalCentered="1" verticalCentered="1"/>
  <pageMargins left="0.59055118110236227" right="0.49" top="0.59055118110236227" bottom="0.98425196850393704" header="0" footer="0"/>
  <pageSetup scale="37" orientation="portrait" horizontalDpi="300" verticalDpi="300" r:id="rId1"/>
  <headerFooter alignWithMargins="0"/>
  <drawing r:id="rId2"/>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pageSetUpPr fitToPage="1"/>
  </sheetPr>
  <dimension ref="A1:N47"/>
  <sheetViews>
    <sheetView workbookViewId="0">
      <selection activeCell="H20" sqref="H20:N31"/>
    </sheetView>
  </sheetViews>
  <sheetFormatPr defaultColWidth="11.42578125" defaultRowHeight="12.75"/>
  <cols>
    <col min="1" max="1" width="5" customWidth="1"/>
    <col min="5" max="5" width="27.28515625" customWidth="1"/>
    <col min="6" max="6" width="21.28515625" customWidth="1"/>
    <col min="8" max="8" width="5" customWidth="1"/>
    <col min="12" max="12" width="27.28515625" customWidth="1"/>
    <col min="13" max="13" width="21.28515625" customWidth="1"/>
  </cols>
  <sheetData>
    <row r="1" spans="1:14" ht="23.25">
      <c r="A1" s="1228" t="s">
        <v>1</v>
      </c>
      <c r="B1" s="1228"/>
      <c r="C1" s="1228"/>
      <c r="D1" s="1228"/>
      <c r="E1" s="1228"/>
      <c r="F1" s="1228"/>
      <c r="G1" s="1228"/>
      <c r="H1" s="1228" t="s">
        <v>1</v>
      </c>
      <c r="I1" s="1228"/>
      <c r="J1" s="1228"/>
      <c r="K1" s="1228"/>
      <c r="L1" s="1228"/>
      <c r="M1" s="1228"/>
      <c r="N1" s="1228"/>
    </row>
    <row r="2" spans="1:14" ht="23.25">
      <c r="A2" s="278"/>
      <c r="B2" s="278"/>
      <c r="C2" s="278"/>
      <c r="D2" s="278"/>
      <c r="E2" s="278"/>
      <c r="F2" s="278"/>
      <c r="H2" s="278"/>
      <c r="I2" s="278"/>
      <c r="J2" s="278"/>
      <c r="K2" s="278"/>
      <c r="L2" s="278"/>
      <c r="M2" s="278"/>
    </row>
    <row r="3" spans="1:14" ht="18">
      <c r="A3" s="1229" t="s">
        <v>84</v>
      </c>
      <c r="B3" s="1229"/>
      <c r="C3" s="1229"/>
      <c r="D3" s="1229"/>
      <c r="E3" s="1229"/>
      <c r="F3" s="1229"/>
      <c r="H3" s="1229" t="s">
        <v>84</v>
      </c>
      <c r="I3" s="1229"/>
      <c r="J3" s="1229"/>
      <c r="K3" s="1229"/>
      <c r="L3" s="1229"/>
      <c r="M3" s="1229"/>
    </row>
    <row r="4" spans="1:14">
      <c r="B4" s="44"/>
      <c r="C4" s="37"/>
      <c r="D4" s="37"/>
      <c r="E4" s="1"/>
      <c r="F4" s="1"/>
      <c r="I4" s="44"/>
      <c r="J4" s="37"/>
      <c r="K4" s="37"/>
      <c r="L4" s="1"/>
      <c r="M4" s="1"/>
    </row>
    <row r="5" spans="1:14" ht="20.25">
      <c r="A5" s="1221" t="s">
        <v>1281</v>
      </c>
      <c r="B5" s="1221"/>
      <c r="C5" s="1221"/>
      <c r="D5" s="1221"/>
      <c r="E5" s="1221"/>
      <c r="F5" s="1221"/>
      <c r="G5" s="1221"/>
      <c r="H5" s="1221" t="s">
        <v>1281</v>
      </c>
      <c r="I5" s="1221"/>
      <c r="J5" s="1221"/>
      <c r="K5" s="1221"/>
      <c r="L5" s="1221"/>
      <c r="M5" s="1221"/>
      <c r="N5" s="1221"/>
    </row>
    <row r="6" spans="1:14">
      <c r="A6" t="s">
        <v>540</v>
      </c>
      <c r="B6" s="44"/>
      <c r="C6" s="37"/>
      <c r="D6" s="37"/>
      <c r="E6" s="1"/>
      <c r="F6" s="1"/>
      <c r="H6" t="s">
        <v>540</v>
      </c>
      <c r="I6" s="44"/>
      <c r="J6" s="37"/>
      <c r="K6" s="37"/>
      <c r="L6" s="1"/>
      <c r="M6" s="1"/>
    </row>
    <row r="7" spans="1:14">
      <c r="A7" s="175" t="s">
        <v>130</v>
      </c>
      <c r="B7" s="38"/>
      <c r="D7" s="3" t="s">
        <v>88</v>
      </c>
      <c r="E7" s="3"/>
      <c r="F7" s="3"/>
      <c r="H7" s="175" t="s">
        <v>130</v>
      </c>
      <c r="I7" s="38"/>
      <c r="K7" s="3" t="s">
        <v>88</v>
      </c>
      <c r="L7" s="3"/>
      <c r="M7" s="3"/>
    </row>
    <row r="8" spans="1:14">
      <c r="A8" s="175"/>
      <c r="B8" s="38"/>
      <c r="H8" s="175"/>
      <c r="I8" s="38"/>
    </row>
    <row r="10" spans="1:14">
      <c r="A10" s="1431" t="s">
        <v>1282</v>
      </c>
      <c r="B10" s="1431"/>
      <c r="C10" s="1431"/>
      <c r="D10" s="1431"/>
      <c r="E10" s="1431"/>
      <c r="F10" s="1431"/>
      <c r="H10" s="1431" t="str">
        <f>+A10</f>
        <v>TRIMESTRE EVALUADO: ENERO -  MARZO 2023</v>
      </c>
      <c r="I10" s="1431"/>
      <c r="J10" s="1431"/>
      <c r="K10" s="1431"/>
      <c r="L10" s="1431"/>
      <c r="M10" s="1431"/>
    </row>
    <row r="12" spans="1:14" ht="13.5" thickBot="1">
      <c r="A12" s="20"/>
      <c r="B12" s="20"/>
      <c r="C12" s="20"/>
      <c r="D12" s="20"/>
      <c r="E12" s="20"/>
      <c r="F12" s="20"/>
      <c r="H12" s="20"/>
      <c r="I12" s="20"/>
      <c r="J12" s="20"/>
      <c r="K12" s="20"/>
      <c r="L12" s="20"/>
      <c r="M12" s="20"/>
    </row>
    <row r="13" spans="1:14" ht="12.75" customHeight="1">
      <c r="A13" s="1446" t="s">
        <v>1283</v>
      </c>
      <c r="B13" s="1447"/>
      <c r="C13" s="1447"/>
      <c r="D13" s="1447"/>
      <c r="E13" s="1447"/>
      <c r="F13" s="1447"/>
      <c r="G13" s="1448"/>
      <c r="H13" s="1446" t="s">
        <v>1284</v>
      </c>
      <c r="I13" s="1447"/>
      <c r="J13" s="1447"/>
      <c r="K13" s="1447"/>
      <c r="L13" s="1447"/>
      <c r="M13" s="1447"/>
      <c r="N13" s="1448"/>
    </row>
    <row r="14" spans="1:14" ht="12.75" customHeight="1">
      <c r="A14" s="1449"/>
      <c r="B14" s="1450"/>
      <c r="C14" s="1450"/>
      <c r="D14" s="1450"/>
      <c r="E14" s="1450"/>
      <c r="F14" s="1450"/>
      <c r="G14" s="1451"/>
      <c r="H14" s="1449"/>
      <c r="I14" s="1450"/>
      <c r="J14" s="1450"/>
      <c r="K14" s="1450"/>
      <c r="L14" s="1450"/>
      <c r="M14" s="1450"/>
      <c r="N14" s="1451"/>
    </row>
    <row r="15" spans="1:14" ht="12.75" customHeight="1">
      <c r="A15" s="1449"/>
      <c r="B15" s="1450"/>
      <c r="C15" s="1450"/>
      <c r="D15" s="1450"/>
      <c r="E15" s="1450"/>
      <c r="F15" s="1450"/>
      <c r="G15" s="1451"/>
      <c r="H15" s="1449"/>
      <c r="I15" s="1450"/>
      <c r="J15" s="1450"/>
      <c r="K15" s="1450"/>
      <c r="L15" s="1450"/>
      <c r="M15" s="1450"/>
      <c r="N15" s="1451"/>
    </row>
    <row r="16" spans="1:14" ht="12.75" customHeight="1">
      <c r="A16" s="1449"/>
      <c r="B16" s="1450"/>
      <c r="C16" s="1450"/>
      <c r="D16" s="1450"/>
      <c r="E16" s="1450"/>
      <c r="F16" s="1450"/>
      <c r="G16" s="1451"/>
      <c r="H16" s="1449"/>
      <c r="I16" s="1450"/>
      <c r="J16" s="1450"/>
      <c r="K16" s="1450"/>
      <c r="L16" s="1450"/>
      <c r="M16" s="1450"/>
      <c r="N16" s="1451"/>
    </row>
    <row r="17" spans="1:14" ht="12.75" customHeight="1">
      <c r="A17" s="1449"/>
      <c r="B17" s="1450"/>
      <c r="C17" s="1450"/>
      <c r="D17" s="1450"/>
      <c r="E17" s="1450"/>
      <c r="F17" s="1450"/>
      <c r="G17" s="1451"/>
      <c r="H17" s="1449"/>
      <c r="I17" s="1450"/>
      <c r="J17" s="1450"/>
      <c r="K17" s="1450"/>
      <c r="L17" s="1450"/>
      <c r="M17" s="1450"/>
      <c r="N17" s="1451"/>
    </row>
    <row r="18" spans="1:14" ht="12.75" customHeight="1">
      <c r="A18" s="1449"/>
      <c r="B18" s="1450"/>
      <c r="C18" s="1450"/>
      <c r="D18" s="1450"/>
      <c r="E18" s="1450"/>
      <c r="F18" s="1450"/>
      <c r="G18" s="1451"/>
      <c r="H18" s="1449"/>
      <c r="I18" s="1450"/>
      <c r="J18" s="1450"/>
      <c r="K18" s="1450"/>
      <c r="L18" s="1450"/>
      <c r="M18" s="1450"/>
      <c r="N18" s="1451"/>
    </row>
    <row r="19" spans="1:14" ht="80.25" customHeight="1">
      <c r="A19" s="1449"/>
      <c r="B19" s="1450"/>
      <c r="C19" s="1450"/>
      <c r="D19" s="1450"/>
      <c r="E19" s="1450"/>
      <c r="F19" s="1450"/>
      <c r="G19" s="1451"/>
      <c r="H19" s="1449"/>
      <c r="I19" s="1450"/>
      <c r="J19" s="1450"/>
      <c r="K19" s="1450"/>
      <c r="L19" s="1450"/>
      <c r="M19" s="1450"/>
      <c r="N19" s="1451"/>
    </row>
    <row r="20" spans="1:14" ht="24" customHeight="1">
      <c r="A20" s="1449" t="s">
        <v>1285</v>
      </c>
      <c r="B20" s="1450"/>
      <c r="C20" s="1450"/>
      <c r="D20" s="1450"/>
      <c r="E20" s="1450"/>
      <c r="F20" s="1450"/>
      <c r="G20" s="1451"/>
      <c r="H20" s="1449" t="s">
        <v>1286</v>
      </c>
      <c r="I20" s="1450"/>
      <c r="J20" s="1450"/>
      <c r="K20" s="1450"/>
      <c r="L20" s="1450"/>
      <c r="M20" s="1450"/>
      <c r="N20" s="1451"/>
    </row>
    <row r="21" spans="1:14">
      <c r="A21" s="1449"/>
      <c r="B21" s="1450"/>
      <c r="C21" s="1450"/>
      <c r="D21" s="1450"/>
      <c r="E21" s="1450"/>
      <c r="F21" s="1450"/>
      <c r="G21" s="1451"/>
      <c r="H21" s="1449"/>
      <c r="I21" s="1450"/>
      <c r="J21" s="1450"/>
      <c r="K21" s="1450"/>
      <c r="L21" s="1450"/>
      <c r="M21" s="1450"/>
      <c r="N21" s="1451"/>
    </row>
    <row r="22" spans="1:14">
      <c r="A22" s="1449"/>
      <c r="B22" s="1450"/>
      <c r="C22" s="1450"/>
      <c r="D22" s="1450"/>
      <c r="E22" s="1450"/>
      <c r="F22" s="1450"/>
      <c r="G22" s="1451"/>
      <c r="H22" s="1449"/>
      <c r="I22" s="1450"/>
      <c r="J22" s="1450"/>
      <c r="K22" s="1450"/>
      <c r="L22" s="1450"/>
      <c r="M22" s="1450"/>
      <c r="N22" s="1451"/>
    </row>
    <row r="23" spans="1:14">
      <c r="A23" s="1449"/>
      <c r="B23" s="1450"/>
      <c r="C23" s="1450"/>
      <c r="D23" s="1450"/>
      <c r="E23" s="1450"/>
      <c r="F23" s="1450"/>
      <c r="G23" s="1451"/>
      <c r="H23" s="1449"/>
      <c r="I23" s="1450"/>
      <c r="J23" s="1450"/>
      <c r="K23" s="1450"/>
      <c r="L23" s="1450"/>
      <c r="M23" s="1450"/>
      <c r="N23" s="1451"/>
    </row>
    <row r="24" spans="1:14" ht="7.5" customHeight="1">
      <c r="A24" s="1449"/>
      <c r="B24" s="1450"/>
      <c r="C24" s="1450"/>
      <c r="D24" s="1450"/>
      <c r="E24" s="1450"/>
      <c r="F24" s="1450"/>
      <c r="G24" s="1451"/>
      <c r="H24" s="1449"/>
      <c r="I24" s="1450"/>
      <c r="J24" s="1450"/>
      <c r="K24" s="1450"/>
      <c r="L24" s="1450"/>
      <c r="M24" s="1450"/>
      <c r="N24" s="1451"/>
    </row>
    <row r="25" spans="1:14" ht="12.75" customHeight="1">
      <c r="A25" s="1449" t="s">
        <v>1287</v>
      </c>
      <c r="B25" s="1450"/>
      <c r="C25" s="1450"/>
      <c r="D25" s="1450"/>
      <c r="E25" s="1450"/>
      <c r="F25" s="1450"/>
      <c r="G25" s="1451"/>
      <c r="H25" s="1449"/>
      <c r="I25" s="1450"/>
      <c r="J25" s="1450"/>
      <c r="K25" s="1450"/>
      <c r="L25" s="1450"/>
      <c r="M25" s="1450"/>
      <c r="N25" s="1451"/>
    </row>
    <row r="26" spans="1:14">
      <c r="A26" s="1449"/>
      <c r="B26" s="1450"/>
      <c r="C26" s="1450"/>
      <c r="D26" s="1450"/>
      <c r="E26" s="1450"/>
      <c r="F26" s="1450"/>
      <c r="G26" s="1451"/>
      <c r="H26" s="1449"/>
      <c r="I26" s="1450"/>
      <c r="J26" s="1450"/>
      <c r="K26" s="1450"/>
      <c r="L26" s="1450"/>
      <c r="M26" s="1450"/>
      <c r="N26" s="1451"/>
    </row>
    <row r="27" spans="1:14">
      <c r="A27" s="1449"/>
      <c r="B27" s="1450"/>
      <c r="C27" s="1450"/>
      <c r="D27" s="1450"/>
      <c r="E27" s="1450"/>
      <c r="F27" s="1450"/>
      <c r="G27" s="1451"/>
      <c r="H27" s="1449"/>
      <c r="I27" s="1450"/>
      <c r="J27" s="1450"/>
      <c r="K27" s="1450"/>
      <c r="L27" s="1450"/>
      <c r="M27" s="1450"/>
      <c r="N27" s="1451"/>
    </row>
    <row r="28" spans="1:14">
      <c r="A28" s="1449"/>
      <c r="B28" s="1450"/>
      <c r="C28" s="1450"/>
      <c r="D28" s="1450"/>
      <c r="E28" s="1450"/>
      <c r="F28" s="1450"/>
      <c r="G28" s="1451"/>
      <c r="H28" s="1449"/>
      <c r="I28" s="1450"/>
      <c r="J28" s="1450"/>
      <c r="K28" s="1450"/>
      <c r="L28" s="1450"/>
      <c r="M28" s="1450"/>
      <c r="N28" s="1451"/>
    </row>
    <row r="29" spans="1:14">
      <c r="A29" s="1449"/>
      <c r="B29" s="1450"/>
      <c r="C29" s="1450"/>
      <c r="D29" s="1450"/>
      <c r="E29" s="1450"/>
      <c r="F29" s="1450"/>
      <c r="G29" s="1451"/>
      <c r="H29" s="1449"/>
      <c r="I29" s="1450"/>
      <c r="J29" s="1450"/>
      <c r="K29" s="1450"/>
      <c r="L29" s="1450"/>
      <c r="M29" s="1450"/>
      <c r="N29" s="1451"/>
    </row>
    <row r="30" spans="1:14" ht="16.5" customHeight="1">
      <c r="A30" s="1449"/>
      <c r="B30" s="1450"/>
      <c r="C30" s="1450"/>
      <c r="D30" s="1450"/>
      <c r="E30" s="1450"/>
      <c r="F30" s="1450"/>
      <c r="G30" s="1451"/>
      <c r="H30" s="1449"/>
      <c r="I30" s="1450"/>
      <c r="J30" s="1450"/>
      <c r="K30" s="1450"/>
      <c r="L30" s="1450"/>
      <c r="M30" s="1450"/>
      <c r="N30" s="1451"/>
    </row>
    <row r="31" spans="1:14" ht="15" customHeight="1">
      <c r="A31" s="1449"/>
      <c r="B31" s="1450"/>
      <c r="C31" s="1450"/>
      <c r="D31" s="1450"/>
      <c r="E31" s="1450"/>
      <c r="F31" s="1450"/>
      <c r="G31" s="1451"/>
      <c r="H31" s="1449"/>
      <c r="I31" s="1450"/>
      <c r="J31" s="1450"/>
      <c r="K31" s="1450"/>
      <c r="L31" s="1450"/>
      <c r="M31" s="1450"/>
      <c r="N31" s="1451"/>
    </row>
    <row r="32" spans="1:14">
      <c r="A32" s="1449"/>
      <c r="B32" s="1450"/>
      <c r="C32" s="1450"/>
      <c r="D32" s="1450"/>
      <c r="E32" s="1450"/>
      <c r="F32" s="1450"/>
      <c r="G32" s="1451"/>
      <c r="H32" s="1449" t="s">
        <v>1288</v>
      </c>
      <c r="I32" s="1450"/>
      <c r="J32" s="1450"/>
      <c r="K32" s="1450"/>
      <c r="L32" s="1450"/>
      <c r="M32" s="1450"/>
      <c r="N32" s="1451"/>
    </row>
    <row r="33" spans="1:14">
      <c r="A33" s="1449"/>
      <c r="B33" s="1450"/>
      <c r="C33" s="1450"/>
      <c r="D33" s="1450"/>
      <c r="E33" s="1450"/>
      <c r="F33" s="1450"/>
      <c r="G33" s="1451"/>
      <c r="H33" s="1449"/>
      <c r="I33" s="1450"/>
      <c r="J33" s="1450"/>
      <c r="K33" s="1450"/>
      <c r="L33" s="1450"/>
      <c r="M33" s="1450"/>
      <c r="N33" s="1451"/>
    </row>
    <row r="34" spans="1:14">
      <c r="A34" s="1449"/>
      <c r="B34" s="1450"/>
      <c r="C34" s="1450"/>
      <c r="D34" s="1450"/>
      <c r="E34" s="1450"/>
      <c r="F34" s="1450"/>
      <c r="G34" s="1451"/>
      <c r="H34" s="1449"/>
      <c r="I34" s="1450"/>
      <c r="J34" s="1450"/>
      <c r="K34" s="1450"/>
      <c r="L34" s="1450"/>
      <c r="M34" s="1450"/>
      <c r="N34" s="1451"/>
    </row>
    <row r="35" spans="1:14">
      <c r="A35" s="1449"/>
      <c r="B35" s="1450"/>
      <c r="C35" s="1450"/>
      <c r="D35" s="1450"/>
      <c r="E35" s="1450"/>
      <c r="F35" s="1450"/>
      <c r="G35" s="1451"/>
      <c r="H35" s="1449"/>
      <c r="I35" s="1450"/>
      <c r="J35" s="1450"/>
      <c r="K35" s="1450"/>
      <c r="L35" s="1450"/>
      <c r="M35" s="1450"/>
      <c r="N35" s="1451"/>
    </row>
    <row r="36" spans="1:14">
      <c r="A36" s="1449"/>
      <c r="B36" s="1450"/>
      <c r="C36" s="1450"/>
      <c r="D36" s="1450"/>
      <c r="E36" s="1450"/>
      <c r="F36" s="1450"/>
      <c r="G36" s="1451"/>
      <c r="H36" s="1449"/>
      <c r="I36" s="1450"/>
      <c r="J36" s="1450"/>
      <c r="K36" s="1450"/>
      <c r="L36" s="1450"/>
      <c r="M36" s="1450"/>
      <c r="N36" s="1451"/>
    </row>
    <row r="37" spans="1:14">
      <c r="A37" s="1449"/>
      <c r="B37" s="1450"/>
      <c r="C37" s="1450"/>
      <c r="D37" s="1450"/>
      <c r="E37" s="1450"/>
      <c r="F37" s="1450"/>
      <c r="G37" s="1451"/>
      <c r="H37" s="1449"/>
      <c r="I37" s="1450"/>
      <c r="J37" s="1450"/>
      <c r="K37" s="1450"/>
      <c r="L37" s="1450"/>
      <c r="M37" s="1450"/>
      <c r="N37" s="1451"/>
    </row>
    <row r="38" spans="1:14" ht="44.25" customHeight="1">
      <c r="A38" s="1449"/>
      <c r="B38" s="1450"/>
      <c r="C38" s="1450"/>
      <c r="D38" s="1450"/>
      <c r="E38" s="1450"/>
      <c r="F38" s="1450"/>
      <c r="G38" s="1451"/>
      <c r="H38" s="1449" t="s">
        <v>1289</v>
      </c>
      <c r="I38" s="1450"/>
      <c r="J38" s="1450"/>
      <c r="K38" s="1450"/>
      <c r="L38" s="1450"/>
      <c r="M38" s="1450"/>
      <c r="N38" s="1451"/>
    </row>
    <row r="39" spans="1:14">
      <c r="A39" s="1449"/>
      <c r="B39" s="1450"/>
      <c r="C39" s="1450"/>
      <c r="D39" s="1450"/>
      <c r="E39" s="1450"/>
      <c r="F39" s="1450"/>
      <c r="G39" s="1451"/>
      <c r="H39" s="1449"/>
      <c r="I39" s="1450"/>
      <c r="J39" s="1450"/>
      <c r="K39" s="1450"/>
      <c r="L39" s="1450"/>
      <c r="M39" s="1450"/>
      <c r="N39" s="1451"/>
    </row>
    <row r="40" spans="1:14" ht="70.5" customHeight="1">
      <c r="A40" s="1449"/>
      <c r="B40" s="1450"/>
      <c r="C40" s="1450"/>
      <c r="D40" s="1450"/>
      <c r="E40" s="1450"/>
      <c r="F40" s="1450"/>
      <c r="G40" s="1451"/>
      <c r="H40" s="1449"/>
      <c r="I40" s="1450"/>
      <c r="J40" s="1450"/>
      <c r="K40" s="1450"/>
      <c r="L40" s="1450"/>
      <c r="M40" s="1450"/>
      <c r="N40" s="1451"/>
    </row>
    <row r="41" spans="1:14" ht="49.5" customHeight="1">
      <c r="A41" s="1449"/>
      <c r="B41" s="1450"/>
      <c r="C41" s="1450"/>
      <c r="D41" s="1450"/>
      <c r="E41" s="1450"/>
      <c r="F41" s="1450"/>
      <c r="G41" s="1451"/>
      <c r="H41" s="1455" t="s">
        <v>1290</v>
      </c>
      <c r="I41" s="1456"/>
      <c r="J41" s="1456"/>
      <c r="K41" s="1456"/>
      <c r="L41" s="1456"/>
      <c r="M41" s="1456"/>
      <c r="N41" s="1457"/>
    </row>
    <row r="42" spans="1:14" ht="56.25" customHeight="1">
      <c r="A42" s="1449"/>
      <c r="B42" s="1450"/>
      <c r="C42" s="1450"/>
      <c r="D42" s="1450"/>
      <c r="E42" s="1450"/>
      <c r="F42" s="1450"/>
      <c r="G42" s="1451"/>
      <c r="H42" s="1455"/>
      <c r="I42" s="1456"/>
      <c r="J42" s="1456"/>
      <c r="K42" s="1456"/>
      <c r="L42" s="1456"/>
      <c r="M42" s="1456"/>
      <c r="N42" s="1457"/>
    </row>
    <row r="43" spans="1:14" ht="53.25" customHeight="1">
      <c r="A43" s="1449"/>
      <c r="B43" s="1450"/>
      <c r="C43" s="1450"/>
      <c r="D43" s="1450"/>
      <c r="E43" s="1450"/>
      <c r="F43" s="1450"/>
      <c r="G43" s="1451"/>
      <c r="H43" s="1455"/>
      <c r="I43" s="1456"/>
      <c r="J43" s="1456"/>
      <c r="K43" s="1456"/>
      <c r="L43" s="1456"/>
      <c r="M43" s="1456"/>
      <c r="N43" s="1457"/>
    </row>
    <row r="44" spans="1:14" ht="27" customHeight="1" thickBot="1">
      <c r="A44" s="1452"/>
      <c r="B44" s="1453"/>
      <c r="C44" s="1453"/>
      <c r="D44" s="1453"/>
      <c r="E44" s="1453"/>
      <c r="F44" s="1453"/>
      <c r="G44" s="1454"/>
      <c r="H44" s="1458"/>
      <c r="I44" s="1459"/>
      <c r="J44" s="1459"/>
      <c r="K44" s="1459"/>
      <c r="L44" s="1459"/>
      <c r="M44" s="1459"/>
      <c r="N44" s="1460"/>
    </row>
    <row r="46" spans="1:14">
      <c r="F46" s="1231" t="s">
        <v>126</v>
      </c>
      <c r="G46" s="1231"/>
      <c r="M46" s="1231" t="s">
        <v>126</v>
      </c>
      <c r="N46" s="1231"/>
    </row>
    <row r="47" spans="1:14">
      <c r="B47" s="2"/>
      <c r="C47" s="2"/>
      <c r="D47" s="2"/>
      <c r="E47" s="2"/>
      <c r="F47" s="2"/>
      <c r="I47" s="2"/>
      <c r="J47" s="2"/>
      <c r="K47" s="2"/>
      <c r="L47" s="2"/>
      <c r="M47" s="2"/>
    </row>
  </sheetData>
  <mergeCells count="18">
    <mergeCell ref="A13:G19"/>
    <mergeCell ref="H13:N19"/>
    <mergeCell ref="F46:G46"/>
    <mergeCell ref="A20:G24"/>
    <mergeCell ref="M46:N46"/>
    <mergeCell ref="H32:N37"/>
    <mergeCell ref="H38:N40"/>
    <mergeCell ref="A25:G44"/>
    <mergeCell ref="H20:N31"/>
    <mergeCell ref="H41:N44"/>
    <mergeCell ref="A3:F3"/>
    <mergeCell ref="A10:F10"/>
    <mergeCell ref="A1:G1"/>
    <mergeCell ref="A5:G5"/>
    <mergeCell ref="H1:N1"/>
    <mergeCell ref="H3:M3"/>
    <mergeCell ref="H5:N5"/>
    <mergeCell ref="H10:M10"/>
  </mergeCells>
  <phoneticPr fontId="5" type="noConversion"/>
  <hyperlinks>
    <hyperlink ref="F46" location="'TABLA DE CONTENIDO'!A1" display="VOLVER A TABLA DE CONTENIDO" xr:uid="{00000000-0004-0000-2100-000000000000}"/>
    <hyperlink ref="M46" location="'TABLA DE CONTENIDO'!A1" display="VOLVER A TABLA DE CONTENIDO" xr:uid="{00000000-0004-0000-2100-000001000000}"/>
  </hyperlinks>
  <printOptions horizontalCentered="1"/>
  <pageMargins left="0.51181102362204722" right="0.41" top="0.78740157480314965" bottom="0.98425196850393704" header="0.51181102362204722" footer="0.51181102362204722"/>
  <pageSetup scale="88" orientation="portrait" horizontalDpi="300" verticalDpi="300" r:id="rId1"/>
  <headerFooter alignWithMargins="0"/>
  <drawing r:id="rId2"/>
  <legacyDrawing r:id="rId3"/>
  <oleObjects>
    <mc:AlternateContent xmlns:mc="http://schemas.openxmlformats.org/markup-compatibility/2006">
      <mc:Choice Requires="x14">
        <oleObject progId="Word.Document.6" shapeId="13313" r:id="rId4">
          <objectPr defaultSize="0" autoLine="0" autoPict="0" r:id="rId5">
            <anchor moveWithCells="1">
              <from>
                <xdr:col>0</xdr:col>
                <xdr:colOff>0</xdr:colOff>
                <xdr:row>0</xdr:row>
                <xdr:rowOff>0</xdr:rowOff>
              </from>
              <to>
                <xdr:col>2</xdr:col>
                <xdr:colOff>38100</xdr:colOff>
                <xdr:row>3</xdr:row>
                <xdr:rowOff>114300</xdr:rowOff>
              </to>
            </anchor>
          </objectPr>
        </oleObject>
      </mc:Choice>
      <mc:Fallback>
        <oleObject progId="Word.Document.6" shapeId="13313" r:id="rId4"/>
      </mc:Fallback>
    </mc:AlternateContent>
    <mc:AlternateContent xmlns:mc="http://schemas.openxmlformats.org/markup-compatibility/2006">
      <mc:Choice Requires="x14">
        <oleObject progId="Word.Document.6" shapeId="13685" r:id="rId6">
          <objectPr defaultSize="0" autoLine="0" autoPict="0" r:id="rId5">
            <anchor moveWithCells="1">
              <from>
                <xdr:col>7</xdr:col>
                <xdr:colOff>0</xdr:colOff>
                <xdr:row>0</xdr:row>
                <xdr:rowOff>0</xdr:rowOff>
              </from>
              <to>
                <xdr:col>9</xdr:col>
                <xdr:colOff>38100</xdr:colOff>
                <xdr:row>3</xdr:row>
                <xdr:rowOff>114300</xdr:rowOff>
              </to>
            </anchor>
          </objectPr>
        </oleObject>
      </mc:Choice>
      <mc:Fallback>
        <oleObject progId="Word.Document.6" shapeId="13685" r:id="rId6"/>
      </mc:Fallback>
    </mc:AlternateContent>
  </oleObjects>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pageSetUpPr fitToPage="1"/>
  </sheetPr>
  <dimension ref="A1:G309"/>
  <sheetViews>
    <sheetView zoomScale="86" zoomScaleNormal="86" workbookViewId="0">
      <selection activeCell="H276" sqref="H276"/>
    </sheetView>
  </sheetViews>
  <sheetFormatPr defaultColWidth="11.42578125" defaultRowHeight="12.75"/>
  <cols>
    <col min="1" max="1" width="5" customWidth="1"/>
    <col min="5" max="5" width="27.28515625" customWidth="1"/>
    <col min="6" max="6" width="21.28515625" customWidth="1"/>
    <col min="7" max="7" width="12.28515625" customWidth="1"/>
  </cols>
  <sheetData>
    <row r="1" spans="1:7" ht="23.25">
      <c r="A1" s="1228" t="s">
        <v>1</v>
      </c>
      <c r="B1" s="1228"/>
      <c r="C1" s="1228"/>
      <c r="D1" s="1228"/>
      <c r="E1" s="1228"/>
      <c r="F1" s="1228"/>
      <c r="G1" s="1228"/>
    </row>
    <row r="2" spans="1:7" ht="23.25">
      <c r="A2" s="278"/>
      <c r="B2" s="278"/>
      <c r="C2" s="278"/>
      <c r="D2" s="278"/>
      <c r="E2" s="278"/>
      <c r="F2" s="278"/>
    </row>
    <row r="3" spans="1:7" ht="18">
      <c r="A3" s="1229" t="s">
        <v>84</v>
      </c>
      <c r="B3" s="1229"/>
      <c r="C3" s="1229"/>
      <c r="D3" s="1229"/>
      <c r="E3" s="1229"/>
      <c r="F3" s="1229"/>
    </row>
    <row r="4" spans="1:7">
      <c r="B4" s="44"/>
      <c r="C4" s="37"/>
      <c r="D4" s="37"/>
      <c r="E4" s="1"/>
      <c r="F4" s="1"/>
    </row>
    <row r="5" spans="1:7" ht="20.25">
      <c r="A5" s="1221" t="s">
        <v>1291</v>
      </c>
      <c r="B5" s="1221"/>
      <c r="C5" s="1221"/>
      <c r="D5" s="1221"/>
      <c r="E5" s="1221"/>
      <c r="F5" s="1221"/>
      <c r="G5" s="1221"/>
    </row>
    <row r="6" spans="1:7">
      <c r="A6" t="s">
        <v>540</v>
      </c>
      <c r="B6" s="44"/>
      <c r="C6" s="37"/>
      <c r="D6" s="37"/>
      <c r="E6" s="1"/>
      <c r="F6" s="1"/>
    </row>
    <row r="7" spans="1:7">
      <c r="A7" s="175" t="s">
        <v>130</v>
      </c>
      <c r="B7" s="38"/>
      <c r="D7" s="3" t="s">
        <v>88</v>
      </c>
      <c r="E7" s="3"/>
      <c r="F7" s="3"/>
    </row>
    <row r="8" spans="1:7">
      <c r="A8" s="175"/>
      <c r="B8" s="38"/>
    </row>
    <row r="10" spans="1:7">
      <c r="A10" s="1431" t="s">
        <v>1270</v>
      </c>
      <c r="B10" s="1431"/>
      <c r="C10" s="1431"/>
      <c r="D10" s="1431"/>
      <c r="E10" s="1431"/>
      <c r="F10" s="1431"/>
      <c r="G10" s="1431"/>
    </row>
    <row r="11" spans="1:7" ht="13.5" thickBot="1">
      <c r="A11" s="20"/>
      <c r="B11" s="20"/>
      <c r="C11" s="20"/>
      <c r="D11" s="20"/>
      <c r="E11" s="20"/>
      <c r="F11" s="20"/>
    </row>
    <row r="12" spans="1:7">
      <c r="A12" s="16"/>
      <c r="B12" s="17"/>
      <c r="C12" s="17"/>
      <c r="D12" s="17"/>
      <c r="E12" s="17"/>
      <c r="F12" s="17"/>
      <c r="G12" s="18"/>
    </row>
    <row r="13" spans="1:7">
      <c r="A13" s="9"/>
      <c r="G13" s="19"/>
    </row>
    <row r="14" spans="1:7">
      <c r="A14" s="9"/>
      <c r="G14" s="19"/>
    </row>
    <row r="15" spans="1:7">
      <c r="A15" s="9"/>
      <c r="G15" s="19"/>
    </row>
    <row r="16" spans="1:7">
      <c r="A16" s="9"/>
      <c r="G16" s="19"/>
    </row>
    <row r="17" spans="1:7">
      <c r="A17" s="9"/>
      <c r="G17" s="19"/>
    </row>
    <row r="18" spans="1:7">
      <c r="A18" s="9"/>
      <c r="G18" s="19"/>
    </row>
    <row r="19" spans="1:7">
      <c r="A19" s="9"/>
      <c r="G19" s="19"/>
    </row>
    <row r="20" spans="1:7" ht="53.25" customHeight="1">
      <c r="A20" s="1461"/>
      <c r="B20" s="1462"/>
      <c r="C20" s="1462"/>
      <c r="D20" s="1462"/>
      <c r="E20" s="1462"/>
      <c r="F20" s="1462"/>
      <c r="G20" s="1463"/>
    </row>
    <row r="21" spans="1:7">
      <c r="A21" s="401"/>
      <c r="B21" s="402"/>
      <c r="C21" s="402"/>
      <c r="D21" s="402"/>
      <c r="E21" s="402"/>
      <c r="F21" s="402"/>
      <c r="G21" s="403"/>
    </row>
    <row r="22" spans="1:7">
      <c r="A22" s="401"/>
      <c r="B22" s="402"/>
      <c r="C22" s="402"/>
      <c r="D22" s="402"/>
      <c r="E22" s="402"/>
      <c r="F22" s="402"/>
      <c r="G22" s="403"/>
    </row>
    <row r="23" spans="1:7">
      <c r="A23" s="9"/>
      <c r="E23" s="404"/>
      <c r="G23" s="19"/>
    </row>
    <row r="24" spans="1:7">
      <c r="A24" s="9"/>
      <c r="G24" s="19"/>
    </row>
    <row r="25" spans="1:7">
      <c r="A25" s="9"/>
      <c r="G25" s="19"/>
    </row>
    <row r="26" spans="1:7">
      <c r="A26" s="9"/>
      <c r="G26" s="19"/>
    </row>
    <row r="27" spans="1:7">
      <c r="A27" s="9"/>
      <c r="G27" s="19"/>
    </row>
    <row r="28" spans="1:7">
      <c r="A28" s="9"/>
      <c r="G28" s="19"/>
    </row>
    <row r="29" spans="1:7">
      <c r="A29" s="9"/>
      <c r="G29" s="19"/>
    </row>
    <row r="30" spans="1:7">
      <c r="A30" s="9"/>
      <c r="G30" s="19"/>
    </row>
    <row r="31" spans="1:7">
      <c r="A31" s="9"/>
      <c r="G31" s="19"/>
    </row>
    <row r="32" spans="1:7">
      <c r="A32" s="9"/>
      <c r="G32" s="19"/>
    </row>
    <row r="33" spans="1:7">
      <c r="A33" s="9"/>
      <c r="G33" s="19"/>
    </row>
    <row r="34" spans="1:7">
      <c r="A34" s="9"/>
      <c r="G34" s="19"/>
    </row>
    <row r="35" spans="1:7">
      <c r="A35" s="9"/>
      <c r="G35" s="19"/>
    </row>
    <row r="36" spans="1:7">
      <c r="A36" s="9"/>
      <c r="G36" s="19"/>
    </row>
    <row r="37" spans="1:7">
      <c r="A37" s="9"/>
      <c r="G37" s="19"/>
    </row>
    <row r="38" spans="1:7">
      <c r="A38" s="9"/>
      <c r="G38" s="19"/>
    </row>
    <row r="39" spans="1:7">
      <c r="A39" s="9"/>
      <c r="G39" s="19"/>
    </row>
    <row r="40" spans="1:7">
      <c r="A40" s="9"/>
      <c r="G40" s="19"/>
    </row>
    <row r="41" spans="1:7">
      <c r="A41" s="9"/>
      <c r="G41" s="19"/>
    </row>
    <row r="42" spans="1:7">
      <c r="A42" s="9"/>
      <c r="G42" s="19"/>
    </row>
    <row r="43" spans="1:7">
      <c r="A43" s="9"/>
      <c r="G43" s="19"/>
    </row>
    <row r="44" spans="1:7">
      <c r="A44" s="9"/>
      <c r="G44" s="19"/>
    </row>
    <row r="45" spans="1:7">
      <c r="A45" s="9"/>
      <c r="G45" s="19"/>
    </row>
    <row r="46" spans="1:7">
      <c r="A46" s="9"/>
      <c r="G46" s="19"/>
    </row>
    <row r="47" spans="1:7">
      <c r="A47" s="9"/>
      <c r="G47" s="19"/>
    </row>
    <row r="48" spans="1:7" ht="15">
      <c r="A48" s="9"/>
      <c r="D48" s="1226" t="s">
        <v>1292</v>
      </c>
      <c r="E48" s="1226"/>
      <c r="G48" s="19"/>
    </row>
    <row r="49" spans="1:7">
      <c r="A49" s="9"/>
      <c r="G49" s="19"/>
    </row>
    <row r="50" spans="1:7">
      <c r="A50" s="9"/>
      <c r="G50" s="19"/>
    </row>
    <row r="51" spans="1:7">
      <c r="A51" s="9"/>
      <c r="G51" s="19"/>
    </row>
    <row r="52" spans="1:7">
      <c r="A52" s="9"/>
      <c r="G52" s="19"/>
    </row>
    <row r="53" spans="1:7">
      <c r="A53" s="9"/>
      <c r="G53" s="19"/>
    </row>
    <row r="54" spans="1:7">
      <c r="A54" s="9"/>
      <c r="G54" s="19"/>
    </row>
    <row r="55" spans="1:7">
      <c r="A55" s="9"/>
      <c r="G55" s="19"/>
    </row>
    <row r="56" spans="1:7">
      <c r="A56" s="9"/>
      <c r="G56" s="19"/>
    </row>
    <row r="57" spans="1:7">
      <c r="A57" s="9"/>
      <c r="G57" s="19"/>
    </row>
    <row r="58" spans="1:7">
      <c r="A58" s="9"/>
      <c r="G58" s="19"/>
    </row>
    <row r="59" spans="1:7">
      <c r="A59" s="9"/>
      <c r="G59" s="19"/>
    </row>
    <row r="60" spans="1:7">
      <c r="A60" s="9"/>
      <c r="G60" s="19"/>
    </row>
    <row r="61" spans="1:7">
      <c r="A61" s="9"/>
      <c r="G61" s="19"/>
    </row>
    <row r="62" spans="1:7">
      <c r="A62" s="9"/>
      <c r="G62" s="19"/>
    </row>
    <row r="63" spans="1:7">
      <c r="A63" s="9"/>
      <c r="G63" s="19"/>
    </row>
    <row r="64" spans="1:7">
      <c r="A64" s="9"/>
      <c r="G64" s="19"/>
    </row>
    <row r="65" spans="1:7">
      <c r="A65" s="9"/>
      <c r="G65" s="19"/>
    </row>
    <row r="66" spans="1:7">
      <c r="A66" s="9"/>
      <c r="G66" s="19"/>
    </row>
    <row r="67" spans="1:7">
      <c r="A67" s="9"/>
      <c r="G67" s="19"/>
    </row>
    <row r="68" spans="1:7">
      <c r="A68" s="9"/>
      <c r="G68" s="19"/>
    </row>
    <row r="69" spans="1:7">
      <c r="A69" s="9"/>
      <c r="G69" s="19"/>
    </row>
    <row r="70" spans="1:7">
      <c r="A70" s="9"/>
      <c r="G70" s="19"/>
    </row>
    <row r="71" spans="1:7">
      <c r="A71" s="9"/>
      <c r="G71" s="19"/>
    </row>
    <row r="72" spans="1:7">
      <c r="A72" s="9"/>
      <c r="G72" s="19"/>
    </row>
    <row r="73" spans="1:7">
      <c r="A73" s="9"/>
      <c r="G73" s="19"/>
    </row>
    <row r="74" spans="1:7">
      <c r="A74" s="9"/>
      <c r="G74" s="19"/>
    </row>
    <row r="75" spans="1:7">
      <c r="A75" s="9"/>
      <c r="G75" s="19"/>
    </row>
    <row r="76" spans="1:7">
      <c r="A76" s="9"/>
      <c r="G76" s="19"/>
    </row>
    <row r="77" spans="1:7">
      <c r="A77" s="9"/>
      <c r="G77" s="19"/>
    </row>
    <row r="78" spans="1:7">
      <c r="A78" s="9"/>
      <c r="G78" s="19"/>
    </row>
    <row r="79" spans="1:7">
      <c r="A79" s="9"/>
      <c r="G79" s="19"/>
    </row>
    <row r="80" spans="1:7">
      <c r="A80" s="9"/>
      <c r="G80" s="19"/>
    </row>
    <row r="81" spans="1:7" ht="15">
      <c r="A81" s="9"/>
      <c r="D81" s="1226" t="s">
        <v>1293</v>
      </c>
      <c r="E81" s="1226"/>
      <c r="G81" s="19"/>
    </row>
    <row r="82" spans="1:7">
      <c r="A82" s="9"/>
      <c r="G82" s="19"/>
    </row>
    <row r="83" spans="1:7">
      <c r="A83" s="9"/>
      <c r="G83" s="19"/>
    </row>
    <row r="84" spans="1:7">
      <c r="A84" s="9"/>
      <c r="G84" s="19"/>
    </row>
    <row r="85" spans="1:7" ht="12.75" customHeight="1">
      <c r="A85" s="9"/>
      <c r="G85" s="19"/>
    </row>
    <row r="86" spans="1:7" ht="12.75" customHeight="1">
      <c r="A86" s="9"/>
      <c r="G86" s="19"/>
    </row>
    <row r="87" spans="1:7" ht="12.75" customHeight="1">
      <c r="A87" s="9"/>
      <c r="G87" s="19"/>
    </row>
    <row r="88" spans="1:7" ht="12.75" customHeight="1">
      <c r="A88" s="9"/>
      <c r="G88" s="19"/>
    </row>
    <row r="89" spans="1:7" ht="12.75" customHeight="1">
      <c r="A89" s="9"/>
      <c r="G89" s="19"/>
    </row>
    <row r="90" spans="1:7" ht="12.75" customHeight="1">
      <c r="A90" s="9"/>
      <c r="G90" s="19"/>
    </row>
    <row r="91" spans="1:7" ht="12.75" customHeight="1">
      <c r="A91" s="9"/>
      <c r="G91" s="19"/>
    </row>
    <row r="92" spans="1:7" ht="12.75" customHeight="1">
      <c r="A92" s="9"/>
      <c r="G92" s="19"/>
    </row>
    <row r="93" spans="1:7" ht="12.75" customHeight="1">
      <c r="A93" s="9"/>
      <c r="G93" s="19"/>
    </row>
    <row r="94" spans="1:7" ht="12.75" customHeight="1">
      <c r="A94" s="9"/>
      <c r="G94" s="19"/>
    </row>
    <row r="95" spans="1:7" ht="12.75" customHeight="1">
      <c r="A95" s="9"/>
      <c r="G95" s="19"/>
    </row>
    <row r="96" spans="1:7" ht="12.75" customHeight="1">
      <c r="A96" s="9"/>
      <c r="G96" s="19"/>
    </row>
    <row r="97" spans="1:7" ht="12.75" customHeight="1">
      <c r="A97" s="9"/>
      <c r="G97" s="19"/>
    </row>
    <row r="98" spans="1:7" ht="12.75" customHeight="1">
      <c r="A98" s="9"/>
      <c r="G98" s="19"/>
    </row>
    <row r="99" spans="1:7" ht="12.75" customHeight="1">
      <c r="A99" s="9"/>
      <c r="G99" s="19"/>
    </row>
    <row r="100" spans="1:7" ht="12.75" customHeight="1">
      <c r="A100" s="9"/>
      <c r="G100" s="19"/>
    </row>
    <row r="101" spans="1:7" ht="12.75" customHeight="1">
      <c r="A101" s="9"/>
      <c r="G101" s="19"/>
    </row>
    <row r="102" spans="1:7" ht="12.75" customHeight="1">
      <c r="A102" s="9"/>
      <c r="G102" s="19"/>
    </row>
    <row r="103" spans="1:7" ht="12.75" customHeight="1">
      <c r="A103" s="9"/>
      <c r="G103" s="19"/>
    </row>
    <row r="104" spans="1:7" ht="12.75" customHeight="1">
      <c r="A104" s="9"/>
      <c r="G104" s="19"/>
    </row>
    <row r="105" spans="1:7" ht="12.75" customHeight="1">
      <c r="A105" s="9"/>
      <c r="G105" s="19"/>
    </row>
    <row r="106" spans="1:7" ht="12.75" customHeight="1">
      <c r="A106" s="9"/>
      <c r="G106" s="19"/>
    </row>
    <row r="107" spans="1:7">
      <c r="A107" s="9"/>
      <c r="G107" s="19"/>
    </row>
    <row r="108" spans="1:7" ht="13.5" thickBot="1">
      <c r="A108" s="11"/>
      <c r="B108" s="20"/>
      <c r="C108" s="20"/>
      <c r="D108" s="20"/>
      <c r="E108" s="20"/>
      <c r="F108" s="20"/>
      <c r="G108" s="21"/>
    </row>
    <row r="109" spans="1:7">
      <c r="A109" s="16"/>
      <c r="B109" s="17"/>
      <c r="C109" s="17"/>
      <c r="D109" s="17"/>
      <c r="E109" s="17"/>
      <c r="F109" s="17"/>
      <c r="G109" s="18"/>
    </row>
    <row r="110" spans="1:7">
      <c r="A110" s="9"/>
      <c r="G110" s="19"/>
    </row>
    <row r="111" spans="1:7">
      <c r="A111" s="9"/>
      <c r="G111" s="19"/>
    </row>
    <row r="112" spans="1:7">
      <c r="A112" s="9"/>
      <c r="G112" s="19"/>
    </row>
    <row r="113" spans="1:7">
      <c r="A113" s="9"/>
      <c r="G113" s="19"/>
    </row>
    <row r="114" spans="1:7">
      <c r="A114" s="9"/>
      <c r="G114" s="19"/>
    </row>
    <row r="115" spans="1:7">
      <c r="A115" s="9"/>
      <c r="G115" s="19"/>
    </row>
    <row r="116" spans="1:7">
      <c r="A116" s="9"/>
      <c r="G116" s="19"/>
    </row>
    <row r="117" spans="1:7">
      <c r="A117" s="9"/>
      <c r="G117" s="19"/>
    </row>
    <row r="118" spans="1:7">
      <c r="A118" s="9"/>
      <c r="G118" s="19"/>
    </row>
    <row r="119" spans="1:7">
      <c r="A119" s="9"/>
      <c r="G119" s="19"/>
    </row>
    <row r="120" spans="1:7">
      <c r="A120" s="9"/>
      <c r="G120" s="19"/>
    </row>
    <row r="121" spans="1:7">
      <c r="A121" s="9"/>
      <c r="G121" s="19"/>
    </row>
    <row r="122" spans="1:7">
      <c r="A122" s="9"/>
      <c r="G122" s="19"/>
    </row>
    <row r="123" spans="1:7">
      <c r="A123" s="9"/>
      <c r="G123" s="19"/>
    </row>
    <row r="124" spans="1:7">
      <c r="A124" s="9"/>
      <c r="G124" s="19"/>
    </row>
    <row r="125" spans="1:7">
      <c r="A125" s="9"/>
      <c r="G125" s="19"/>
    </row>
    <row r="126" spans="1:7">
      <c r="A126" s="9"/>
      <c r="G126" s="19"/>
    </row>
    <row r="127" spans="1:7">
      <c r="A127" s="9"/>
      <c r="G127" s="19"/>
    </row>
    <row r="128" spans="1:7">
      <c r="A128" s="9"/>
      <c r="G128" s="19"/>
    </row>
    <row r="129" spans="1:7">
      <c r="A129" s="9"/>
      <c r="G129" s="19"/>
    </row>
    <row r="130" spans="1:7">
      <c r="A130" s="9"/>
      <c r="G130" s="19"/>
    </row>
    <row r="131" spans="1:7">
      <c r="A131" s="9"/>
      <c r="G131" s="19"/>
    </row>
    <row r="132" spans="1:7">
      <c r="A132" s="9"/>
      <c r="G132" s="19"/>
    </row>
    <row r="133" spans="1:7">
      <c r="A133" s="9"/>
      <c r="G133" s="19"/>
    </row>
    <row r="134" spans="1:7">
      <c r="A134" s="9"/>
      <c r="G134" s="19"/>
    </row>
    <row r="135" spans="1:7">
      <c r="A135" s="9"/>
      <c r="G135" s="19"/>
    </row>
    <row r="136" spans="1:7">
      <c r="A136" s="9"/>
      <c r="G136" s="19"/>
    </row>
    <row r="137" spans="1:7">
      <c r="A137" s="9"/>
      <c r="G137" s="19"/>
    </row>
    <row r="138" spans="1:7">
      <c r="A138" s="9"/>
      <c r="G138" s="19"/>
    </row>
    <row r="139" spans="1:7">
      <c r="A139" s="9"/>
      <c r="G139" s="19"/>
    </row>
    <row r="140" spans="1:7">
      <c r="A140" s="9"/>
      <c r="G140" s="19"/>
    </row>
    <row r="141" spans="1:7">
      <c r="A141" s="9"/>
      <c r="G141" s="19"/>
    </row>
    <row r="142" spans="1:7">
      <c r="A142" s="9"/>
      <c r="G142" s="19"/>
    </row>
    <row r="143" spans="1:7">
      <c r="A143" s="9"/>
      <c r="G143" s="19"/>
    </row>
    <row r="144" spans="1:7">
      <c r="A144" s="9"/>
      <c r="G144" s="19"/>
    </row>
    <row r="145" spans="1:7">
      <c r="A145" s="9"/>
      <c r="G145" s="19"/>
    </row>
    <row r="146" spans="1:7">
      <c r="A146" s="9"/>
      <c r="G146" s="19"/>
    </row>
    <row r="147" spans="1:7" ht="15">
      <c r="A147" s="9"/>
      <c r="D147" s="1226" t="s">
        <v>1292</v>
      </c>
      <c r="E147" s="1226"/>
      <c r="G147" s="19"/>
    </row>
    <row r="148" spans="1:7">
      <c r="A148" s="9"/>
      <c r="G148" s="19"/>
    </row>
    <row r="149" spans="1:7">
      <c r="A149" s="9"/>
      <c r="G149" s="19"/>
    </row>
    <row r="150" spans="1:7">
      <c r="A150" s="9"/>
      <c r="G150" s="19"/>
    </row>
    <row r="151" spans="1:7">
      <c r="A151" s="9"/>
      <c r="G151" s="19"/>
    </row>
    <row r="152" spans="1:7">
      <c r="A152" s="9"/>
      <c r="G152" s="19"/>
    </row>
    <row r="153" spans="1:7">
      <c r="A153" s="9"/>
      <c r="G153" s="19"/>
    </row>
    <row r="154" spans="1:7">
      <c r="A154" s="9"/>
      <c r="G154" s="19"/>
    </row>
    <row r="155" spans="1:7">
      <c r="A155" s="9"/>
      <c r="G155" s="19"/>
    </row>
    <row r="156" spans="1:7">
      <c r="A156" s="9"/>
      <c r="G156" s="19"/>
    </row>
    <row r="157" spans="1:7">
      <c r="A157" s="9"/>
      <c r="G157" s="19"/>
    </row>
    <row r="158" spans="1:7">
      <c r="A158" s="9"/>
      <c r="G158" s="19"/>
    </row>
    <row r="159" spans="1:7">
      <c r="A159" s="9"/>
      <c r="G159" s="19"/>
    </row>
    <row r="160" spans="1:7">
      <c r="A160" s="9"/>
      <c r="G160" s="19"/>
    </row>
    <row r="161" spans="1:7">
      <c r="A161" s="9"/>
      <c r="G161" s="19"/>
    </row>
    <row r="162" spans="1:7">
      <c r="A162" s="9"/>
      <c r="G162" s="19"/>
    </row>
    <row r="163" spans="1:7">
      <c r="A163" s="9"/>
      <c r="G163" s="19"/>
    </row>
    <row r="164" spans="1:7">
      <c r="A164" s="9"/>
      <c r="G164" s="19"/>
    </row>
    <row r="165" spans="1:7">
      <c r="A165" s="9"/>
      <c r="G165" s="19"/>
    </row>
    <row r="166" spans="1:7">
      <c r="A166" s="9"/>
      <c r="G166" s="19"/>
    </row>
    <row r="167" spans="1:7">
      <c r="A167" s="9"/>
      <c r="G167" s="19"/>
    </row>
    <row r="168" spans="1:7">
      <c r="A168" s="9"/>
      <c r="G168" s="19"/>
    </row>
    <row r="169" spans="1:7">
      <c r="A169" s="9"/>
      <c r="G169" s="19"/>
    </row>
    <row r="170" spans="1:7">
      <c r="A170" s="9"/>
      <c r="G170" s="19"/>
    </row>
    <row r="171" spans="1:7">
      <c r="A171" s="9"/>
      <c r="G171" s="19"/>
    </row>
    <row r="172" spans="1:7">
      <c r="A172" s="9"/>
      <c r="G172" s="19"/>
    </row>
    <row r="173" spans="1:7">
      <c r="A173" s="9"/>
      <c r="G173" s="19"/>
    </row>
    <row r="174" spans="1:7">
      <c r="A174" s="9"/>
      <c r="G174" s="19"/>
    </row>
    <row r="175" spans="1:7">
      <c r="A175" s="9"/>
      <c r="G175" s="19"/>
    </row>
    <row r="176" spans="1:7">
      <c r="A176" s="9"/>
      <c r="G176" s="19"/>
    </row>
    <row r="177" spans="1:7">
      <c r="A177" s="9"/>
      <c r="G177" s="19"/>
    </row>
    <row r="178" spans="1:7">
      <c r="A178" s="9"/>
      <c r="G178" s="19"/>
    </row>
    <row r="179" spans="1:7">
      <c r="A179" s="9"/>
      <c r="G179" s="19"/>
    </row>
    <row r="180" spans="1:7">
      <c r="A180" s="9"/>
      <c r="G180" s="19"/>
    </row>
    <row r="181" spans="1:7">
      <c r="A181" s="9"/>
      <c r="G181" s="19"/>
    </row>
    <row r="182" spans="1:7" ht="15">
      <c r="A182" s="9"/>
      <c r="D182" s="1226" t="s">
        <v>1293</v>
      </c>
      <c r="E182" s="1226"/>
      <c r="G182" s="19"/>
    </row>
    <row r="183" spans="1:7">
      <c r="A183" s="9"/>
      <c r="G183" s="19"/>
    </row>
    <row r="184" spans="1:7">
      <c r="A184" s="9"/>
      <c r="G184" s="19"/>
    </row>
    <row r="185" spans="1:7">
      <c r="A185" s="9"/>
      <c r="G185" s="19"/>
    </row>
    <row r="186" spans="1:7">
      <c r="A186" s="9"/>
      <c r="G186" s="19"/>
    </row>
    <row r="187" spans="1:7">
      <c r="A187" s="9"/>
      <c r="G187" s="19"/>
    </row>
    <row r="188" spans="1:7">
      <c r="A188" s="9"/>
      <c r="G188" s="19"/>
    </row>
    <row r="189" spans="1:7">
      <c r="A189" s="9"/>
      <c r="G189" s="19"/>
    </row>
    <row r="190" spans="1:7">
      <c r="A190" s="9"/>
      <c r="G190" s="19"/>
    </row>
    <row r="191" spans="1:7">
      <c r="A191" s="9"/>
      <c r="G191" s="19"/>
    </row>
    <row r="192" spans="1:7">
      <c r="A192" s="9"/>
      <c r="G192" s="19"/>
    </row>
    <row r="193" spans="1:7">
      <c r="A193" s="9"/>
      <c r="G193" s="19"/>
    </row>
    <row r="194" spans="1:7">
      <c r="A194" s="9"/>
      <c r="G194" s="19"/>
    </row>
    <row r="195" spans="1:7">
      <c r="A195" s="9"/>
      <c r="G195" s="19"/>
    </row>
    <row r="196" spans="1:7">
      <c r="A196" s="9"/>
      <c r="G196" s="19"/>
    </row>
    <row r="197" spans="1:7">
      <c r="A197" s="9"/>
      <c r="G197" s="19"/>
    </row>
    <row r="198" spans="1:7">
      <c r="A198" s="9"/>
      <c r="G198" s="19"/>
    </row>
    <row r="199" spans="1:7">
      <c r="A199" s="9"/>
      <c r="G199" s="19"/>
    </row>
    <row r="200" spans="1:7">
      <c r="A200" s="9"/>
      <c r="G200" s="19"/>
    </row>
    <row r="201" spans="1:7">
      <c r="A201" s="9"/>
      <c r="G201" s="19"/>
    </row>
    <row r="202" spans="1:7">
      <c r="A202" s="9"/>
      <c r="G202" s="19"/>
    </row>
    <row r="203" spans="1:7">
      <c r="A203" s="9"/>
      <c r="G203" s="19"/>
    </row>
    <row r="204" spans="1:7">
      <c r="A204" s="9"/>
      <c r="G204" s="19"/>
    </row>
    <row r="205" spans="1:7">
      <c r="A205" s="9"/>
      <c r="G205" s="19"/>
    </row>
    <row r="206" spans="1:7">
      <c r="A206" s="9"/>
      <c r="G206" s="19"/>
    </row>
    <row r="207" spans="1:7">
      <c r="A207" s="9"/>
      <c r="G207" s="19"/>
    </row>
    <row r="208" spans="1:7">
      <c r="A208" s="9"/>
      <c r="G208" s="19"/>
    </row>
    <row r="209" spans="1:7">
      <c r="A209" s="9"/>
      <c r="G209" s="19"/>
    </row>
    <row r="210" spans="1:7">
      <c r="A210" s="9"/>
      <c r="G210" s="19"/>
    </row>
    <row r="211" spans="1:7" ht="13.5" thickBot="1">
      <c r="A211" s="11"/>
      <c r="B211" s="20"/>
      <c r="C211" s="20"/>
      <c r="D211" s="20"/>
      <c r="E211" s="20"/>
      <c r="F211" s="20"/>
      <c r="G211" s="21"/>
    </row>
    <row r="212" spans="1:7" ht="12.75" customHeight="1">
      <c r="A212" s="9"/>
      <c r="B212" s="1464"/>
      <c r="C212" s="1464"/>
      <c r="D212" s="1464"/>
      <c r="E212" s="1464"/>
      <c r="F212" s="1464"/>
      <c r="G212" s="19"/>
    </row>
    <row r="213" spans="1:7" ht="33" customHeight="1">
      <c r="A213" s="9"/>
      <c r="B213" s="1464"/>
      <c r="C213" s="1464"/>
      <c r="D213" s="1464"/>
      <c r="E213" s="1464"/>
      <c r="F213" s="1464"/>
      <c r="G213" s="19"/>
    </row>
    <row r="214" spans="1:7">
      <c r="A214" s="9"/>
      <c r="G214" s="19"/>
    </row>
    <row r="215" spans="1:7">
      <c r="A215" s="9"/>
      <c r="G215" s="19"/>
    </row>
    <row r="216" spans="1:7">
      <c r="A216" s="9"/>
      <c r="G216" s="19"/>
    </row>
    <row r="217" spans="1:7">
      <c r="A217" s="9"/>
      <c r="G217" s="19"/>
    </row>
    <row r="218" spans="1:7">
      <c r="A218" s="9"/>
      <c r="G218" s="19"/>
    </row>
    <row r="219" spans="1:7">
      <c r="A219" s="9"/>
      <c r="G219" s="19"/>
    </row>
    <row r="220" spans="1:7">
      <c r="A220" s="9"/>
      <c r="G220" s="19"/>
    </row>
    <row r="221" spans="1:7">
      <c r="A221" s="9"/>
      <c r="G221" s="19"/>
    </row>
    <row r="222" spans="1:7">
      <c r="A222" s="9"/>
      <c r="G222" s="19"/>
    </row>
    <row r="223" spans="1:7">
      <c r="A223" s="9"/>
      <c r="G223" s="19"/>
    </row>
    <row r="224" spans="1:7">
      <c r="A224" s="9"/>
      <c r="G224" s="19"/>
    </row>
    <row r="225" spans="1:7">
      <c r="A225" s="9"/>
      <c r="G225" s="19"/>
    </row>
    <row r="226" spans="1:7">
      <c r="A226" s="9"/>
      <c r="G226" s="19"/>
    </row>
    <row r="227" spans="1:7">
      <c r="A227" s="9"/>
      <c r="G227" s="19"/>
    </row>
    <row r="228" spans="1:7">
      <c r="A228" s="9"/>
      <c r="G228" s="19"/>
    </row>
    <row r="229" spans="1:7">
      <c r="A229" s="9"/>
      <c r="G229" s="19"/>
    </row>
    <row r="230" spans="1:7">
      <c r="A230" s="9"/>
      <c r="G230" s="19"/>
    </row>
    <row r="231" spans="1:7">
      <c r="A231" s="9"/>
      <c r="G231" s="19"/>
    </row>
    <row r="232" spans="1:7">
      <c r="A232" s="9"/>
      <c r="G232" s="19"/>
    </row>
    <row r="233" spans="1:7">
      <c r="A233" s="9"/>
      <c r="G233" s="19"/>
    </row>
    <row r="234" spans="1:7">
      <c r="A234" s="9"/>
      <c r="G234" s="19"/>
    </row>
    <row r="235" spans="1:7">
      <c r="A235" s="9"/>
      <c r="G235" s="19"/>
    </row>
    <row r="236" spans="1:7">
      <c r="A236" s="9"/>
      <c r="G236" s="19"/>
    </row>
    <row r="237" spans="1:7">
      <c r="A237" s="9"/>
      <c r="G237" s="19"/>
    </row>
    <row r="238" spans="1:7">
      <c r="A238" s="9"/>
      <c r="G238" s="19"/>
    </row>
    <row r="239" spans="1:7">
      <c r="A239" s="9"/>
      <c r="G239" s="19"/>
    </row>
    <row r="240" spans="1:7">
      <c r="A240" s="9"/>
      <c r="G240" s="19"/>
    </row>
    <row r="241" spans="1:7">
      <c r="A241" s="9"/>
      <c r="G241" s="19"/>
    </row>
    <row r="242" spans="1:7">
      <c r="A242" s="9"/>
      <c r="G242" s="19"/>
    </row>
    <row r="243" spans="1:7">
      <c r="A243" s="9"/>
      <c r="G243" s="19"/>
    </row>
    <row r="244" spans="1:7">
      <c r="A244" s="9"/>
      <c r="G244" s="19"/>
    </row>
    <row r="245" spans="1:7">
      <c r="A245" s="9"/>
      <c r="G245" s="19"/>
    </row>
    <row r="246" spans="1:7" ht="15">
      <c r="A246" s="9"/>
      <c r="D246" s="1226" t="s">
        <v>1292</v>
      </c>
      <c r="E246" s="1226"/>
      <c r="G246" s="19"/>
    </row>
    <row r="247" spans="1:7">
      <c r="A247" s="9"/>
      <c r="G247" s="19"/>
    </row>
    <row r="248" spans="1:7">
      <c r="A248" s="9"/>
      <c r="G248" s="19"/>
    </row>
    <row r="249" spans="1:7">
      <c r="A249" s="9"/>
      <c r="G249" s="19"/>
    </row>
    <row r="250" spans="1:7">
      <c r="A250" s="9"/>
      <c r="G250" s="19"/>
    </row>
    <row r="251" spans="1:7">
      <c r="A251" s="9"/>
      <c r="G251" s="19"/>
    </row>
    <row r="252" spans="1:7">
      <c r="A252" s="9"/>
      <c r="G252" s="19"/>
    </row>
    <row r="253" spans="1:7">
      <c r="A253" s="9"/>
      <c r="G253" s="19"/>
    </row>
    <row r="254" spans="1:7">
      <c r="A254" s="9"/>
      <c r="G254" s="19"/>
    </row>
    <row r="255" spans="1:7">
      <c r="A255" s="9"/>
      <c r="G255" s="19"/>
    </row>
    <row r="256" spans="1:7">
      <c r="A256" s="9"/>
      <c r="G256" s="19"/>
    </row>
    <row r="257" spans="1:7">
      <c r="A257" s="9"/>
      <c r="G257" s="19"/>
    </row>
    <row r="258" spans="1:7">
      <c r="A258" s="9"/>
      <c r="G258" s="19"/>
    </row>
    <row r="259" spans="1:7">
      <c r="A259" s="9"/>
      <c r="G259" s="19"/>
    </row>
    <row r="260" spans="1:7">
      <c r="A260" s="9"/>
      <c r="G260" s="19"/>
    </row>
    <row r="261" spans="1:7">
      <c r="A261" s="9"/>
      <c r="G261" s="19"/>
    </row>
    <row r="262" spans="1:7">
      <c r="A262" s="9"/>
      <c r="G262" s="19"/>
    </row>
    <row r="263" spans="1:7">
      <c r="A263" s="9"/>
      <c r="G263" s="19"/>
    </row>
    <row r="264" spans="1:7">
      <c r="A264" s="9"/>
      <c r="G264" s="19"/>
    </row>
    <row r="265" spans="1:7">
      <c r="A265" s="9"/>
      <c r="G265" s="19"/>
    </row>
    <row r="266" spans="1:7">
      <c r="A266" s="9"/>
      <c r="G266" s="19"/>
    </row>
    <row r="267" spans="1:7">
      <c r="A267" s="9"/>
      <c r="G267" s="19"/>
    </row>
    <row r="268" spans="1:7">
      <c r="A268" s="9"/>
      <c r="G268" s="19"/>
    </row>
    <row r="269" spans="1:7">
      <c r="A269" s="9"/>
      <c r="G269" s="19"/>
    </row>
    <row r="270" spans="1:7">
      <c r="A270" s="9"/>
      <c r="G270" s="19"/>
    </row>
    <row r="271" spans="1:7">
      <c r="A271" s="9"/>
      <c r="G271" s="19"/>
    </row>
    <row r="272" spans="1:7">
      <c r="A272" s="9"/>
      <c r="G272" s="19"/>
    </row>
    <row r="273" spans="1:7">
      <c r="A273" s="9"/>
      <c r="G273" s="19"/>
    </row>
    <row r="274" spans="1:7">
      <c r="A274" s="9"/>
      <c r="G274" s="19"/>
    </row>
    <row r="275" spans="1:7">
      <c r="A275" s="9"/>
      <c r="G275" s="19"/>
    </row>
    <row r="276" spans="1:7">
      <c r="A276" s="9"/>
      <c r="G276" s="19"/>
    </row>
    <row r="277" spans="1:7">
      <c r="A277" s="9"/>
      <c r="G277" s="19"/>
    </row>
    <row r="278" spans="1:7" ht="15">
      <c r="A278" s="9"/>
      <c r="D278" s="1226" t="s">
        <v>1293</v>
      </c>
      <c r="E278" s="1226"/>
      <c r="G278" s="19"/>
    </row>
    <row r="279" spans="1:7">
      <c r="A279" s="9"/>
      <c r="G279" s="19"/>
    </row>
    <row r="280" spans="1:7">
      <c r="A280" s="9"/>
      <c r="G280" s="19"/>
    </row>
    <row r="281" spans="1:7">
      <c r="A281" s="9"/>
      <c r="G281" s="19"/>
    </row>
    <row r="282" spans="1:7" ht="12.75" customHeight="1">
      <c r="A282" s="9"/>
      <c r="G282" s="19"/>
    </row>
    <row r="283" spans="1:7" ht="12.75" customHeight="1">
      <c r="A283" s="9"/>
      <c r="G283" s="19"/>
    </row>
    <row r="284" spans="1:7" ht="12.75" customHeight="1">
      <c r="A284" s="9"/>
      <c r="G284" s="19"/>
    </row>
    <row r="285" spans="1:7" ht="12.75" customHeight="1">
      <c r="A285" s="9"/>
      <c r="G285" s="19"/>
    </row>
    <row r="286" spans="1:7" ht="12.75" customHeight="1">
      <c r="A286" s="9"/>
      <c r="G286" s="19"/>
    </row>
    <row r="287" spans="1:7" ht="12.75" customHeight="1">
      <c r="A287" s="9"/>
      <c r="G287" s="19"/>
    </row>
    <row r="288" spans="1:7" ht="12.75" customHeight="1">
      <c r="A288" s="9"/>
      <c r="G288" s="19"/>
    </row>
    <row r="289" spans="1:7" ht="12.75" customHeight="1">
      <c r="A289" s="9"/>
      <c r="G289" s="19"/>
    </row>
    <row r="290" spans="1:7" ht="12.75" customHeight="1">
      <c r="A290" s="9"/>
      <c r="G290" s="19"/>
    </row>
    <row r="291" spans="1:7" ht="12.75" customHeight="1">
      <c r="A291" s="9"/>
      <c r="G291" s="19"/>
    </row>
    <row r="292" spans="1:7" ht="12.75" customHeight="1">
      <c r="A292" s="9"/>
      <c r="G292" s="19"/>
    </row>
    <row r="293" spans="1:7" ht="12.75" customHeight="1">
      <c r="A293" s="9"/>
      <c r="G293" s="19"/>
    </row>
    <row r="294" spans="1:7" ht="12.75" customHeight="1">
      <c r="A294" s="9"/>
      <c r="G294" s="19"/>
    </row>
    <row r="295" spans="1:7" ht="12.75" customHeight="1">
      <c r="A295" s="9"/>
      <c r="G295" s="19"/>
    </row>
    <row r="296" spans="1:7" ht="12.75" customHeight="1">
      <c r="A296" s="9"/>
      <c r="G296" s="19"/>
    </row>
    <row r="297" spans="1:7" ht="12.75" customHeight="1">
      <c r="A297" s="9"/>
      <c r="G297" s="19"/>
    </row>
    <row r="298" spans="1:7" ht="12.75" customHeight="1">
      <c r="A298" s="9"/>
      <c r="G298" s="19"/>
    </row>
    <row r="299" spans="1:7" ht="12.75" customHeight="1">
      <c r="A299" s="9"/>
      <c r="G299" s="19"/>
    </row>
    <row r="300" spans="1:7" ht="12.75" customHeight="1">
      <c r="A300" s="9"/>
      <c r="G300" s="19"/>
    </row>
    <row r="301" spans="1:7" ht="12.75" customHeight="1">
      <c r="A301" s="9"/>
      <c r="G301" s="19"/>
    </row>
    <row r="302" spans="1:7" ht="12.75" customHeight="1">
      <c r="A302" s="9"/>
      <c r="G302" s="19"/>
    </row>
    <row r="303" spans="1:7" ht="12.75" customHeight="1">
      <c r="A303" s="9"/>
      <c r="G303" s="19"/>
    </row>
    <row r="304" spans="1:7" ht="12.75" customHeight="1">
      <c r="A304" s="9"/>
      <c r="G304" s="19"/>
    </row>
    <row r="305" spans="1:7" ht="12.75" customHeight="1">
      <c r="A305" s="9"/>
      <c r="G305" s="19"/>
    </row>
    <row r="306" spans="1:7" ht="13.5" customHeight="1" thickBot="1">
      <c r="A306" s="11"/>
      <c r="B306" s="20"/>
      <c r="C306" s="20"/>
      <c r="D306" s="20"/>
      <c r="E306" s="20"/>
      <c r="F306" s="20"/>
      <c r="G306" s="21"/>
    </row>
    <row r="308" spans="1:7">
      <c r="F308" s="1231" t="s">
        <v>126</v>
      </c>
      <c r="G308" s="1231"/>
    </row>
    <row r="309" spans="1:7">
      <c r="B309" s="290"/>
      <c r="C309" s="290"/>
      <c r="D309" s="290"/>
      <c r="E309" s="290"/>
      <c r="F309" s="290"/>
    </row>
  </sheetData>
  <mergeCells count="13">
    <mergeCell ref="A1:G1"/>
    <mergeCell ref="A3:F3"/>
    <mergeCell ref="A5:G5"/>
    <mergeCell ref="F308:G308"/>
    <mergeCell ref="A20:G20"/>
    <mergeCell ref="D48:E48"/>
    <mergeCell ref="D81:E81"/>
    <mergeCell ref="D147:E147"/>
    <mergeCell ref="D182:E182"/>
    <mergeCell ref="D246:E246"/>
    <mergeCell ref="D278:E278"/>
    <mergeCell ref="B212:F213"/>
    <mergeCell ref="A10:G10"/>
  </mergeCells>
  <hyperlinks>
    <hyperlink ref="F308" location="'TABLA DE CONTENIDO'!A1" display="VOLVER A TABLA DE CONTENIDO" xr:uid="{00000000-0004-0000-2200-000000000000}"/>
  </hyperlinks>
  <printOptions horizontalCentered="1" verticalCentered="1"/>
  <pageMargins left="0.51181102362204722" right="0.39370078740157483" top="0.78740157480314965" bottom="0.98425196850393704" header="0.51181102362204722" footer="0.51181102362204722"/>
  <pageSetup scale="16" orientation="portrait" horizontalDpi="300" verticalDpi="300" r:id="rId1"/>
  <headerFooter alignWithMargins="0"/>
  <drawing r:id="rId2"/>
  <legacyDrawing r:id="rId3"/>
  <oleObjects>
    <mc:AlternateContent xmlns:mc="http://schemas.openxmlformats.org/markup-compatibility/2006">
      <mc:Choice Requires="x14">
        <oleObject progId="Word.Document.6" shapeId="47105" r:id="rId4">
          <objectPr defaultSize="0" autoLine="0" autoPict="0" r:id="rId5">
            <anchor moveWithCells="1">
              <from>
                <xdr:col>0</xdr:col>
                <xdr:colOff>0</xdr:colOff>
                <xdr:row>0</xdr:row>
                <xdr:rowOff>0</xdr:rowOff>
              </from>
              <to>
                <xdr:col>2</xdr:col>
                <xdr:colOff>38100</xdr:colOff>
                <xdr:row>3</xdr:row>
                <xdr:rowOff>114300</xdr:rowOff>
              </to>
            </anchor>
          </objectPr>
        </oleObject>
      </mc:Choice>
      <mc:Fallback>
        <oleObject progId="Word.Document.6" shapeId="47105" r:id="rId4"/>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Sub-direccin de ConservacSub-di</dc:creator>
  <cp:keywords/>
  <dc:description/>
  <cp:lastModifiedBy>maestre.dallendys@outlook.com</cp:lastModifiedBy>
  <cp:revision/>
  <dcterms:created xsi:type="dcterms:W3CDTF">1999-02-23T14:42:21Z</dcterms:created>
  <dcterms:modified xsi:type="dcterms:W3CDTF">2025-03-27T18:02:43Z</dcterms:modified>
  <cp:category/>
  <cp:contentStatus/>
</cp:coreProperties>
</file>