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ciera\Documents\"/>
    </mc:Choice>
  </mc:AlternateContent>
  <bookViews>
    <workbookView xWindow="0" yWindow="0" windowWidth="20490" windowHeight="7155"/>
  </bookViews>
  <sheets>
    <sheet name="Presupuesto general" sheetId="1" r:id="rId1"/>
    <sheet name="Muebles oficina" sheetId="2" r:id="rId2"/>
  </sheets>
  <definedNames>
    <definedName name="_xlnm.Print_Area" localSheetId="0">'Presupuesto general'!$A$2:$K$103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  <c r="I21" i="1" s="1"/>
  <c r="J21" i="1" s="1"/>
  <c r="K21" i="1" s="1"/>
  <c r="H96" i="1" l="1"/>
  <c r="H22" i="1"/>
  <c r="I22" i="1" s="1"/>
  <c r="J22" i="1" s="1"/>
  <c r="K22" i="1" s="1"/>
  <c r="H20" i="1"/>
  <c r="H80" i="1"/>
  <c r="I96" i="1" l="1"/>
  <c r="J96" i="1" s="1"/>
  <c r="K96" i="1" s="1"/>
  <c r="I80" i="1"/>
  <c r="J80" i="1" s="1"/>
  <c r="K80" i="1" s="1"/>
  <c r="H75" i="1" l="1"/>
  <c r="I75" i="1" s="1"/>
  <c r="J75" i="1" s="1"/>
  <c r="K75" i="1" s="1"/>
  <c r="H101" i="1"/>
  <c r="I101" i="1" s="1"/>
  <c r="J101" i="1" s="1"/>
  <c r="K101" i="1" s="1"/>
  <c r="H93" i="1" l="1"/>
  <c r="I93" i="1" s="1"/>
  <c r="J93" i="1" s="1"/>
  <c r="K93" i="1" s="1"/>
  <c r="H94" i="1"/>
  <c r="I94" i="1" s="1"/>
  <c r="H95" i="1"/>
  <c r="I95" i="1" s="1"/>
  <c r="H39" i="1"/>
  <c r="I39" i="1" s="1"/>
  <c r="J39" i="1" s="1"/>
  <c r="K39" i="1" s="1"/>
  <c r="J95" i="1" l="1"/>
  <c r="K95" i="1" s="1"/>
  <c r="J94" i="1"/>
  <c r="K94" i="1" s="1"/>
  <c r="H85" i="1"/>
  <c r="I85" i="1" l="1"/>
  <c r="J85" i="1" s="1"/>
  <c r="K85" i="1" s="1"/>
  <c r="K84" i="1" s="1"/>
  <c r="H54" i="1" l="1"/>
  <c r="I54" i="1" s="1"/>
  <c r="J54" i="1" l="1"/>
  <c r="K54" i="1" s="1"/>
  <c r="H4" i="1"/>
  <c r="E18" i="1" l="1"/>
  <c r="E36" i="1"/>
  <c r="E35" i="1"/>
  <c r="E34" i="1"/>
  <c r="E33" i="1"/>
  <c r="E32" i="1"/>
  <c r="E31" i="1"/>
  <c r="E30" i="1"/>
  <c r="E28" i="1"/>
  <c r="E27" i="1"/>
  <c r="E25" i="1"/>
  <c r="E26" i="1"/>
  <c r="E24" i="1"/>
  <c r="E19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H103" i="1" l="1"/>
  <c r="H100" i="1"/>
  <c r="H99" i="1"/>
  <c r="H98" i="1"/>
  <c r="H91" i="1"/>
  <c r="H90" i="1"/>
  <c r="H88" i="1"/>
  <c r="H87" i="1"/>
  <c r="H83" i="1"/>
  <c r="H81" i="1"/>
  <c r="H79" i="1"/>
  <c r="H78" i="1"/>
  <c r="H77" i="1"/>
  <c r="H71" i="1"/>
  <c r="H72" i="1"/>
  <c r="H73" i="1"/>
  <c r="H74" i="1"/>
  <c r="H70" i="1"/>
  <c r="H66" i="1"/>
  <c r="H65" i="1"/>
  <c r="H61" i="1"/>
  <c r="H60" i="1"/>
  <c r="H59" i="1"/>
  <c r="H53" i="1"/>
  <c r="H52" i="1"/>
  <c r="H51" i="1"/>
  <c r="H50" i="1"/>
  <c r="H49" i="1"/>
  <c r="H48" i="1"/>
  <c r="H47" i="1"/>
  <c r="H46" i="1"/>
  <c r="H44" i="1"/>
  <c r="H43" i="1"/>
  <c r="H42" i="1"/>
  <c r="H41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68" i="1" l="1"/>
  <c r="I68" i="1" s="1"/>
  <c r="H67" i="1"/>
  <c r="I67" i="1" s="1"/>
  <c r="J67" i="1" s="1"/>
  <c r="K67" i="1" s="1"/>
  <c r="J68" i="1" l="1"/>
  <c r="K68" i="1" s="1"/>
  <c r="I20" i="1" l="1"/>
  <c r="J20" i="1" s="1"/>
  <c r="K20" i="1" s="1"/>
  <c r="H92" i="1"/>
  <c r="H89" i="1"/>
  <c r="H82" i="1"/>
  <c r="H63" i="1"/>
  <c r="H64" i="1"/>
  <c r="H62" i="1"/>
  <c r="H57" i="1"/>
  <c r="H58" i="1"/>
  <c r="H56" i="1"/>
  <c r="I8" i="1"/>
  <c r="I12" i="1"/>
  <c r="I16" i="1"/>
  <c r="I31" i="1" l="1"/>
  <c r="J31" i="1" s="1"/>
  <c r="K31" i="1" s="1"/>
  <c r="I36" i="1"/>
  <c r="J36" i="1" s="1"/>
  <c r="K36" i="1" s="1"/>
  <c r="I44" i="1"/>
  <c r="J44" i="1" s="1"/>
  <c r="K44" i="1" s="1"/>
  <c r="I52" i="1"/>
  <c r="J52" i="1" s="1"/>
  <c r="K52" i="1" s="1"/>
  <c r="I62" i="1"/>
  <c r="J62" i="1" s="1"/>
  <c r="K62" i="1" s="1"/>
  <c r="I72" i="1"/>
  <c r="J72" i="1" s="1"/>
  <c r="K72" i="1" s="1"/>
  <c r="I81" i="1"/>
  <c r="J81" i="1" s="1"/>
  <c r="K81" i="1" s="1"/>
  <c r="I88" i="1"/>
  <c r="J88" i="1" s="1"/>
  <c r="K88" i="1" s="1"/>
  <c r="I103" i="1"/>
  <c r="J103" i="1" s="1"/>
  <c r="K103" i="1" s="1"/>
  <c r="K102" i="1" s="1"/>
  <c r="I30" i="1"/>
  <c r="J30" i="1" s="1"/>
  <c r="K30" i="1" s="1"/>
  <c r="I26" i="1"/>
  <c r="J26" i="1" s="1"/>
  <c r="K26" i="1" s="1"/>
  <c r="I35" i="1"/>
  <c r="J35" i="1" s="1"/>
  <c r="K35" i="1" s="1"/>
  <c r="I42" i="1"/>
  <c r="J42" i="1" s="1"/>
  <c r="K42" i="1" s="1"/>
  <c r="I33" i="1"/>
  <c r="J33" i="1" s="1"/>
  <c r="K33" i="1" s="1"/>
  <c r="I49" i="1"/>
  <c r="J49" i="1" s="1"/>
  <c r="K49" i="1" s="1"/>
  <c r="I53" i="1"/>
  <c r="J53" i="1" s="1"/>
  <c r="K53" i="1" s="1"/>
  <c r="I59" i="1"/>
  <c r="J59" i="1" s="1"/>
  <c r="K59" i="1" s="1"/>
  <c r="I66" i="1"/>
  <c r="J66" i="1" s="1"/>
  <c r="K66" i="1" s="1"/>
  <c r="I73" i="1"/>
  <c r="J73" i="1" s="1"/>
  <c r="K73" i="1" s="1"/>
  <c r="I71" i="1"/>
  <c r="J71" i="1" s="1"/>
  <c r="K71" i="1" s="1"/>
  <c r="I83" i="1"/>
  <c r="J83" i="1" s="1"/>
  <c r="K83" i="1" s="1"/>
  <c r="I89" i="1"/>
  <c r="J89" i="1" s="1"/>
  <c r="K89" i="1" s="1"/>
  <c r="I98" i="1"/>
  <c r="J98" i="1" s="1"/>
  <c r="K98" i="1" s="1"/>
  <c r="I27" i="1"/>
  <c r="J27" i="1" s="1"/>
  <c r="K27" i="1" s="1"/>
  <c r="I41" i="1"/>
  <c r="J41" i="1" s="1"/>
  <c r="K41" i="1" s="1"/>
  <c r="I47" i="1"/>
  <c r="J47" i="1" s="1"/>
  <c r="K47" i="1" s="1"/>
  <c r="I57" i="1"/>
  <c r="J57" i="1" s="1"/>
  <c r="K57" i="1" s="1"/>
  <c r="I63" i="1"/>
  <c r="J63" i="1" s="1"/>
  <c r="K63" i="1" s="1"/>
  <c r="I78" i="1"/>
  <c r="J78" i="1" s="1"/>
  <c r="K78" i="1" s="1"/>
  <c r="I92" i="1"/>
  <c r="J92" i="1" s="1"/>
  <c r="K92" i="1" s="1"/>
  <c r="I24" i="1"/>
  <c r="J24" i="1" s="1"/>
  <c r="K24" i="1" s="1"/>
  <c r="I29" i="1"/>
  <c r="J29" i="1" s="1"/>
  <c r="K29" i="1" s="1"/>
  <c r="I25" i="1"/>
  <c r="J25" i="1" s="1"/>
  <c r="K25" i="1" s="1"/>
  <c r="I37" i="1"/>
  <c r="J37" i="1" s="1"/>
  <c r="K37" i="1" s="1"/>
  <c r="I43" i="1"/>
  <c r="J43" i="1" s="1"/>
  <c r="K43" i="1" s="1"/>
  <c r="I46" i="1"/>
  <c r="J46" i="1" s="1"/>
  <c r="K46" i="1" s="1"/>
  <c r="I50" i="1"/>
  <c r="J50" i="1" s="1"/>
  <c r="K50" i="1" s="1"/>
  <c r="I56" i="1"/>
  <c r="J56" i="1" s="1"/>
  <c r="K56" i="1" s="1"/>
  <c r="I61" i="1"/>
  <c r="J61" i="1" s="1"/>
  <c r="K61" i="1" s="1"/>
  <c r="I65" i="1"/>
  <c r="J65" i="1" s="1"/>
  <c r="K65" i="1" s="1"/>
  <c r="I74" i="1"/>
  <c r="J74" i="1" s="1"/>
  <c r="K74" i="1" s="1"/>
  <c r="I77" i="1"/>
  <c r="J77" i="1" s="1"/>
  <c r="K77" i="1" s="1"/>
  <c r="I90" i="1"/>
  <c r="J90" i="1" s="1"/>
  <c r="K90" i="1" s="1"/>
  <c r="I100" i="1"/>
  <c r="J100" i="1" s="1"/>
  <c r="K100" i="1" s="1"/>
  <c r="I32" i="1"/>
  <c r="J32" i="1" s="1"/>
  <c r="K32" i="1" s="1"/>
  <c r="I28" i="1"/>
  <c r="J28" i="1" s="1"/>
  <c r="K28" i="1" s="1"/>
  <c r="I34" i="1"/>
  <c r="J34" i="1" s="1"/>
  <c r="K34" i="1" s="1"/>
  <c r="I38" i="1"/>
  <c r="J38" i="1" s="1"/>
  <c r="K38" i="1" s="1"/>
  <c r="I48" i="1"/>
  <c r="J48" i="1" s="1"/>
  <c r="K48" i="1" s="1"/>
  <c r="I51" i="1"/>
  <c r="J51" i="1" s="1"/>
  <c r="K51" i="1" s="1"/>
  <c r="I58" i="1"/>
  <c r="J58" i="1" s="1"/>
  <c r="K58" i="1" s="1"/>
  <c r="I60" i="1"/>
  <c r="J60" i="1" s="1"/>
  <c r="K60" i="1" s="1"/>
  <c r="I64" i="1"/>
  <c r="J64" i="1" s="1"/>
  <c r="K64" i="1" s="1"/>
  <c r="I70" i="1"/>
  <c r="J70" i="1" s="1"/>
  <c r="K70" i="1" s="1"/>
  <c r="I79" i="1"/>
  <c r="J79" i="1" s="1"/>
  <c r="K79" i="1" s="1"/>
  <c r="I82" i="1"/>
  <c r="J82" i="1" s="1"/>
  <c r="K82" i="1" s="1"/>
  <c r="I87" i="1"/>
  <c r="J87" i="1" s="1"/>
  <c r="K87" i="1" s="1"/>
  <c r="I91" i="1"/>
  <c r="J91" i="1" s="1"/>
  <c r="K91" i="1" s="1"/>
  <c r="I99" i="1"/>
  <c r="J99" i="1" s="1"/>
  <c r="K99" i="1" s="1"/>
  <c r="I19" i="1"/>
  <c r="J19" i="1" s="1"/>
  <c r="K19" i="1" s="1"/>
  <c r="I15" i="1"/>
  <c r="J15" i="1" s="1"/>
  <c r="K15" i="1" s="1"/>
  <c r="I11" i="1"/>
  <c r="J11" i="1" s="1"/>
  <c r="K11" i="1" s="1"/>
  <c r="I7" i="1"/>
  <c r="J7" i="1" s="1"/>
  <c r="K7" i="1" s="1"/>
  <c r="J16" i="1"/>
  <c r="K16" i="1" s="1"/>
  <c r="J12" i="1"/>
  <c r="K12" i="1" s="1"/>
  <c r="J8" i="1"/>
  <c r="K8" i="1" s="1"/>
  <c r="I18" i="1"/>
  <c r="J18" i="1" s="1"/>
  <c r="K18" i="1" s="1"/>
  <c r="I14" i="1"/>
  <c r="J14" i="1" s="1"/>
  <c r="K14" i="1" s="1"/>
  <c r="I10" i="1"/>
  <c r="J10" i="1" s="1"/>
  <c r="K10" i="1" s="1"/>
  <c r="I6" i="1"/>
  <c r="J6" i="1" s="1"/>
  <c r="K6" i="1" s="1"/>
  <c r="I17" i="1"/>
  <c r="J17" i="1" s="1"/>
  <c r="K17" i="1" s="1"/>
  <c r="I13" i="1"/>
  <c r="J13" i="1" s="1"/>
  <c r="K13" i="1" s="1"/>
  <c r="I9" i="1"/>
  <c r="J9" i="1" s="1"/>
  <c r="K9" i="1" s="1"/>
  <c r="I5" i="1"/>
  <c r="J5" i="1" s="1"/>
  <c r="K5" i="1" s="1"/>
  <c r="K69" i="1" l="1"/>
  <c r="K45" i="1"/>
  <c r="K23" i="1"/>
  <c r="K97" i="1"/>
  <c r="K76" i="1"/>
  <c r="K55" i="1"/>
  <c r="K86" i="1"/>
  <c r="K40" i="1"/>
  <c r="H9" i="2"/>
  <c r="F14" i="2" l="1"/>
  <c r="I4" i="1" l="1"/>
  <c r="J4" i="1" s="1"/>
  <c r="K4" i="1" s="1"/>
  <c r="K3" i="1" l="1"/>
  <c r="K105" i="1" s="1"/>
  <c r="K107" i="1" s="1"/>
  <c r="K106" i="1" l="1"/>
  <c r="K108" i="1"/>
  <c r="K110" i="1" s="1"/>
  <c r="K111" i="1" l="1"/>
</calcChain>
</file>

<file path=xl/sharedStrings.xml><?xml version="1.0" encoding="utf-8"?>
<sst xmlns="http://schemas.openxmlformats.org/spreadsheetml/2006/main" count="429" uniqueCount="272">
  <si>
    <t>ITEM</t>
  </si>
  <si>
    <t>ACTIVIDAD</t>
  </si>
  <si>
    <t>UNIDAD</t>
  </si>
  <si>
    <t>CANTIDAD</t>
  </si>
  <si>
    <t>VALOR UNITARIO</t>
  </si>
  <si>
    <t>VALOR TOTAL</t>
  </si>
  <si>
    <t>PRELIMINARES</t>
  </si>
  <si>
    <t>1.1</t>
  </si>
  <si>
    <t>PUERTAS Y MOBILIARIO</t>
  </si>
  <si>
    <t>und</t>
  </si>
  <si>
    <t>10.2</t>
  </si>
  <si>
    <t>10.1</t>
  </si>
  <si>
    <t>Mueble escritorio 1,50 x 0,60 m</t>
  </si>
  <si>
    <t>10.3</t>
  </si>
  <si>
    <t>APARATOS SANITARIOS</t>
  </si>
  <si>
    <t>11.1</t>
  </si>
  <si>
    <t>m²</t>
  </si>
  <si>
    <t>1.2</t>
  </si>
  <si>
    <t>gbl</t>
  </si>
  <si>
    <t>1.3</t>
  </si>
  <si>
    <t>9.1</t>
  </si>
  <si>
    <t>9.2</t>
  </si>
  <si>
    <t>Muros superboard + estructura altura 2,34 m</t>
  </si>
  <si>
    <t xml:space="preserve">Demolición y disposición final enchape piso </t>
  </si>
  <si>
    <t>ml</t>
  </si>
  <si>
    <t>m2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</si>
  <si>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</si>
  <si>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</si>
  <si>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</si>
  <si>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</si>
  <si>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</si>
  <si>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</si>
  <si>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</si>
  <si>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</si>
  <si>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</si>
  <si>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</si>
  <si>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</si>
  <si>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Retiro y trasiego mueble de biblioteca</t>
  </si>
  <si>
    <t>1.15</t>
  </si>
  <si>
    <t>PAÑETES Y PINTURA</t>
  </si>
  <si>
    <t>2.1</t>
  </si>
  <si>
    <t>2.2</t>
  </si>
  <si>
    <t>2.3</t>
  </si>
  <si>
    <t>Resane dilataciones en cielo raso</t>
  </si>
  <si>
    <t>2.4</t>
  </si>
  <si>
    <t>Construcción dilataciones borde ventanas</t>
  </si>
  <si>
    <t>2.5</t>
  </si>
  <si>
    <t>2.7</t>
  </si>
  <si>
    <t>2.8</t>
  </si>
  <si>
    <t>Und</t>
  </si>
  <si>
    <t>Filos puertas</t>
  </si>
  <si>
    <t>2.10</t>
  </si>
  <si>
    <t>ENCHAPE</t>
  </si>
  <si>
    <t>3.1</t>
  </si>
  <si>
    <t>3.2</t>
  </si>
  <si>
    <t>3.3</t>
  </si>
  <si>
    <t xml:space="preserve">PISOS </t>
  </si>
  <si>
    <t>2.11</t>
  </si>
  <si>
    <t>4.2</t>
  </si>
  <si>
    <t>4.1</t>
  </si>
  <si>
    <t>4.3</t>
  </si>
  <si>
    <t>4.4</t>
  </si>
  <si>
    <t>VENTANERIA</t>
  </si>
  <si>
    <t>12.1</t>
  </si>
  <si>
    <t>glb</t>
  </si>
  <si>
    <t>7.1</t>
  </si>
  <si>
    <t>7.2</t>
  </si>
  <si>
    <t>7.4</t>
  </si>
  <si>
    <t>7.5</t>
  </si>
  <si>
    <t>6.1</t>
  </si>
  <si>
    <t>6.2</t>
  </si>
  <si>
    <t>6.3</t>
  </si>
  <si>
    <t>6.4</t>
  </si>
  <si>
    <t>6.5</t>
  </si>
  <si>
    <t>LIMPIEZA GENERAL</t>
  </si>
  <si>
    <t>Limpieza general</t>
  </si>
  <si>
    <t>Demolición y disposición final enchape pared (Baños)</t>
  </si>
  <si>
    <t>Retiro y trasiego puerta corredera y panel madera</t>
  </si>
  <si>
    <t>Retiro y trasiego juego accesorios de baño</t>
  </si>
  <si>
    <t>2.13</t>
  </si>
  <si>
    <t>Mueble escritorio en L 1,50 x 1,50 x 0,60 m</t>
  </si>
  <si>
    <t>Sillas neumaticas trabjo de oficina</t>
  </si>
  <si>
    <t>Sillas interlocutoras atencion a publico</t>
  </si>
  <si>
    <t>Suministro e instalación de ventana de aluminio 1,42m x 1,10 m</t>
  </si>
  <si>
    <t>Suministro e instalación de ventana de aluminio 1,67 m x 1,10m</t>
  </si>
  <si>
    <t>Mesas de mantenimiento de equipos y monitoreo 0,60 x 3,24m</t>
  </si>
  <si>
    <t>Muebles escritorio  en L 1,50 x 1,50 x 0,60m con barra de atencion a publico por un costado</t>
  </si>
  <si>
    <t>4.5</t>
  </si>
  <si>
    <t>Muebles  papeleria 1,00x 0,40x 1,60m</t>
  </si>
  <si>
    <t>Mueble en madera deposito 1,77 x 0,49 xh 0,85</t>
  </si>
  <si>
    <t>Mueble en madera estacion de café 1,15x 0,49 x h 0,85 m</t>
  </si>
  <si>
    <t>Archivador alto para oficina</t>
  </si>
  <si>
    <t>2.9</t>
  </si>
  <si>
    <t>Resane y pintura piso 4</t>
  </si>
  <si>
    <t>4.6</t>
  </si>
  <si>
    <t>4.7</t>
  </si>
  <si>
    <t>Filos muros</t>
  </si>
  <si>
    <t>2.14</t>
  </si>
  <si>
    <t>Filos muros piso 4</t>
  </si>
  <si>
    <t>Alisado, estuco y pintura 3 manos muros</t>
  </si>
  <si>
    <t>Alisado, estuco y pintura 3 manos cielo raso</t>
  </si>
  <si>
    <t>Alisado, estuco y pintura 3 manos muros Baños</t>
  </si>
  <si>
    <t>Alisado, estuco y pintura 3 manos cielo raso baños</t>
  </si>
  <si>
    <t xml:space="preserve">Mesa de reuniones </t>
  </si>
  <si>
    <t>4.8</t>
  </si>
  <si>
    <t>1.16</t>
  </si>
  <si>
    <t>Demolición y disposición final guardaescoba madera</t>
  </si>
  <si>
    <t xml:space="preserve">Desmonte y disposición final de aparatos sanitarios  </t>
  </si>
  <si>
    <t>MOBILIARIO DE OFICINA</t>
  </si>
  <si>
    <t>Total</t>
  </si>
  <si>
    <t>2.6</t>
  </si>
  <si>
    <t>2.12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</si>
  <si>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</si>
  <si>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</si>
  <si>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</si>
  <si>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</si>
  <si>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</si>
  <si>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</si>
  <si>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</si>
  <si>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</si>
  <si>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</si>
  <si>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</si>
  <si>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</si>
  <si>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7.3</t>
  </si>
  <si>
    <t>7.6</t>
  </si>
  <si>
    <t>7.7</t>
  </si>
  <si>
    <t>9.3</t>
  </si>
  <si>
    <t>9.4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</si>
  <si>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</si>
  <si>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</si>
  <si>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</si>
  <si>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</si>
  <si>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</si>
  <si>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</si>
  <si>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</si>
  <si>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</si>
  <si>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</si>
  <si>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</si>
  <si>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 xml:space="preserve">Cerramiento provisional </t>
  </si>
  <si>
    <t>3.4</t>
  </si>
  <si>
    <t>9.5</t>
  </si>
  <si>
    <t>2.15</t>
  </si>
  <si>
    <t>1.17</t>
  </si>
  <si>
    <t>9.6</t>
  </si>
  <si>
    <t>FUENTE</t>
  </si>
  <si>
    <t>Contrato INCI 2019</t>
  </si>
  <si>
    <t xml:space="preserve">Construdata #195 </t>
  </si>
  <si>
    <t>construdata #195</t>
  </si>
  <si>
    <t>Construdata #195</t>
  </si>
  <si>
    <t>construdata#195 -  cot.distribuidora ceramicas nacionales</t>
  </si>
  <si>
    <t>"</t>
  </si>
  <si>
    <t>Cot Vidrios Ya</t>
  </si>
  <si>
    <t xml:space="preserve">cot web </t>
  </si>
  <si>
    <t>Cot vidrios ya</t>
  </si>
  <si>
    <t>cot vidrios ya</t>
  </si>
  <si>
    <t>cot Nime</t>
  </si>
  <si>
    <t>cot Ivegas</t>
  </si>
  <si>
    <t>Homecenter - Construdata #195</t>
  </si>
  <si>
    <t>Retiro y trasiego marcos metálicos de puertas</t>
  </si>
  <si>
    <t>Suministro e instalación Mesón lavamanos 0,60 m x 0,38 m Granito</t>
  </si>
  <si>
    <t>suministro e instalación Guardaescoba porcelanato 0,10x0,60 + corte de tableta 0,60x0,60 . (5% Desperdicio)</t>
  </si>
  <si>
    <t>suministro e instalación Guardaescoba porcelanato 0,10x0,60 + corte de tableta 0,60x0,60 . (5% Desperdicio) piso 4</t>
  </si>
  <si>
    <t xml:space="preserve">Punto hidráulico 1/2"-Sanitario </t>
  </si>
  <si>
    <t>Punto hidráulico 1/2"-Lavamanos</t>
  </si>
  <si>
    <t>Punto hidráulico 1/2"-Orinal</t>
  </si>
  <si>
    <t xml:space="preserve">suministro e instalación Pasamanos doble ventanas </t>
  </si>
  <si>
    <t>suministro e instalación División en vidrio oficina y sala de juntas 10 mm</t>
  </si>
  <si>
    <t>suministro e instalación Puertas vidrio e=10 mm ancho 0,95m Altura 2,05m</t>
  </si>
  <si>
    <t>suministro e instalación Puerta vidrio corredera e=10 mm ancho 1,05m Altura 2,05 m</t>
  </si>
  <si>
    <t>suministro e instalación Mueble archivo rodante (Gestión Financiera) 3,12x 0,90m</t>
  </si>
  <si>
    <t>Suministro e instalación puerta levadiza garaje con sistema eléctrico Sótano</t>
  </si>
  <si>
    <t>Retiro puerta de Garaje existente Sótano</t>
  </si>
  <si>
    <t>m</t>
  </si>
  <si>
    <t>DESCRIPCION DEL ELEMENTO O ESPECIFICACION TECNICA</t>
  </si>
  <si>
    <t>OBJETO:</t>
  </si>
  <si>
    <t>COTIZACION 1</t>
  </si>
  <si>
    <t>COTIZACION 2</t>
  </si>
  <si>
    <t>COTIZACION 3</t>
  </si>
  <si>
    <t>PRECIO TECHO
UNITARIO</t>
  </si>
  <si>
    <t>IVA
PROYECTADO</t>
  </si>
  <si>
    <t>PRECIO TECHO
UNITARIO TOTAL</t>
  </si>
  <si>
    <t>PRECIO TECHO
TOTAL</t>
  </si>
  <si>
    <t>5.12</t>
  </si>
  <si>
    <t>5.13</t>
  </si>
  <si>
    <t>Suministro e instalación de salidas a 110 v para lámparas de emergencia.</t>
  </si>
  <si>
    <t>Suministro e instalación de sensores de movimiento. Incluidos sensores.</t>
  </si>
  <si>
    <t>observaciones</t>
  </si>
  <si>
    <t>Cotizaciones diferentes 
proveedores</t>
  </si>
  <si>
    <t>Cotizaciones direnetes
proveedores</t>
  </si>
  <si>
    <t>TOTAL COSTOS DIRECTOS</t>
  </si>
  <si>
    <t>ADMINISTRACION - 15%</t>
  </si>
  <si>
    <t>IMPREVISTOS -  4%</t>
  </si>
  <si>
    <t>UTILIDAD - 5%</t>
  </si>
  <si>
    <t>IVA 19% SOBRE UTILIDAD 5%</t>
  </si>
  <si>
    <t>TOTAL PROYECTO</t>
  </si>
  <si>
    <t>Suministro e instalación de línea de continuidad de polo a tierra en cable N° 6 Cu color verde o desnudo.</t>
  </si>
  <si>
    <t>Suministro e instalación de tablero de distribución de 18 circuitos trifásico certificado.</t>
  </si>
  <si>
    <t>Suministro e instalación de Breakers de 20 A.</t>
  </si>
  <si>
    <t>Suministro e instalación de salidas para interruptores sencillos y dobles.</t>
  </si>
  <si>
    <t>Suministro e instalación de troqueles para las tomas normales en canaleta.</t>
  </si>
  <si>
    <t>Suministro e instalación de tapas ciegas.</t>
  </si>
  <si>
    <t>Suministro e instalación Panel led 120x30 48w 6500k</t>
  </si>
  <si>
    <t xml:space="preserve">cotización 1 (inci 2019)
cotización 2 (cosnstrudata)
cotización 3 ( Construdata) variación mano de obra 
Se incluyen valores de transporte </t>
  </si>
  <si>
    <t>Estuco y pintura muro 3 manos muros súper board</t>
  </si>
  <si>
    <t>Dilataciones muros súper board</t>
  </si>
  <si>
    <t xml:space="preserve">Muros superboard + estructura altura 3,30 m ( Sótano) </t>
  </si>
  <si>
    <t>Los valores de cotización 
difieren con el consignado en el cuadro debido a que se le suma la instalación</t>
  </si>
  <si>
    <t>construdata#195 -  cot.distribuidora cerámicas nacionales</t>
  </si>
  <si>
    <t>instalaciones ELECTRICAS</t>
  </si>
  <si>
    <t>cotización 2 (Arnulfo Díaz)
Cotización 3 ( Construdata)
Luminarias (homecenter) se les sumo la instalación</t>
  </si>
  <si>
    <t>Suministro y traslado de tomas reguladas. Incluye canaleta.</t>
  </si>
  <si>
    <t>instalaciones HIDROSANITARIAS</t>
  </si>
  <si>
    <t>Cotización 2 ( Construdata)
Cotización 3 (inci 2019)</t>
  </si>
  <si>
    <t xml:space="preserve">Acondicionamiento red hidráulica puntos nuevos, regatas y movimiento de tubería </t>
  </si>
  <si>
    <t>suministro e instalación Sanitario tipo institucional fluxómetro</t>
  </si>
  <si>
    <t>Homecenter
Los valores de cotización 
difieren con el consignado en el cuadro debido a que se le suma la instalación</t>
  </si>
  <si>
    <t>suministro e instalación lavamanos de sobreponer tipo institucional + grifería push</t>
  </si>
  <si>
    <t>suministro e instalación vidrio ventanas internas 5 mm</t>
  </si>
  <si>
    <t>Muros mampostería bloque concreto estructural 20 cm 
( Sótano) Depósito residuos</t>
  </si>
  <si>
    <t>MÉTODO</t>
  </si>
  <si>
    <t>Menor valor</t>
  </si>
  <si>
    <t>4.9</t>
  </si>
  <si>
    <t>8.1</t>
  </si>
  <si>
    <t>UN</t>
  </si>
  <si>
    <t>suministro e instalacion de Detector de humo autonomo</t>
  </si>
  <si>
    <t>INSTALACIONES ESPECIALES</t>
  </si>
  <si>
    <t>Suministro e instalación enchape muro baños - Pared beige 60x30 (solo muro de aparatos) 5% DESPERDICIO 1,20 m altura</t>
  </si>
  <si>
    <t>Suministro e instalación Panel led 24 w cuadrado sobreponer 30x30cm luz blanca, Incluye 3 luminarias en Sotano</t>
  </si>
  <si>
    <t>9.7</t>
  </si>
  <si>
    <t>Puerta lamina cold roled cal 16 depósito de residuos (Sótano) 1,20m x 2,10 m</t>
  </si>
  <si>
    <t>2.16</t>
  </si>
  <si>
    <t>9.8</t>
  </si>
  <si>
    <t>9.9</t>
  </si>
  <si>
    <t>Pintura ventanas baños y fachadas (Esmalte)</t>
  </si>
  <si>
    <t>10.4</t>
  </si>
  <si>
    <t>6.6</t>
  </si>
  <si>
    <t>Suministro e instalacion de rejilla 20x20cm (deposito RP)</t>
  </si>
  <si>
    <t>un</t>
  </si>
  <si>
    <t>Punto hidraulico y sanitario Lavadero (Sotano)</t>
  </si>
  <si>
    <t>suministro e instalacion Lavadero 60x60 deposito de residuos peligrosos + griferia</t>
  </si>
  <si>
    <t>1.18</t>
  </si>
  <si>
    <t>Desmonte e instalacion puerta patio sotano</t>
  </si>
  <si>
    <t>Desmonte y trasiego de Divisiones de baños</t>
  </si>
  <si>
    <t>Retiro y disposicion espejo</t>
  </si>
  <si>
    <t xml:space="preserve">Demolición y disposicion final de piso sobre placa piso 3 y 4 e=5cm </t>
  </si>
  <si>
    <t>9.10</t>
  </si>
  <si>
    <t>Suministro e instalación enchape pared 30x60cm (depósito de residuos) 5% DESPERDICIO h=1,70m</t>
  </si>
  <si>
    <t>suministro e instalación Piso ceramica ARD 60x60 cm blanco  (Desperdicio 5%) Depositos residuos</t>
  </si>
  <si>
    <t>Suministro e instalacion de puertas de madera baños 0,67x2,06</t>
  </si>
  <si>
    <t>Puerta lamina cold roled cal 16 depósito de residuos (Sótano) 1,00m x 2,10 m</t>
  </si>
  <si>
    <t>Suministro e instalación de salidas para alumbrado a 110 v.incluye 3 salidas en sotano</t>
  </si>
  <si>
    <t xml:space="preserve">Suministro e instalación de salidas para tomas normales a 110 v. </t>
  </si>
  <si>
    <t>1.19</t>
  </si>
  <si>
    <t xml:space="preserve">Apertura de paso de aire Depósito de Residuos RESPEL en sótano de 20x 20 cm (arriba y abajo del muro). Incluye instalación de rejillas en PVC </t>
  </si>
  <si>
    <t>Suministro e instalación espejo flotado   baños (tubulares aluminio)</t>
  </si>
  <si>
    <t>suministro e instalación orinal tipo institucional + griferia push</t>
  </si>
  <si>
    <t>Gbl</t>
  </si>
  <si>
    <t xml:space="preserve"> suministro e instalación Piso porcelanato de alto tráfico 0,60 x 0,60 color beige (Desperdicio 5%)</t>
  </si>
  <si>
    <t xml:space="preserve">suministro e instalación Piso para baño porcelanato de alto tráfico 0,60 x 0,60 color beige (Desperdicio 5%) </t>
  </si>
  <si>
    <r>
      <t xml:space="preserve">suministro e instalación Piso porcelanato de alto tráfico 0,60 x 0,60 color beige </t>
    </r>
    <r>
      <rPr>
        <sz val="11"/>
        <color rgb="FFFF0000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>(Desperdicio 5%) Piso 4</t>
    </r>
  </si>
  <si>
    <t>Limpieza de sifones</t>
  </si>
  <si>
    <t>suministro e instalacion cinta de seguridad antideslizante luminosa 24mm escaleras desde sotano hasta piso 4</t>
  </si>
  <si>
    <t>Losa sobrepiso concreto corriente grava comun 1500 psi con refuerzo malla electrosoldada e=5cm pisos 3 y 4</t>
  </si>
  <si>
    <t>Suministro e instalación piso Afinado e=2cm</t>
  </si>
  <si>
    <t>Traslado e instalacion de archivo rodante existente en piso 3 y sotano</t>
  </si>
  <si>
    <t>Suministro e instalacion de puerta en madera 0,70x2,05 (deposito junto a los baños)</t>
  </si>
  <si>
    <t>Desmonte y traslado división de vidrio y aluminio con puerta</t>
  </si>
  <si>
    <t>Retiro y disposición divisiones en madera y vidrio</t>
  </si>
  <si>
    <t>Retiro y trasiego puertas de madera</t>
  </si>
  <si>
    <t xml:space="preserve">Demolición muros y disposición final </t>
  </si>
  <si>
    <t>Suministro e instalación Mesón área de depósito y cafeteria en Granito 2,92mx0,48m</t>
  </si>
  <si>
    <t>suministro e instalación mueble en madera depósito y cafeteria 2,92 x 0,49 xh 0,85 , madecor 19mm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</si>
</sst>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8"/>
      <color theme="1"/>
      <name val="Century Gothic"/>
      <family val="2"/>
    </font>
    <font>
      <sz val="11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95">
    <xf numFmtId="0" fontId="0" fillId="0" borderId="0" xfId="0"/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0" fillId="0" borderId="0" xfId="0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164" fontId="1" fillId="0" borderId="1" xfId="1" applyFont="1" applyBorder="1" applyAlignment="1">
      <alignment horizontal="center" vertical="center" wrapText="1"/>
    </xf>
    <xf numFmtId="164" fontId="2" fillId="0" borderId="1" xfId="1" applyFont="1" applyBorder="1" applyAlignment="1">
      <alignment vertical="center"/>
    </xf>
    <xf numFmtId="164" fontId="2" fillId="0" borderId="1" xfId="1" applyFont="1" applyFill="1" applyBorder="1" applyAlignment="1">
      <alignment vertical="center"/>
    </xf>
    <xf numFmtId="164" fontId="0" fillId="0" borderId="0" xfId="1" applyFont="1" applyAlignment="1">
      <alignment vertical="center"/>
    </xf>
    <xf numFmtId="164" fontId="1" fillId="0" borderId="1" xfId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/>
    </xf>
    <xf numFmtId="1" fontId="2" fillId="0" borderId="1" xfId="0" applyNumberFormat="1" applyFont="1" applyFill="1" applyBorder="1" applyAlignment="1">
      <alignment vertical="center"/>
    </xf>
    <xf numFmtId="164" fontId="1" fillId="2" borderId="1" xfId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164" fontId="2" fillId="0" borderId="1" xfId="0" applyNumberFormat="1" applyFont="1" applyBorder="1"/>
    <xf numFmtId="164" fontId="0" fillId="0" borderId="0" xfId="0" applyNumberFormat="1"/>
    <xf numFmtId="0" fontId="0" fillId="2" borderId="0" xfId="0" applyFill="1"/>
    <xf numFmtId="164" fontId="2" fillId="0" borderId="1" xfId="1" applyFont="1" applyBorder="1" applyAlignment="1">
      <alignment wrapText="1"/>
    </xf>
    <xf numFmtId="0" fontId="1" fillId="0" borderId="6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/>
    <xf numFmtId="164" fontId="1" fillId="0" borderId="1" xfId="1" applyFont="1" applyBorder="1" applyAlignment="1">
      <alignment horizontal="center" vertical="center"/>
    </xf>
    <xf numFmtId="164" fontId="2" fillId="0" borderId="1" xfId="1" applyFont="1" applyBorder="1" applyAlignment="1">
      <alignment horizontal="right" vertical="center"/>
    </xf>
    <xf numFmtId="164" fontId="1" fillId="2" borderId="1" xfId="1" applyFont="1" applyFill="1" applyBorder="1" applyAlignment="1">
      <alignment horizontal="center"/>
    </xf>
    <xf numFmtId="164" fontId="2" fillId="0" borderId="0" xfId="1" applyFont="1" applyAlignment="1">
      <alignment vertical="center"/>
    </xf>
    <xf numFmtId="164" fontId="0" fillId="0" borderId="10" xfId="1" applyFont="1" applyBorder="1" applyAlignment="1">
      <alignment vertical="center"/>
    </xf>
    <xf numFmtId="164" fontId="0" fillId="0" borderId="12" xfId="1" applyFont="1" applyBorder="1" applyAlignment="1">
      <alignment vertical="center"/>
    </xf>
    <xf numFmtId="164" fontId="0" fillId="0" borderId="15" xfId="1" applyFont="1" applyBorder="1" applyAlignment="1">
      <alignment vertical="center"/>
    </xf>
    <xf numFmtId="164" fontId="2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/>
    <xf numFmtId="164" fontId="2" fillId="3" borderId="1" xfId="1" applyFont="1" applyFill="1" applyBorder="1" applyAlignment="1">
      <alignment vertical="center"/>
    </xf>
    <xf numFmtId="0" fontId="2" fillId="3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vertical="top"/>
    </xf>
    <xf numFmtId="2" fontId="2" fillId="3" borderId="1" xfId="0" applyNumberFormat="1" applyFont="1" applyFill="1" applyBorder="1" applyAlignment="1">
      <alignment vertical="center"/>
    </xf>
    <xf numFmtId="164" fontId="2" fillId="2" borderId="1" xfId="1" applyFont="1" applyFill="1" applyBorder="1" applyAlignment="1">
      <alignment vertical="center"/>
    </xf>
    <xf numFmtId="164" fontId="2" fillId="2" borderId="1" xfId="1" applyFont="1" applyFill="1" applyBorder="1" applyAlignment="1">
      <alignment wrapText="1"/>
    </xf>
    <xf numFmtId="164" fontId="2" fillId="2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164" fontId="2" fillId="3" borderId="1" xfId="1" applyFont="1" applyFill="1" applyBorder="1" applyAlignment="1">
      <alignment wrapText="1"/>
    </xf>
    <xf numFmtId="164" fontId="2" fillId="0" borderId="1" xfId="1" applyFont="1" applyBorder="1" applyAlignment="1">
      <alignment horizontal="center" vertical="center"/>
    </xf>
    <xf numFmtId="164" fontId="2" fillId="0" borderId="5" xfId="1" applyFont="1" applyBorder="1" applyAlignment="1">
      <alignment horizontal="center" vertical="center" textRotation="90"/>
    </xf>
    <xf numFmtId="164" fontId="2" fillId="0" borderId="5" xfId="1" applyFont="1" applyBorder="1" applyAlignment="1">
      <alignment horizontal="center" vertical="center" textRotation="90"/>
    </xf>
    <xf numFmtId="164" fontId="2" fillId="0" borderId="1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4" fontId="2" fillId="0" borderId="5" xfId="1" applyFont="1" applyBorder="1" applyAlignment="1">
      <alignment horizontal="center" vertical="center" textRotation="90"/>
    </xf>
    <xf numFmtId="164" fontId="2" fillId="0" borderId="1" xfId="1" applyFont="1" applyBorder="1" applyAlignment="1">
      <alignment horizontal="center" vertical="center" textRotation="90"/>
    </xf>
    <xf numFmtId="164" fontId="2" fillId="0" borderId="1" xfId="1" applyFont="1" applyBorder="1" applyAlignment="1">
      <alignment horizontal="center" vertical="center"/>
    </xf>
    <xf numFmtId="164" fontId="2" fillId="0" borderId="5" xfId="1" applyFont="1" applyBorder="1" applyAlignment="1">
      <alignment horizontal="center" vertical="center" textRotation="90"/>
    </xf>
    <xf numFmtId="164" fontId="2" fillId="0" borderId="1" xfId="1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164" fontId="2" fillId="0" borderId="1" xfId="1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top" wrapText="1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2" borderId="1" xfId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164" fontId="2" fillId="0" borderId="7" xfId="1" applyFont="1" applyBorder="1" applyAlignment="1">
      <alignment horizontal="center" vertical="center" textRotation="90"/>
    </xf>
    <xf numFmtId="164" fontId="2" fillId="0" borderId="4" xfId="1" applyFont="1" applyBorder="1" applyAlignment="1">
      <alignment horizontal="center" vertical="center" textRotation="90"/>
    </xf>
    <xf numFmtId="164" fontId="2" fillId="0" borderId="5" xfId="1" applyFont="1" applyBorder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4" fontId="2" fillId="0" borderId="1" xfId="1" applyFont="1" applyBorder="1" applyAlignment="1">
      <alignment horizontal="center" vertical="center" textRotation="90"/>
    </xf>
    <xf numFmtId="164" fontId="2" fillId="0" borderId="1" xfId="1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1"/>
  <sheetViews>
    <sheetView tabSelected="1" topLeftCell="A96" zoomScale="70" zoomScaleNormal="70" workbookViewId="0">
      <selection activeCell="M105" sqref="M105"/>
    </sheetView>
  </sheetViews>
  <sheetFormatPr baseColWidth="10" defaultRowHeight="16.5" x14ac:dyDescent="0.25"/>
  <cols>
    <col min="1" max="1" width="6.140625" style="18" bestFit="1" customWidth="1"/>
    <col min="2" max="2" width="65.42578125" style="55" customWidth="1"/>
    <col min="3" max="3" width="9.28515625" bestFit="1" customWidth="1"/>
    <col min="4" max="4" width="12" style="18" bestFit="1" customWidth="1"/>
    <col min="5" max="5" width="16.28515625" style="34" customWidth="1"/>
    <col min="6" max="6" width="16.5703125" style="14" customWidth="1"/>
    <col min="7" max="7" width="16.7109375" style="14" customWidth="1"/>
    <col min="8" max="8" width="19.140625" style="14" bestFit="1" customWidth="1"/>
    <col min="9" max="9" width="15.28515625" style="14" customWidth="1"/>
    <col min="10" max="10" width="15.7109375" style="14" customWidth="1"/>
    <col min="11" max="11" width="19.7109375" style="14" bestFit="1" customWidth="1"/>
    <col min="12" max="12" width="4.85546875" style="14" customWidth="1"/>
    <col min="13" max="13" width="31.140625" style="14" customWidth="1"/>
    <col min="14" max="14" width="22.42578125" customWidth="1"/>
    <col min="15" max="15" width="25.140625" bestFit="1" customWidth="1"/>
  </cols>
  <sheetData>
    <row r="1" spans="1:15" ht="14.45" customHeight="1" x14ac:dyDescent="0.25">
      <c r="A1" s="76" t="s">
        <v>174</v>
      </c>
      <c r="B1" s="76"/>
      <c r="C1" s="76"/>
      <c r="D1" s="76"/>
      <c r="E1" s="31" t="s">
        <v>175</v>
      </c>
      <c r="F1" s="40" t="s">
        <v>176</v>
      </c>
      <c r="G1" s="31" t="s">
        <v>177</v>
      </c>
      <c r="H1" s="77" t="s">
        <v>178</v>
      </c>
      <c r="I1" s="77" t="s">
        <v>179</v>
      </c>
      <c r="J1" s="77" t="s">
        <v>180</v>
      </c>
      <c r="K1" s="78" t="s">
        <v>181</v>
      </c>
      <c r="L1" s="75" t="s">
        <v>219</v>
      </c>
      <c r="M1" s="40"/>
    </row>
    <row r="2" spans="1:15" ht="28.5" x14ac:dyDescent="0.25">
      <c r="A2" s="40" t="s">
        <v>0</v>
      </c>
      <c r="B2" s="41" t="s">
        <v>173</v>
      </c>
      <c r="C2" s="40" t="s">
        <v>2</v>
      </c>
      <c r="D2" s="40" t="s">
        <v>3</v>
      </c>
      <c r="E2" s="42" t="s">
        <v>4</v>
      </c>
      <c r="F2" s="42" t="s">
        <v>4</v>
      </c>
      <c r="G2" s="42" t="s">
        <v>4</v>
      </c>
      <c r="H2" s="76"/>
      <c r="I2" s="77"/>
      <c r="J2" s="77"/>
      <c r="K2" s="78"/>
      <c r="L2" s="75"/>
      <c r="M2" s="40" t="s">
        <v>186</v>
      </c>
      <c r="N2" s="29" t="s">
        <v>144</v>
      </c>
    </row>
    <row r="3" spans="1:15" ht="15" x14ac:dyDescent="0.25">
      <c r="A3" s="22">
        <v>1</v>
      </c>
      <c r="B3" s="88" t="s">
        <v>6</v>
      </c>
      <c r="C3" s="88"/>
      <c r="D3" s="88"/>
      <c r="E3" s="88"/>
      <c r="F3" s="88"/>
      <c r="G3" s="33"/>
      <c r="H3" s="39"/>
      <c r="I3" s="39"/>
      <c r="J3" s="39"/>
      <c r="K3" s="21">
        <f>SUM(K4:K22)</f>
        <v>7830797.3404920008</v>
      </c>
      <c r="L3" s="21"/>
      <c r="M3" s="21"/>
    </row>
    <row r="4" spans="1:15" x14ac:dyDescent="0.3">
      <c r="A4" s="16" t="s">
        <v>7</v>
      </c>
      <c r="B4" s="7" t="s">
        <v>138</v>
      </c>
      <c r="C4" s="1" t="s">
        <v>256</v>
      </c>
      <c r="D4" s="16">
        <v>1</v>
      </c>
      <c r="E4" s="46">
        <f>(118743*6%)+118743</f>
        <v>125867.58</v>
      </c>
      <c r="F4" s="50">
        <v>123251</v>
      </c>
      <c r="G4" s="12">
        <v>496510</v>
      </c>
      <c r="H4" s="50">
        <f>+F4</f>
        <v>123251</v>
      </c>
      <c r="I4" s="12">
        <f>H4*19%</f>
        <v>23417.69</v>
      </c>
      <c r="J4" s="12">
        <f>H4+I4</f>
        <v>146668.69</v>
      </c>
      <c r="K4" s="50">
        <f>D4*J4</f>
        <v>146668.69</v>
      </c>
      <c r="L4" s="89" t="s">
        <v>220</v>
      </c>
      <c r="M4" s="92" t="s">
        <v>202</v>
      </c>
      <c r="N4" t="s">
        <v>145</v>
      </c>
      <c r="O4" s="86"/>
    </row>
    <row r="5" spans="1:15" x14ac:dyDescent="0.3">
      <c r="A5" s="16" t="s">
        <v>17</v>
      </c>
      <c r="B5" s="7" t="s">
        <v>23</v>
      </c>
      <c r="C5" s="1" t="s">
        <v>16</v>
      </c>
      <c r="D5" s="16">
        <v>222.23</v>
      </c>
      <c r="E5" s="50">
        <f>(8067*6%)+8067</f>
        <v>8551.02</v>
      </c>
      <c r="F5" s="12">
        <v>8635</v>
      </c>
      <c r="G5" s="12">
        <v>9390</v>
      </c>
      <c r="H5" s="50">
        <f>+E5</f>
        <v>8551.02</v>
      </c>
      <c r="I5" s="12">
        <f t="shared" ref="I5:I73" si="0">H5*19%</f>
        <v>1624.6938</v>
      </c>
      <c r="J5" s="12">
        <f t="shared" ref="J5:J71" si="1">H5+I5</f>
        <v>10175.713800000001</v>
      </c>
      <c r="K5" s="50">
        <f t="shared" ref="K5:K52" si="2">D5*J5</f>
        <v>2261348.8777740002</v>
      </c>
      <c r="L5" s="89"/>
      <c r="M5" s="89"/>
      <c r="N5" t="s">
        <v>145</v>
      </c>
      <c r="O5" s="87"/>
    </row>
    <row r="6" spans="1:15" x14ac:dyDescent="0.3">
      <c r="A6" s="16" t="s">
        <v>19</v>
      </c>
      <c r="B6" s="7" t="s">
        <v>106</v>
      </c>
      <c r="C6" s="1" t="s">
        <v>24</v>
      </c>
      <c r="D6" s="16">
        <v>163.72999999999999</v>
      </c>
      <c r="E6" s="50">
        <f>(694*6%)+694</f>
        <v>735.64</v>
      </c>
      <c r="F6" s="12">
        <v>753</v>
      </c>
      <c r="G6" s="12">
        <v>900</v>
      </c>
      <c r="H6" s="50">
        <f>+E6</f>
        <v>735.64</v>
      </c>
      <c r="I6" s="12">
        <f t="shared" si="0"/>
        <v>139.77160000000001</v>
      </c>
      <c r="J6" s="12">
        <f t="shared" si="1"/>
        <v>875.41160000000002</v>
      </c>
      <c r="K6" s="50">
        <f t="shared" si="2"/>
        <v>143331.14126800001</v>
      </c>
      <c r="L6" s="89"/>
      <c r="M6" s="89"/>
      <c r="N6" t="s">
        <v>145</v>
      </c>
      <c r="O6" s="87"/>
    </row>
    <row r="7" spans="1:15" x14ac:dyDescent="0.3">
      <c r="A7" s="16" t="s">
        <v>26</v>
      </c>
      <c r="B7" s="7" t="s">
        <v>76</v>
      </c>
      <c r="C7" s="1" t="s">
        <v>16</v>
      </c>
      <c r="D7" s="16">
        <v>31.14</v>
      </c>
      <c r="E7" s="12">
        <f>(9508*6%)+9508</f>
        <v>10078.48</v>
      </c>
      <c r="F7" s="50">
        <v>9246</v>
      </c>
      <c r="G7" s="12">
        <v>9390</v>
      </c>
      <c r="H7" s="50">
        <f>+F7</f>
        <v>9246</v>
      </c>
      <c r="I7" s="12">
        <f t="shared" si="0"/>
        <v>1756.74</v>
      </c>
      <c r="J7" s="12">
        <f t="shared" si="1"/>
        <v>11002.74</v>
      </c>
      <c r="K7" s="50">
        <f t="shared" si="2"/>
        <v>342625.3236</v>
      </c>
      <c r="L7" s="89"/>
      <c r="M7" s="89"/>
      <c r="N7" t="s">
        <v>145</v>
      </c>
      <c r="O7" s="87"/>
    </row>
    <row r="8" spans="1:15" x14ac:dyDescent="0.3">
      <c r="A8" s="16" t="s">
        <v>27</v>
      </c>
      <c r="B8" s="7" t="s">
        <v>107</v>
      </c>
      <c r="C8" s="1" t="s">
        <v>9</v>
      </c>
      <c r="D8" s="16">
        <v>5</v>
      </c>
      <c r="E8" s="12">
        <f>(7293*6%)+7293</f>
        <v>7730.58</v>
      </c>
      <c r="F8" s="50">
        <v>7029</v>
      </c>
      <c r="G8" s="12">
        <v>7712</v>
      </c>
      <c r="H8" s="50">
        <f>+F8</f>
        <v>7029</v>
      </c>
      <c r="I8" s="12">
        <f t="shared" si="0"/>
        <v>1335.51</v>
      </c>
      <c r="J8" s="12">
        <f t="shared" si="1"/>
        <v>8364.51</v>
      </c>
      <c r="K8" s="50">
        <f t="shared" si="2"/>
        <v>41822.550000000003</v>
      </c>
      <c r="L8" s="89"/>
      <c r="M8" s="89"/>
      <c r="N8" s="27" t="s">
        <v>146</v>
      </c>
      <c r="O8" s="87"/>
    </row>
    <row r="9" spans="1:15" x14ac:dyDescent="0.3">
      <c r="A9" s="16" t="s">
        <v>28</v>
      </c>
      <c r="B9" s="3" t="s">
        <v>242</v>
      </c>
      <c r="C9" s="1" t="s">
        <v>16</v>
      </c>
      <c r="D9" s="16">
        <v>5.32</v>
      </c>
      <c r="E9" s="12">
        <f>(13609*6%)+13609</f>
        <v>14425.54</v>
      </c>
      <c r="F9" s="50">
        <v>12850</v>
      </c>
      <c r="G9" s="12">
        <v>13068</v>
      </c>
      <c r="H9" s="50">
        <f>+F9</f>
        <v>12850</v>
      </c>
      <c r="I9" s="12">
        <f t="shared" si="0"/>
        <v>2441.5</v>
      </c>
      <c r="J9" s="12">
        <f t="shared" si="1"/>
        <v>15291.5</v>
      </c>
      <c r="K9" s="50">
        <f t="shared" si="2"/>
        <v>81350.78</v>
      </c>
      <c r="L9" s="89"/>
      <c r="M9" s="89"/>
      <c r="N9" s="27" t="s">
        <v>146</v>
      </c>
      <c r="O9" s="87"/>
    </row>
    <row r="10" spans="1:15" x14ac:dyDescent="0.3">
      <c r="A10" s="16" t="s">
        <v>29</v>
      </c>
      <c r="B10" s="3" t="s">
        <v>243</v>
      </c>
      <c r="C10" s="1" t="s">
        <v>16</v>
      </c>
      <c r="D10" s="16">
        <v>2</v>
      </c>
      <c r="E10" s="50">
        <f>(5113*6%)+5113</f>
        <v>5419.78</v>
      </c>
      <c r="F10" s="12">
        <v>5484</v>
      </c>
      <c r="G10" s="12">
        <v>6484</v>
      </c>
      <c r="H10" s="50">
        <f>+E10</f>
        <v>5419.78</v>
      </c>
      <c r="I10" s="12">
        <f t="shared" si="0"/>
        <v>1029.7582</v>
      </c>
      <c r="J10" s="12">
        <f t="shared" si="1"/>
        <v>6449.5382</v>
      </c>
      <c r="K10" s="50">
        <f t="shared" si="2"/>
        <v>12899.0764</v>
      </c>
      <c r="L10" s="89"/>
      <c r="M10" s="89"/>
      <c r="N10" s="27" t="s">
        <v>146</v>
      </c>
      <c r="O10" s="87"/>
    </row>
    <row r="11" spans="1:15" x14ac:dyDescent="0.3">
      <c r="A11" s="16" t="s">
        <v>30</v>
      </c>
      <c r="B11" s="3" t="s">
        <v>267</v>
      </c>
      <c r="C11" s="1" t="s">
        <v>16</v>
      </c>
      <c r="D11" s="16">
        <v>31.07</v>
      </c>
      <c r="E11" s="12">
        <f>(12645*6%)+12645</f>
        <v>13403.7</v>
      </c>
      <c r="F11" s="50">
        <v>12206</v>
      </c>
      <c r="G11" s="12">
        <v>13068</v>
      </c>
      <c r="H11" s="50">
        <f>+F11</f>
        <v>12206</v>
      </c>
      <c r="I11" s="12">
        <f t="shared" si="0"/>
        <v>2319.14</v>
      </c>
      <c r="J11" s="12">
        <f t="shared" si="1"/>
        <v>14525.14</v>
      </c>
      <c r="K11" s="50">
        <f t="shared" si="2"/>
        <v>451296.09979999997</v>
      </c>
      <c r="L11" s="89"/>
      <c r="M11" s="89"/>
      <c r="N11" s="27" t="s">
        <v>147</v>
      </c>
      <c r="O11" s="87"/>
    </row>
    <row r="12" spans="1:15" x14ac:dyDescent="0.3">
      <c r="A12" s="16" t="s">
        <v>31</v>
      </c>
      <c r="B12" s="3" t="s">
        <v>268</v>
      </c>
      <c r="C12" s="1" t="s">
        <v>9</v>
      </c>
      <c r="D12" s="16">
        <v>11</v>
      </c>
      <c r="E12" s="50">
        <f>(9213*6%)+9213</f>
        <v>9765.7800000000007</v>
      </c>
      <c r="F12" s="12">
        <v>13191</v>
      </c>
      <c r="G12" s="12">
        <v>13068</v>
      </c>
      <c r="H12" s="50">
        <f>+E12</f>
        <v>9765.7800000000007</v>
      </c>
      <c r="I12" s="12">
        <f t="shared" si="0"/>
        <v>1855.4982000000002</v>
      </c>
      <c r="J12" s="12">
        <f t="shared" si="1"/>
        <v>11621.278200000001</v>
      </c>
      <c r="K12" s="50">
        <f t="shared" si="2"/>
        <v>127834.06020000001</v>
      </c>
      <c r="L12" s="89"/>
      <c r="M12" s="89"/>
      <c r="N12" s="27" t="s">
        <v>148</v>
      </c>
      <c r="O12" s="87"/>
    </row>
    <row r="13" spans="1:15" x14ac:dyDescent="0.3">
      <c r="A13" s="16" t="s">
        <v>32</v>
      </c>
      <c r="B13" s="3" t="s">
        <v>266</v>
      </c>
      <c r="C13" s="1" t="s">
        <v>16</v>
      </c>
      <c r="D13" s="16">
        <v>7.86</v>
      </c>
      <c r="E13" s="12">
        <f>(13619*6%)+13619</f>
        <v>14436.14</v>
      </c>
      <c r="F13" s="50">
        <v>8346</v>
      </c>
      <c r="G13" s="12">
        <v>12068</v>
      </c>
      <c r="H13" s="50">
        <f>+F13</f>
        <v>8346</v>
      </c>
      <c r="I13" s="12">
        <f t="shared" si="0"/>
        <v>1585.74</v>
      </c>
      <c r="J13" s="12">
        <f t="shared" si="1"/>
        <v>9931.74</v>
      </c>
      <c r="K13" s="50">
        <f t="shared" si="2"/>
        <v>78063.4764</v>
      </c>
      <c r="L13" s="89"/>
      <c r="M13" s="89"/>
      <c r="N13" s="27" t="s">
        <v>147</v>
      </c>
      <c r="O13" s="87"/>
    </row>
    <row r="14" spans="1:15" x14ac:dyDescent="0.3">
      <c r="A14" s="16" t="s">
        <v>33</v>
      </c>
      <c r="B14" s="3" t="s">
        <v>77</v>
      </c>
      <c r="C14" s="2" t="s">
        <v>16</v>
      </c>
      <c r="D14" s="5">
        <v>6.62</v>
      </c>
      <c r="E14" s="50">
        <f>(9213*6%)+9213</f>
        <v>9765.7800000000007</v>
      </c>
      <c r="F14" s="12">
        <v>12209</v>
      </c>
      <c r="G14" s="12">
        <v>13068</v>
      </c>
      <c r="H14" s="50">
        <f>+E14</f>
        <v>9765.7800000000007</v>
      </c>
      <c r="I14" s="12">
        <f t="shared" si="0"/>
        <v>1855.4982000000002</v>
      </c>
      <c r="J14" s="12">
        <f t="shared" si="1"/>
        <v>11621.278200000001</v>
      </c>
      <c r="K14" s="50">
        <f t="shared" si="2"/>
        <v>76932.861684000003</v>
      </c>
      <c r="L14" s="89"/>
      <c r="M14" s="89"/>
      <c r="N14" s="27" t="s">
        <v>148</v>
      </c>
      <c r="O14" s="87"/>
    </row>
    <row r="15" spans="1:15" x14ac:dyDescent="0.3">
      <c r="A15" s="16" t="s">
        <v>34</v>
      </c>
      <c r="B15" s="3" t="s">
        <v>158</v>
      </c>
      <c r="C15" s="2" t="s">
        <v>9</v>
      </c>
      <c r="D15" s="5">
        <v>9</v>
      </c>
      <c r="E15" s="13">
        <f>(10530*6%)+10530</f>
        <v>11161.8</v>
      </c>
      <c r="F15" s="50">
        <v>8173</v>
      </c>
      <c r="G15" s="12">
        <v>10068</v>
      </c>
      <c r="H15" s="50">
        <f>+F15</f>
        <v>8173</v>
      </c>
      <c r="I15" s="12">
        <f t="shared" si="0"/>
        <v>1552.8700000000001</v>
      </c>
      <c r="J15" s="12">
        <f t="shared" si="1"/>
        <v>9725.8700000000008</v>
      </c>
      <c r="K15" s="50">
        <f t="shared" si="2"/>
        <v>87532.83</v>
      </c>
      <c r="L15" s="89"/>
      <c r="M15" s="89"/>
      <c r="N15" s="27" t="s">
        <v>148</v>
      </c>
      <c r="O15" s="87"/>
    </row>
    <row r="16" spans="1:15" x14ac:dyDescent="0.3">
      <c r="A16" s="16" t="s">
        <v>35</v>
      </c>
      <c r="B16" s="3" t="s">
        <v>37</v>
      </c>
      <c r="C16" s="2" t="s">
        <v>16</v>
      </c>
      <c r="D16" s="5">
        <v>7.74</v>
      </c>
      <c r="E16" s="13">
        <f>(13619*6%)+13619</f>
        <v>14436.14</v>
      </c>
      <c r="F16" s="50">
        <v>11649</v>
      </c>
      <c r="G16" s="12">
        <v>13068</v>
      </c>
      <c r="H16" s="50">
        <f>+F16</f>
        <v>11649</v>
      </c>
      <c r="I16" s="12">
        <f t="shared" si="0"/>
        <v>2213.31</v>
      </c>
      <c r="J16" s="12">
        <f t="shared" si="1"/>
        <v>13862.31</v>
      </c>
      <c r="K16" s="50">
        <f t="shared" si="2"/>
        <v>107294.2794</v>
      </c>
      <c r="L16" s="89"/>
      <c r="M16" s="89"/>
      <c r="N16" s="27" t="s">
        <v>148</v>
      </c>
      <c r="O16" s="87"/>
    </row>
    <row r="17" spans="1:15" x14ac:dyDescent="0.3">
      <c r="A17" s="16" t="s">
        <v>36</v>
      </c>
      <c r="B17" s="3" t="s">
        <v>78</v>
      </c>
      <c r="C17" s="2" t="s">
        <v>9</v>
      </c>
      <c r="D17" s="5">
        <v>2</v>
      </c>
      <c r="E17" s="50">
        <f>(8067*6%)+8067</f>
        <v>8551.02</v>
      </c>
      <c r="F17" s="12">
        <v>9718</v>
      </c>
      <c r="G17" s="12">
        <v>10068</v>
      </c>
      <c r="H17" s="50">
        <f>+E17</f>
        <v>8551.02</v>
      </c>
      <c r="I17" s="12">
        <f t="shared" si="0"/>
        <v>1624.6938</v>
      </c>
      <c r="J17" s="12">
        <f t="shared" si="1"/>
        <v>10175.713800000001</v>
      </c>
      <c r="K17" s="50">
        <f t="shared" si="2"/>
        <v>20351.427600000003</v>
      </c>
      <c r="L17" s="89"/>
      <c r="M17" s="89"/>
      <c r="N17" s="27" t="s">
        <v>148</v>
      </c>
      <c r="O17" s="87"/>
    </row>
    <row r="18" spans="1:15" x14ac:dyDescent="0.3">
      <c r="A18" s="16" t="s">
        <v>38</v>
      </c>
      <c r="B18" s="3" t="s">
        <v>269</v>
      </c>
      <c r="C18" s="2" t="s">
        <v>16</v>
      </c>
      <c r="D18" s="5">
        <v>5.97</v>
      </c>
      <c r="E18" s="50">
        <f>(10259*6%)+10259</f>
        <v>10874.54</v>
      </c>
      <c r="F18" s="12">
        <v>11740</v>
      </c>
      <c r="G18" s="12">
        <v>13390</v>
      </c>
      <c r="H18" s="50">
        <f>+E18</f>
        <v>10874.54</v>
      </c>
      <c r="I18" s="12">
        <f t="shared" si="0"/>
        <v>2066.1626000000001</v>
      </c>
      <c r="J18" s="12">
        <f t="shared" si="1"/>
        <v>12940.702600000001</v>
      </c>
      <c r="K18" s="50">
        <f t="shared" si="2"/>
        <v>77255.994521999994</v>
      </c>
      <c r="L18" s="89"/>
      <c r="M18" s="89"/>
      <c r="N18" s="27" t="s">
        <v>148</v>
      </c>
      <c r="O18" s="87"/>
    </row>
    <row r="19" spans="1:15" ht="29.45" customHeight="1" x14ac:dyDescent="0.3">
      <c r="A19" s="43" t="s">
        <v>105</v>
      </c>
      <c r="B19" s="44" t="s">
        <v>244</v>
      </c>
      <c r="C19" s="45" t="s">
        <v>16</v>
      </c>
      <c r="D19" s="43">
        <v>239.94</v>
      </c>
      <c r="E19" s="50">
        <f>(10259*6%)+10259</f>
        <v>10874.54</v>
      </c>
      <c r="F19" s="46">
        <v>13246</v>
      </c>
      <c r="G19" s="46">
        <v>13390</v>
      </c>
      <c r="H19" s="50">
        <f>+E19</f>
        <v>10874.54</v>
      </c>
      <c r="I19" s="12">
        <f t="shared" si="0"/>
        <v>2066.1626000000001</v>
      </c>
      <c r="J19" s="12">
        <f t="shared" si="1"/>
        <v>12940.702600000001</v>
      </c>
      <c r="K19" s="50">
        <f t="shared" si="2"/>
        <v>3104992.1818440002</v>
      </c>
      <c r="L19" s="89"/>
      <c r="M19" s="89"/>
      <c r="N19" s="27" t="s">
        <v>148</v>
      </c>
      <c r="O19" s="87"/>
    </row>
    <row r="20" spans="1:15" x14ac:dyDescent="0.3">
      <c r="A20" s="43" t="s">
        <v>142</v>
      </c>
      <c r="B20" s="44" t="s">
        <v>171</v>
      </c>
      <c r="C20" s="45" t="s">
        <v>9</v>
      </c>
      <c r="D20" s="43">
        <v>1</v>
      </c>
      <c r="E20" s="46"/>
      <c r="F20" s="50">
        <v>300853</v>
      </c>
      <c r="G20" s="46"/>
      <c r="H20" s="50">
        <f>F20</f>
        <v>300853</v>
      </c>
      <c r="I20" s="12">
        <f t="shared" si="0"/>
        <v>57162.07</v>
      </c>
      <c r="J20" s="12">
        <f t="shared" si="1"/>
        <v>358015.07</v>
      </c>
      <c r="K20" s="50">
        <f t="shared" si="2"/>
        <v>358015.07</v>
      </c>
      <c r="L20" s="89"/>
      <c r="M20" s="89"/>
      <c r="N20" s="27" t="s">
        <v>148</v>
      </c>
      <c r="O20" s="87"/>
    </row>
    <row r="21" spans="1:15" x14ac:dyDescent="0.3">
      <c r="A21" s="43" t="s">
        <v>240</v>
      </c>
      <c r="B21" s="44" t="s">
        <v>241</v>
      </c>
      <c r="C21" s="45" t="s">
        <v>237</v>
      </c>
      <c r="D21" s="43">
        <v>1</v>
      </c>
      <c r="E21" s="46"/>
      <c r="F21" s="50">
        <v>161058</v>
      </c>
      <c r="G21" s="46"/>
      <c r="H21" s="50">
        <f>F21</f>
        <v>161058</v>
      </c>
      <c r="I21" s="12">
        <f t="shared" ref="I21" si="3">H21*19%</f>
        <v>30601.02</v>
      </c>
      <c r="J21" s="12">
        <f t="shared" ref="J21" si="4">H21+I21</f>
        <v>191659.02</v>
      </c>
      <c r="K21" s="50">
        <f t="shared" ref="K21" si="5">D21*J21</f>
        <v>191659.02</v>
      </c>
      <c r="L21" s="69"/>
      <c r="M21" s="69"/>
      <c r="N21" s="27"/>
      <c r="O21" s="70"/>
    </row>
    <row r="22" spans="1:15" ht="49.5" x14ac:dyDescent="0.3">
      <c r="A22" s="43" t="s">
        <v>252</v>
      </c>
      <c r="B22" s="71" t="s">
        <v>253</v>
      </c>
      <c r="C22" s="45" t="s">
        <v>237</v>
      </c>
      <c r="D22" s="43">
        <v>2</v>
      </c>
      <c r="E22" s="46"/>
      <c r="F22" s="50">
        <v>50220</v>
      </c>
      <c r="G22" s="46"/>
      <c r="H22" s="50">
        <f>F22</f>
        <v>50220</v>
      </c>
      <c r="I22" s="12">
        <f t="shared" si="0"/>
        <v>9541.7999999999993</v>
      </c>
      <c r="J22" s="12">
        <f t="shared" si="1"/>
        <v>59761.8</v>
      </c>
      <c r="K22" s="50">
        <f t="shared" si="2"/>
        <v>119523.6</v>
      </c>
      <c r="L22" s="67"/>
      <c r="M22" s="67"/>
      <c r="N22" s="27"/>
      <c r="O22" s="68"/>
    </row>
    <row r="23" spans="1:15" ht="15" x14ac:dyDescent="0.25">
      <c r="A23" s="22">
        <v>2</v>
      </c>
      <c r="B23" s="88" t="s">
        <v>39</v>
      </c>
      <c r="C23" s="88"/>
      <c r="D23" s="88"/>
      <c r="E23" s="88"/>
      <c r="F23" s="88"/>
      <c r="G23" s="33"/>
      <c r="H23" s="39"/>
      <c r="I23" s="39"/>
      <c r="J23" s="39"/>
      <c r="K23" s="24">
        <f>SUM(K24:K39)</f>
        <v>35990173.895423993</v>
      </c>
      <c r="L23" s="24"/>
      <c r="M23" s="24"/>
    </row>
    <row r="24" spans="1:15" x14ac:dyDescent="0.3">
      <c r="A24" s="43" t="s">
        <v>40</v>
      </c>
      <c r="B24" s="44" t="s">
        <v>99</v>
      </c>
      <c r="C24" s="45" t="s">
        <v>16</v>
      </c>
      <c r="D24" s="43">
        <v>367.69</v>
      </c>
      <c r="E24" s="50">
        <f>(26426*6%)+26426</f>
        <v>28011.56</v>
      </c>
      <c r="F24" s="46">
        <v>29762</v>
      </c>
      <c r="G24" s="46">
        <v>30212</v>
      </c>
      <c r="H24" s="50">
        <f>+E24</f>
        <v>28011.56</v>
      </c>
      <c r="I24" s="46">
        <f t="shared" si="0"/>
        <v>5322.1964000000007</v>
      </c>
      <c r="J24" s="12">
        <f t="shared" si="1"/>
        <v>33333.756399999998</v>
      </c>
      <c r="K24" s="50">
        <f t="shared" si="2"/>
        <v>12256488.890716</v>
      </c>
      <c r="L24" s="89" t="s">
        <v>220</v>
      </c>
      <c r="M24" s="92" t="s">
        <v>202</v>
      </c>
      <c r="N24" t="s">
        <v>148</v>
      </c>
    </row>
    <row r="25" spans="1:15" x14ac:dyDescent="0.3">
      <c r="A25" s="43" t="s">
        <v>41</v>
      </c>
      <c r="B25" s="44" t="s">
        <v>100</v>
      </c>
      <c r="C25" s="45" t="s">
        <v>16</v>
      </c>
      <c r="D25" s="43">
        <v>200.15</v>
      </c>
      <c r="E25" s="50">
        <f t="shared" ref="E25:E26" si="6">(26426*6%)+26426</f>
        <v>28011.56</v>
      </c>
      <c r="F25" s="46">
        <v>29957</v>
      </c>
      <c r="G25" s="46">
        <v>30712</v>
      </c>
      <c r="H25" s="50">
        <f>+E25</f>
        <v>28011.56</v>
      </c>
      <c r="I25" s="46">
        <f t="shared" si="0"/>
        <v>5322.1964000000007</v>
      </c>
      <c r="J25" s="12">
        <f t="shared" si="1"/>
        <v>33333.756399999998</v>
      </c>
      <c r="K25" s="50">
        <f t="shared" si="2"/>
        <v>6671751.3434600001</v>
      </c>
      <c r="L25" s="89"/>
      <c r="M25" s="89"/>
      <c r="N25" t="s">
        <v>148</v>
      </c>
    </row>
    <row r="26" spans="1:15" x14ac:dyDescent="0.3">
      <c r="A26" s="43" t="s">
        <v>42</v>
      </c>
      <c r="B26" s="44" t="s">
        <v>101</v>
      </c>
      <c r="C26" s="45" t="s">
        <v>16</v>
      </c>
      <c r="D26" s="49">
        <v>28.3</v>
      </c>
      <c r="E26" s="50">
        <f t="shared" si="6"/>
        <v>28011.56</v>
      </c>
      <c r="F26" s="46">
        <v>29762</v>
      </c>
      <c r="G26" s="46">
        <v>30212</v>
      </c>
      <c r="H26" s="50">
        <f>+E26</f>
        <v>28011.56</v>
      </c>
      <c r="I26" s="46">
        <f t="shared" si="0"/>
        <v>5322.1964000000007</v>
      </c>
      <c r="J26" s="12">
        <f t="shared" si="1"/>
        <v>33333.756399999998</v>
      </c>
      <c r="K26" s="50">
        <f t="shared" si="2"/>
        <v>943345.30611999996</v>
      </c>
      <c r="L26" s="89"/>
      <c r="M26" s="89"/>
      <c r="N26" t="s">
        <v>148</v>
      </c>
    </row>
    <row r="27" spans="1:15" x14ac:dyDescent="0.3">
      <c r="A27" s="43" t="s">
        <v>44</v>
      </c>
      <c r="B27" s="44" t="s">
        <v>43</v>
      </c>
      <c r="C27" s="45" t="s">
        <v>24</v>
      </c>
      <c r="D27" s="43">
        <v>238.77</v>
      </c>
      <c r="E27" s="50">
        <f>(7224*6%)+7224</f>
        <v>7657.44</v>
      </c>
      <c r="F27" s="46">
        <v>10278</v>
      </c>
      <c r="G27" s="46">
        <v>10278</v>
      </c>
      <c r="H27" s="50">
        <f>+E27</f>
        <v>7657.44</v>
      </c>
      <c r="I27" s="46">
        <f t="shared" si="0"/>
        <v>1454.9135999999999</v>
      </c>
      <c r="J27" s="12">
        <f t="shared" si="1"/>
        <v>9112.3535999999986</v>
      </c>
      <c r="K27" s="50">
        <f t="shared" si="2"/>
        <v>2175756.6690719998</v>
      </c>
      <c r="L27" s="89"/>
      <c r="M27" s="89"/>
      <c r="N27" t="s">
        <v>148</v>
      </c>
    </row>
    <row r="28" spans="1:15" x14ac:dyDescent="0.3">
      <c r="A28" s="43" t="s">
        <v>46</v>
      </c>
      <c r="B28" s="44" t="s">
        <v>45</v>
      </c>
      <c r="C28" s="45" t="s">
        <v>24</v>
      </c>
      <c r="D28" s="43">
        <v>102.55</v>
      </c>
      <c r="E28" s="50">
        <f>(7185*6%)+7185</f>
        <v>7616.1</v>
      </c>
      <c r="F28" s="46">
        <v>10278</v>
      </c>
      <c r="G28" s="46">
        <v>10278</v>
      </c>
      <c r="H28" s="50">
        <f>+E28</f>
        <v>7616.1</v>
      </c>
      <c r="I28" s="46">
        <f t="shared" si="0"/>
        <v>1447.0590000000002</v>
      </c>
      <c r="J28" s="12">
        <f t="shared" si="1"/>
        <v>9063.1589999999997</v>
      </c>
      <c r="K28" s="50">
        <f t="shared" si="2"/>
        <v>929426.95544999989</v>
      </c>
      <c r="L28" s="89"/>
      <c r="M28" s="89"/>
      <c r="N28" t="s">
        <v>148</v>
      </c>
    </row>
    <row r="29" spans="1:15" x14ac:dyDescent="0.3">
      <c r="A29" s="43" t="s">
        <v>110</v>
      </c>
      <c r="B29" s="44" t="s">
        <v>203</v>
      </c>
      <c r="C29" s="45" t="s">
        <v>16</v>
      </c>
      <c r="D29" s="43">
        <v>51.29</v>
      </c>
      <c r="E29" s="46"/>
      <c r="F29" s="46">
        <v>26039</v>
      </c>
      <c r="G29" s="50">
        <v>24212</v>
      </c>
      <c r="H29" s="50">
        <f>+G29</f>
        <v>24212</v>
      </c>
      <c r="I29" s="46">
        <f t="shared" si="0"/>
        <v>4600.28</v>
      </c>
      <c r="J29" s="12">
        <f t="shared" si="1"/>
        <v>28812.28</v>
      </c>
      <c r="K29" s="50">
        <f t="shared" si="2"/>
        <v>1477781.8411999999</v>
      </c>
      <c r="L29" s="89"/>
      <c r="M29" s="89"/>
      <c r="N29" t="s">
        <v>148</v>
      </c>
    </row>
    <row r="30" spans="1:15" x14ac:dyDescent="0.3">
      <c r="A30" s="43" t="s">
        <v>47</v>
      </c>
      <c r="B30" s="44" t="s">
        <v>102</v>
      </c>
      <c r="C30" s="45" t="s">
        <v>16</v>
      </c>
      <c r="D30" s="43">
        <v>7.78</v>
      </c>
      <c r="E30" s="50">
        <f>(26426*6%)+26426</f>
        <v>28011.56</v>
      </c>
      <c r="F30" s="46">
        <v>29957</v>
      </c>
      <c r="G30" s="46">
        <v>30212</v>
      </c>
      <c r="H30" s="50">
        <f>+E30</f>
        <v>28011.56</v>
      </c>
      <c r="I30" s="46">
        <f t="shared" si="0"/>
        <v>5322.1964000000007</v>
      </c>
      <c r="J30" s="12">
        <f t="shared" si="1"/>
        <v>33333.756399999998</v>
      </c>
      <c r="K30" s="50">
        <f t="shared" si="2"/>
        <v>259336.62479199999</v>
      </c>
      <c r="L30" s="89"/>
      <c r="M30" s="89"/>
      <c r="N30" t="s">
        <v>148</v>
      </c>
    </row>
    <row r="31" spans="1:15" x14ac:dyDescent="0.3">
      <c r="A31" s="43" t="s">
        <v>48</v>
      </c>
      <c r="B31" s="44" t="s">
        <v>93</v>
      </c>
      <c r="C31" s="45" t="s">
        <v>16</v>
      </c>
      <c r="D31" s="43">
        <v>62.08</v>
      </c>
      <c r="E31" s="46">
        <f>(9590*6%)+9590</f>
        <v>10165.4</v>
      </c>
      <c r="F31" s="50">
        <v>7569</v>
      </c>
      <c r="G31" s="46">
        <v>8905</v>
      </c>
      <c r="H31" s="50">
        <f>+F31</f>
        <v>7569</v>
      </c>
      <c r="I31" s="46">
        <f t="shared" si="0"/>
        <v>1438.1100000000001</v>
      </c>
      <c r="J31" s="12">
        <f t="shared" si="1"/>
        <v>9007.11</v>
      </c>
      <c r="K31" s="50">
        <f t="shared" si="2"/>
        <v>559161.38880000007</v>
      </c>
      <c r="L31" s="89"/>
      <c r="M31" s="89"/>
      <c r="N31" t="s">
        <v>148</v>
      </c>
    </row>
    <row r="32" spans="1:15" x14ac:dyDescent="0.3">
      <c r="A32" s="43" t="s">
        <v>92</v>
      </c>
      <c r="B32" s="44" t="s">
        <v>50</v>
      </c>
      <c r="C32" s="45" t="s">
        <v>24</v>
      </c>
      <c r="D32" s="43">
        <v>61.5</v>
      </c>
      <c r="E32" s="46">
        <f>(10692*6%)+10692</f>
        <v>11333.52</v>
      </c>
      <c r="F32" s="50">
        <v>8740</v>
      </c>
      <c r="G32" s="46">
        <v>10361</v>
      </c>
      <c r="H32" s="50">
        <f>+F32</f>
        <v>8740</v>
      </c>
      <c r="I32" s="46">
        <f t="shared" si="0"/>
        <v>1660.6</v>
      </c>
      <c r="J32" s="12">
        <f t="shared" si="1"/>
        <v>10400.6</v>
      </c>
      <c r="K32" s="50">
        <f t="shared" si="2"/>
        <v>639636.9</v>
      </c>
      <c r="L32" s="89"/>
      <c r="M32" s="89"/>
      <c r="N32" t="s">
        <v>148</v>
      </c>
    </row>
    <row r="33" spans="1:14" x14ac:dyDescent="0.3">
      <c r="A33" s="43" t="s">
        <v>51</v>
      </c>
      <c r="B33" s="44" t="s">
        <v>22</v>
      </c>
      <c r="C33" s="45" t="s">
        <v>16</v>
      </c>
      <c r="D33" s="43">
        <v>26.41</v>
      </c>
      <c r="E33" s="50">
        <f>(76911*6%)+76911</f>
        <v>81525.66</v>
      </c>
      <c r="F33" s="46">
        <v>81758</v>
      </c>
      <c r="G33" s="46"/>
      <c r="H33" s="50">
        <f>+E33</f>
        <v>81525.66</v>
      </c>
      <c r="I33" s="46">
        <f t="shared" si="0"/>
        <v>15489.875400000001</v>
      </c>
      <c r="J33" s="12">
        <f t="shared" si="1"/>
        <v>97015.535400000008</v>
      </c>
      <c r="K33" s="50">
        <f t="shared" si="2"/>
        <v>2562180.2899140003</v>
      </c>
      <c r="L33" s="89"/>
      <c r="M33" s="89"/>
      <c r="N33" t="s">
        <v>148</v>
      </c>
    </row>
    <row r="34" spans="1:14" x14ac:dyDescent="0.3">
      <c r="A34" s="43" t="s">
        <v>57</v>
      </c>
      <c r="B34" s="44" t="s">
        <v>204</v>
      </c>
      <c r="C34" s="45" t="s">
        <v>24</v>
      </c>
      <c r="D34" s="43">
        <v>46.8</v>
      </c>
      <c r="E34" s="50">
        <f>(7185*6%)+7185</f>
        <v>7616.1</v>
      </c>
      <c r="F34" s="46">
        <v>8740</v>
      </c>
      <c r="G34" s="46">
        <v>10361</v>
      </c>
      <c r="H34" s="50">
        <f>+E34</f>
        <v>7616.1</v>
      </c>
      <c r="I34" s="46">
        <f t="shared" si="0"/>
        <v>1447.0590000000002</v>
      </c>
      <c r="J34" s="12">
        <f t="shared" si="1"/>
        <v>9063.1589999999997</v>
      </c>
      <c r="K34" s="50">
        <f t="shared" si="2"/>
        <v>424155.84119999997</v>
      </c>
      <c r="L34" s="89"/>
      <c r="M34" s="89"/>
      <c r="N34" t="s">
        <v>148</v>
      </c>
    </row>
    <row r="35" spans="1:14" x14ac:dyDescent="0.3">
      <c r="A35" s="43" t="s">
        <v>111</v>
      </c>
      <c r="B35" s="44" t="s">
        <v>96</v>
      </c>
      <c r="C35" s="45" t="s">
        <v>24</v>
      </c>
      <c r="D35" s="43">
        <v>56.12</v>
      </c>
      <c r="E35" s="46">
        <f>(10692*6%)+10692</f>
        <v>11333.52</v>
      </c>
      <c r="F35" s="50">
        <v>8740</v>
      </c>
      <c r="G35" s="46">
        <v>10361</v>
      </c>
      <c r="H35" s="50">
        <f>+F35</f>
        <v>8740</v>
      </c>
      <c r="I35" s="46">
        <f t="shared" si="0"/>
        <v>1660.6</v>
      </c>
      <c r="J35" s="12">
        <f t="shared" si="1"/>
        <v>10400.6</v>
      </c>
      <c r="K35" s="50">
        <f t="shared" si="2"/>
        <v>583681.67200000002</v>
      </c>
      <c r="L35" s="89"/>
      <c r="M35" s="89"/>
      <c r="N35" t="s">
        <v>148</v>
      </c>
    </row>
    <row r="36" spans="1:14" x14ac:dyDescent="0.3">
      <c r="A36" s="43" t="s">
        <v>79</v>
      </c>
      <c r="B36" s="44" t="s">
        <v>98</v>
      </c>
      <c r="C36" s="45" t="s">
        <v>24</v>
      </c>
      <c r="D36" s="43">
        <v>11.64</v>
      </c>
      <c r="E36" s="46">
        <f>(10692*6%)+10692</f>
        <v>11333.52</v>
      </c>
      <c r="F36" s="50">
        <v>8740</v>
      </c>
      <c r="G36" s="46">
        <v>10361</v>
      </c>
      <c r="H36" s="50">
        <f>+F36</f>
        <v>8740</v>
      </c>
      <c r="I36" s="46">
        <f t="shared" si="0"/>
        <v>1660.6</v>
      </c>
      <c r="J36" s="12">
        <f t="shared" si="1"/>
        <v>10400.6</v>
      </c>
      <c r="K36" s="50">
        <f t="shared" si="2"/>
        <v>121062.98400000001</v>
      </c>
      <c r="L36" s="89"/>
      <c r="M36" s="89"/>
      <c r="N36" t="s">
        <v>148</v>
      </c>
    </row>
    <row r="37" spans="1:14" x14ac:dyDescent="0.3">
      <c r="A37" s="43" t="s">
        <v>97</v>
      </c>
      <c r="B37" s="44" t="s">
        <v>205</v>
      </c>
      <c r="C37" s="45" t="s">
        <v>16</v>
      </c>
      <c r="D37" s="43">
        <v>23.83</v>
      </c>
      <c r="E37" s="46"/>
      <c r="F37" s="50">
        <v>78653</v>
      </c>
      <c r="G37" s="46"/>
      <c r="H37" s="50">
        <f>+F37</f>
        <v>78653</v>
      </c>
      <c r="I37" s="46">
        <f t="shared" si="0"/>
        <v>14944.07</v>
      </c>
      <c r="J37" s="12">
        <f t="shared" si="1"/>
        <v>93597.07</v>
      </c>
      <c r="K37" s="50">
        <f t="shared" si="2"/>
        <v>2230418.1781000001</v>
      </c>
      <c r="L37" s="89"/>
      <c r="M37" s="89"/>
      <c r="N37" t="s">
        <v>148</v>
      </c>
    </row>
    <row r="38" spans="1:14" ht="33" x14ac:dyDescent="0.3">
      <c r="A38" s="43" t="s">
        <v>141</v>
      </c>
      <c r="B38" s="44" t="s">
        <v>218</v>
      </c>
      <c r="C38" s="45" t="s">
        <v>16</v>
      </c>
      <c r="D38" s="43">
        <v>26.61</v>
      </c>
      <c r="E38" s="46"/>
      <c r="F38" s="50">
        <v>108304</v>
      </c>
      <c r="G38" s="46">
        <v>108575</v>
      </c>
      <c r="H38" s="50">
        <f>+F38</f>
        <v>108304</v>
      </c>
      <c r="I38" s="46">
        <f t="shared" si="0"/>
        <v>20577.760000000002</v>
      </c>
      <c r="J38" s="12">
        <f t="shared" si="1"/>
        <v>128881.76000000001</v>
      </c>
      <c r="K38" s="50">
        <f t="shared" si="2"/>
        <v>3429543.6336000003</v>
      </c>
      <c r="L38" s="89"/>
      <c r="M38" s="89"/>
      <c r="N38" t="s">
        <v>148</v>
      </c>
    </row>
    <row r="39" spans="1:14" x14ac:dyDescent="0.3">
      <c r="A39" s="43" t="s">
        <v>230</v>
      </c>
      <c r="B39" s="44" t="s">
        <v>233</v>
      </c>
      <c r="C39" s="45" t="s">
        <v>24</v>
      </c>
      <c r="D39" s="43">
        <v>99.02</v>
      </c>
      <c r="E39" s="46"/>
      <c r="F39" s="50">
        <v>6165</v>
      </c>
      <c r="G39" s="46"/>
      <c r="H39" s="50">
        <f>+F39</f>
        <v>6165</v>
      </c>
      <c r="I39" s="46">
        <f t="shared" si="0"/>
        <v>1171.3499999999999</v>
      </c>
      <c r="J39" s="12">
        <f t="shared" si="1"/>
        <v>7336.35</v>
      </c>
      <c r="K39" s="50">
        <f t="shared" si="2"/>
        <v>726445.37699999998</v>
      </c>
      <c r="L39" s="63"/>
      <c r="M39" s="63"/>
    </row>
    <row r="40" spans="1:14" ht="15" x14ac:dyDescent="0.25">
      <c r="A40" s="22">
        <v>3</v>
      </c>
      <c r="B40" s="88" t="s">
        <v>52</v>
      </c>
      <c r="C40" s="88"/>
      <c r="D40" s="88"/>
      <c r="E40" s="88"/>
      <c r="F40" s="88"/>
      <c r="G40" s="33"/>
      <c r="H40" s="39"/>
      <c r="I40" s="39"/>
      <c r="J40" s="39"/>
      <c r="K40" s="21">
        <f>SUM(K41:K44)</f>
        <v>4687217.1009999998</v>
      </c>
      <c r="L40" s="21"/>
      <c r="M40" s="21"/>
    </row>
    <row r="41" spans="1:14" ht="33" x14ac:dyDescent="0.3">
      <c r="A41" s="5" t="s">
        <v>53</v>
      </c>
      <c r="B41" s="3" t="s">
        <v>226</v>
      </c>
      <c r="C41" s="2" t="s">
        <v>16</v>
      </c>
      <c r="D41" s="5">
        <v>6.62</v>
      </c>
      <c r="E41" s="50">
        <v>56730</v>
      </c>
      <c r="F41" s="12"/>
      <c r="G41" s="12"/>
      <c r="H41" s="50">
        <f>+E41</f>
        <v>56730</v>
      </c>
      <c r="I41" s="12">
        <f t="shared" si="0"/>
        <v>10778.7</v>
      </c>
      <c r="J41" s="12">
        <f t="shared" si="1"/>
        <v>67508.7</v>
      </c>
      <c r="K41" s="50">
        <f>D41*J41</f>
        <v>446907.59399999998</v>
      </c>
      <c r="L41" s="83" t="s">
        <v>220</v>
      </c>
      <c r="M41" s="90" t="s">
        <v>206</v>
      </c>
      <c r="N41" t="s">
        <v>207</v>
      </c>
    </row>
    <row r="42" spans="1:14" ht="33" x14ac:dyDescent="0.3">
      <c r="A42" s="5" t="s">
        <v>54</v>
      </c>
      <c r="B42" s="3" t="s">
        <v>159</v>
      </c>
      <c r="C42" s="2" t="s">
        <v>9</v>
      </c>
      <c r="D42" s="5">
        <v>2</v>
      </c>
      <c r="E42" s="13"/>
      <c r="F42" s="50">
        <v>338711</v>
      </c>
      <c r="G42" s="12"/>
      <c r="H42" s="50">
        <f>+F42</f>
        <v>338711</v>
      </c>
      <c r="I42" s="12">
        <f t="shared" si="0"/>
        <v>64355.090000000004</v>
      </c>
      <c r="J42" s="12">
        <f t="shared" si="1"/>
        <v>403066.09</v>
      </c>
      <c r="K42" s="50">
        <f t="shared" si="2"/>
        <v>806132.18</v>
      </c>
      <c r="L42" s="84"/>
      <c r="M42" s="91"/>
      <c r="N42" t="s">
        <v>148</v>
      </c>
    </row>
    <row r="43" spans="1:14" ht="33" x14ac:dyDescent="0.3">
      <c r="A43" s="5" t="s">
        <v>55</v>
      </c>
      <c r="B43" s="7" t="s">
        <v>270</v>
      </c>
      <c r="C43" s="2" t="s">
        <v>9</v>
      </c>
      <c r="D43" s="5">
        <v>1</v>
      </c>
      <c r="E43" s="13"/>
      <c r="F43" s="50">
        <v>1597780</v>
      </c>
      <c r="G43" s="12"/>
      <c r="H43" s="50">
        <f t="shared" ref="H43" si="7">+F43</f>
        <v>1597780</v>
      </c>
      <c r="I43" s="12">
        <f t="shared" si="0"/>
        <v>303578.2</v>
      </c>
      <c r="J43" s="12">
        <f t="shared" si="1"/>
        <v>1901358.2</v>
      </c>
      <c r="K43" s="50">
        <f t="shared" si="2"/>
        <v>1901358.2</v>
      </c>
      <c r="L43" s="84"/>
      <c r="M43" s="91"/>
      <c r="N43" t="s">
        <v>148</v>
      </c>
    </row>
    <row r="44" spans="1:14" ht="33" x14ac:dyDescent="0.3">
      <c r="A44" s="5" t="s">
        <v>139</v>
      </c>
      <c r="B44" s="3" t="s">
        <v>246</v>
      </c>
      <c r="C44" s="2" t="s">
        <v>16</v>
      </c>
      <c r="D44" s="5">
        <v>21.21</v>
      </c>
      <c r="E44" s="50">
        <v>60730</v>
      </c>
      <c r="F44" s="12"/>
      <c r="G44" s="12"/>
      <c r="H44" s="50">
        <f>+E44</f>
        <v>60730</v>
      </c>
      <c r="I44" s="12">
        <f t="shared" si="0"/>
        <v>11538.7</v>
      </c>
      <c r="J44" s="12">
        <f t="shared" si="1"/>
        <v>72268.7</v>
      </c>
      <c r="K44" s="50">
        <f t="shared" si="2"/>
        <v>1532819.1270000001</v>
      </c>
      <c r="L44" s="85"/>
      <c r="M44" s="91"/>
      <c r="N44" t="s">
        <v>207</v>
      </c>
    </row>
    <row r="45" spans="1:14" ht="15" x14ac:dyDescent="0.25">
      <c r="A45" s="22">
        <v>4</v>
      </c>
      <c r="B45" s="88" t="s">
        <v>56</v>
      </c>
      <c r="C45" s="88"/>
      <c r="D45" s="88"/>
      <c r="E45" s="88"/>
      <c r="F45" s="88"/>
      <c r="G45" s="33"/>
      <c r="H45" s="39"/>
      <c r="I45" s="39"/>
      <c r="J45" s="39"/>
      <c r="K45" s="30">
        <f>SUM(K46:K54)</f>
        <v>33573891.712200001</v>
      </c>
      <c r="L45" s="30"/>
      <c r="M45" s="30"/>
    </row>
    <row r="46" spans="1:14" ht="33" x14ac:dyDescent="0.3">
      <c r="A46" s="5" t="s">
        <v>59</v>
      </c>
      <c r="B46" s="7" t="s">
        <v>257</v>
      </c>
      <c r="C46" s="2" t="s">
        <v>16</v>
      </c>
      <c r="D46" s="5">
        <v>212.18</v>
      </c>
      <c r="E46" s="50">
        <v>53721</v>
      </c>
      <c r="F46" s="12">
        <v>69621</v>
      </c>
      <c r="G46" s="12">
        <v>83612</v>
      </c>
      <c r="H46" s="50">
        <f t="shared" ref="H46:H52" si="8">+E46</f>
        <v>53721</v>
      </c>
      <c r="I46" s="12">
        <f t="shared" si="0"/>
        <v>10206.99</v>
      </c>
      <c r="J46" s="12">
        <f t="shared" si="1"/>
        <v>63927.99</v>
      </c>
      <c r="K46" s="50">
        <f>D46*J46</f>
        <v>13564240.918199999</v>
      </c>
      <c r="L46" s="83" t="s">
        <v>220</v>
      </c>
      <c r="M46" s="90" t="s">
        <v>206</v>
      </c>
      <c r="N46" t="s">
        <v>207</v>
      </c>
    </row>
    <row r="47" spans="1:14" ht="33" x14ac:dyDescent="0.3">
      <c r="A47" s="5" t="s">
        <v>58</v>
      </c>
      <c r="B47" s="7" t="s">
        <v>258</v>
      </c>
      <c r="C47" s="2" t="s">
        <v>16</v>
      </c>
      <c r="D47" s="5">
        <v>8.41</v>
      </c>
      <c r="E47" s="50">
        <v>53721</v>
      </c>
      <c r="F47" s="12">
        <v>69621</v>
      </c>
      <c r="G47" s="12">
        <v>83612</v>
      </c>
      <c r="H47" s="50">
        <f t="shared" si="8"/>
        <v>53721</v>
      </c>
      <c r="I47" s="12">
        <f t="shared" si="0"/>
        <v>10206.99</v>
      </c>
      <c r="J47" s="12">
        <f t="shared" si="1"/>
        <v>63927.99</v>
      </c>
      <c r="K47" s="50">
        <f t="shared" si="2"/>
        <v>537634.3959</v>
      </c>
      <c r="L47" s="84"/>
      <c r="M47" s="91"/>
      <c r="N47" t="s">
        <v>150</v>
      </c>
    </row>
    <row r="48" spans="1:14" ht="33" x14ac:dyDescent="0.3">
      <c r="A48" s="5" t="s">
        <v>60</v>
      </c>
      <c r="B48" s="7" t="s">
        <v>160</v>
      </c>
      <c r="C48" s="2" t="s">
        <v>25</v>
      </c>
      <c r="D48" s="5">
        <v>18.03</v>
      </c>
      <c r="E48" s="50">
        <v>58191</v>
      </c>
      <c r="F48" s="12">
        <v>74091</v>
      </c>
      <c r="G48" s="12">
        <v>88091</v>
      </c>
      <c r="H48" s="50">
        <f t="shared" si="8"/>
        <v>58191</v>
      </c>
      <c r="I48" s="12">
        <f t="shared" si="0"/>
        <v>11056.29</v>
      </c>
      <c r="J48" s="12">
        <f t="shared" si="1"/>
        <v>69247.290000000008</v>
      </c>
      <c r="K48" s="50">
        <f t="shared" si="2"/>
        <v>1248528.6387000002</v>
      </c>
      <c r="L48" s="84"/>
      <c r="M48" s="91"/>
      <c r="N48" t="s">
        <v>150</v>
      </c>
    </row>
    <row r="49" spans="1:14" x14ac:dyDescent="0.3">
      <c r="A49" s="5" t="s">
        <v>61</v>
      </c>
      <c r="B49" s="3" t="s">
        <v>263</v>
      </c>
      <c r="C49" s="2" t="s">
        <v>16</v>
      </c>
      <c r="D49" s="5">
        <v>210.09</v>
      </c>
      <c r="E49" s="50">
        <v>19491</v>
      </c>
      <c r="F49" s="12">
        <v>21135</v>
      </c>
      <c r="G49" s="12"/>
      <c r="H49" s="50">
        <f t="shared" si="8"/>
        <v>19491</v>
      </c>
      <c r="I49" s="12">
        <f t="shared" si="0"/>
        <v>3703.29</v>
      </c>
      <c r="J49" s="12">
        <f t="shared" si="1"/>
        <v>23194.29</v>
      </c>
      <c r="K49" s="50">
        <f t="shared" si="2"/>
        <v>4872888.3861000007</v>
      </c>
      <c r="L49" s="84"/>
      <c r="M49" s="91"/>
      <c r="N49" t="s">
        <v>148</v>
      </c>
    </row>
    <row r="50" spans="1:14" ht="33" x14ac:dyDescent="0.3">
      <c r="A50" s="16" t="s">
        <v>87</v>
      </c>
      <c r="B50" s="7" t="s">
        <v>247</v>
      </c>
      <c r="C50" s="1" t="s">
        <v>16</v>
      </c>
      <c r="D50" s="16">
        <v>6.72</v>
      </c>
      <c r="E50" s="50">
        <v>52635</v>
      </c>
      <c r="F50" s="12"/>
      <c r="G50" s="12"/>
      <c r="H50" s="50">
        <f t="shared" si="8"/>
        <v>52635</v>
      </c>
      <c r="I50" s="12">
        <f t="shared" si="0"/>
        <v>10000.65</v>
      </c>
      <c r="J50" s="12">
        <f t="shared" si="1"/>
        <v>62635.65</v>
      </c>
      <c r="K50" s="50">
        <f t="shared" si="2"/>
        <v>420911.56799999997</v>
      </c>
      <c r="L50" s="84"/>
      <c r="M50" s="91"/>
      <c r="N50" t="s">
        <v>148</v>
      </c>
    </row>
    <row r="51" spans="1:14" ht="33" x14ac:dyDescent="0.3">
      <c r="A51" s="43" t="s">
        <v>94</v>
      </c>
      <c r="B51" s="44" t="s">
        <v>259</v>
      </c>
      <c r="C51" s="45" t="s">
        <v>16</v>
      </c>
      <c r="D51" s="43">
        <v>31.34</v>
      </c>
      <c r="E51" s="50">
        <v>53721</v>
      </c>
      <c r="F51" s="46">
        <v>69621</v>
      </c>
      <c r="G51" s="46">
        <v>83612</v>
      </c>
      <c r="H51" s="50">
        <f t="shared" si="8"/>
        <v>53721</v>
      </c>
      <c r="I51" s="12">
        <f t="shared" si="0"/>
        <v>10206.99</v>
      </c>
      <c r="J51" s="12">
        <f t="shared" si="1"/>
        <v>63927.99</v>
      </c>
      <c r="K51" s="50">
        <f t="shared" si="2"/>
        <v>2003503.2065999999</v>
      </c>
      <c r="L51" s="84"/>
      <c r="M51" s="91"/>
      <c r="N51" t="s">
        <v>149</v>
      </c>
    </row>
    <row r="52" spans="1:14" ht="49.5" x14ac:dyDescent="0.25">
      <c r="A52" s="43" t="s">
        <v>95</v>
      </c>
      <c r="B52" s="47" t="s">
        <v>161</v>
      </c>
      <c r="C52" s="48" t="s">
        <v>16</v>
      </c>
      <c r="D52" s="43">
        <v>3.01</v>
      </c>
      <c r="E52" s="50">
        <v>58191</v>
      </c>
      <c r="F52" s="46">
        <v>74091</v>
      </c>
      <c r="G52" s="46">
        <v>88091</v>
      </c>
      <c r="H52" s="50">
        <f t="shared" si="8"/>
        <v>58191</v>
      </c>
      <c r="I52" s="12">
        <f t="shared" si="0"/>
        <v>11056.29</v>
      </c>
      <c r="J52" s="12">
        <f t="shared" si="1"/>
        <v>69247.290000000008</v>
      </c>
      <c r="K52" s="50">
        <f t="shared" si="2"/>
        <v>208434.34290000002</v>
      </c>
      <c r="L52" s="84"/>
      <c r="M52" s="91"/>
      <c r="N52" t="s">
        <v>149</v>
      </c>
    </row>
    <row r="53" spans="1:14" ht="33" x14ac:dyDescent="0.25">
      <c r="A53" s="16" t="s">
        <v>104</v>
      </c>
      <c r="B53" s="72" t="s">
        <v>262</v>
      </c>
      <c r="C53" s="10" t="s">
        <v>16</v>
      </c>
      <c r="D53" s="16">
        <v>239.94</v>
      </c>
      <c r="E53" s="12"/>
      <c r="F53" s="50">
        <v>33821</v>
      </c>
      <c r="G53" s="12"/>
      <c r="H53" s="50">
        <f>+F53</f>
        <v>33821</v>
      </c>
      <c r="I53" s="12">
        <f t="shared" si="0"/>
        <v>6425.99</v>
      </c>
      <c r="J53" s="12">
        <f t="shared" si="1"/>
        <v>40246.99</v>
      </c>
      <c r="K53" s="50">
        <f>D53*J53</f>
        <v>9656862.7806000002</v>
      </c>
      <c r="L53" s="85"/>
      <c r="M53" s="91"/>
      <c r="N53" t="s">
        <v>148</v>
      </c>
    </row>
    <row r="54" spans="1:14" ht="33" x14ac:dyDescent="0.25">
      <c r="A54" s="16" t="s">
        <v>221</v>
      </c>
      <c r="B54" s="9" t="s">
        <v>261</v>
      </c>
      <c r="C54" s="10" t="s">
        <v>24</v>
      </c>
      <c r="D54" s="16">
        <v>65.92</v>
      </c>
      <c r="E54" s="12"/>
      <c r="F54" s="50">
        <v>13524</v>
      </c>
      <c r="G54" s="12"/>
      <c r="H54" s="50">
        <f>F54</f>
        <v>13524</v>
      </c>
      <c r="I54" s="12">
        <f t="shared" si="0"/>
        <v>2569.56</v>
      </c>
      <c r="J54" s="12">
        <f>H54+I54</f>
        <v>16093.56</v>
      </c>
      <c r="K54" s="50">
        <f>D54*J54</f>
        <v>1060887.4752</v>
      </c>
      <c r="L54" s="58"/>
      <c r="M54" s="57"/>
    </row>
    <row r="55" spans="1:14" ht="15" x14ac:dyDescent="0.25">
      <c r="A55" s="22">
        <v>5</v>
      </c>
      <c r="B55" s="53" t="s">
        <v>208</v>
      </c>
      <c r="C55" s="39"/>
      <c r="D55" s="22"/>
      <c r="E55" s="23"/>
      <c r="F55" s="23"/>
      <c r="G55" s="23"/>
      <c r="H55" s="23"/>
      <c r="I55" s="23"/>
      <c r="J55" s="23"/>
      <c r="K55" s="21">
        <f>SUM(K56:K68)</f>
        <v>18080503</v>
      </c>
      <c r="L55" s="21"/>
      <c r="M55" s="21"/>
    </row>
    <row r="56" spans="1:14" ht="33" x14ac:dyDescent="0.3">
      <c r="A56" s="5" t="s">
        <v>112</v>
      </c>
      <c r="B56" s="3" t="s">
        <v>195</v>
      </c>
      <c r="C56" s="5" t="s">
        <v>172</v>
      </c>
      <c r="D56" s="5">
        <v>30</v>
      </c>
      <c r="E56" s="13"/>
      <c r="F56" s="50">
        <v>8500</v>
      </c>
      <c r="G56" s="12"/>
      <c r="H56" s="50">
        <f>F56</f>
        <v>8500</v>
      </c>
      <c r="I56" s="12">
        <f t="shared" si="0"/>
        <v>1615</v>
      </c>
      <c r="J56" s="12">
        <f t="shared" si="1"/>
        <v>10115</v>
      </c>
      <c r="K56" s="50">
        <f>D56*J56</f>
        <v>303450</v>
      </c>
      <c r="L56" s="83" t="s">
        <v>220</v>
      </c>
      <c r="M56" s="92" t="s">
        <v>209</v>
      </c>
    </row>
    <row r="57" spans="1:14" ht="33" x14ac:dyDescent="0.3">
      <c r="A57" s="5" t="s">
        <v>113</v>
      </c>
      <c r="B57" s="7" t="s">
        <v>196</v>
      </c>
      <c r="C57" s="7" t="s">
        <v>9</v>
      </c>
      <c r="D57" s="7">
        <v>1</v>
      </c>
      <c r="E57" s="28"/>
      <c r="F57" s="51">
        <v>800000</v>
      </c>
      <c r="G57" s="28"/>
      <c r="H57" s="50">
        <f t="shared" ref="H57:H58" si="9">F57</f>
        <v>800000</v>
      </c>
      <c r="I57" s="12">
        <f t="shared" si="0"/>
        <v>152000</v>
      </c>
      <c r="J57" s="12">
        <f t="shared" si="1"/>
        <v>952000</v>
      </c>
      <c r="K57" s="50">
        <f t="shared" ref="K57:K67" si="10">D57*J57</f>
        <v>952000</v>
      </c>
      <c r="L57" s="84"/>
      <c r="M57" s="89"/>
    </row>
    <row r="58" spans="1:14" x14ac:dyDescent="0.3">
      <c r="A58" s="5" t="s">
        <v>114</v>
      </c>
      <c r="B58" s="7" t="s">
        <v>197</v>
      </c>
      <c r="C58" s="7" t="s">
        <v>9</v>
      </c>
      <c r="D58" s="7">
        <v>17</v>
      </c>
      <c r="E58" s="28"/>
      <c r="F58" s="51">
        <v>12000</v>
      </c>
      <c r="G58" s="28"/>
      <c r="H58" s="50">
        <f t="shared" si="9"/>
        <v>12000</v>
      </c>
      <c r="I58" s="12">
        <f t="shared" si="0"/>
        <v>2280</v>
      </c>
      <c r="J58" s="12">
        <f t="shared" si="1"/>
        <v>14280</v>
      </c>
      <c r="K58" s="50">
        <f t="shared" si="10"/>
        <v>242760</v>
      </c>
      <c r="L58" s="84"/>
      <c r="M58" s="89"/>
    </row>
    <row r="59" spans="1:14" ht="33" x14ac:dyDescent="0.3">
      <c r="A59" s="5" t="s">
        <v>115</v>
      </c>
      <c r="B59" s="7" t="s">
        <v>250</v>
      </c>
      <c r="C59" s="7" t="s">
        <v>9</v>
      </c>
      <c r="D59" s="7">
        <v>35</v>
      </c>
      <c r="E59" s="28"/>
      <c r="F59" s="51">
        <v>120000</v>
      </c>
      <c r="G59" s="28">
        <v>133795</v>
      </c>
      <c r="H59" s="51">
        <f>+F59</f>
        <v>120000</v>
      </c>
      <c r="I59" s="12">
        <f t="shared" si="0"/>
        <v>22800</v>
      </c>
      <c r="J59" s="12">
        <f t="shared" si="1"/>
        <v>142800</v>
      </c>
      <c r="K59" s="50">
        <f t="shared" si="10"/>
        <v>4998000</v>
      </c>
      <c r="L59" s="84"/>
      <c r="M59" s="89"/>
    </row>
    <row r="60" spans="1:14" ht="33" x14ac:dyDescent="0.3">
      <c r="A60" s="5" t="s">
        <v>116</v>
      </c>
      <c r="B60" s="7" t="s">
        <v>251</v>
      </c>
      <c r="C60" s="7" t="s">
        <v>9</v>
      </c>
      <c r="D60" s="7">
        <v>29</v>
      </c>
      <c r="E60" s="28"/>
      <c r="F60" s="51">
        <v>120000</v>
      </c>
      <c r="G60" s="28">
        <v>145923</v>
      </c>
      <c r="H60" s="51">
        <f>+F60</f>
        <v>120000</v>
      </c>
      <c r="I60" s="12">
        <f t="shared" si="0"/>
        <v>22800</v>
      </c>
      <c r="J60" s="12">
        <f t="shared" si="1"/>
        <v>142800</v>
      </c>
      <c r="K60" s="50">
        <f t="shared" si="10"/>
        <v>4141200</v>
      </c>
      <c r="L60" s="84"/>
      <c r="M60" s="89"/>
    </row>
    <row r="61" spans="1:14" ht="33" x14ac:dyDescent="0.3">
      <c r="A61" s="5" t="s">
        <v>117</v>
      </c>
      <c r="B61" s="7" t="s">
        <v>198</v>
      </c>
      <c r="C61" s="7" t="s">
        <v>9</v>
      </c>
      <c r="D61" s="7">
        <v>13</v>
      </c>
      <c r="E61" s="28"/>
      <c r="F61" s="51">
        <v>120000</v>
      </c>
      <c r="G61" s="28">
        <v>122755</v>
      </c>
      <c r="H61" s="51">
        <f>+F61</f>
        <v>120000</v>
      </c>
      <c r="I61" s="12">
        <f t="shared" si="0"/>
        <v>22800</v>
      </c>
      <c r="J61" s="12">
        <f t="shared" si="1"/>
        <v>142800</v>
      </c>
      <c r="K61" s="50">
        <f t="shared" si="10"/>
        <v>1856400</v>
      </c>
      <c r="L61" s="84"/>
      <c r="M61" s="89"/>
    </row>
    <row r="62" spans="1:14" ht="33" x14ac:dyDescent="0.3">
      <c r="A62" s="5" t="s">
        <v>118</v>
      </c>
      <c r="B62" s="3" t="s">
        <v>199</v>
      </c>
      <c r="C62" s="7" t="s">
        <v>9</v>
      </c>
      <c r="D62" s="7">
        <v>29</v>
      </c>
      <c r="E62" s="28"/>
      <c r="F62" s="51">
        <v>5000</v>
      </c>
      <c r="G62" s="28"/>
      <c r="H62" s="50">
        <f t="shared" ref="H62:H68" si="11">F62</f>
        <v>5000</v>
      </c>
      <c r="I62" s="12">
        <f t="shared" si="0"/>
        <v>950</v>
      </c>
      <c r="J62" s="12">
        <f t="shared" si="1"/>
        <v>5950</v>
      </c>
      <c r="K62" s="50">
        <f t="shared" si="10"/>
        <v>172550</v>
      </c>
      <c r="L62" s="84"/>
      <c r="M62" s="89"/>
    </row>
    <row r="63" spans="1:14" x14ac:dyDescent="0.3">
      <c r="A63" s="5" t="s">
        <v>119</v>
      </c>
      <c r="B63" s="7" t="s">
        <v>210</v>
      </c>
      <c r="C63" s="7" t="s">
        <v>9</v>
      </c>
      <c r="D63" s="7">
        <v>4</v>
      </c>
      <c r="E63" s="28"/>
      <c r="F63" s="51">
        <v>100000</v>
      </c>
      <c r="G63" s="28"/>
      <c r="H63" s="50">
        <f t="shared" si="11"/>
        <v>100000</v>
      </c>
      <c r="I63" s="12">
        <f t="shared" si="0"/>
        <v>19000</v>
      </c>
      <c r="J63" s="12">
        <f t="shared" si="1"/>
        <v>119000</v>
      </c>
      <c r="K63" s="50">
        <f t="shared" si="10"/>
        <v>476000</v>
      </c>
      <c r="L63" s="84"/>
      <c r="M63" s="89"/>
    </row>
    <row r="64" spans="1:14" x14ac:dyDescent="0.3">
      <c r="A64" s="5" t="s">
        <v>120</v>
      </c>
      <c r="B64" s="7" t="s">
        <v>200</v>
      </c>
      <c r="C64" s="7" t="s">
        <v>64</v>
      </c>
      <c r="D64" s="7">
        <v>1</v>
      </c>
      <c r="E64" s="28"/>
      <c r="F64" s="51">
        <v>120000</v>
      </c>
      <c r="G64" s="28"/>
      <c r="H64" s="50">
        <f t="shared" si="11"/>
        <v>120000</v>
      </c>
      <c r="I64" s="12">
        <f t="shared" si="0"/>
        <v>22800</v>
      </c>
      <c r="J64" s="12">
        <f t="shared" si="1"/>
        <v>142800</v>
      </c>
      <c r="K64" s="50">
        <f t="shared" si="10"/>
        <v>142800</v>
      </c>
      <c r="L64" s="84"/>
      <c r="M64" s="89"/>
    </row>
    <row r="65" spans="1:14" x14ac:dyDescent="0.3">
      <c r="A65" s="5" t="s">
        <v>121</v>
      </c>
      <c r="B65" s="7" t="s">
        <v>201</v>
      </c>
      <c r="C65" s="7" t="s">
        <v>9</v>
      </c>
      <c r="D65" s="7">
        <v>20</v>
      </c>
      <c r="E65" s="28"/>
      <c r="F65" s="51">
        <v>131420</v>
      </c>
      <c r="G65" s="28">
        <v>151420</v>
      </c>
      <c r="H65" s="50">
        <f>+F65</f>
        <v>131420</v>
      </c>
      <c r="I65" s="12">
        <f t="shared" si="0"/>
        <v>24969.8</v>
      </c>
      <c r="J65" s="12">
        <f t="shared" si="1"/>
        <v>156389.79999999999</v>
      </c>
      <c r="K65" s="50">
        <f t="shared" si="10"/>
        <v>3127796</v>
      </c>
      <c r="L65" s="84"/>
      <c r="M65" s="89"/>
    </row>
    <row r="66" spans="1:14" ht="32.25" customHeight="1" x14ac:dyDescent="0.3">
      <c r="A66" s="5" t="s">
        <v>122</v>
      </c>
      <c r="B66" s="3" t="s">
        <v>227</v>
      </c>
      <c r="C66" s="7" t="s">
        <v>9</v>
      </c>
      <c r="D66" s="7">
        <v>15</v>
      </c>
      <c r="E66" s="51">
        <v>37420</v>
      </c>
      <c r="F66" s="56">
        <v>50420</v>
      </c>
      <c r="G66" s="28"/>
      <c r="H66" s="50">
        <f>+E66</f>
        <v>37420</v>
      </c>
      <c r="I66" s="12">
        <f t="shared" si="0"/>
        <v>7109.8</v>
      </c>
      <c r="J66" s="12">
        <f t="shared" si="1"/>
        <v>44529.8</v>
      </c>
      <c r="K66" s="50">
        <f t="shared" si="10"/>
        <v>667947</v>
      </c>
      <c r="L66" s="84"/>
      <c r="M66" s="89"/>
    </row>
    <row r="67" spans="1:14" ht="33" x14ac:dyDescent="0.3">
      <c r="A67" s="5" t="s">
        <v>182</v>
      </c>
      <c r="B67" s="7" t="s">
        <v>184</v>
      </c>
      <c r="C67" s="7" t="s">
        <v>9</v>
      </c>
      <c r="D67" s="7">
        <v>5</v>
      </c>
      <c r="E67" s="28"/>
      <c r="F67" s="51">
        <v>120000</v>
      </c>
      <c r="G67" s="28"/>
      <c r="H67" s="50">
        <f t="shared" si="11"/>
        <v>120000</v>
      </c>
      <c r="I67" s="12">
        <f t="shared" si="0"/>
        <v>22800</v>
      </c>
      <c r="J67" s="12">
        <f t="shared" si="1"/>
        <v>142800</v>
      </c>
      <c r="K67" s="50">
        <f t="shared" si="10"/>
        <v>714000</v>
      </c>
      <c r="L67" s="84"/>
      <c r="M67" s="89"/>
    </row>
    <row r="68" spans="1:14" ht="33" x14ac:dyDescent="0.3">
      <c r="A68" s="5" t="s">
        <v>183</v>
      </c>
      <c r="B68" s="7" t="s">
        <v>185</v>
      </c>
      <c r="C68" s="7" t="s">
        <v>9</v>
      </c>
      <c r="D68" s="7">
        <v>2</v>
      </c>
      <c r="E68" s="28"/>
      <c r="F68" s="51">
        <v>120000</v>
      </c>
      <c r="G68" s="28"/>
      <c r="H68" s="50">
        <f t="shared" si="11"/>
        <v>120000</v>
      </c>
      <c r="I68" s="12">
        <f t="shared" si="0"/>
        <v>22800</v>
      </c>
      <c r="J68" s="12">
        <f t="shared" si="1"/>
        <v>142800</v>
      </c>
      <c r="K68" s="50">
        <f>D68*J68</f>
        <v>285600</v>
      </c>
      <c r="L68" s="85"/>
      <c r="M68" s="89"/>
    </row>
    <row r="69" spans="1:14" ht="15" x14ac:dyDescent="0.25">
      <c r="A69" s="22">
        <v>6</v>
      </c>
      <c r="B69" s="53" t="s">
        <v>211</v>
      </c>
      <c r="C69" s="39"/>
      <c r="D69" s="22"/>
      <c r="E69" s="23"/>
      <c r="F69" s="23"/>
      <c r="G69" s="23"/>
      <c r="H69" s="23"/>
      <c r="I69" s="23"/>
      <c r="J69" s="23"/>
      <c r="K69" s="21">
        <f>SUM(K70:K75)</f>
        <v>630863.03</v>
      </c>
      <c r="L69" s="21"/>
      <c r="M69" s="21"/>
    </row>
    <row r="70" spans="1:14" x14ac:dyDescent="0.3">
      <c r="A70" s="5" t="s">
        <v>69</v>
      </c>
      <c r="B70" s="3" t="s">
        <v>162</v>
      </c>
      <c r="C70" s="2" t="s">
        <v>9</v>
      </c>
      <c r="D70" s="5">
        <v>2</v>
      </c>
      <c r="E70" s="13"/>
      <c r="F70" s="50">
        <v>21929</v>
      </c>
      <c r="G70" s="12">
        <v>48756</v>
      </c>
      <c r="H70" s="50">
        <f>+F70</f>
        <v>21929</v>
      </c>
      <c r="I70" s="12">
        <f t="shared" si="0"/>
        <v>4166.51</v>
      </c>
      <c r="J70" s="12">
        <f t="shared" si="1"/>
        <v>26095.510000000002</v>
      </c>
      <c r="K70" s="50">
        <f>D70*J70</f>
        <v>52191.020000000004</v>
      </c>
      <c r="L70" s="83" t="s">
        <v>220</v>
      </c>
      <c r="M70" s="90" t="s">
        <v>212</v>
      </c>
      <c r="N70" t="s">
        <v>148</v>
      </c>
    </row>
    <row r="71" spans="1:14" x14ac:dyDescent="0.3">
      <c r="A71" s="5" t="s">
        <v>70</v>
      </c>
      <c r="B71" s="3" t="s">
        <v>163</v>
      </c>
      <c r="C71" s="2" t="s">
        <v>9</v>
      </c>
      <c r="D71" s="5">
        <v>2</v>
      </c>
      <c r="E71" s="13"/>
      <c r="F71" s="50">
        <v>22749</v>
      </c>
      <c r="G71" s="12">
        <v>48756</v>
      </c>
      <c r="H71" s="50">
        <f t="shared" ref="H71:H75" si="12">+F71</f>
        <v>22749</v>
      </c>
      <c r="I71" s="12">
        <f t="shared" si="0"/>
        <v>4322.3100000000004</v>
      </c>
      <c r="J71" s="12">
        <f t="shared" si="1"/>
        <v>27071.31</v>
      </c>
      <c r="K71" s="50">
        <f t="shared" ref="K71:K83" si="13">D71*J71</f>
        <v>54142.62</v>
      </c>
      <c r="L71" s="84"/>
      <c r="M71" s="91"/>
      <c r="N71" t="s">
        <v>148</v>
      </c>
    </row>
    <row r="72" spans="1:14" x14ac:dyDescent="0.3">
      <c r="A72" s="5" t="s">
        <v>71</v>
      </c>
      <c r="B72" s="3" t="s">
        <v>164</v>
      </c>
      <c r="C72" s="2" t="s">
        <v>9</v>
      </c>
      <c r="D72" s="5">
        <v>1</v>
      </c>
      <c r="E72" s="13"/>
      <c r="F72" s="50">
        <v>22749</v>
      </c>
      <c r="G72" s="12">
        <v>48756</v>
      </c>
      <c r="H72" s="50">
        <f t="shared" si="12"/>
        <v>22749</v>
      </c>
      <c r="I72" s="12">
        <f t="shared" si="0"/>
        <v>4322.3100000000004</v>
      </c>
      <c r="J72" s="12">
        <f t="shared" ref="J72:J103" si="14">H72+I72</f>
        <v>27071.31</v>
      </c>
      <c r="K72" s="50">
        <f t="shared" si="13"/>
        <v>27071.31</v>
      </c>
      <c r="L72" s="84"/>
      <c r="M72" s="91"/>
      <c r="N72" t="s">
        <v>148</v>
      </c>
    </row>
    <row r="73" spans="1:14" x14ac:dyDescent="0.3">
      <c r="A73" s="5" t="s">
        <v>72</v>
      </c>
      <c r="B73" s="3" t="s">
        <v>260</v>
      </c>
      <c r="C73" s="2" t="s">
        <v>9</v>
      </c>
      <c r="D73" s="5">
        <v>2</v>
      </c>
      <c r="E73" s="13"/>
      <c r="F73" s="50">
        <v>37429</v>
      </c>
      <c r="G73" s="12"/>
      <c r="H73" s="50">
        <f t="shared" si="12"/>
        <v>37429</v>
      </c>
      <c r="I73" s="12">
        <f t="shared" si="0"/>
        <v>7111.51</v>
      </c>
      <c r="J73" s="12">
        <f t="shared" si="14"/>
        <v>44540.51</v>
      </c>
      <c r="K73" s="50">
        <f t="shared" si="13"/>
        <v>89081.02</v>
      </c>
      <c r="L73" s="84"/>
      <c r="M73" s="91"/>
      <c r="N73" t="s">
        <v>148</v>
      </c>
    </row>
    <row r="74" spans="1:14" ht="33" x14ac:dyDescent="0.3">
      <c r="A74" s="5" t="s">
        <v>73</v>
      </c>
      <c r="B74" s="7" t="s">
        <v>213</v>
      </c>
      <c r="C74" s="1" t="s">
        <v>18</v>
      </c>
      <c r="D74" s="16">
        <v>1</v>
      </c>
      <c r="E74" s="12"/>
      <c r="F74" s="50">
        <v>241039</v>
      </c>
      <c r="G74" s="12"/>
      <c r="H74" s="50">
        <f t="shared" si="12"/>
        <v>241039</v>
      </c>
      <c r="I74" s="12">
        <f t="shared" ref="I74:I103" si="15">H74*19%</f>
        <v>45797.41</v>
      </c>
      <c r="J74" s="12">
        <f t="shared" si="14"/>
        <v>286836.41000000003</v>
      </c>
      <c r="K74" s="50">
        <f t="shared" si="13"/>
        <v>286836.41000000003</v>
      </c>
      <c r="L74" s="85"/>
      <c r="M74" s="91"/>
      <c r="N74" t="s">
        <v>148</v>
      </c>
    </row>
    <row r="75" spans="1:14" x14ac:dyDescent="0.3">
      <c r="A75" s="5" t="s">
        <v>235</v>
      </c>
      <c r="B75" s="3" t="s">
        <v>238</v>
      </c>
      <c r="C75" s="1" t="s">
        <v>9</v>
      </c>
      <c r="D75" s="16">
        <v>1</v>
      </c>
      <c r="E75" s="12"/>
      <c r="F75" s="50">
        <v>102135</v>
      </c>
      <c r="G75" s="12"/>
      <c r="H75" s="50">
        <f t="shared" si="12"/>
        <v>102135</v>
      </c>
      <c r="I75" s="12">
        <f t="shared" si="15"/>
        <v>19405.650000000001</v>
      </c>
      <c r="J75" s="12">
        <f t="shared" si="14"/>
        <v>121540.65</v>
      </c>
      <c r="K75" s="50">
        <f t="shared" si="13"/>
        <v>121540.65</v>
      </c>
      <c r="L75" s="62"/>
      <c r="M75" s="64"/>
    </row>
    <row r="76" spans="1:14" ht="15" x14ac:dyDescent="0.25">
      <c r="A76" s="22">
        <v>7</v>
      </c>
      <c r="B76" s="53" t="s">
        <v>62</v>
      </c>
      <c r="C76" s="39"/>
      <c r="D76" s="22"/>
      <c r="E76" s="23"/>
      <c r="F76" s="23"/>
      <c r="G76" s="23"/>
      <c r="H76" s="23"/>
      <c r="I76" s="23"/>
      <c r="J76" s="23"/>
      <c r="K76" s="21">
        <f>SUM(K77:K83)</f>
        <v>8703335.0823999997</v>
      </c>
      <c r="L76" s="21"/>
      <c r="M76" s="21"/>
    </row>
    <row r="77" spans="1:14" ht="31.5" customHeight="1" x14ac:dyDescent="0.3">
      <c r="A77" s="5" t="s">
        <v>65</v>
      </c>
      <c r="B77" s="3" t="s">
        <v>84</v>
      </c>
      <c r="C77" s="2" t="s">
        <v>9</v>
      </c>
      <c r="D77" s="20">
        <v>1</v>
      </c>
      <c r="E77" s="50">
        <v>336600</v>
      </c>
      <c r="F77" s="12">
        <v>360000</v>
      </c>
      <c r="G77" s="12">
        <v>500000</v>
      </c>
      <c r="H77" s="50">
        <f>+E77</f>
        <v>336600</v>
      </c>
      <c r="I77" s="12">
        <f t="shared" si="15"/>
        <v>63954</v>
      </c>
      <c r="J77" s="12">
        <f t="shared" si="14"/>
        <v>400554</v>
      </c>
      <c r="K77" s="50">
        <f t="shared" si="13"/>
        <v>400554</v>
      </c>
      <c r="L77" s="83" t="s">
        <v>220</v>
      </c>
      <c r="M77" s="90" t="s">
        <v>187</v>
      </c>
      <c r="N77" s="4" t="s">
        <v>151</v>
      </c>
    </row>
    <row r="78" spans="1:14" ht="33" x14ac:dyDescent="0.3">
      <c r="A78" s="5" t="s">
        <v>66</v>
      </c>
      <c r="B78" s="3" t="s">
        <v>83</v>
      </c>
      <c r="C78" s="2" t="s">
        <v>9</v>
      </c>
      <c r="D78" s="5">
        <v>1</v>
      </c>
      <c r="E78" s="50">
        <v>297000</v>
      </c>
      <c r="F78" s="12">
        <v>320000</v>
      </c>
      <c r="G78" s="12">
        <v>390000</v>
      </c>
      <c r="H78" s="50">
        <f>+E78</f>
        <v>297000</v>
      </c>
      <c r="I78" s="12">
        <f t="shared" si="15"/>
        <v>56430</v>
      </c>
      <c r="J78" s="12">
        <f t="shared" si="14"/>
        <v>353430</v>
      </c>
      <c r="K78" s="50">
        <f t="shared" si="13"/>
        <v>353430</v>
      </c>
      <c r="L78" s="84"/>
      <c r="M78" s="91"/>
      <c r="N78" s="4" t="s">
        <v>151</v>
      </c>
    </row>
    <row r="79" spans="1:14" ht="33" x14ac:dyDescent="0.3">
      <c r="A79" s="5" t="s">
        <v>123</v>
      </c>
      <c r="B79" s="3" t="s">
        <v>254</v>
      </c>
      <c r="C79" s="2" t="s">
        <v>16</v>
      </c>
      <c r="D79" s="5">
        <v>2.2200000000000002</v>
      </c>
      <c r="E79" s="50">
        <v>114864</v>
      </c>
      <c r="F79" s="12">
        <v>180000</v>
      </c>
      <c r="G79" s="12">
        <v>180000</v>
      </c>
      <c r="H79" s="50">
        <f>+E79</f>
        <v>114864</v>
      </c>
      <c r="I79" s="12">
        <f t="shared" si="15"/>
        <v>21824.16</v>
      </c>
      <c r="J79" s="12">
        <f t="shared" si="14"/>
        <v>136688.16</v>
      </c>
      <c r="K79" s="50">
        <f t="shared" si="13"/>
        <v>303447.71520000004</v>
      </c>
      <c r="L79" s="84"/>
      <c r="M79" s="91"/>
      <c r="N79" s="4" t="s">
        <v>151</v>
      </c>
    </row>
    <row r="80" spans="1:14" x14ac:dyDescent="0.3">
      <c r="A80" s="5" t="s">
        <v>67</v>
      </c>
      <c r="B80" s="54" t="s">
        <v>236</v>
      </c>
      <c r="C80" s="8" t="s">
        <v>237</v>
      </c>
      <c r="D80" s="17">
        <v>4</v>
      </c>
      <c r="E80" s="32"/>
      <c r="F80" s="52">
        <v>48274</v>
      </c>
      <c r="G80" s="38"/>
      <c r="H80" s="50">
        <f>+F80</f>
        <v>48274</v>
      </c>
      <c r="I80" s="12">
        <f t="shared" si="15"/>
        <v>9172.06</v>
      </c>
      <c r="J80" s="12">
        <f t="shared" si="14"/>
        <v>57446.06</v>
      </c>
      <c r="K80" s="50">
        <f t="shared" si="13"/>
        <v>229784.24</v>
      </c>
      <c r="L80" s="84"/>
      <c r="M80" s="91"/>
      <c r="N80" s="4" t="s">
        <v>152</v>
      </c>
    </row>
    <row r="81" spans="1:14" x14ac:dyDescent="0.3">
      <c r="A81" s="5" t="s">
        <v>68</v>
      </c>
      <c r="B81" s="54" t="s">
        <v>217</v>
      </c>
      <c r="C81" s="8" t="s">
        <v>16</v>
      </c>
      <c r="D81" s="17">
        <v>3.4</v>
      </c>
      <c r="E81" s="32"/>
      <c r="F81" s="52">
        <v>30336</v>
      </c>
      <c r="G81" s="38">
        <v>70588</v>
      </c>
      <c r="H81" s="52">
        <f>+F81</f>
        <v>30336</v>
      </c>
      <c r="I81" s="12">
        <f t="shared" si="15"/>
        <v>5763.84</v>
      </c>
      <c r="J81" s="12">
        <f t="shared" si="14"/>
        <v>36099.839999999997</v>
      </c>
      <c r="K81" s="50">
        <f t="shared" si="13"/>
        <v>122739.45599999999</v>
      </c>
      <c r="L81" s="84"/>
      <c r="M81" s="91"/>
      <c r="N81" s="4" t="s">
        <v>147</v>
      </c>
    </row>
    <row r="82" spans="1:14" x14ac:dyDescent="0.3">
      <c r="A82" s="5" t="s">
        <v>124</v>
      </c>
      <c r="B82" s="54" t="s">
        <v>165</v>
      </c>
      <c r="C82" s="8" t="s">
        <v>24</v>
      </c>
      <c r="D82" s="17">
        <v>11.66</v>
      </c>
      <c r="E82" s="32"/>
      <c r="F82" s="52">
        <v>58225</v>
      </c>
      <c r="G82" s="38"/>
      <c r="H82" s="52">
        <f>F82</f>
        <v>58225</v>
      </c>
      <c r="I82" s="12">
        <f t="shared" si="15"/>
        <v>11062.75</v>
      </c>
      <c r="J82" s="12">
        <f t="shared" si="14"/>
        <v>69287.75</v>
      </c>
      <c r="K82" s="50">
        <f t="shared" si="13"/>
        <v>807895.16500000004</v>
      </c>
      <c r="L82" s="84"/>
      <c r="M82" s="91"/>
      <c r="N82" s="4" t="s">
        <v>147</v>
      </c>
    </row>
    <row r="83" spans="1:14" ht="33" x14ac:dyDescent="0.3">
      <c r="A83" s="5" t="s">
        <v>125</v>
      </c>
      <c r="B83" s="7" t="s">
        <v>166</v>
      </c>
      <c r="C83" s="1" t="s">
        <v>16</v>
      </c>
      <c r="D83" s="16">
        <v>26.98</v>
      </c>
      <c r="E83" s="50">
        <v>202001</v>
      </c>
      <c r="F83" s="13">
        <v>220386</v>
      </c>
      <c r="G83" s="13">
        <v>350000</v>
      </c>
      <c r="H83" s="50">
        <f>+E83</f>
        <v>202001</v>
      </c>
      <c r="I83" s="12">
        <f t="shared" si="15"/>
        <v>38380.19</v>
      </c>
      <c r="J83" s="12">
        <f t="shared" si="14"/>
        <v>240381.19</v>
      </c>
      <c r="K83" s="50">
        <f t="shared" si="13"/>
        <v>6485484.5061999997</v>
      </c>
      <c r="L83" s="85"/>
      <c r="M83" s="91"/>
      <c r="N83" s="4" t="s">
        <v>151</v>
      </c>
    </row>
    <row r="84" spans="1:14" x14ac:dyDescent="0.25">
      <c r="A84" s="22">
        <v>8</v>
      </c>
      <c r="B84" s="53" t="s">
        <v>225</v>
      </c>
      <c r="C84" s="61"/>
      <c r="D84" s="22"/>
      <c r="E84" s="23"/>
      <c r="F84" s="23"/>
      <c r="G84" s="23"/>
      <c r="H84" s="23"/>
      <c r="I84" s="23"/>
      <c r="J84" s="23"/>
      <c r="K84" s="21">
        <f>SUM(K85:K85)</f>
        <v>255992.8</v>
      </c>
      <c r="L84" s="59"/>
      <c r="M84" s="60"/>
      <c r="N84" s="4"/>
    </row>
    <row r="85" spans="1:14" x14ac:dyDescent="0.3">
      <c r="A85" s="16" t="s">
        <v>222</v>
      </c>
      <c r="B85" s="44" t="s">
        <v>224</v>
      </c>
      <c r="C85" s="1" t="s">
        <v>223</v>
      </c>
      <c r="D85" s="16">
        <v>2</v>
      </c>
      <c r="E85" s="50">
        <v>107560</v>
      </c>
      <c r="F85" s="12"/>
      <c r="G85" s="12"/>
      <c r="H85" s="50">
        <f>+E85</f>
        <v>107560</v>
      </c>
      <c r="I85" s="12">
        <f t="shared" ref="I85" si="16">H85*19%</f>
        <v>20436.400000000001</v>
      </c>
      <c r="J85" s="12">
        <f t="shared" ref="J85" si="17">H85+I85</f>
        <v>127996.4</v>
      </c>
      <c r="K85" s="50">
        <f t="shared" ref="K85" si="18">D85*J85</f>
        <v>255992.8</v>
      </c>
      <c r="L85" s="59"/>
      <c r="M85" s="60"/>
      <c r="N85" s="4"/>
    </row>
    <row r="86" spans="1:14" ht="15" x14ac:dyDescent="0.25">
      <c r="A86" s="22">
        <v>9</v>
      </c>
      <c r="B86" s="53" t="s">
        <v>8</v>
      </c>
      <c r="C86" s="39"/>
      <c r="D86" s="22"/>
      <c r="E86" s="23"/>
      <c r="F86" s="23"/>
      <c r="G86" s="23"/>
      <c r="H86" s="23"/>
      <c r="I86" s="23"/>
      <c r="J86" s="23"/>
      <c r="K86" s="21">
        <f>SUM(K87:K96)</f>
        <v>34272984.130000003</v>
      </c>
      <c r="L86" s="21"/>
      <c r="M86" s="21"/>
    </row>
    <row r="87" spans="1:14" ht="33" customHeight="1" x14ac:dyDescent="0.3">
      <c r="A87" s="16" t="s">
        <v>20</v>
      </c>
      <c r="B87" s="7" t="s">
        <v>167</v>
      </c>
      <c r="C87" s="1" t="s">
        <v>9</v>
      </c>
      <c r="D87" s="16">
        <v>8</v>
      </c>
      <c r="E87" s="50">
        <v>1200000</v>
      </c>
      <c r="F87" s="12">
        <v>1224000</v>
      </c>
      <c r="G87" s="12">
        <v>1235000</v>
      </c>
      <c r="H87" s="50">
        <f>+E87</f>
        <v>1200000</v>
      </c>
      <c r="I87" s="12">
        <f t="shared" si="15"/>
        <v>228000</v>
      </c>
      <c r="J87" s="12">
        <f t="shared" si="14"/>
        <v>1428000</v>
      </c>
      <c r="K87" s="50">
        <f>D87*J87</f>
        <v>11424000</v>
      </c>
      <c r="L87" s="83" t="s">
        <v>220</v>
      </c>
      <c r="M87" s="90" t="s">
        <v>188</v>
      </c>
      <c r="N87" t="s">
        <v>153</v>
      </c>
    </row>
    <row r="88" spans="1:14" ht="33" x14ac:dyDescent="0.3">
      <c r="A88" s="16" t="s">
        <v>21</v>
      </c>
      <c r="B88" s="7" t="s">
        <v>168</v>
      </c>
      <c r="C88" s="1" t="s">
        <v>9</v>
      </c>
      <c r="D88" s="16">
        <v>1</v>
      </c>
      <c r="E88" s="50">
        <v>1180000</v>
      </c>
      <c r="F88" s="12">
        <v>1428000</v>
      </c>
      <c r="G88" s="12">
        <v>1650000</v>
      </c>
      <c r="H88" s="50">
        <f>+E88</f>
        <v>1180000</v>
      </c>
      <c r="I88" s="12">
        <f t="shared" si="15"/>
        <v>224200</v>
      </c>
      <c r="J88" s="12">
        <f t="shared" si="14"/>
        <v>1404200</v>
      </c>
      <c r="K88" s="50">
        <f t="shared" ref="K88:K91" si="19">D88*J88</f>
        <v>1404200</v>
      </c>
      <c r="L88" s="84"/>
      <c r="M88" s="91"/>
      <c r="N88" t="s">
        <v>154</v>
      </c>
    </row>
    <row r="89" spans="1:14" ht="33" x14ac:dyDescent="0.3">
      <c r="A89" s="16" t="s">
        <v>126</v>
      </c>
      <c r="B89" s="7" t="s">
        <v>169</v>
      </c>
      <c r="C89" s="1" t="s">
        <v>9</v>
      </c>
      <c r="D89" s="16">
        <v>1</v>
      </c>
      <c r="E89" s="12"/>
      <c r="F89" s="50">
        <v>8143170</v>
      </c>
      <c r="G89" s="12"/>
      <c r="H89" s="50">
        <f>F89</f>
        <v>8143170</v>
      </c>
      <c r="I89" s="12">
        <f t="shared" si="15"/>
        <v>1547202.3</v>
      </c>
      <c r="J89" s="12">
        <f t="shared" si="14"/>
        <v>9690372.3000000007</v>
      </c>
      <c r="K89" s="50">
        <f t="shared" si="19"/>
        <v>9690372.3000000007</v>
      </c>
      <c r="L89" s="84"/>
      <c r="M89" s="91"/>
      <c r="N89" t="s">
        <v>155</v>
      </c>
    </row>
    <row r="90" spans="1:14" ht="33" x14ac:dyDescent="0.3">
      <c r="A90" s="16" t="s">
        <v>127</v>
      </c>
      <c r="B90" s="3" t="s">
        <v>170</v>
      </c>
      <c r="C90" s="2" t="s">
        <v>9</v>
      </c>
      <c r="D90" s="5">
        <v>1</v>
      </c>
      <c r="E90" s="50">
        <v>6830000</v>
      </c>
      <c r="F90" s="13">
        <v>9685140</v>
      </c>
      <c r="G90" s="13">
        <v>10430000</v>
      </c>
      <c r="H90" s="50">
        <f>+E90</f>
        <v>6830000</v>
      </c>
      <c r="I90" s="12">
        <f t="shared" si="15"/>
        <v>1297700</v>
      </c>
      <c r="J90" s="12">
        <f t="shared" si="14"/>
        <v>8127700</v>
      </c>
      <c r="K90" s="50">
        <f t="shared" si="19"/>
        <v>8127700</v>
      </c>
      <c r="L90" s="84"/>
      <c r="M90" s="91"/>
      <c r="N90" t="s">
        <v>156</v>
      </c>
    </row>
    <row r="91" spans="1:14" ht="33" x14ac:dyDescent="0.3">
      <c r="A91" s="16" t="s">
        <v>140</v>
      </c>
      <c r="B91" s="3" t="s">
        <v>271</v>
      </c>
      <c r="C91" s="2" t="s">
        <v>9</v>
      </c>
      <c r="D91" s="5">
        <v>1</v>
      </c>
      <c r="E91" s="13"/>
      <c r="F91" s="50">
        <v>1085006</v>
      </c>
      <c r="G91" s="13">
        <v>1580000</v>
      </c>
      <c r="H91" s="50">
        <f>+F91</f>
        <v>1085006</v>
      </c>
      <c r="I91" s="12">
        <f t="shared" si="15"/>
        <v>206151.14</v>
      </c>
      <c r="J91" s="12">
        <f t="shared" si="14"/>
        <v>1291157.1400000001</v>
      </c>
      <c r="K91" s="50">
        <f t="shared" si="19"/>
        <v>1291157.1400000001</v>
      </c>
      <c r="L91" s="84"/>
      <c r="M91" s="91"/>
      <c r="N91" t="s">
        <v>148</v>
      </c>
    </row>
    <row r="92" spans="1:14" ht="33" x14ac:dyDescent="0.3">
      <c r="A92" s="16" t="s">
        <v>143</v>
      </c>
      <c r="B92" s="3" t="s">
        <v>229</v>
      </c>
      <c r="C92" s="2" t="s">
        <v>9</v>
      </c>
      <c r="D92" s="5">
        <v>1</v>
      </c>
      <c r="E92" s="13"/>
      <c r="F92" s="50">
        <v>570497</v>
      </c>
      <c r="G92" s="13"/>
      <c r="H92" s="50">
        <f>F92</f>
        <v>570497</v>
      </c>
      <c r="I92" s="12">
        <f t="shared" si="15"/>
        <v>108394.43000000001</v>
      </c>
      <c r="J92" s="12">
        <f t="shared" si="14"/>
        <v>678891.43</v>
      </c>
      <c r="K92" s="50">
        <f>D92*J92</f>
        <v>678891.43</v>
      </c>
      <c r="L92" s="84"/>
      <c r="M92" s="91"/>
      <c r="N92" t="s">
        <v>148</v>
      </c>
    </row>
    <row r="93" spans="1:14" ht="33" x14ac:dyDescent="0.3">
      <c r="A93" s="16" t="s">
        <v>228</v>
      </c>
      <c r="B93" s="3" t="s">
        <v>249</v>
      </c>
      <c r="C93" s="2" t="s">
        <v>9</v>
      </c>
      <c r="D93" s="5">
        <v>1</v>
      </c>
      <c r="E93" s="13"/>
      <c r="F93" s="50">
        <v>475414</v>
      </c>
      <c r="G93" s="13"/>
      <c r="H93" s="50">
        <f t="shared" ref="H93:H96" si="20">F93</f>
        <v>475414</v>
      </c>
      <c r="I93" s="12">
        <f t="shared" ref="I93:I96" si="21">H93*19%</f>
        <v>90328.66</v>
      </c>
      <c r="J93" s="12">
        <f t="shared" ref="J93:J96" si="22">H93+I93</f>
        <v>565742.66</v>
      </c>
      <c r="K93" s="50">
        <f t="shared" ref="K93:K96" si="23">D93*J93</f>
        <v>565742.66</v>
      </c>
      <c r="L93" s="84"/>
      <c r="M93" s="64"/>
    </row>
    <row r="94" spans="1:14" ht="22.5" customHeight="1" x14ac:dyDescent="0.3">
      <c r="A94" s="16" t="s">
        <v>231</v>
      </c>
      <c r="B94" s="3" t="s">
        <v>248</v>
      </c>
      <c r="C94" s="2" t="s">
        <v>9</v>
      </c>
      <c r="D94" s="5">
        <v>2</v>
      </c>
      <c r="E94" s="13"/>
      <c r="F94" s="50">
        <v>170580</v>
      </c>
      <c r="G94" s="13"/>
      <c r="H94" s="50">
        <f t="shared" si="20"/>
        <v>170580</v>
      </c>
      <c r="I94" s="12">
        <f t="shared" si="21"/>
        <v>32410.2</v>
      </c>
      <c r="J94" s="12">
        <f t="shared" si="22"/>
        <v>202990.2</v>
      </c>
      <c r="K94" s="50">
        <f t="shared" si="23"/>
        <v>405980.4</v>
      </c>
      <c r="L94" s="84"/>
      <c r="M94" s="64"/>
    </row>
    <row r="95" spans="1:14" ht="33" x14ac:dyDescent="0.3">
      <c r="A95" s="16" t="s">
        <v>232</v>
      </c>
      <c r="B95" s="3" t="s">
        <v>265</v>
      </c>
      <c r="C95" s="2" t="s">
        <v>9</v>
      </c>
      <c r="D95" s="5">
        <v>1</v>
      </c>
      <c r="E95" s="13"/>
      <c r="F95" s="50">
        <v>170580</v>
      </c>
      <c r="G95" s="13"/>
      <c r="H95" s="50">
        <f t="shared" si="20"/>
        <v>170580</v>
      </c>
      <c r="I95" s="12">
        <f t="shared" si="21"/>
        <v>32410.2</v>
      </c>
      <c r="J95" s="12">
        <f t="shared" si="22"/>
        <v>202990.2</v>
      </c>
      <c r="K95" s="50">
        <f t="shared" si="23"/>
        <v>202990.2</v>
      </c>
      <c r="L95" s="85"/>
      <c r="M95" s="64"/>
    </row>
    <row r="96" spans="1:14" ht="33" x14ac:dyDescent="0.3">
      <c r="A96" s="16" t="s">
        <v>245</v>
      </c>
      <c r="B96" s="3" t="s">
        <v>264</v>
      </c>
      <c r="C96" s="2" t="s">
        <v>256</v>
      </c>
      <c r="D96" s="5">
        <v>1</v>
      </c>
      <c r="E96" s="13"/>
      <c r="F96" s="50">
        <v>405000</v>
      </c>
      <c r="G96" s="13"/>
      <c r="H96" s="50">
        <f t="shared" si="20"/>
        <v>405000</v>
      </c>
      <c r="I96" s="12">
        <f t="shared" si="21"/>
        <v>76950</v>
      </c>
      <c r="J96" s="12">
        <f t="shared" si="22"/>
        <v>481950</v>
      </c>
      <c r="K96" s="50">
        <f t="shared" si="23"/>
        <v>481950</v>
      </c>
      <c r="L96" s="65"/>
      <c r="M96" s="66"/>
    </row>
    <row r="97" spans="1:14" ht="15" x14ac:dyDescent="0.25">
      <c r="A97" s="22">
        <v>10</v>
      </c>
      <c r="B97" s="53" t="s">
        <v>14</v>
      </c>
      <c r="C97" s="39"/>
      <c r="D97" s="22"/>
      <c r="E97" s="23"/>
      <c r="F97" s="23"/>
      <c r="G97" s="23"/>
      <c r="H97" s="23"/>
      <c r="I97" s="23"/>
      <c r="J97" s="23"/>
      <c r="K97" s="21">
        <f>SUM(K98:K101)</f>
        <v>3902577.63</v>
      </c>
      <c r="L97" s="21"/>
      <c r="M97" s="21"/>
    </row>
    <row r="98" spans="1:14" ht="16.5" customHeight="1" x14ac:dyDescent="0.3">
      <c r="A98" s="16" t="s">
        <v>11</v>
      </c>
      <c r="B98" s="3" t="s">
        <v>214</v>
      </c>
      <c r="C98" s="1" t="s">
        <v>9</v>
      </c>
      <c r="D98" s="16">
        <v>2</v>
      </c>
      <c r="E98" s="50">
        <v>1077220</v>
      </c>
      <c r="F98" s="12">
        <v>1174437</v>
      </c>
      <c r="G98" s="12">
        <v>2517900</v>
      </c>
      <c r="H98" s="50">
        <f t="shared" ref="H98:H101" si="24">+E98</f>
        <v>1077220</v>
      </c>
      <c r="I98" s="12">
        <f t="shared" si="15"/>
        <v>204671.8</v>
      </c>
      <c r="J98" s="12">
        <f t="shared" si="14"/>
        <v>1281891.8</v>
      </c>
      <c r="K98" s="50">
        <f>D98*J98</f>
        <v>2563783.6</v>
      </c>
      <c r="L98" s="83" t="s">
        <v>220</v>
      </c>
      <c r="M98" s="90" t="s">
        <v>215</v>
      </c>
      <c r="N98" t="s">
        <v>157</v>
      </c>
    </row>
    <row r="99" spans="1:14" x14ac:dyDescent="0.3">
      <c r="A99" s="16" t="s">
        <v>10</v>
      </c>
      <c r="B99" s="3" t="s">
        <v>255</v>
      </c>
      <c r="C99" s="1" t="s">
        <v>9</v>
      </c>
      <c r="D99" s="16">
        <v>1</v>
      </c>
      <c r="E99" s="50">
        <v>617900</v>
      </c>
      <c r="F99" s="12">
        <v>709437</v>
      </c>
      <c r="G99" s="12">
        <v>1011900</v>
      </c>
      <c r="H99" s="50">
        <f t="shared" si="24"/>
        <v>617900</v>
      </c>
      <c r="I99" s="12">
        <f t="shared" si="15"/>
        <v>117401</v>
      </c>
      <c r="J99" s="12">
        <f t="shared" si="14"/>
        <v>735301</v>
      </c>
      <c r="K99" s="50">
        <f t="shared" ref="K99:K101" si="25">D99*J99</f>
        <v>735301</v>
      </c>
      <c r="L99" s="84"/>
      <c r="M99" s="91"/>
      <c r="N99" t="s">
        <v>150</v>
      </c>
    </row>
    <row r="100" spans="1:14" ht="33.75" customHeight="1" x14ac:dyDescent="0.3">
      <c r="A100" s="16" t="s">
        <v>13</v>
      </c>
      <c r="B100" s="3" t="s">
        <v>216</v>
      </c>
      <c r="C100" s="1" t="s">
        <v>9</v>
      </c>
      <c r="D100" s="16">
        <v>2</v>
      </c>
      <c r="E100" s="50">
        <v>129900</v>
      </c>
      <c r="F100" s="12">
        <v>290337</v>
      </c>
      <c r="G100" s="12">
        <v>533900</v>
      </c>
      <c r="H100" s="50">
        <f t="shared" si="24"/>
        <v>129900</v>
      </c>
      <c r="I100" s="12">
        <f t="shared" si="15"/>
        <v>24681</v>
      </c>
      <c r="J100" s="12">
        <f t="shared" si="14"/>
        <v>154581</v>
      </c>
      <c r="K100" s="50">
        <f t="shared" si="25"/>
        <v>309162</v>
      </c>
      <c r="L100" s="84"/>
      <c r="M100" s="91"/>
      <c r="N100" t="s">
        <v>150</v>
      </c>
    </row>
    <row r="101" spans="1:14" ht="33" x14ac:dyDescent="0.3">
      <c r="A101" s="16" t="s">
        <v>234</v>
      </c>
      <c r="B101" s="3" t="s">
        <v>239</v>
      </c>
      <c r="C101" s="1" t="s">
        <v>9</v>
      </c>
      <c r="D101" s="16">
        <v>1</v>
      </c>
      <c r="E101" s="50">
        <v>247337</v>
      </c>
      <c r="F101" s="12"/>
      <c r="G101" s="12"/>
      <c r="H101" s="50">
        <f t="shared" si="24"/>
        <v>247337</v>
      </c>
      <c r="I101" s="12">
        <f t="shared" si="15"/>
        <v>46994.03</v>
      </c>
      <c r="J101" s="12">
        <f t="shared" si="14"/>
        <v>294331.03000000003</v>
      </c>
      <c r="K101" s="50">
        <f t="shared" si="25"/>
        <v>294331.03000000003</v>
      </c>
      <c r="L101" s="85"/>
      <c r="M101" s="64"/>
    </row>
    <row r="102" spans="1:14" ht="15" x14ac:dyDescent="0.25">
      <c r="A102" s="22">
        <v>11</v>
      </c>
      <c r="B102" s="53" t="s">
        <v>74</v>
      </c>
      <c r="C102" s="39"/>
      <c r="D102" s="22"/>
      <c r="E102" s="23"/>
      <c r="F102" s="23"/>
      <c r="G102" s="23"/>
      <c r="H102" s="23"/>
      <c r="I102" s="23"/>
      <c r="J102" s="23"/>
      <c r="K102" s="21">
        <f>SUM(K103)</f>
        <v>1238718.6000000001</v>
      </c>
      <c r="L102" s="21"/>
      <c r="M102" s="21"/>
    </row>
    <row r="103" spans="1:14" ht="19.149999999999999" customHeight="1" x14ac:dyDescent="0.3">
      <c r="A103" s="16" t="s">
        <v>15</v>
      </c>
      <c r="B103" s="7" t="s">
        <v>75</v>
      </c>
      <c r="C103" s="2" t="s">
        <v>256</v>
      </c>
      <c r="D103" s="16">
        <v>1</v>
      </c>
      <c r="E103" s="50">
        <v>1040940</v>
      </c>
      <c r="F103" s="12">
        <v>1080495</v>
      </c>
      <c r="G103" s="12"/>
      <c r="H103" s="50">
        <f>+E103</f>
        <v>1040940</v>
      </c>
      <c r="I103" s="12">
        <f t="shared" si="15"/>
        <v>197778.6</v>
      </c>
      <c r="J103" s="12">
        <f t="shared" si="14"/>
        <v>1238718.6000000001</v>
      </c>
      <c r="K103" s="50">
        <f>D103*J103</f>
        <v>1238718.6000000001</v>
      </c>
      <c r="L103" s="12"/>
      <c r="M103" s="12"/>
    </row>
    <row r="104" spans="1:14" ht="17.25" thickBot="1" x14ac:dyDescent="0.3"/>
    <row r="105" spans="1:14" x14ac:dyDescent="0.25">
      <c r="H105" s="79" t="s">
        <v>189</v>
      </c>
      <c r="I105" s="80"/>
      <c r="J105" s="80"/>
      <c r="K105" s="35">
        <f>K3+K23+K40+K45+K55+K69+K76+K86+K97+K102+K84</f>
        <v>149167054.32151601</v>
      </c>
    </row>
    <row r="106" spans="1:14" x14ac:dyDescent="0.25">
      <c r="H106" s="81" t="s">
        <v>190</v>
      </c>
      <c r="I106" s="82"/>
      <c r="J106" s="82"/>
      <c r="K106" s="36">
        <f>K105*15%</f>
        <v>22375058.148227401</v>
      </c>
    </row>
    <row r="107" spans="1:14" x14ac:dyDescent="0.25">
      <c r="H107" s="81" t="s">
        <v>191</v>
      </c>
      <c r="I107" s="82"/>
      <c r="J107" s="82"/>
      <c r="K107" s="36">
        <f>K105*4%</f>
        <v>5966682.1728606401</v>
      </c>
    </row>
    <row r="108" spans="1:14" ht="17.25" thickBot="1" x14ac:dyDescent="0.3">
      <c r="H108" s="73" t="s">
        <v>192</v>
      </c>
      <c r="I108" s="74"/>
      <c r="J108" s="74"/>
      <c r="K108" s="37">
        <f>K105*5%</f>
        <v>7458352.7160758004</v>
      </c>
    </row>
    <row r="109" spans="1:14" ht="17.25" thickBot="1" x14ac:dyDescent="0.3">
      <c r="H109"/>
      <c r="I109" s="18"/>
    </row>
    <row r="110" spans="1:14" x14ac:dyDescent="0.25">
      <c r="H110" s="79" t="s">
        <v>193</v>
      </c>
      <c r="I110" s="80"/>
      <c r="J110" s="80"/>
      <c r="K110" s="35">
        <f>K108*19%</f>
        <v>1417087.0160544021</v>
      </c>
    </row>
    <row r="111" spans="1:14" ht="17.25" thickBot="1" x14ac:dyDescent="0.3">
      <c r="H111" s="73" t="s">
        <v>194</v>
      </c>
      <c r="I111" s="74"/>
      <c r="J111" s="74"/>
      <c r="K111" s="37">
        <f>SUM(K105:K110)</f>
        <v>186384234.37473425</v>
      </c>
    </row>
  </sheetData>
  <mergeCells count="35">
    <mergeCell ref="L87:L95"/>
    <mergeCell ref="L98:L101"/>
    <mergeCell ref="M98:M100"/>
    <mergeCell ref="M4:M20"/>
    <mergeCell ref="M24:M38"/>
    <mergeCell ref="M41:M44"/>
    <mergeCell ref="M46:M53"/>
    <mergeCell ref="M56:M68"/>
    <mergeCell ref="M70:M74"/>
    <mergeCell ref="M77:M83"/>
    <mergeCell ref="M87:M92"/>
    <mergeCell ref="O4:O20"/>
    <mergeCell ref="B3:F3"/>
    <mergeCell ref="B40:F40"/>
    <mergeCell ref="B23:F23"/>
    <mergeCell ref="B45:F45"/>
    <mergeCell ref="L4:L20"/>
    <mergeCell ref="L24:L38"/>
    <mergeCell ref="L41:L44"/>
    <mergeCell ref="H111:J111"/>
    <mergeCell ref="L1:L2"/>
    <mergeCell ref="A1:D1"/>
    <mergeCell ref="H1:H2"/>
    <mergeCell ref="I1:I2"/>
    <mergeCell ref="J1:J2"/>
    <mergeCell ref="K1:K2"/>
    <mergeCell ref="H105:J105"/>
    <mergeCell ref="H106:J106"/>
    <mergeCell ref="H107:J107"/>
    <mergeCell ref="H108:J108"/>
    <mergeCell ref="H110:J110"/>
    <mergeCell ref="L46:L53"/>
    <mergeCell ref="L56:L68"/>
    <mergeCell ref="L70:L74"/>
    <mergeCell ref="L77:L83"/>
  </mergeCells>
  <hyperlinks>
    <hyperlink ref="A4" location="'1.1 '!Área_de_impresión" display="'1.1 '!Área_de_impresión"/>
    <hyperlink ref="A46" location="'1.1 '!Área_de_impresión" display="'1.1 '!Área_de_impresión"/>
    <hyperlink ref="A77" location="'8.1'!A1" display="'8.1'!A1"/>
    <hyperlink ref="A78:A83" location="'8.1'!A1" display="'8.1'!A1"/>
  </hyperlinks>
  <pageMargins left="0.70866141732283472" right="0.70866141732283472" top="0.74803149606299213" bottom="0.74803149606299213" header="0.31496062992125984" footer="0.31496062992125984"/>
  <pageSetup scale="71" orientation="portrait" r:id="rId1"/>
  <rowBreaks count="1" manualBreakCount="1">
    <brk id="54" max="5" man="1"/>
  </rowBreaks>
  <ignoredErrors>
    <ignoredError sqref="E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F14" sqref="F14"/>
    </sheetView>
  </sheetViews>
  <sheetFormatPr baseColWidth="10" defaultRowHeight="15" x14ac:dyDescent="0.25"/>
  <cols>
    <col min="1" max="1" width="6.140625" bestFit="1" customWidth="1"/>
    <col min="2" max="2" width="69.7109375" customWidth="1"/>
    <col min="3" max="3" width="9.28515625" customWidth="1"/>
    <col min="4" max="4" width="12" bestFit="1" customWidth="1"/>
    <col min="5" max="5" width="14.140625" customWidth="1"/>
    <col min="6" max="6" width="16" customWidth="1"/>
  </cols>
  <sheetData>
    <row r="1" spans="1:8" ht="28.5" x14ac:dyDescent="0.25">
      <c r="A1" s="6" t="s">
        <v>0</v>
      </c>
      <c r="B1" s="6" t="s">
        <v>1</v>
      </c>
      <c r="C1" s="6" t="s">
        <v>2</v>
      </c>
      <c r="D1" s="6" t="s">
        <v>3</v>
      </c>
      <c r="E1" s="11" t="s">
        <v>4</v>
      </c>
      <c r="F1" s="11" t="s">
        <v>5</v>
      </c>
    </row>
    <row r="2" spans="1:8" x14ac:dyDescent="0.25">
      <c r="A2" s="19">
        <v>12</v>
      </c>
      <c r="B2" s="93" t="s">
        <v>108</v>
      </c>
      <c r="C2" s="94"/>
      <c r="D2" s="94"/>
      <c r="E2" s="94"/>
      <c r="F2" s="15"/>
    </row>
    <row r="3" spans="1:8" ht="16.5" x14ac:dyDescent="0.3">
      <c r="A3" s="1" t="s">
        <v>63</v>
      </c>
      <c r="B3" s="1" t="s">
        <v>80</v>
      </c>
      <c r="C3" s="1" t="s">
        <v>9</v>
      </c>
      <c r="D3" s="16">
        <v>12</v>
      </c>
      <c r="E3" s="12">
        <v>750000</v>
      </c>
      <c r="F3" s="12">
        <v>9000000</v>
      </c>
    </row>
    <row r="4" spans="1:8" ht="16.5" x14ac:dyDescent="0.3">
      <c r="A4" s="1" t="s">
        <v>128</v>
      </c>
      <c r="B4" s="1" t="s">
        <v>12</v>
      </c>
      <c r="C4" s="1" t="s">
        <v>9</v>
      </c>
      <c r="D4" s="16">
        <v>11</v>
      </c>
      <c r="E4" s="12">
        <v>380000</v>
      </c>
      <c r="F4" s="12">
        <v>4180000</v>
      </c>
    </row>
    <row r="5" spans="1:8" ht="33" x14ac:dyDescent="0.3">
      <c r="A5" s="1" t="s">
        <v>129</v>
      </c>
      <c r="B5" s="7" t="s">
        <v>86</v>
      </c>
      <c r="C5" s="1" t="s">
        <v>9</v>
      </c>
      <c r="D5" s="16">
        <v>2</v>
      </c>
      <c r="E5" s="12">
        <v>800000</v>
      </c>
      <c r="F5" s="12">
        <v>1600000</v>
      </c>
    </row>
    <row r="6" spans="1:8" ht="16.5" x14ac:dyDescent="0.3">
      <c r="A6" s="1" t="s">
        <v>130</v>
      </c>
      <c r="B6" s="7" t="s">
        <v>81</v>
      </c>
      <c r="C6" s="1" t="s">
        <v>9</v>
      </c>
      <c r="D6" s="16">
        <v>34</v>
      </c>
      <c r="E6" s="12">
        <v>199900</v>
      </c>
      <c r="F6" s="12">
        <v>6796600</v>
      </c>
    </row>
    <row r="7" spans="1:8" ht="16.5" x14ac:dyDescent="0.3">
      <c r="A7" s="1" t="s">
        <v>131</v>
      </c>
      <c r="B7" s="7" t="s">
        <v>82</v>
      </c>
      <c r="C7" s="1" t="s">
        <v>9</v>
      </c>
      <c r="D7" s="16">
        <v>8</v>
      </c>
      <c r="E7" s="12">
        <v>89900</v>
      </c>
      <c r="F7" s="12">
        <v>719200</v>
      </c>
    </row>
    <row r="8" spans="1:8" ht="16.5" x14ac:dyDescent="0.3">
      <c r="A8" s="1" t="s">
        <v>132</v>
      </c>
      <c r="B8" s="7" t="s">
        <v>85</v>
      </c>
      <c r="C8" s="1" t="s">
        <v>9</v>
      </c>
      <c r="D8" s="16">
        <v>2</v>
      </c>
      <c r="E8" s="12">
        <v>550000</v>
      </c>
      <c r="F8" s="12">
        <v>1100000</v>
      </c>
    </row>
    <row r="9" spans="1:8" ht="16.5" x14ac:dyDescent="0.3">
      <c r="A9" s="1" t="s">
        <v>133</v>
      </c>
      <c r="B9" s="7" t="s">
        <v>89</v>
      </c>
      <c r="C9" s="1" t="s">
        <v>49</v>
      </c>
      <c r="D9" s="16">
        <v>1</v>
      </c>
      <c r="E9" s="12">
        <v>291772</v>
      </c>
      <c r="F9" s="12">
        <v>291772</v>
      </c>
      <c r="H9" s="26">
        <f>E9+E10</f>
        <v>481341</v>
      </c>
    </row>
    <row r="10" spans="1:8" ht="16.5" x14ac:dyDescent="0.3">
      <c r="A10" s="1" t="s">
        <v>134</v>
      </c>
      <c r="B10" s="7" t="s">
        <v>90</v>
      </c>
      <c r="C10" s="1" t="s">
        <v>9</v>
      </c>
      <c r="D10" s="16">
        <v>1</v>
      </c>
      <c r="E10" s="12">
        <v>189569</v>
      </c>
      <c r="F10" s="12">
        <v>189569</v>
      </c>
    </row>
    <row r="11" spans="1:8" ht="16.5" x14ac:dyDescent="0.3">
      <c r="A11" s="1" t="s">
        <v>135</v>
      </c>
      <c r="B11" s="7" t="s">
        <v>103</v>
      </c>
      <c r="C11" s="1" t="s">
        <v>9</v>
      </c>
      <c r="D11" s="16">
        <v>1</v>
      </c>
      <c r="E11" s="12">
        <v>2000000</v>
      </c>
      <c r="F11" s="12">
        <v>2000000</v>
      </c>
    </row>
    <row r="12" spans="1:8" ht="16.5" x14ac:dyDescent="0.3">
      <c r="A12" s="1" t="s">
        <v>136</v>
      </c>
      <c r="B12" s="7" t="s">
        <v>88</v>
      </c>
      <c r="C12" s="1" t="s">
        <v>9</v>
      </c>
      <c r="D12" s="16">
        <v>2</v>
      </c>
      <c r="E12" s="12">
        <v>310292</v>
      </c>
      <c r="F12" s="12">
        <v>620584</v>
      </c>
    </row>
    <row r="13" spans="1:8" ht="16.5" x14ac:dyDescent="0.3">
      <c r="A13" s="1" t="s">
        <v>137</v>
      </c>
      <c r="B13" s="7" t="s">
        <v>91</v>
      </c>
      <c r="C13" s="1" t="s">
        <v>9</v>
      </c>
      <c r="D13" s="16">
        <v>25</v>
      </c>
      <c r="E13" s="12">
        <v>225000</v>
      </c>
      <c r="F13" s="12">
        <v>5625000</v>
      </c>
    </row>
    <row r="14" spans="1:8" ht="16.5" x14ac:dyDescent="0.3">
      <c r="E14" s="1" t="s">
        <v>109</v>
      </c>
      <c r="F14" s="25">
        <f>SUM(F3:F13)</f>
        <v>32122725</v>
      </c>
    </row>
  </sheetData>
  <mergeCells count="1">
    <mergeCell ref="B2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general</vt:lpstr>
      <vt:lpstr>Muebles oficina</vt:lpstr>
      <vt:lpstr>'Presupuesto general'!Área_de_impresión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Financiera</cp:lastModifiedBy>
  <cp:lastPrinted>2020-07-18T12:01:02Z</cp:lastPrinted>
  <dcterms:created xsi:type="dcterms:W3CDTF">2020-07-01T23:21:32Z</dcterms:created>
  <dcterms:modified xsi:type="dcterms:W3CDTF">2020-08-13T14:37:17Z</dcterms:modified>
</cp:coreProperties>
</file>