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E:\ALCALDIA DE PEREIRA\2025\CONTRATOS DE CALAMIDAD\1. OBRA 3 PUNTOS- OBRAS ADICIONALES\CONTRATO CALAMIDAD SMI-CD-XX-2025\"/>
    </mc:Choice>
  </mc:AlternateContent>
  <xr:revisionPtr revIDLastSave="0" documentId="13_ncr:1_{ECB74C27-601B-4B31-AD44-1B2F460A81BE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" sheetId="270" r:id="rId2"/>
    <sheet name="Analisis de AU" sheetId="274" r:id="rId3"/>
    <sheet name="APU" sheetId="271" r:id="rId4"/>
    <sheet name="Factor Prestacional" sheetId="272" r:id="rId5"/>
    <sheet name="Mano de Obra" sheetId="27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f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3" hidden="1">APU!$A$818:$L$827</definedName>
    <definedName name="_xlnm._FilterDatabase" localSheetId="0" hidden="1">'PRESUPUESTO OFICIAL (Entidad)'!$I$10:$I$44</definedName>
    <definedName name="_xlnm._FilterDatabase" localSheetId="1" hidden="1">'PROPUESTA ECONOMICA'!$I$10:$I$44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F1">'[119]Diseño Chequeo LETRAS qmh Per'!#REF!</definedName>
    <definedName name="_INF2">'[119]Diseño Chequeo LETRAS qmh Per'!#REF!</definedName>
    <definedName name="_INF21">'[119]Diseño Chequeo LETRAS qmh Per'!#REF!</definedName>
    <definedName name="_INF3">'[119]Diseño Chequeo LETRAS qmh Per'!#REF!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3" hidden="1">255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3">'[120]Diseño Chequeo LETRAS qmh Per'!#REF!</definedName>
    <definedName name="a">'[23]DUB-823'!#REF!</definedName>
    <definedName name="A_1">#REF!</definedName>
    <definedName name="A_impresión_IM" localSheetId="3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ALI">#REF!</definedName>
    <definedName name="Analis">#REF!</definedName>
    <definedName name="ANCLAJE">'[33]MC SF GAVIONES'!#REF!</definedName>
    <definedName name="AND">#REF!</definedName>
    <definedName name="Andres123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'Analisis de AU'!$A$1:$F$57</definedName>
    <definedName name="_xlnm.Print_Area" localSheetId="3">APU!$A$784:$L$1019</definedName>
    <definedName name="_xlnm.Print_Area" localSheetId="4">'Factor Prestacional'!$A$1:$J$37</definedName>
    <definedName name="_xlnm.Print_Area" localSheetId="5">'Mano de Obra'!$A$1:$H$47</definedName>
    <definedName name="_xlnm.Print_Area" localSheetId="0">'PRESUPUESTO OFICIAL (Entidad)'!$A$1:$M$57</definedName>
    <definedName name="_xlnm.Print_Area" localSheetId="1">'PROPUESTA ECONOMICA'!$A$1:$M$57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localSheetId="3">'[120]Diseño Chequeo LETRAS qmh Per'!#REF!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llavista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mpresores">#REF!</definedName>
    <definedName name="Concretos">[121]Insumos!#REF!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DIREC">#REF!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o1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aDisplayed">"Ejemplo"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jg6f521">#REF!</definedName>
    <definedName name="dgfsado" hidden="1">{"TAB1",#N/A,TRUE,"GENERAL";"TAB2",#N/A,TRUE,"GENERAL";"TAB3",#N/A,TRUE,"GENERAL";"TAB4",#N/A,TRUE,"GENERAL";"TAB5",#N/A,TRUE,"GENERAL"}</definedName>
    <definedName name="dghryuurttru5659rth884">#REF!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fgfh5fd56db4d65g44">#REF!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rectorio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OSTOS">#N/A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cAnt">#REF!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">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3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fgfhh">'[119]Diseño Chequeo LETRAS qmh Per'!#REF!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TYJBYUKIUKYUJ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jskhlgishglakjfherwiouhgoajesl5646354">'[119]Diseño Chequeo LETRAS qmh Per'!#REF!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v">'[120]Diseño Chequeo LETRAS qmh Per'!#REF!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jhdfdfjtjt33622">'[119]Diseño Chequeo LETRAS qmh Per'!#REF!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rdin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">#REF!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MyH">#REF!</definedName>
    <definedName name="n" hidden="1">{"via1",#N/A,TRUE,"general";"via2",#N/A,TRUE,"general";"via3",#N/A,TRUE,"general"}</definedName>
    <definedName name="nacederos">#REF!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localSheetId="3">'[119]Diseño Chequeo LETRAS qmh Per'!#REF!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3">[122]Insumos!#REF!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ares">#REF!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ciosAct">#REF!</definedName>
    <definedName name="PREST">#REF!</definedName>
    <definedName name="presupuesto">'[120]Diseño Chequeo LETRAS qmh Per'!#REF!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oveedor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lleno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_OPTIMIZ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 localSheetId="3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ryyy7ytrgyyreredf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SF">#REF!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anfernando">#REF!</definedName>
    <definedName name="sanfernando2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csdgg">#REF!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gyuyuj14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licer_Contact_Type">#N/A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(Entidad)'!$K$46</definedName>
    <definedName name="solver_adj" localSheetId="1" hidden="1">'PROPUESTA ECONOMICA'!$K$46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(Entidad)'!$K$53</definedName>
    <definedName name="solver_lhs1" localSheetId="1" hidden="1">'PROPUESTA ECONOMICA'!$K$53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(Entidad)'!$K$53</definedName>
    <definedName name="solver_opt" localSheetId="1" hidden="1">'PROPUESTA ECONOMICA'!$K$53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(Entidad)'!$K$54</definedName>
    <definedName name="solver_rhs1" localSheetId="1" hidden="1">'PROPUESTA ECONOMICA'!$K$54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blonx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3">APU!$818:$818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llavicenci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arco36">#REF!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2" i="265" l="1"/>
  <c r="J41" i="265"/>
  <c r="J40" i="265"/>
  <c r="J39" i="265"/>
  <c r="J38" i="265"/>
  <c r="J37" i="265"/>
  <c r="J33" i="265"/>
  <c r="J32" i="265"/>
  <c r="J31" i="265"/>
  <c r="J30" i="265"/>
  <c r="J29" i="265"/>
  <c r="J28" i="265"/>
  <c r="F52" i="274"/>
  <c r="F46" i="274"/>
  <c r="E46" i="274"/>
  <c r="F45" i="274"/>
  <c r="E45" i="274"/>
  <c r="E44" i="274"/>
  <c r="F44" i="274" s="1"/>
  <c r="E43" i="274"/>
  <c r="F43" i="274" s="1"/>
  <c r="E42" i="274"/>
  <c r="F42" i="274" s="1"/>
  <c r="F47" i="274" s="1"/>
  <c r="F24" i="274"/>
  <c r="E24" i="274"/>
  <c r="F23" i="274"/>
  <c r="E23" i="274"/>
  <c r="E22" i="274"/>
  <c r="F22" i="274" s="1"/>
  <c r="F21" i="274"/>
  <c r="E21" i="274"/>
  <c r="F20" i="274"/>
  <c r="E20" i="274"/>
  <c r="F19" i="274"/>
  <c r="F26" i="274" s="1"/>
  <c r="E19" i="274"/>
  <c r="F18" i="274"/>
  <c r="E18" i="274"/>
  <c r="E13" i="274"/>
  <c r="E12" i="274"/>
  <c r="E11" i="274"/>
  <c r="F7" i="274"/>
  <c r="H2" i="274"/>
  <c r="D34" i="273"/>
  <c r="D30" i="273"/>
  <c r="E29" i="273"/>
  <c r="E28" i="273"/>
  <c r="E24" i="273"/>
  <c r="E20" i="273"/>
  <c r="E18" i="273"/>
  <c r="E17" i="273"/>
  <c r="E15" i="273"/>
  <c r="E14" i="273"/>
  <c r="E12" i="273"/>
  <c r="E11" i="273"/>
  <c r="E9" i="273"/>
  <c r="E31" i="273" s="1"/>
  <c r="E8" i="273"/>
  <c r="E32" i="273" s="1"/>
  <c r="E7" i="273"/>
  <c r="I25" i="272"/>
  <c r="H25" i="272"/>
  <c r="G25" i="272" s="1"/>
  <c r="E25" i="272"/>
  <c r="D25" i="272"/>
  <c r="B25" i="272" s="1"/>
  <c r="E1046" i="271"/>
  <c r="D1046" i="271"/>
  <c r="E1045" i="271"/>
  <c r="D1045" i="271"/>
  <c r="E1044" i="271"/>
  <c r="D1044" i="271"/>
  <c r="E1043" i="271"/>
  <c r="D1043" i="271"/>
  <c r="E1042" i="271"/>
  <c r="D1042" i="271"/>
  <c r="E1041" i="271"/>
  <c r="D1041" i="271"/>
  <c r="E1038" i="271"/>
  <c r="D1038" i="271"/>
  <c r="E1037" i="271"/>
  <c r="D1037" i="271"/>
  <c r="E1036" i="271"/>
  <c r="D1036" i="271"/>
  <c r="E1035" i="271"/>
  <c r="D1035" i="271"/>
  <c r="E1034" i="271"/>
  <c r="D1034" i="271"/>
  <c r="E1033" i="271"/>
  <c r="D1033" i="271"/>
  <c r="E1032" i="271"/>
  <c r="D1032" i="271"/>
  <c r="E1031" i="271"/>
  <c r="D1031" i="271"/>
  <c r="E1028" i="271"/>
  <c r="D1028" i="271"/>
  <c r="E1027" i="271"/>
  <c r="D1027" i="271"/>
  <c r="E1026" i="271"/>
  <c r="D1026" i="271"/>
  <c r="E1025" i="271"/>
  <c r="D1025" i="271"/>
  <c r="E1024" i="271"/>
  <c r="D1024" i="271"/>
  <c r="E1023" i="271"/>
  <c r="D1023" i="271"/>
  <c r="E1022" i="271"/>
  <c r="D1022" i="271"/>
  <c r="G1016" i="271"/>
  <c r="K1016" i="271" s="1"/>
  <c r="G1015" i="271"/>
  <c r="J1015" i="271" s="1"/>
  <c r="G1014" i="271"/>
  <c r="J1014" i="271" s="1"/>
  <c r="G1013" i="271"/>
  <c r="I1013" i="271" s="1"/>
  <c r="I1018" i="271" s="1"/>
  <c r="G1008" i="271"/>
  <c r="K1008" i="271" s="1"/>
  <c r="G1007" i="271"/>
  <c r="I1007" i="271" s="1"/>
  <c r="G1006" i="271"/>
  <c r="I1006" i="271" s="1"/>
  <c r="I1010" i="271" s="1"/>
  <c r="I1003" i="271"/>
  <c r="G1000" i="271"/>
  <c r="K1000" i="271" s="1"/>
  <c r="G999" i="271"/>
  <c r="J999" i="271" s="1"/>
  <c r="G998" i="271"/>
  <c r="J998" i="271" s="1"/>
  <c r="G997" i="271"/>
  <c r="J997" i="271" s="1"/>
  <c r="K991" i="271"/>
  <c r="I990" i="271"/>
  <c r="I989" i="271"/>
  <c r="I988" i="271"/>
  <c r="I994" i="271" s="1"/>
  <c r="I985" i="271"/>
  <c r="G983" i="271"/>
  <c r="K983" i="271" s="1"/>
  <c r="J982" i="271"/>
  <c r="G981" i="271"/>
  <c r="J981" i="271" s="1"/>
  <c r="G980" i="271"/>
  <c r="J980" i="271" s="1"/>
  <c r="I977" i="271"/>
  <c r="G975" i="271"/>
  <c r="K975" i="271" s="1"/>
  <c r="J974" i="271"/>
  <c r="K970" i="271"/>
  <c r="J969" i="271"/>
  <c r="I968" i="271"/>
  <c r="I970" i="271" s="1"/>
  <c r="J967" i="271"/>
  <c r="J966" i="271"/>
  <c r="J965" i="271"/>
  <c r="K962" i="271"/>
  <c r="I962" i="271"/>
  <c r="G961" i="271"/>
  <c r="J961" i="271" s="1"/>
  <c r="J960" i="271"/>
  <c r="J959" i="271"/>
  <c r="J958" i="271"/>
  <c r="J957" i="271"/>
  <c r="J956" i="271"/>
  <c r="K953" i="271"/>
  <c r="I953" i="271"/>
  <c r="J951" i="271"/>
  <c r="G952" i="271" s="1"/>
  <c r="J952" i="271" s="1"/>
  <c r="J950" i="271"/>
  <c r="J949" i="271"/>
  <c r="J948" i="271"/>
  <c r="J947" i="271"/>
  <c r="G941" i="271"/>
  <c r="K941" i="271" s="1"/>
  <c r="G942" i="271" s="1"/>
  <c r="K942" i="271" s="1"/>
  <c r="G940" i="271"/>
  <c r="I940" i="271" s="1"/>
  <c r="I944" i="271" s="1"/>
  <c r="G939" i="271"/>
  <c r="J939" i="271" s="1"/>
  <c r="G938" i="271"/>
  <c r="J938" i="271" s="1"/>
  <c r="I935" i="271"/>
  <c r="G933" i="271"/>
  <c r="K933" i="271" s="1"/>
  <c r="G932" i="271"/>
  <c r="J932" i="271" s="1"/>
  <c r="G927" i="271"/>
  <c r="K927" i="271" s="1"/>
  <c r="G928" i="271" s="1"/>
  <c r="J928" i="271" s="1"/>
  <c r="G926" i="271"/>
  <c r="J926" i="271" s="1"/>
  <c r="G925" i="271"/>
  <c r="I925" i="271" s="1"/>
  <c r="G924" i="271"/>
  <c r="J924" i="271" s="1"/>
  <c r="G923" i="271"/>
  <c r="I923" i="271" s="1"/>
  <c r="G922" i="271"/>
  <c r="I922" i="271" s="1"/>
  <c r="I919" i="271"/>
  <c r="G916" i="271"/>
  <c r="K916" i="271" s="1"/>
  <c r="J915" i="271"/>
  <c r="G908" i="271"/>
  <c r="K908" i="271" s="1"/>
  <c r="G907" i="271"/>
  <c r="J907" i="271" s="1"/>
  <c r="G906" i="271"/>
  <c r="J906" i="271" s="1"/>
  <c r="G905" i="271"/>
  <c r="J905" i="271" s="1"/>
  <c r="G904" i="271"/>
  <c r="J904" i="271" s="1"/>
  <c r="J903" i="271"/>
  <c r="G903" i="271"/>
  <c r="G902" i="271"/>
  <c r="I902" i="271" s="1"/>
  <c r="I911" i="271" s="1"/>
  <c r="J901" i="271"/>
  <c r="G896" i="271"/>
  <c r="K896" i="271" s="1"/>
  <c r="I894" i="271"/>
  <c r="I898" i="271" s="1"/>
  <c r="G893" i="271"/>
  <c r="J893" i="271" s="1"/>
  <c r="J892" i="271"/>
  <c r="G891" i="271"/>
  <c r="J891" i="271" s="1"/>
  <c r="G890" i="271"/>
  <c r="J890" i="271" s="1"/>
  <c r="J889" i="271"/>
  <c r="G888" i="271"/>
  <c r="J888" i="271" s="1"/>
  <c r="G881" i="271"/>
  <c r="K881" i="271" s="1"/>
  <c r="K883" i="271" s="1"/>
  <c r="G880" i="271"/>
  <c r="J880" i="271" s="1"/>
  <c r="I879" i="271"/>
  <c r="I878" i="271"/>
  <c r="D877" i="271"/>
  <c r="G871" i="271"/>
  <c r="K871" i="271" s="1"/>
  <c r="I869" i="271"/>
  <c r="I868" i="271"/>
  <c r="D867" i="271"/>
  <c r="G860" i="271"/>
  <c r="K860" i="271" s="1"/>
  <c r="G859" i="271"/>
  <c r="I859" i="271" s="1"/>
  <c r="I858" i="271"/>
  <c r="G857" i="271"/>
  <c r="J857" i="271" s="1"/>
  <c r="J855" i="271"/>
  <c r="G854" i="271"/>
  <c r="J854" i="271" s="1"/>
  <c r="G846" i="271"/>
  <c r="K846" i="271" s="1"/>
  <c r="G849" i="271" s="1"/>
  <c r="J849" i="271" s="1"/>
  <c r="G844" i="271"/>
  <c r="J844" i="271" s="1"/>
  <c r="G843" i="271"/>
  <c r="J843" i="271" s="1"/>
  <c r="G842" i="271"/>
  <c r="J842" i="271" s="1"/>
  <c r="G841" i="271"/>
  <c r="I841" i="271" s="1"/>
  <c r="I850" i="271" s="1"/>
  <c r="G840" i="271"/>
  <c r="J840" i="271" s="1"/>
  <c r="J839" i="271"/>
  <c r="G838" i="271"/>
  <c r="J838" i="271" s="1"/>
  <c r="I835" i="271"/>
  <c r="G833" i="271"/>
  <c r="K833" i="271" s="1"/>
  <c r="K835" i="271" s="1"/>
  <c r="J832" i="271"/>
  <c r="G831" i="271"/>
  <c r="J831" i="271" s="1"/>
  <c r="G830" i="271"/>
  <c r="J830" i="271" s="1"/>
  <c r="I827" i="271"/>
  <c r="G825" i="271"/>
  <c r="K825" i="271" s="1"/>
  <c r="G826" i="271" s="1"/>
  <c r="J826" i="271" s="1"/>
  <c r="G824" i="271"/>
  <c r="J824" i="271" s="1"/>
  <c r="J823" i="271"/>
  <c r="G822" i="271"/>
  <c r="J822" i="271" s="1"/>
  <c r="J821" i="271"/>
  <c r="G820" i="271"/>
  <c r="J820" i="271" s="1"/>
  <c r="K816" i="271"/>
  <c r="J816" i="271"/>
  <c r="I816" i="271"/>
  <c r="G815" i="271"/>
  <c r="J815" i="271" s="1"/>
  <c r="I798" i="271"/>
  <c r="G794" i="271"/>
  <c r="K794" i="271" s="1"/>
  <c r="G793" i="271"/>
  <c r="J793" i="271" s="1"/>
  <c r="G792" i="271"/>
  <c r="J792" i="271" s="1"/>
  <c r="G791" i="271"/>
  <c r="J791" i="271" s="1"/>
  <c r="I788" i="271"/>
  <c r="G784" i="271"/>
  <c r="K784" i="271" s="1"/>
  <c r="G779" i="271"/>
  <c r="I779" i="271" s="1"/>
  <c r="G778" i="271"/>
  <c r="I778" i="271" s="1"/>
  <c r="G777" i="271"/>
  <c r="I777" i="271" s="1"/>
  <c r="G776" i="271"/>
  <c r="K776" i="271" s="1"/>
  <c r="G775" i="271"/>
  <c r="I775" i="271" s="1"/>
  <c r="G774" i="271"/>
  <c r="I774" i="271" s="1"/>
  <c r="G773" i="271"/>
  <c r="I773" i="271" s="1"/>
  <c r="G772" i="271"/>
  <c r="J772" i="271" s="1"/>
  <c r="G771" i="271"/>
  <c r="J771" i="271" s="1"/>
  <c r="J770" i="271"/>
  <c r="G769" i="271"/>
  <c r="I769" i="271" s="1"/>
  <c r="G768" i="271"/>
  <c r="I768" i="271" s="1"/>
  <c r="G767" i="271"/>
  <c r="I767" i="271" s="1"/>
  <c r="G766" i="271"/>
  <c r="I766" i="271" s="1"/>
  <c r="G761" i="271"/>
  <c r="K761" i="271" s="1"/>
  <c r="G760" i="271"/>
  <c r="J760" i="271" s="1"/>
  <c r="G759" i="271"/>
  <c r="J759" i="271" s="1"/>
  <c r="G758" i="271"/>
  <c r="I758" i="271" s="1"/>
  <c r="I763" i="271" s="1"/>
  <c r="K753" i="271"/>
  <c r="G753" i="271"/>
  <c r="G752" i="271"/>
  <c r="I752" i="271" s="1"/>
  <c r="I755" i="271" s="1"/>
  <c r="G747" i="271"/>
  <c r="K747" i="271" s="1"/>
  <c r="G746" i="271"/>
  <c r="I746" i="271" s="1"/>
  <c r="G745" i="271"/>
  <c r="I745" i="271" s="1"/>
  <c r="I749" i="271" s="1"/>
  <c r="G739" i="271"/>
  <c r="K739" i="271" s="1"/>
  <c r="G738" i="271"/>
  <c r="I738" i="271" s="1"/>
  <c r="I742" i="271" s="1"/>
  <c r="D738" i="271"/>
  <c r="I735" i="271"/>
  <c r="G732" i="271"/>
  <c r="K732" i="271" s="1"/>
  <c r="G733" i="271" s="1"/>
  <c r="K733" i="271" s="1"/>
  <c r="I729" i="271"/>
  <c r="G726" i="271"/>
  <c r="K726" i="271" s="1"/>
  <c r="G728" i="271" s="1"/>
  <c r="J728" i="271" s="1"/>
  <c r="J729" i="271" s="1"/>
  <c r="G720" i="271"/>
  <c r="K720" i="271" s="1"/>
  <c r="G719" i="271"/>
  <c r="I719" i="271" s="1"/>
  <c r="I723" i="271" s="1"/>
  <c r="G713" i="271"/>
  <c r="K713" i="271" s="1"/>
  <c r="I712" i="271"/>
  <c r="G711" i="271"/>
  <c r="I711" i="271" s="1"/>
  <c r="G710" i="271"/>
  <c r="I710" i="271" s="1"/>
  <c r="I707" i="271"/>
  <c r="G704" i="271"/>
  <c r="K704" i="271" s="1"/>
  <c r="J703" i="271"/>
  <c r="J702" i="271"/>
  <c r="J701" i="271"/>
  <c r="I698" i="271"/>
  <c r="G695" i="271"/>
  <c r="K695" i="271" s="1"/>
  <c r="G694" i="271"/>
  <c r="I694" i="271" s="1"/>
  <c r="J692" i="271"/>
  <c r="G691" i="271"/>
  <c r="J691" i="271" s="1"/>
  <c r="G690" i="271"/>
  <c r="J690" i="271" s="1"/>
  <c r="G689" i="271"/>
  <c r="J689" i="271" s="1"/>
  <c r="G688" i="271"/>
  <c r="J688" i="271" s="1"/>
  <c r="G687" i="271"/>
  <c r="J687" i="271" s="1"/>
  <c r="F686" i="271"/>
  <c r="G680" i="271"/>
  <c r="K680" i="271" s="1"/>
  <c r="G679" i="271"/>
  <c r="I679" i="271" s="1"/>
  <c r="G678" i="271"/>
  <c r="J678" i="271" s="1"/>
  <c r="G677" i="271"/>
  <c r="I677" i="271" s="1"/>
  <c r="I673" i="271"/>
  <c r="G671" i="271"/>
  <c r="K671" i="271" s="1"/>
  <c r="K673" i="271" s="1"/>
  <c r="G670" i="271"/>
  <c r="J670" i="271" s="1"/>
  <c r="I667" i="271"/>
  <c r="G664" i="271"/>
  <c r="K664" i="271" s="1"/>
  <c r="G657" i="271"/>
  <c r="K657" i="271" s="1"/>
  <c r="G659" i="271" s="1"/>
  <c r="J659" i="271" s="1"/>
  <c r="G656" i="271"/>
  <c r="J656" i="271" s="1"/>
  <c r="G655" i="271"/>
  <c r="J655" i="271" s="1"/>
  <c r="G654" i="271"/>
  <c r="J654" i="271" s="1"/>
  <c r="G653" i="271"/>
  <c r="J653" i="271" s="1"/>
  <c r="G652" i="271"/>
  <c r="J652" i="271" s="1"/>
  <c r="G651" i="271"/>
  <c r="I651" i="271" s="1"/>
  <c r="I660" i="271" s="1"/>
  <c r="I647" i="271"/>
  <c r="G644" i="271"/>
  <c r="K644" i="271" s="1"/>
  <c r="G646" i="271" s="1"/>
  <c r="J646" i="271" s="1"/>
  <c r="G643" i="271"/>
  <c r="J643" i="271" s="1"/>
  <c r="G642" i="271"/>
  <c r="J642" i="271" s="1"/>
  <c r="J641" i="271"/>
  <c r="G641" i="271"/>
  <c r="G640" i="271"/>
  <c r="J640" i="271" s="1"/>
  <c r="G638" i="271"/>
  <c r="J638" i="271" s="1"/>
  <c r="G631" i="271"/>
  <c r="K631" i="271" s="1"/>
  <c r="G633" i="271" s="1"/>
  <c r="J633" i="271" s="1"/>
  <c r="G630" i="271"/>
  <c r="I630" i="271" s="1"/>
  <c r="G629" i="271"/>
  <c r="I629" i="271" s="1"/>
  <c r="G628" i="271"/>
  <c r="J628" i="271" s="1"/>
  <c r="G627" i="271"/>
  <c r="J627" i="271" s="1"/>
  <c r="G626" i="271"/>
  <c r="I626" i="271" s="1"/>
  <c r="G625" i="271"/>
  <c r="J625" i="271" s="1"/>
  <c r="G620" i="271"/>
  <c r="K620" i="271" s="1"/>
  <c r="G619" i="271"/>
  <c r="I619" i="271" s="1"/>
  <c r="G618" i="271"/>
  <c r="I618" i="271" s="1"/>
  <c r="G617" i="271"/>
  <c r="I617" i="271" s="1"/>
  <c r="G616" i="271"/>
  <c r="I616" i="271" s="1"/>
  <c r="G615" i="271"/>
  <c r="J615" i="271" s="1"/>
  <c r="G614" i="271"/>
  <c r="I614" i="271" s="1"/>
  <c r="G609" i="271"/>
  <c r="K609" i="271" s="1"/>
  <c r="G608" i="271"/>
  <c r="I608" i="271" s="1"/>
  <c r="I607" i="271"/>
  <c r="G607" i="271"/>
  <c r="G606" i="271"/>
  <c r="J606" i="271" s="1"/>
  <c r="G600" i="271"/>
  <c r="K600" i="271" s="1"/>
  <c r="G601" i="271" s="1"/>
  <c r="K601" i="271" s="1"/>
  <c r="G599" i="271"/>
  <c r="I599" i="271" s="1"/>
  <c r="I603" i="271" s="1"/>
  <c r="G598" i="271"/>
  <c r="J598" i="271" s="1"/>
  <c r="G597" i="271"/>
  <c r="J597" i="271" s="1"/>
  <c r="G591" i="271"/>
  <c r="K591" i="271" s="1"/>
  <c r="G593" i="271" s="1"/>
  <c r="J593" i="271" s="1"/>
  <c r="G590" i="271"/>
  <c r="I590" i="271" s="1"/>
  <c r="G589" i="271"/>
  <c r="I589" i="271" s="1"/>
  <c r="I588" i="271"/>
  <c r="G588" i="271"/>
  <c r="G587" i="271"/>
  <c r="J587" i="271" s="1"/>
  <c r="G586" i="271"/>
  <c r="J586" i="271" s="1"/>
  <c r="G585" i="271"/>
  <c r="I585" i="271" s="1"/>
  <c r="G584" i="271"/>
  <c r="I584" i="271" s="1"/>
  <c r="G583" i="271"/>
  <c r="I583" i="271" s="1"/>
  <c r="G582" i="271"/>
  <c r="K582" i="271" s="1"/>
  <c r="G581" i="271"/>
  <c r="I581" i="271" s="1"/>
  <c r="G580" i="271"/>
  <c r="J580" i="271" s="1"/>
  <c r="G579" i="271"/>
  <c r="J579" i="271" s="1"/>
  <c r="G574" i="271"/>
  <c r="K574" i="271" s="1"/>
  <c r="G573" i="271"/>
  <c r="K573" i="271" s="1"/>
  <c r="G572" i="271"/>
  <c r="I572" i="271" s="1"/>
  <c r="G571" i="271"/>
  <c r="J571" i="271" s="1"/>
  <c r="G570" i="271"/>
  <c r="J570" i="271" s="1"/>
  <c r="G569" i="271"/>
  <c r="J569" i="271" s="1"/>
  <c r="G568" i="271"/>
  <c r="I568" i="271" s="1"/>
  <c r="I576" i="271" s="1"/>
  <c r="G564" i="271"/>
  <c r="J564" i="271" s="1"/>
  <c r="G562" i="271"/>
  <c r="K562" i="271" s="1"/>
  <c r="G561" i="271"/>
  <c r="I561" i="271" s="1"/>
  <c r="I565" i="271" s="1"/>
  <c r="G560" i="271"/>
  <c r="J560" i="271" s="1"/>
  <c r="G559" i="271"/>
  <c r="J559" i="271" s="1"/>
  <c r="G551" i="271"/>
  <c r="K551" i="271" s="1"/>
  <c r="G550" i="271"/>
  <c r="I550" i="271" s="1"/>
  <c r="I554" i="271" s="1"/>
  <c r="G549" i="271"/>
  <c r="J549" i="271" s="1"/>
  <c r="G548" i="271"/>
  <c r="J548" i="271" s="1"/>
  <c r="K542" i="271"/>
  <c r="G542" i="271"/>
  <c r="G541" i="271"/>
  <c r="I541" i="271" s="1"/>
  <c r="I545" i="271" s="1"/>
  <c r="G540" i="271"/>
  <c r="J540" i="271" s="1"/>
  <c r="G539" i="271"/>
  <c r="L539" i="271" s="1"/>
  <c r="G538" i="271"/>
  <c r="J538" i="271" s="1"/>
  <c r="G537" i="271"/>
  <c r="J537" i="271" s="1"/>
  <c r="G536" i="271"/>
  <c r="J536" i="271" s="1"/>
  <c r="G535" i="271"/>
  <c r="J535" i="271" s="1"/>
  <c r="G534" i="271"/>
  <c r="J534" i="271" s="1"/>
  <c r="G533" i="271"/>
  <c r="J533" i="271" s="1"/>
  <c r="G528" i="271"/>
  <c r="K528" i="271" s="1"/>
  <c r="G529" i="271" s="1"/>
  <c r="J529" i="271" s="1"/>
  <c r="J530" i="271" s="1"/>
  <c r="G527" i="271"/>
  <c r="I527" i="271" s="1"/>
  <c r="G526" i="271"/>
  <c r="I526" i="271" s="1"/>
  <c r="I530" i="271" s="1"/>
  <c r="I521" i="271"/>
  <c r="K518" i="271"/>
  <c r="G520" i="271" s="1"/>
  <c r="J520" i="271" s="1"/>
  <c r="I517" i="271"/>
  <c r="F517" i="271"/>
  <c r="J516" i="271"/>
  <c r="I515" i="271"/>
  <c r="I514" i="271"/>
  <c r="G507" i="271"/>
  <c r="K507" i="271" s="1"/>
  <c r="G506" i="271"/>
  <c r="I506" i="271" s="1"/>
  <c r="G505" i="271"/>
  <c r="I505" i="271" s="1"/>
  <c r="J504" i="271"/>
  <c r="G504" i="271"/>
  <c r="G503" i="271"/>
  <c r="I503" i="271" s="1"/>
  <c r="I500" i="271"/>
  <c r="G497" i="271"/>
  <c r="K497" i="271" s="1"/>
  <c r="G498" i="271" s="1"/>
  <c r="K498" i="271" s="1"/>
  <c r="G496" i="271"/>
  <c r="J496" i="271" s="1"/>
  <c r="G495" i="271"/>
  <c r="J495" i="271" s="1"/>
  <c r="G494" i="271"/>
  <c r="J494" i="271" s="1"/>
  <c r="I491" i="271"/>
  <c r="G488" i="271"/>
  <c r="K488" i="271" s="1"/>
  <c r="G487" i="271"/>
  <c r="I487" i="271" s="1"/>
  <c r="G485" i="271"/>
  <c r="J485" i="271" s="1"/>
  <c r="G484" i="271"/>
  <c r="J484" i="271" s="1"/>
  <c r="G483" i="271"/>
  <c r="J483" i="271" s="1"/>
  <c r="G482" i="271"/>
  <c r="J482" i="271" s="1"/>
  <c r="G481" i="271"/>
  <c r="J481" i="271" s="1"/>
  <c r="G480" i="271"/>
  <c r="J480" i="271" s="1"/>
  <c r="F479" i="271"/>
  <c r="I476" i="271"/>
  <c r="G473" i="271"/>
  <c r="K473" i="271" s="1"/>
  <c r="G474" i="271" s="1"/>
  <c r="K474" i="271" s="1"/>
  <c r="K476" i="271" s="1"/>
  <c r="G472" i="271"/>
  <c r="J472" i="271" s="1"/>
  <c r="G471" i="271"/>
  <c r="J471" i="271" s="1"/>
  <c r="G470" i="271"/>
  <c r="J470" i="271" s="1"/>
  <c r="F469" i="271"/>
  <c r="G463" i="271"/>
  <c r="K463" i="271" s="1"/>
  <c r="G465" i="271" s="1"/>
  <c r="J465" i="271" s="1"/>
  <c r="G462" i="271"/>
  <c r="J462" i="271" s="1"/>
  <c r="G461" i="271"/>
  <c r="I461" i="271" s="1"/>
  <c r="G460" i="271"/>
  <c r="I460" i="271" s="1"/>
  <c r="I466" i="271" s="1"/>
  <c r="G459" i="271"/>
  <c r="J459" i="271" s="1"/>
  <c r="G458" i="271"/>
  <c r="J458" i="271" s="1"/>
  <c r="G451" i="271"/>
  <c r="K451" i="271" s="1"/>
  <c r="G452" i="271" s="1"/>
  <c r="K452" i="271" s="1"/>
  <c r="G450" i="271"/>
  <c r="I450" i="271" s="1"/>
  <c r="G449" i="271"/>
  <c r="I449" i="271" s="1"/>
  <c r="G448" i="271"/>
  <c r="J448" i="271" s="1"/>
  <c r="G447" i="271"/>
  <c r="J447" i="271" s="1"/>
  <c r="G446" i="271"/>
  <c r="I446" i="271" s="1"/>
  <c r="G439" i="271"/>
  <c r="K439" i="271" s="1"/>
  <c r="G438" i="271"/>
  <c r="I438" i="271" s="1"/>
  <c r="J437" i="271"/>
  <c r="G437" i="271"/>
  <c r="G436" i="271"/>
  <c r="I436" i="271" s="1"/>
  <c r="I435" i="271"/>
  <c r="I442" i="271" s="1"/>
  <c r="G435" i="271"/>
  <c r="G434" i="271"/>
  <c r="J434" i="271" s="1"/>
  <c r="G427" i="271"/>
  <c r="K427" i="271" s="1"/>
  <c r="G428" i="271" s="1"/>
  <c r="K428" i="271" s="1"/>
  <c r="G426" i="271"/>
  <c r="I426" i="271" s="1"/>
  <c r="G425" i="271"/>
  <c r="I425" i="271" s="1"/>
  <c r="J424" i="271"/>
  <c r="G424" i="271"/>
  <c r="I423" i="271"/>
  <c r="G423" i="271"/>
  <c r="G422" i="271"/>
  <c r="J422" i="271" s="1"/>
  <c r="G416" i="271"/>
  <c r="K416" i="271" s="1"/>
  <c r="G415" i="271"/>
  <c r="I415" i="271" s="1"/>
  <c r="I414" i="271"/>
  <c r="G414" i="271"/>
  <c r="D413" i="271"/>
  <c r="C413" i="271"/>
  <c r="G411" i="271"/>
  <c r="G407" i="271"/>
  <c r="K407" i="271" s="1"/>
  <c r="G406" i="271"/>
  <c r="I406" i="271" s="1"/>
  <c r="I410" i="271" s="1"/>
  <c r="G405" i="271"/>
  <c r="J405" i="271" s="1"/>
  <c r="G404" i="271"/>
  <c r="J404" i="271" s="1"/>
  <c r="G403" i="271"/>
  <c r="J403" i="271" s="1"/>
  <c r="G402" i="271"/>
  <c r="J402" i="271" s="1"/>
  <c r="G396" i="271"/>
  <c r="K396" i="271" s="1"/>
  <c r="G395" i="271"/>
  <c r="I395" i="271" s="1"/>
  <c r="G394" i="271"/>
  <c r="I394" i="271" s="1"/>
  <c r="I399" i="271" s="1"/>
  <c r="I390" i="271"/>
  <c r="G387" i="271"/>
  <c r="K387" i="271" s="1"/>
  <c r="G389" i="271" s="1"/>
  <c r="J389" i="271" s="1"/>
  <c r="G386" i="271"/>
  <c r="J386" i="271" s="1"/>
  <c r="J385" i="271"/>
  <c r="G385" i="271"/>
  <c r="G384" i="271"/>
  <c r="J384" i="271" s="1"/>
  <c r="G383" i="271"/>
  <c r="J383" i="271" s="1"/>
  <c r="G382" i="271"/>
  <c r="J382" i="271" s="1"/>
  <c r="G375" i="271"/>
  <c r="K375" i="271" s="1"/>
  <c r="G374" i="271"/>
  <c r="K374" i="271" s="1"/>
  <c r="G373" i="271"/>
  <c r="J373" i="271" s="1"/>
  <c r="G372" i="271"/>
  <c r="J372" i="271" s="1"/>
  <c r="G371" i="271"/>
  <c r="J371" i="271" s="1"/>
  <c r="G370" i="271"/>
  <c r="I370" i="271" s="1"/>
  <c r="G369" i="271"/>
  <c r="J369" i="271" s="1"/>
  <c r="G368" i="271"/>
  <c r="J368" i="271" s="1"/>
  <c r="G367" i="271"/>
  <c r="J367" i="271" s="1"/>
  <c r="G366" i="271"/>
  <c r="J366" i="271" s="1"/>
  <c r="G365" i="271"/>
  <c r="I365" i="271" s="1"/>
  <c r="I362" i="271"/>
  <c r="G359" i="271"/>
  <c r="K359" i="271" s="1"/>
  <c r="G358" i="271"/>
  <c r="J358" i="271" s="1"/>
  <c r="G357" i="271"/>
  <c r="J357" i="271" s="1"/>
  <c r="G356" i="271"/>
  <c r="J356" i="271" s="1"/>
  <c r="G355" i="271"/>
  <c r="J355" i="271" s="1"/>
  <c r="I351" i="271"/>
  <c r="G348" i="271"/>
  <c r="K348" i="271" s="1"/>
  <c r="G347" i="271"/>
  <c r="J347" i="271" s="1"/>
  <c r="G346" i="271"/>
  <c r="J346" i="271" s="1"/>
  <c r="G345" i="271"/>
  <c r="J345" i="271" s="1"/>
  <c r="G344" i="271"/>
  <c r="J344" i="271" s="1"/>
  <c r="I340" i="271"/>
  <c r="G338" i="271"/>
  <c r="K338" i="271" s="1"/>
  <c r="I335" i="271"/>
  <c r="I334" i="271"/>
  <c r="G331" i="271"/>
  <c r="K331" i="271" s="1"/>
  <c r="G332" i="271" s="1"/>
  <c r="K332" i="271" s="1"/>
  <c r="G330" i="271"/>
  <c r="I330" i="271" s="1"/>
  <c r="I327" i="271"/>
  <c r="G324" i="271"/>
  <c r="K324" i="271" s="1"/>
  <c r="G323" i="271"/>
  <c r="J323" i="271" s="1"/>
  <c r="G322" i="271"/>
  <c r="J322" i="271" s="1"/>
  <c r="G321" i="271"/>
  <c r="J321" i="271" s="1"/>
  <c r="G320" i="271"/>
  <c r="J320" i="271" s="1"/>
  <c r="G319" i="271"/>
  <c r="J319" i="271" s="1"/>
  <c r="G318" i="271"/>
  <c r="J318" i="271" s="1"/>
  <c r="G312" i="271"/>
  <c r="K312" i="271" s="1"/>
  <c r="K314" i="271" s="1"/>
  <c r="G311" i="271"/>
  <c r="J311" i="271" s="1"/>
  <c r="I310" i="271"/>
  <c r="G310" i="271"/>
  <c r="G309" i="271"/>
  <c r="J309" i="271" s="1"/>
  <c r="G308" i="271"/>
  <c r="I308" i="271" s="1"/>
  <c r="G307" i="271"/>
  <c r="I307" i="271" s="1"/>
  <c r="G301" i="271"/>
  <c r="K301" i="271" s="1"/>
  <c r="G300" i="271"/>
  <c r="J300" i="271" s="1"/>
  <c r="G299" i="271"/>
  <c r="I299" i="271" s="1"/>
  <c r="I304" i="271" s="1"/>
  <c r="J295" i="271"/>
  <c r="K294" i="271"/>
  <c r="K293" i="271"/>
  <c r="K296" i="271" s="1"/>
  <c r="I292" i="271"/>
  <c r="I291" i="271"/>
  <c r="J290" i="271"/>
  <c r="I289" i="271"/>
  <c r="K288" i="271"/>
  <c r="K283" i="271"/>
  <c r="G282" i="271"/>
  <c r="I282" i="271" s="1"/>
  <c r="I285" i="271" s="1"/>
  <c r="G281" i="271"/>
  <c r="K281" i="271" s="1"/>
  <c r="G284" i="271" s="1"/>
  <c r="J284" i="271" s="1"/>
  <c r="J285" i="271" s="1"/>
  <c r="K276" i="271"/>
  <c r="G275" i="271"/>
  <c r="I275" i="271" s="1"/>
  <c r="G274" i="271"/>
  <c r="I274" i="271" s="1"/>
  <c r="G273" i="271"/>
  <c r="K273" i="271" s="1"/>
  <c r="G277" i="271" s="1"/>
  <c r="J277" i="271" s="1"/>
  <c r="J278" i="271" s="1"/>
  <c r="G268" i="271"/>
  <c r="K268" i="271" s="1"/>
  <c r="G267" i="271"/>
  <c r="I267" i="271" s="1"/>
  <c r="I270" i="271" s="1"/>
  <c r="I264" i="271"/>
  <c r="G261" i="271"/>
  <c r="K261" i="271" s="1"/>
  <c r="G262" i="271" s="1"/>
  <c r="K262" i="271" s="1"/>
  <c r="K257" i="271"/>
  <c r="J257" i="271"/>
  <c r="I257" i="271"/>
  <c r="E257" i="271" s="1"/>
  <c r="L250" i="271" s="1"/>
  <c r="G256" i="271"/>
  <c r="G255" i="271"/>
  <c r="G254" i="271"/>
  <c r="G253" i="271"/>
  <c r="G252" i="271"/>
  <c r="G251" i="271"/>
  <c r="K248" i="271"/>
  <c r="J248" i="271"/>
  <c r="I248" i="271"/>
  <c r="E248" i="271"/>
  <c r="L238" i="271" s="1"/>
  <c r="G247" i="271"/>
  <c r="G246" i="271"/>
  <c r="G245" i="271"/>
  <c r="G244" i="271"/>
  <c r="G243" i="271"/>
  <c r="G242" i="271"/>
  <c r="G241" i="271"/>
  <c r="G240" i="271"/>
  <c r="G239" i="271"/>
  <c r="I236" i="271"/>
  <c r="G234" i="271"/>
  <c r="K234" i="271" s="1"/>
  <c r="K236" i="271" s="1"/>
  <c r="G232" i="271"/>
  <c r="J232" i="271" s="1"/>
  <c r="G231" i="271"/>
  <c r="J231" i="271" s="1"/>
  <c r="I228" i="271"/>
  <c r="G225" i="271"/>
  <c r="K225" i="271" s="1"/>
  <c r="G226" i="271" s="1"/>
  <c r="K226" i="271" s="1"/>
  <c r="G224" i="271"/>
  <c r="J224" i="271" s="1"/>
  <c r="I221" i="271"/>
  <c r="G218" i="271"/>
  <c r="K218" i="271" s="1"/>
  <c r="G217" i="271"/>
  <c r="J217" i="271" s="1"/>
  <c r="G216" i="271"/>
  <c r="J216" i="271" s="1"/>
  <c r="G210" i="271"/>
  <c r="K210" i="271" s="1"/>
  <c r="I209" i="271"/>
  <c r="I213" i="271" s="1"/>
  <c r="G209" i="271"/>
  <c r="I205" i="271"/>
  <c r="G203" i="271"/>
  <c r="K203" i="271" s="1"/>
  <c r="G202" i="271"/>
  <c r="F202" i="271"/>
  <c r="J202" i="271" s="1"/>
  <c r="G201" i="271"/>
  <c r="J201" i="271" s="1"/>
  <c r="G200" i="271"/>
  <c r="J200" i="271" s="1"/>
  <c r="G199" i="271"/>
  <c r="J199" i="271" s="1"/>
  <c r="I196" i="271"/>
  <c r="K194" i="271"/>
  <c r="K196" i="271" s="1"/>
  <c r="G194" i="271"/>
  <c r="G193" i="271"/>
  <c r="J193" i="271" s="1"/>
  <c r="G192" i="271"/>
  <c r="J192" i="271" s="1"/>
  <c r="G191" i="271"/>
  <c r="J191" i="271" s="1"/>
  <c r="G190" i="271"/>
  <c r="J190" i="271" s="1"/>
  <c r="G185" i="271"/>
  <c r="K185" i="271" s="1"/>
  <c r="G184" i="271"/>
  <c r="I184" i="271" s="1"/>
  <c r="I187" i="271" s="1"/>
  <c r="I181" i="271"/>
  <c r="G179" i="271"/>
  <c r="J179" i="271" s="1"/>
  <c r="G178" i="271"/>
  <c r="J178" i="271" s="1"/>
  <c r="G177" i="271"/>
  <c r="K177" i="271" s="1"/>
  <c r="I174" i="271"/>
  <c r="G172" i="271"/>
  <c r="K172" i="271" s="1"/>
  <c r="G173" i="271" s="1"/>
  <c r="J173" i="271" s="1"/>
  <c r="G171" i="271"/>
  <c r="J171" i="271" s="1"/>
  <c r="G170" i="271"/>
  <c r="J170" i="271" s="1"/>
  <c r="J174" i="271" s="1"/>
  <c r="I167" i="271"/>
  <c r="G164" i="271"/>
  <c r="K164" i="271" s="1"/>
  <c r="G165" i="271" s="1"/>
  <c r="K165" i="271" s="1"/>
  <c r="J163" i="271"/>
  <c r="J162" i="271"/>
  <c r="G161" i="271"/>
  <c r="J161" i="271" s="1"/>
  <c r="J160" i="271"/>
  <c r="G160" i="271"/>
  <c r="G159" i="271"/>
  <c r="J159" i="271" s="1"/>
  <c r="G158" i="271"/>
  <c r="J158" i="271" s="1"/>
  <c r="G157" i="271"/>
  <c r="J157" i="271" s="1"/>
  <c r="G155" i="271"/>
  <c r="J155" i="271" s="1"/>
  <c r="G149" i="271"/>
  <c r="K149" i="271" s="1"/>
  <c r="G151" i="271" s="1"/>
  <c r="I148" i="271"/>
  <c r="I152" i="271" s="1"/>
  <c r="G148" i="271"/>
  <c r="G147" i="271"/>
  <c r="J147" i="271" s="1"/>
  <c r="G146" i="271"/>
  <c r="J146" i="271" s="1"/>
  <c r="L141" i="271"/>
  <c r="G136" i="271"/>
  <c r="K136" i="271" s="1"/>
  <c r="G135" i="271"/>
  <c r="I135" i="271" s="1"/>
  <c r="I139" i="271" s="1"/>
  <c r="G134" i="271"/>
  <c r="J134" i="271" s="1"/>
  <c r="G133" i="271"/>
  <c r="J133" i="271" s="1"/>
  <c r="J132" i="271"/>
  <c r="G132" i="271"/>
  <c r="G131" i="271"/>
  <c r="J131" i="271" s="1"/>
  <c r="G130" i="271"/>
  <c r="J130" i="271" s="1"/>
  <c r="G124" i="271"/>
  <c r="K124" i="271" s="1"/>
  <c r="G123" i="271"/>
  <c r="I123" i="271" s="1"/>
  <c r="I127" i="271" s="1"/>
  <c r="G122" i="271"/>
  <c r="J122" i="271" s="1"/>
  <c r="G121" i="271"/>
  <c r="J121" i="271" s="1"/>
  <c r="G120" i="271"/>
  <c r="J120" i="271" s="1"/>
  <c r="G119" i="271"/>
  <c r="J119" i="271" s="1"/>
  <c r="G118" i="271"/>
  <c r="J118" i="271" s="1"/>
  <c r="G112" i="271"/>
  <c r="K112" i="271" s="1"/>
  <c r="G114" i="271" s="1"/>
  <c r="J114" i="271" s="1"/>
  <c r="G111" i="271"/>
  <c r="I111" i="271" s="1"/>
  <c r="I115" i="271" s="1"/>
  <c r="G110" i="271"/>
  <c r="J110" i="271" s="1"/>
  <c r="G109" i="271"/>
  <c r="J109" i="271" s="1"/>
  <c r="G108" i="271"/>
  <c r="J108" i="271" s="1"/>
  <c r="G107" i="271"/>
  <c r="J107" i="271" s="1"/>
  <c r="J115" i="271" s="1"/>
  <c r="G101" i="271"/>
  <c r="K101" i="271" s="1"/>
  <c r="I100" i="271"/>
  <c r="I104" i="271" s="1"/>
  <c r="G100" i="271"/>
  <c r="G99" i="271"/>
  <c r="J99" i="271" s="1"/>
  <c r="G98" i="271"/>
  <c r="J98" i="271" s="1"/>
  <c r="G97" i="271"/>
  <c r="J97" i="271" s="1"/>
  <c r="G96" i="271"/>
  <c r="J96" i="271" s="1"/>
  <c r="G90" i="271"/>
  <c r="K90" i="271" s="1"/>
  <c r="G92" i="271" s="1"/>
  <c r="J92" i="271" s="1"/>
  <c r="G89" i="271"/>
  <c r="I89" i="271" s="1"/>
  <c r="I93" i="271" s="1"/>
  <c r="G88" i="271"/>
  <c r="J88" i="271" s="1"/>
  <c r="G87" i="271"/>
  <c r="J87" i="271" s="1"/>
  <c r="G86" i="271"/>
  <c r="J86" i="271" s="1"/>
  <c r="G85" i="271"/>
  <c r="J85" i="271" s="1"/>
  <c r="G79" i="271"/>
  <c r="K79" i="271" s="1"/>
  <c r="G78" i="271"/>
  <c r="I78" i="271" s="1"/>
  <c r="I82" i="271" s="1"/>
  <c r="G77" i="271"/>
  <c r="J77" i="271" s="1"/>
  <c r="G76" i="271"/>
  <c r="J76" i="271" s="1"/>
  <c r="G75" i="271"/>
  <c r="J75" i="271" s="1"/>
  <c r="G74" i="271"/>
  <c r="J74" i="271" s="1"/>
  <c r="I71" i="271"/>
  <c r="G70" i="271"/>
  <c r="J70" i="271" s="1"/>
  <c r="G69" i="271"/>
  <c r="K69" i="271" s="1"/>
  <c r="K71" i="271" s="1"/>
  <c r="G68" i="271"/>
  <c r="K68" i="271" s="1"/>
  <c r="G67" i="271"/>
  <c r="I67" i="271" s="1"/>
  <c r="G66" i="271"/>
  <c r="J66" i="271" s="1"/>
  <c r="G65" i="271"/>
  <c r="J65" i="271" s="1"/>
  <c r="G64" i="271"/>
  <c r="J64" i="271" s="1"/>
  <c r="G63" i="271"/>
  <c r="J63" i="271" s="1"/>
  <c r="G57" i="271"/>
  <c r="K57" i="271" s="1"/>
  <c r="G56" i="271"/>
  <c r="I56" i="271" s="1"/>
  <c r="I60" i="271" s="1"/>
  <c r="G55" i="271"/>
  <c r="J55" i="271" s="1"/>
  <c r="G54" i="271"/>
  <c r="J54" i="271" s="1"/>
  <c r="G53" i="271"/>
  <c r="J53" i="271" s="1"/>
  <c r="G52" i="271"/>
  <c r="J52" i="271" s="1"/>
  <c r="G51" i="271"/>
  <c r="J51" i="271" s="1"/>
  <c r="G45" i="271"/>
  <c r="K45" i="271" s="1"/>
  <c r="G46" i="271" s="1"/>
  <c r="K46" i="271" s="1"/>
  <c r="G44" i="271"/>
  <c r="I44" i="271" s="1"/>
  <c r="I48" i="271" s="1"/>
  <c r="G43" i="271"/>
  <c r="J43" i="271" s="1"/>
  <c r="G42" i="271"/>
  <c r="J42" i="271" s="1"/>
  <c r="G41" i="271"/>
  <c r="J41" i="271" s="1"/>
  <c r="G40" i="271"/>
  <c r="J40" i="271" s="1"/>
  <c r="G39" i="271"/>
  <c r="J39" i="271" s="1"/>
  <c r="G33" i="271"/>
  <c r="K33" i="271" s="1"/>
  <c r="G32" i="271"/>
  <c r="I32" i="271" s="1"/>
  <c r="I36" i="271" s="1"/>
  <c r="G31" i="271"/>
  <c r="J31" i="271" s="1"/>
  <c r="G30" i="271"/>
  <c r="J30" i="271" s="1"/>
  <c r="G29" i="271"/>
  <c r="J29" i="271" s="1"/>
  <c r="J28" i="271"/>
  <c r="G28" i="271"/>
  <c r="G27" i="271"/>
  <c r="J27" i="271" s="1"/>
  <c r="G21" i="271"/>
  <c r="K21" i="271" s="1"/>
  <c r="G22" i="271" s="1"/>
  <c r="K22" i="271" s="1"/>
  <c r="G20" i="271"/>
  <c r="I20" i="271" s="1"/>
  <c r="I24" i="271" s="1"/>
  <c r="G19" i="271"/>
  <c r="J19" i="271" s="1"/>
  <c r="G18" i="271"/>
  <c r="J18" i="271" s="1"/>
  <c r="G17" i="271"/>
  <c r="J17" i="271" s="1"/>
  <c r="G16" i="271"/>
  <c r="J16" i="271" s="1"/>
  <c r="J15" i="271"/>
  <c r="G15" i="271"/>
  <c r="G9" i="271"/>
  <c r="K9" i="271" s="1"/>
  <c r="G8" i="271"/>
  <c r="I8" i="271" s="1"/>
  <c r="I12" i="271" s="1"/>
  <c r="G7" i="271"/>
  <c r="J7" i="271" s="1"/>
  <c r="G6" i="271"/>
  <c r="J6" i="271" s="1"/>
  <c r="G5" i="271"/>
  <c r="J5" i="271" s="1"/>
  <c r="G4" i="271"/>
  <c r="J4" i="271" s="1"/>
  <c r="G3" i="271"/>
  <c r="J3" i="271" s="1"/>
  <c r="K340" i="271" l="1"/>
  <c r="G339" i="271"/>
  <c r="J339" i="271" s="1"/>
  <c r="J340" i="271" s="1"/>
  <c r="E340" i="271" s="1"/>
  <c r="L337" i="271" s="1"/>
  <c r="G714" i="271"/>
  <c r="K714" i="271" s="1"/>
  <c r="K716" i="271" s="1"/>
  <c r="G715" i="271"/>
  <c r="J715" i="271" s="1"/>
  <c r="J716" i="271" s="1"/>
  <c r="I873" i="271"/>
  <c r="G519" i="271"/>
  <c r="K519" i="271" s="1"/>
  <c r="G417" i="271"/>
  <c r="K417" i="271" s="1"/>
  <c r="K419" i="271" s="1"/>
  <c r="G418" i="271"/>
  <c r="J418" i="271" s="1"/>
  <c r="J827" i="271"/>
  <c r="K454" i="271"/>
  <c r="J127" i="271"/>
  <c r="I314" i="271"/>
  <c r="I594" i="271"/>
  <c r="J929" i="271"/>
  <c r="I454" i="271"/>
  <c r="G125" i="271"/>
  <c r="K125" i="271" s="1"/>
  <c r="K127" i="271" s="1"/>
  <c r="E127" i="271" s="1"/>
  <c r="L117" i="271" s="1"/>
  <c r="G126" i="271"/>
  <c r="G464" i="271"/>
  <c r="K464" i="271" s="1"/>
  <c r="K466" i="271" s="1"/>
  <c r="G325" i="271"/>
  <c r="K325" i="271" s="1"/>
  <c r="K327" i="271" s="1"/>
  <c r="G326" i="271"/>
  <c r="J326" i="271" s="1"/>
  <c r="G508" i="271"/>
  <c r="K508" i="271" s="1"/>
  <c r="G509" i="271"/>
  <c r="J509" i="271" s="1"/>
  <c r="I419" i="271"/>
  <c r="K850" i="271"/>
  <c r="G834" i="271"/>
  <c r="J834" i="271" s="1"/>
  <c r="I296" i="271"/>
  <c r="G195" i="271"/>
  <c r="J195" i="271" s="1"/>
  <c r="I634" i="271"/>
  <c r="G227" i="271"/>
  <c r="J227" i="271" s="1"/>
  <c r="J228" i="271" s="1"/>
  <c r="E228" i="271" s="1"/>
  <c r="L223" i="271" s="1"/>
  <c r="I683" i="271"/>
  <c r="I883" i="271"/>
  <c r="J962" i="271"/>
  <c r="E962" i="271" s="1"/>
  <c r="L955" i="271" s="1"/>
  <c r="F1037" i="271" s="1"/>
  <c r="J152" i="271"/>
  <c r="K500" i="271"/>
  <c r="K530" i="271"/>
  <c r="E530" i="271" s="1"/>
  <c r="L525" i="271" s="1"/>
  <c r="G499" i="271"/>
  <c r="J499" i="271" s="1"/>
  <c r="J500" i="271" s="1"/>
  <c r="E500" i="271" s="1"/>
  <c r="L493" i="271" s="1"/>
  <c r="I863" i="271"/>
  <c r="K929" i="271"/>
  <c r="I378" i="271"/>
  <c r="I510" i="271"/>
  <c r="E510" i="271" s="1"/>
  <c r="L502" i="271" s="1"/>
  <c r="I781" i="271"/>
  <c r="J953" i="271"/>
  <c r="E953" i="271" s="1"/>
  <c r="L946" i="271" s="1"/>
  <c r="F1036" i="271" s="1"/>
  <c r="J93" i="271"/>
  <c r="K228" i="271"/>
  <c r="G377" i="271"/>
  <c r="J377" i="271" s="1"/>
  <c r="G376" i="271"/>
  <c r="K376" i="271" s="1"/>
  <c r="K378" i="271" s="1"/>
  <c r="K270" i="271"/>
  <c r="G269" i="271"/>
  <c r="J269" i="271" s="1"/>
  <c r="J270" i="271" s="1"/>
  <c r="E270" i="271" s="1"/>
  <c r="L266" i="271" s="1"/>
  <c r="G180" i="271"/>
  <c r="J180" i="271" s="1"/>
  <c r="J181" i="271" s="1"/>
  <c r="E181" i="271" s="1"/>
  <c r="L176" i="271" s="1"/>
  <c r="K181" i="271"/>
  <c r="G398" i="271"/>
  <c r="J398" i="271" s="1"/>
  <c r="G397" i="271"/>
  <c r="K397" i="271" s="1"/>
  <c r="K399" i="271" s="1"/>
  <c r="G11" i="271"/>
  <c r="J11" i="271" s="1"/>
  <c r="G10" i="271"/>
  <c r="K10" i="271" s="1"/>
  <c r="K12" i="271" s="1"/>
  <c r="G350" i="271"/>
  <c r="J350" i="271" s="1"/>
  <c r="G349" i="271"/>
  <c r="K349" i="271" s="1"/>
  <c r="K351" i="271" s="1"/>
  <c r="G103" i="271"/>
  <c r="J103" i="271" s="1"/>
  <c r="G102" i="271"/>
  <c r="K102" i="271" s="1"/>
  <c r="K104" i="271" s="1"/>
  <c r="E104" i="271" s="1"/>
  <c r="E554" i="271"/>
  <c r="L547" i="271" s="1"/>
  <c r="G409" i="271"/>
  <c r="J409" i="271" s="1"/>
  <c r="J410" i="271" s="1"/>
  <c r="G408" i="271"/>
  <c r="K408" i="271" s="1"/>
  <c r="K410" i="271" s="1"/>
  <c r="G682" i="271"/>
  <c r="J682" i="271" s="1"/>
  <c r="G681" i="271"/>
  <c r="K681" i="271" s="1"/>
  <c r="K683" i="271"/>
  <c r="K611" i="271"/>
  <c r="G610" i="271"/>
  <c r="J610" i="271" s="1"/>
  <c r="J611" i="271" s="1"/>
  <c r="J12" i="271"/>
  <c r="E12" i="271" s="1"/>
  <c r="K221" i="271"/>
  <c r="J466" i="271"/>
  <c r="J71" i="271"/>
  <c r="E71" i="271" s="1"/>
  <c r="L62" i="271" s="1"/>
  <c r="G186" i="271"/>
  <c r="J186" i="271" s="1"/>
  <c r="J187" i="271" s="1"/>
  <c r="E187" i="271" s="1"/>
  <c r="L183" i="271" s="1"/>
  <c r="K187" i="271"/>
  <c r="G553" i="271"/>
  <c r="J553" i="271" s="1"/>
  <c r="G552" i="271"/>
  <c r="K552" i="271" s="1"/>
  <c r="K554" i="271"/>
  <c r="G212" i="271"/>
  <c r="J212" i="271" s="1"/>
  <c r="J213" i="271" s="1"/>
  <c r="G211" i="271"/>
  <c r="K211" i="271" s="1"/>
  <c r="K213" i="271" s="1"/>
  <c r="E213" i="271" s="1"/>
  <c r="L208" i="271" s="1"/>
  <c r="J104" i="271"/>
  <c r="J594" i="271"/>
  <c r="E594" i="271" s="1"/>
  <c r="L578" i="271" s="1"/>
  <c r="K749" i="271"/>
  <c r="G748" i="271"/>
  <c r="J748" i="271" s="1"/>
  <c r="J749" i="271" s="1"/>
  <c r="E749" i="271" s="1"/>
  <c r="L744" i="271" s="1"/>
  <c r="G909" i="271"/>
  <c r="K909" i="271" s="1"/>
  <c r="K911" i="271" s="1"/>
  <c r="G910" i="271"/>
  <c r="J910" i="271" s="1"/>
  <c r="J911" i="271" s="1"/>
  <c r="G333" i="271"/>
  <c r="J333" i="271" s="1"/>
  <c r="J335" i="271" s="1"/>
  <c r="G388" i="271"/>
  <c r="K388" i="271" s="1"/>
  <c r="K390" i="271" s="1"/>
  <c r="G592" i="271"/>
  <c r="K592" i="271" s="1"/>
  <c r="K594" i="271" s="1"/>
  <c r="G796" i="271"/>
  <c r="K796" i="271" s="1"/>
  <c r="G795" i="271"/>
  <c r="K795" i="271" s="1"/>
  <c r="K798" i="271"/>
  <c r="G797" i="271"/>
  <c r="J797" i="271" s="1"/>
  <c r="J798" i="271" s="1"/>
  <c r="E798" i="271" s="1"/>
  <c r="L790" i="271" s="1"/>
  <c r="G23" i="271"/>
  <c r="J23" i="271" s="1"/>
  <c r="J24" i="271" s="1"/>
  <c r="E24" i="271" s="1"/>
  <c r="L14" i="271" s="1"/>
  <c r="G113" i="271"/>
  <c r="K113" i="271" s="1"/>
  <c r="K115" i="271" s="1"/>
  <c r="E115" i="271" s="1"/>
  <c r="K167" i="271"/>
  <c r="I430" i="271"/>
  <c r="G722" i="271"/>
  <c r="J722" i="271" s="1"/>
  <c r="J723" i="271" s="1"/>
  <c r="G721" i="271"/>
  <c r="K721" i="271" s="1"/>
  <c r="K723" i="271" s="1"/>
  <c r="I929" i="271"/>
  <c r="K205" i="271"/>
  <c r="G204" i="271"/>
  <c r="J204" i="271" s="1"/>
  <c r="J205" i="271" s="1"/>
  <c r="E205" i="271" s="1"/>
  <c r="L198" i="271" s="1"/>
  <c r="K576" i="271"/>
  <c r="G575" i="271"/>
  <c r="J575" i="271" s="1"/>
  <c r="J576" i="271" s="1"/>
  <c r="E576" i="271" s="1"/>
  <c r="L567" i="271" s="1"/>
  <c r="K174" i="271"/>
  <c r="E174" i="271" s="1"/>
  <c r="L169" i="271" s="1"/>
  <c r="G1017" i="271"/>
  <c r="J1017" i="271" s="1"/>
  <c r="J1018" i="271" s="1"/>
  <c r="E1018" i="271" s="1"/>
  <c r="L1012" i="271" s="1"/>
  <c r="F1046" i="271" s="1"/>
  <c r="K1018" i="271"/>
  <c r="G47" i="271"/>
  <c r="J47" i="271" s="1"/>
  <c r="J48" i="271" s="1"/>
  <c r="G81" i="271"/>
  <c r="J81" i="271" s="1"/>
  <c r="J82" i="271" s="1"/>
  <c r="G80" i="271"/>
  <c r="K80" i="271" s="1"/>
  <c r="K82" i="271"/>
  <c r="J835" i="271"/>
  <c r="E835" i="271" s="1"/>
  <c r="K935" i="271"/>
  <c r="G934" i="271"/>
  <c r="J934" i="271" s="1"/>
  <c r="J935" i="271" s="1"/>
  <c r="K977" i="271"/>
  <c r="G976" i="271"/>
  <c r="J976" i="271" s="1"/>
  <c r="J977" i="271" s="1"/>
  <c r="E977" i="271" s="1"/>
  <c r="L973" i="271" s="1"/>
  <c r="F1041" i="271" s="1"/>
  <c r="I278" i="271"/>
  <c r="G602" i="271"/>
  <c r="J602" i="271" s="1"/>
  <c r="J603" i="271" s="1"/>
  <c r="K603" i="271"/>
  <c r="J378" i="271"/>
  <c r="G1002" i="271"/>
  <c r="J1002" i="271" s="1"/>
  <c r="J1003" i="271" s="1"/>
  <c r="G303" i="271"/>
  <c r="J303" i="271" s="1"/>
  <c r="J304" i="271" s="1"/>
  <c r="G302" i="271"/>
  <c r="K302" i="271" s="1"/>
  <c r="K304" i="271" s="1"/>
  <c r="K24" i="271"/>
  <c r="G672" i="271"/>
  <c r="J672" i="271" s="1"/>
  <c r="J673" i="271" s="1"/>
  <c r="E673" i="271" s="1"/>
  <c r="L669" i="271" s="1"/>
  <c r="K48" i="271"/>
  <c r="J554" i="271"/>
  <c r="G762" i="271"/>
  <c r="J762" i="271" s="1"/>
  <c r="J763" i="271" s="1"/>
  <c r="K763" i="271"/>
  <c r="K335" i="271"/>
  <c r="G1001" i="271"/>
  <c r="K1001" i="271" s="1"/>
  <c r="K1003" i="271" s="1"/>
  <c r="J196" i="271"/>
  <c r="E196" i="271" s="1"/>
  <c r="L189" i="271" s="1"/>
  <c r="G313" i="271"/>
  <c r="J313" i="271" s="1"/>
  <c r="J314" i="271" s="1"/>
  <c r="E314" i="271" s="1"/>
  <c r="L306" i="271" s="1"/>
  <c r="G35" i="271"/>
  <c r="J35" i="271" s="1"/>
  <c r="J36" i="271" s="1"/>
  <c r="E36" i="271" s="1"/>
  <c r="L26" i="271" s="1"/>
  <c r="G34" i="271"/>
  <c r="K34" i="271" s="1"/>
  <c r="K36" i="271" s="1"/>
  <c r="G150" i="271"/>
  <c r="K150" i="271" s="1"/>
  <c r="K152" i="271" s="1"/>
  <c r="E152" i="271" s="1"/>
  <c r="G429" i="271"/>
  <c r="J429" i="271" s="1"/>
  <c r="J430" i="271" s="1"/>
  <c r="K430" i="271"/>
  <c r="G441" i="271"/>
  <c r="J441" i="271" s="1"/>
  <c r="J442" i="271" s="1"/>
  <c r="G440" i="271"/>
  <c r="K440" i="271" s="1"/>
  <c r="K442" i="271" s="1"/>
  <c r="G543" i="271"/>
  <c r="K543" i="271" s="1"/>
  <c r="K545" i="271" s="1"/>
  <c r="G544" i="271"/>
  <c r="J544" i="271" s="1"/>
  <c r="G621" i="271"/>
  <c r="J621" i="271" s="1"/>
  <c r="J622" i="271" s="1"/>
  <c r="K622" i="271"/>
  <c r="I716" i="271"/>
  <c r="E716" i="271" s="1"/>
  <c r="L709" i="271" s="1"/>
  <c r="E935" i="271"/>
  <c r="L931" i="271" s="1"/>
  <c r="F1034" i="271" s="1"/>
  <c r="G220" i="271"/>
  <c r="J220" i="271" s="1"/>
  <c r="J221" i="271" s="1"/>
  <c r="G219" i="271"/>
  <c r="K219" i="271" s="1"/>
  <c r="G59" i="271"/>
  <c r="J59" i="271" s="1"/>
  <c r="J60" i="271" s="1"/>
  <c r="G58" i="271"/>
  <c r="K58" i="271" s="1"/>
  <c r="K60" i="271" s="1"/>
  <c r="G862" i="271"/>
  <c r="K862" i="271" s="1"/>
  <c r="G861" i="271"/>
  <c r="J861" i="271" s="1"/>
  <c r="K863" i="271"/>
  <c r="G166" i="271"/>
  <c r="J166" i="271" s="1"/>
  <c r="K264" i="271"/>
  <c r="G263" i="271"/>
  <c r="J263" i="271" s="1"/>
  <c r="J264" i="271" s="1"/>
  <c r="E264" i="271" s="1"/>
  <c r="L260" i="271" s="1"/>
  <c r="G360" i="271"/>
  <c r="K360" i="271" s="1"/>
  <c r="K362" i="271" s="1"/>
  <c r="G361" i="271"/>
  <c r="J361" i="271" s="1"/>
  <c r="K510" i="271"/>
  <c r="G563" i="271"/>
  <c r="K563" i="271" s="1"/>
  <c r="K565" i="271"/>
  <c r="J634" i="271"/>
  <c r="E634" i="271" s="1"/>
  <c r="L624" i="271" s="1"/>
  <c r="G786" i="271"/>
  <c r="K786" i="271" s="1"/>
  <c r="K788" i="271" s="1"/>
  <c r="G785" i="271"/>
  <c r="J785" i="271" s="1"/>
  <c r="G787" i="271"/>
  <c r="J787" i="271" s="1"/>
  <c r="G870" i="271"/>
  <c r="J870" i="271" s="1"/>
  <c r="K873" i="271"/>
  <c r="G666" i="271"/>
  <c r="J666" i="271" s="1"/>
  <c r="G727" i="271"/>
  <c r="K727" i="271" s="1"/>
  <c r="K729" i="271" s="1"/>
  <c r="E729" i="271" s="1"/>
  <c r="L725" i="271" s="1"/>
  <c r="J296" i="271"/>
  <c r="E296" i="271" s="1"/>
  <c r="L287" i="271" s="1"/>
  <c r="I622" i="271"/>
  <c r="G665" i="271"/>
  <c r="K665" i="271" s="1"/>
  <c r="K667" i="271" s="1"/>
  <c r="J522" i="271"/>
  <c r="G138" i="271"/>
  <c r="J138" i="271" s="1"/>
  <c r="J139" i="271" s="1"/>
  <c r="E139" i="271" s="1"/>
  <c r="L129" i="271" s="1"/>
  <c r="G137" i="271"/>
  <c r="K137" i="271" s="1"/>
  <c r="K139" i="271" s="1"/>
  <c r="K285" i="271"/>
  <c r="E285" i="271" s="1"/>
  <c r="L280" i="271" s="1"/>
  <c r="G696" i="271"/>
  <c r="K696" i="271" s="1"/>
  <c r="K698" i="271" s="1"/>
  <c r="G754" i="271"/>
  <c r="J754" i="271" s="1"/>
  <c r="J755" i="271" s="1"/>
  <c r="K755" i="271"/>
  <c r="K278" i="271"/>
  <c r="J565" i="271"/>
  <c r="G741" i="271"/>
  <c r="J741" i="271" s="1"/>
  <c r="J742" i="271" s="1"/>
  <c r="G740" i="271"/>
  <c r="K740" i="271" s="1"/>
  <c r="K742" i="271" s="1"/>
  <c r="G918" i="271"/>
  <c r="J918" i="271" s="1"/>
  <c r="J919" i="271" s="1"/>
  <c r="E919" i="271" s="1"/>
  <c r="G917" i="271"/>
  <c r="K917" i="271" s="1"/>
  <c r="K919" i="271" s="1"/>
  <c r="G943" i="271"/>
  <c r="K944" i="271"/>
  <c r="J970" i="271"/>
  <c r="E970" i="271" s="1"/>
  <c r="L964" i="271" s="1"/>
  <c r="F1038" i="271" s="1"/>
  <c r="G91" i="271"/>
  <c r="K91" i="271" s="1"/>
  <c r="K93" i="271" s="1"/>
  <c r="E93" i="271" s="1"/>
  <c r="G235" i="271"/>
  <c r="J235" i="271" s="1"/>
  <c r="G453" i="271"/>
  <c r="J453" i="271" s="1"/>
  <c r="J454" i="271" s="1"/>
  <c r="G490" i="271"/>
  <c r="J490" i="271" s="1"/>
  <c r="G489" i="271"/>
  <c r="K489" i="271" s="1"/>
  <c r="K491" i="271" s="1"/>
  <c r="K522" i="271"/>
  <c r="G645" i="271"/>
  <c r="K645" i="271" s="1"/>
  <c r="K647" i="271" s="1"/>
  <c r="G697" i="271"/>
  <c r="J697" i="271" s="1"/>
  <c r="K781" i="271"/>
  <c r="G780" i="271"/>
  <c r="J780" i="271" s="1"/>
  <c r="J781" i="271" s="1"/>
  <c r="K827" i="271"/>
  <c r="K992" i="271"/>
  <c r="K994" i="271"/>
  <c r="J993" i="271"/>
  <c r="J994" i="271" s="1"/>
  <c r="E994" i="271" s="1"/>
  <c r="J510" i="271"/>
  <c r="J539" i="271"/>
  <c r="J545" i="271" s="1"/>
  <c r="G847" i="271"/>
  <c r="J847" i="271" s="1"/>
  <c r="G984" i="271"/>
  <c r="J984" i="271" s="1"/>
  <c r="J985" i="271" s="1"/>
  <c r="E985" i="271" s="1"/>
  <c r="L979" i="271" s="1"/>
  <c r="F1042" i="271" s="1"/>
  <c r="K985" i="271"/>
  <c r="G18" i="273"/>
  <c r="D18" i="273" s="1"/>
  <c r="G475" i="271"/>
  <c r="J475" i="271" s="1"/>
  <c r="I522" i="271"/>
  <c r="G632" i="271"/>
  <c r="K632" i="271" s="1"/>
  <c r="K634" i="271" s="1"/>
  <c r="G658" i="271"/>
  <c r="K658" i="271" s="1"/>
  <c r="K660" i="271"/>
  <c r="G706" i="271"/>
  <c r="J706" i="271" s="1"/>
  <c r="J707" i="271" s="1"/>
  <c r="E707" i="271" s="1"/>
  <c r="L700" i="271" s="1"/>
  <c r="G848" i="271"/>
  <c r="J848" i="271" s="1"/>
  <c r="J944" i="271"/>
  <c r="E944" i="271" s="1"/>
  <c r="L937" i="271" s="1"/>
  <c r="F1035" i="271" s="1"/>
  <c r="K1010" i="271"/>
  <c r="G1009" i="271"/>
  <c r="J1009" i="271" s="1"/>
  <c r="J1010" i="271" s="1"/>
  <c r="E1010" i="271" s="1"/>
  <c r="L1005" i="271" s="1"/>
  <c r="F1045" i="271" s="1"/>
  <c r="I611" i="271"/>
  <c r="G705" i="271"/>
  <c r="K705" i="271" s="1"/>
  <c r="K707" i="271" s="1"/>
  <c r="K735" i="271"/>
  <c r="E816" i="271"/>
  <c r="L802" i="271" s="1"/>
  <c r="G895" i="271"/>
  <c r="J895" i="271" s="1"/>
  <c r="K898" i="271"/>
  <c r="B26" i="272"/>
  <c r="B27" i="272" s="1"/>
  <c r="F15" i="273" s="1"/>
  <c r="G15" i="273" s="1"/>
  <c r="E21" i="273"/>
  <c r="G26" i="272"/>
  <c r="G27" i="272" s="1"/>
  <c r="F12" i="273" s="1"/>
  <c r="G12" i="273" s="1"/>
  <c r="D12" i="273" s="1"/>
  <c r="F18" i="273"/>
  <c r="E22" i="273"/>
  <c r="G734" i="271"/>
  <c r="J734" i="271" s="1"/>
  <c r="J735" i="271" s="1"/>
  <c r="E10" i="273"/>
  <c r="E13" i="273"/>
  <c r="E16" i="273"/>
  <c r="E19" i="273"/>
  <c r="E30" i="273"/>
  <c r="E23" i="273"/>
  <c r="E27" i="273"/>
  <c r="F11" i="274"/>
  <c r="K55" i="270"/>
  <c r="J47" i="270"/>
  <c r="J46" i="270"/>
  <c r="K42" i="270"/>
  <c r="K41" i="270"/>
  <c r="K40" i="270"/>
  <c r="K39" i="270"/>
  <c r="K38" i="270"/>
  <c r="K37" i="270"/>
  <c r="K43" i="270" s="1"/>
  <c r="K33" i="270"/>
  <c r="K32" i="270"/>
  <c r="K31" i="270"/>
  <c r="K30" i="270"/>
  <c r="K29" i="270"/>
  <c r="K28" i="270"/>
  <c r="K27" i="270"/>
  <c r="K26" i="270"/>
  <c r="K22" i="270"/>
  <c r="K21" i="270"/>
  <c r="K20" i="270"/>
  <c r="K19" i="270"/>
  <c r="K18" i="270"/>
  <c r="K17" i="270"/>
  <c r="K23" i="270" s="1"/>
  <c r="K14" i="270"/>
  <c r="K15" i="270" s="1"/>
  <c r="J47" i="265"/>
  <c r="J46" i="265"/>
  <c r="K55" i="265"/>
  <c r="K42" i="265"/>
  <c r="K41" i="265"/>
  <c r="K40" i="265"/>
  <c r="K38" i="265"/>
  <c r="K37" i="265"/>
  <c r="K28" i="265"/>
  <c r="K29" i="265"/>
  <c r="K30" i="265"/>
  <c r="K31" i="265"/>
  <c r="K32" i="265"/>
  <c r="K33" i="265"/>
  <c r="L914" i="271" l="1"/>
  <c r="F1032" i="271" s="1"/>
  <c r="J27" i="265"/>
  <c r="K27" i="265" s="1"/>
  <c r="E565" i="271"/>
  <c r="L558" i="271" s="1"/>
  <c r="L987" i="271"/>
  <c r="F1043" i="271" s="1"/>
  <c r="K39" i="265"/>
  <c r="K43" i="265" s="1"/>
  <c r="E378" i="271"/>
  <c r="L364" i="271" s="1"/>
  <c r="E755" i="271"/>
  <c r="L751" i="271" s="1"/>
  <c r="E60" i="271"/>
  <c r="E82" i="271"/>
  <c r="E723" i="271"/>
  <c r="L718" i="271" s="1"/>
  <c r="E335" i="271"/>
  <c r="L329" i="271" s="1"/>
  <c r="J788" i="271"/>
  <c r="E788" i="271" s="1"/>
  <c r="L783" i="271" s="1"/>
  <c r="L829" i="271"/>
  <c r="F1023" i="271" s="1"/>
  <c r="J17" i="265"/>
  <c r="K17" i="265" s="1"/>
  <c r="E827" i="271"/>
  <c r="E442" i="271"/>
  <c r="L433" i="271" s="1"/>
  <c r="E603" i="271"/>
  <c r="L596" i="271" s="1"/>
  <c r="E911" i="271"/>
  <c r="E522" i="271"/>
  <c r="L513" i="271" s="1"/>
  <c r="E781" i="271"/>
  <c r="L765" i="271" s="1"/>
  <c r="E48" i="271"/>
  <c r="L38" i="271" s="1"/>
  <c r="E410" i="271"/>
  <c r="L401" i="271" s="1"/>
  <c r="E466" i="271"/>
  <c r="L457" i="271" s="1"/>
  <c r="E454" i="271"/>
  <c r="L445" i="271" s="1"/>
  <c r="E929" i="271"/>
  <c r="L921" i="271" s="1"/>
  <c r="F1033" i="271" s="1"/>
  <c r="E763" i="271"/>
  <c r="L757" i="271" s="1"/>
  <c r="E735" i="271"/>
  <c r="L731" i="271" s="1"/>
  <c r="E221" i="271"/>
  <c r="L215" i="271" s="1"/>
  <c r="E278" i="271"/>
  <c r="L272" i="271" s="1"/>
  <c r="E545" i="271"/>
  <c r="L532" i="271" s="1"/>
  <c r="E1003" i="271"/>
  <c r="L996" i="271" s="1"/>
  <c r="F1044" i="271" s="1"/>
  <c r="G676" i="271"/>
  <c r="J676" i="271" s="1"/>
  <c r="J683" i="271" s="1"/>
  <c r="E683" i="271" s="1"/>
  <c r="L675" i="271" s="1"/>
  <c r="L95" i="271"/>
  <c r="G637" i="271"/>
  <c r="J637" i="271" s="1"/>
  <c r="J647" i="271" s="1"/>
  <c r="E647" i="271" s="1"/>
  <c r="L636" i="271" s="1"/>
  <c r="G354" i="271"/>
  <c r="J354" i="271" s="1"/>
  <c r="J362" i="271" s="1"/>
  <c r="E362" i="271" s="1"/>
  <c r="L353" i="271" s="1"/>
  <c r="G650" i="271"/>
  <c r="J650" i="271" s="1"/>
  <c r="J660" i="271" s="1"/>
  <c r="E660" i="271" s="1"/>
  <c r="L649" i="271" s="1"/>
  <c r="G343" i="271"/>
  <c r="J343" i="271" s="1"/>
  <c r="J351" i="271" s="1"/>
  <c r="E351" i="271" s="1"/>
  <c r="L342" i="271" s="1"/>
  <c r="G393" i="271"/>
  <c r="J393" i="271" s="1"/>
  <c r="J399" i="271" s="1"/>
  <c r="E399" i="271" s="1"/>
  <c r="L392" i="271" s="1"/>
  <c r="G381" i="271"/>
  <c r="J381" i="271" s="1"/>
  <c r="J390" i="271" s="1"/>
  <c r="E390" i="271" s="1"/>
  <c r="L380" i="271" s="1"/>
  <c r="G856" i="271"/>
  <c r="J856" i="271" s="1"/>
  <c r="J863" i="271" s="1"/>
  <c r="E863" i="271" s="1"/>
  <c r="L84" i="271"/>
  <c r="G663" i="271"/>
  <c r="J663" i="271" s="1"/>
  <c r="J667" i="271" s="1"/>
  <c r="E667" i="271" s="1"/>
  <c r="L662" i="271" s="1"/>
  <c r="G317" i="271"/>
  <c r="J317" i="271" s="1"/>
  <c r="J327" i="271" s="1"/>
  <c r="E327" i="271" s="1"/>
  <c r="L316" i="271" s="1"/>
  <c r="L2" i="271"/>
  <c r="D15" i="273"/>
  <c r="E304" i="271"/>
  <c r="L298" i="271" s="1"/>
  <c r="L50" i="271"/>
  <c r="G413" i="271"/>
  <c r="J413" i="271" s="1"/>
  <c r="J419" i="271" s="1"/>
  <c r="E419" i="271" s="1"/>
  <c r="L412" i="271" s="1"/>
  <c r="G877" i="271"/>
  <c r="J877" i="271" s="1"/>
  <c r="J883" i="271" s="1"/>
  <c r="E883" i="271" s="1"/>
  <c r="G479" i="271"/>
  <c r="J479" i="271" s="1"/>
  <c r="G845" i="271"/>
  <c r="J845" i="271" s="1"/>
  <c r="J850" i="271" s="1"/>
  <c r="E850" i="271" s="1"/>
  <c r="L106" i="271"/>
  <c r="G686" i="271"/>
  <c r="J686" i="271" s="1"/>
  <c r="G867" i="271"/>
  <c r="J867" i="271" s="1"/>
  <c r="J873" i="271" s="1"/>
  <c r="E873" i="271" s="1"/>
  <c r="G469" i="271"/>
  <c r="J469" i="271" s="1"/>
  <c r="J476" i="271" s="1"/>
  <c r="E476" i="271" s="1"/>
  <c r="L468" i="271" s="1"/>
  <c r="G887" i="271"/>
  <c r="J887" i="271" s="1"/>
  <c r="J898" i="271" s="1"/>
  <c r="E898" i="271" s="1"/>
  <c r="G233" i="271"/>
  <c r="J233" i="271" s="1"/>
  <c r="J236" i="271" s="1"/>
  <c r="E236" i="271" s="1"/>
  <c r="L230" i="271" s="1"/>
  <c r="L73" i="271"/>
  <c r="G156" i="271"/>
  <c r="J156" i="271" s="1"/>
  <c r="J167" i="271" s="1"/>
  <c r="E167" i="271" s="1"/>
  <c r="L154" i="271" s="1"/>
  <c r="F7" i="273"/>
  <c r="G7" i="273" s="1"/>
  <c r="F29" i="273"/>
  <c r="G29" i="273" s="1"/>
  <c r="D29" i="273" s="1"/>
  <c r="E611" i="271"/>
  <c r="L605" i="271" s="1"/>
  <c r="F14" i="273"/>
  <c r="G14" i="273" s="1"/>
  <c r="D14" i="273" s="1"/>
  <c r="F8" i="273"/>
  <c r="G8" i="273" s="1"/>
  <c r="D8" i="273" s="1"/>
  <c r="E742" i="271"/>
  <c r="L737" i="271" s="1"/>
  <c r="F9" i="273"/>
  <c r="G9" i="273" s="1"/>
  <c r="F28" i="273"/>
  <c r="G28" i="273" s="1"/>
  <c r="D28" i="273" s="1"/>
  <c r="F17" i="273"/>
  <c r="G17" i="273" s="1"/>
  <c r="E622" i="271"/>
  <c r="L613" i="271" s="1"/>
  <c r="F19" i="273"/>
  <c r="G19" i="273" s="1"/>
  <c r="D19" i="273" s="1"/>
  <c r="F16" i="273"/>
  <c r="G16" i="273" s="1"/>
  <c r="D16" i="273" s="1"/>
  <c r="F11" i="273"/>
  <c r="G11" i="273" s="1"/>
  <c r="D11" i="273" s="1"/>
  <c r="F12" i="274"/>
  <c r="F14" i="274" s="1"/>
  <c r="F15" i="274" s="1"/>
  <c r="G10" i="273"/>
  <c r="D10" i="273" s="1"/>
  <c r="F10" i="273"/>
  <c r="G13" i="273"/>
  <c r="F13" i="273"/>
  <c r="E26" i="273"/>
  <c r="E25" i="273"/>
  <c r="F13" i="274"/>
  <c r="G486" i="271"/>
  <c r="J486" i="271" s="1"/>
  <c r="G693" i="271"/>
  <c r="J693" i="271" s="1"/>
  <c r="L145" i="271"/>
  <c r="E430" i="271"/>
  <c r="L421" i="271" s="1"/>
  <c r="K34" i="270"/>
  <c r="K44" i="270"/>
  <c r="K47" i="270" s="1"/>
  <c r="J698" i="271" l="1"/>
  <c r="E698" i="271" s="1"/>
  <c r="L685" i="271" s="1"/>
  <c r="L853" i="271"/>
  <c r="F1025" i="271" s="1"/>
  <c r="J19" i="265"/>
  <c r="K19" i="265" s="1"/>
  <c r="L837" i="271"/>
  <c r="F1024" i="271" s="1"/>
  <c r="J18" i="265"/>
  <c r="K18" i="265" s="1"/>
  <c r="K23" i="265" s="1"/>
  <c r="L866" i="271"/>
  <c r="F1026" i="271" s="1"/>
  <c r="J20" i="265"/>
  <c r="K20" i="265" s="1"/>
  <c r="L900" i="271"/>
  <c r="F1031" i="271" s="1"/>
  <c r="J26" i="265"/>
  <c r="K26" i="265" s="1"/>
  <c r="K34" i="265" s="1"/>
  <c r="L819" i="271"/>
  <c r="F1022" i="271" s="1"/>
  <c r="J14" i="265"/>
  <c r="K14" i="265" s="1"/>
  <c r="K15" i="265" s="1"/>
  <c r="J491" i="271"/>
  <c r="E491" i="271" s="1"/>
  <c r="L478" i="271" s="1"/>
  <c r="L886" i="271"/>
  <c r="F1028" i="271" s="1"/>
  <c r="J22" i="265"/>
  <c r="K22" i="265" s="1"/>
  <c r="L876" i="271"/>
  <c r="F1027" i="271" s="1"/>
  <c r="J21" i="265"/>
  <c r="K21" i="265" s="1"/>
  <c r="G32" i="273"/>
  <c r="D32" i="273" s="1"/>
  <c r="G26" i="273"/>
  <c r="D26" i="273" s="1"/>
  <c r="D13" i="273"/>
  <c r="G25" i="273"/>
  <c r="D25" i="273" s="1"/>
  <c r="G24" i="273"/>
  <c r="D24" i="273" s="1"/>
  <c r="G20" i="273"/>
  <c r="D20" i="273" s="1"/>
  <c r="D7" i="273"/>
  <c r="D17" i="273"/>
  <c r="G27" i="273"/>
  <c r="D27" i="273" s="1"/>
  <c r="G31" i="273"/>
  <c r="D31" i="273" s="1"/>
  <c r="G23" i="273"/>
  <c r="D23" i="273" s="1"/>
  <c r="G22" i="273"/>
  <c r="D22" i="273" s="1"/>
  <c r="G21" i="273"/>
  <c r="D21" i="273" s="1"/>
  <c r="D9" i="273"/>
  <c r="K46" i="270"/>
  <c r="K48" i="270" s="1"/>
  <c r="K44" i="265" l="1"/>
  <c r="K46" i="265" s="1"/>
  <c r="K47" i="265" l="1"/>
  <c r="K48" i="265" s="1"/>
  <c r="B33" i="274" l="1"/>
  <c r="F33" i="274" s="1"/>
  <c r="B35" i="274"/>
  <c r="F35" i="274" s="1"/>
  <c r="B36" i="274"/>
  <c r="F36" i="274" s="1"/>
  <c r="B34" i="274"/>
  <c r="F34" i="274" s="1"/>
  <c r="F37" i="274"/>
  <c r="B37" i="274"/>
  <c r="B29" i="274"/>
  <c r="F29" i="274"/>
  <c r="F30" i="274"/>
  <c r="B38" i="274"/>
  <c r="F38" i="274" s="1"/>
  <c r="F39" i="274" l="1"/>
  <c r="F50" i="274" s="1"/>
  <c r="E50" i="274" s="1"/>
  <c r="E54" i="274" s="1"/>
  <c r="D5" i="274" s="1"/>
</calcChain>
</file>

<file path=xl/sharedStrings.xml><?xml version="1.0" encoding="utf-8"?>
<sst xmlns="http://schemas.openxmlformats.org/spreadsheetml/2006/main" count="2502" uniqueCount="666">
  <si>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</si>
  <si>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</si>
  <si>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</si>
  <si>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</si>
  <si>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</si>
  <si>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</si>
  <si>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</si>
  <si>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</si>
  <si>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</si>
  <si>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</si>
  <si>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</si>
  <si>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</si>
  <si>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</si>
  <si>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DESCRIPCION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</si>
  <si>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</si>
  <si>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</si>
  <si>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</si>
  <si>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</si>
  <si>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</si>
  <si>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</si>
  <si>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</si>
  <si>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</si>
  <si>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</si>
  <si>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</si>
  <si>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ADMINISTRACION</t>
  </si>
  <si>
    <t xml:space="preserve">Formulario 1 - Propuesta económica </t>
  </si>
  <si>
    <t xml:space="preserve">PRELIMINARES </t>
  </si>
  <si>
    <t xml:space="preserve">Trinchos en guadua h libre= 2m </t>
  </si>
  <si>
    <t>OBRAS DE CIERRE</t>
  </si>
  <si>
    <t xml:space="preserve">Canal en concreto champeado, incluye geomembrana 0.30mx0.30m </t>
  </si>
  <si>
    <t>Canal disipador energia en concreto de 27,6 Mpa (4000 PSI)</t>
  </si>
  <si>
    <t>Micro pilotes para canal de disipador</t>
  </si>
  <si>
    <t>Camara de inspección CLL-01</t>
  </si>
  <si>
    <t>Camara de inspección CLL-02</t>
  </si>
  <si>
    <t>Estructura de entrega cabezal</t>
  </si>
  <si>
    <t>m2</t>
  </si>
  <si>
    <t>m</t>
  </si>
  <si>
    <t>m3</t>
  </si>
  <si>
    <t>Und</t>
  </si>
  <si>
    <t xml:space="preserve">OLIVAR DE LOS VIENTOS </t>
  </si>
  <si>
    <t xml:space="preserve">I.E. HUGO ANGEL JARAMILLO </t>
  </si>
  <si>
    <t xml:space="preserve">BOX CULVERT </t>
  </si>
  <si>
    <t>Box-Culvert C 20.7 MPa  (m3)</t>
  </si>
  <si>
    <t>Mejoramiento Superf. Apoyo en conc.ciclópeo  (m3)</t>
  </si>
  <si>
    <t>Subbase granular tipo INVIAS  (m3)</t>
  </si>
  <si>
    <t>Junta Dil/Exp cinta PVC V-22  (m)</t>
  </si>
  <si>
    <t>Acero Fy=420 MPa  Co+Fi+Ar  (Kg)</t>
  </si>
  <si>
    <t>kg</t>
  </si>
  <si>
    <t>Señal vertical de transito tipo SP, SR de 75x75 con lámina retroreflectiva tipo diamante</t>
  </si>
  <si>
    <t>und</t>
  </si>
  <si>
    <t>Líneas de demarcación vial pintura en frío</t>
  </si>
  <si>
    <t>Tacha reflectiva bidireccional incluye suministro e instalación</t>
  </si>
  <si>
    <t xml:space="preserve">CAMINOS DE MARAYA </t>
  </si>
  <si>
    <t xml:space="preserve">MURO DE CONTENCION </t>
  </si>
  <si>
    <t>Mejoramiento de superficie de apoyo en concreto ciclopeo</t>
  </si>
  <si>
    <t>Canal en concreto champeado, incluye geomembrana 0.30mx0.30m</t>
  </si>
  <si>
    <t>Fijación de Micro hexapodos mediante perforación con barreno de dren mecánico</t>
  </si>
  <si>
    <t>Instalacion micro hexapodos incluye Juego de fijacion y acarreo en talud y lecho del río</t>
  </si>
  <si>
    <t>Perforación en material común (mecánica) de 4" para dren en tubería PVC</t>
  </si>
  <si>
    <t xml:space="preserve">Instalacion de tubería PVC de 3" (tubería perforada + accesorios y geotextil)  </t>
  </si>
  <si>
    <t xml:space="preserve">VALOR TOTAL+AU </t>
  </si>
  <si>
    <t xml:space="preserve">UTILIDAD </t>
  </si>
  <si>
    <t>DIGITAR</t>
  </si>
  <si>
    <t>ITEM</t>
  </si>
  <si>
    <t>CÓDIGO</t>
  </si>
  <si>
    <t>UNIDAD</t>
  </si>
  <si>
    <t>Cantidad</t>
  </si>
  <si>
    <t>Vr/insumo</t>
  </si>
  <si>
    <t>Desper.</t>
  </si>
  <si>
    <t>Equipo</t>
  </si>
  <si>
    <t>Material</t>
  </si>
  <si>
    <t>Personal</t>
  </si>
  <si>
    <t>Concreto ciclópeo  (m3)</t>
  </si>
  <si>
    <t>I00115</t>
  </si>
  <si>
    <t xml:space="preserve">Arena </t>
  </si>
  <si>
    <t>I00496</t>
  </si>
  <si>
    <t>Grava triturada de cantera Ø max 3/4"</t>
  </si>
  <si>
    <t>I00061</t>
  </si>
  <si>
    <t xml:space="preserve">Agua </t>
  </si>
  <si>
    <t>Lt</t>
  </si>
  <si>
    <t>I00793</t>
  </si>
  <si>
    <t>Piedra media zonga</t>
  </si>
  <si>
    <t>I00221-1</t>
  </si>
  <si>
    <t xml:space="preserve">Cemento gris </t>
  </si>
  <si>
    <t>KG</t>
  </si>
  <si>
    <t>E0031</t>
  </si>
  <si>
    <t>Mezcladora de 1 saco</t>
  </si>
  <si>
    <t>Día</t>
  </si>
  <si>
    <t>C 1O+4A</t>
  </si>
  <si>
    <t>Cuadrilla C 1 Of + 4 Ay (jornal + prestaciones)</t>
  </si>
  <si>
    <t>Acarreo Horizontal (% M.O.)</t>
  </si>
  <si>
    <t>%</t>
  </si>
  <si>
    <t>Herramienta Menor (% M.O.)</t>
  </si>
  <si>
    <t>COSTO DIRECTO</t>
  </si>
  <si>
    <t>Concreto fluido 20.7 MPa  (m3)</t>
  </si>
  <si>
    <t>I00451</t>
  </si>
  <si>
    <t>Fluidificante para concretos</t>
  </si>
  <si>
    <t>Kg</t>
  </si>
  <si>
    <t>Concreto imperm 20.7 MPa  (m3)</t>
  </si>
  <si>
    <t>I00545</t>
  </si>
  <si>
    <t>Impermeabilizante para concreto</t>
  </si>
  <si>
    <t>Concreto imperm 24.1 Mpa  (m3)</t>
  </si>
  <si>
    <t>Concreto imperm 27.6 MPa  (m3)</t>
  </si>
  <si>
    <t>Concreto simple 10.3 MPa  (m3)</t>
  </si>
  <si>
    <t>Concreto simple 17.2 MPa  (m3)</t>
  </si>
  <si>
    <t>Concreto simple 20.7 MPa  (m3)</t>
  </si>
  <si>
    <t>Concreto simple 24 MPa  (m3)</t>
  </si>
  <si>
    <t>Concreto simple 27.6 MPa  (m3)</t>
  </si>
  <si>
    <t>Concreto simple imper 20.7 MPa  (m3)</t>
  </si>
  <si>
    <t>Concreto simple imper 27.6 MPa  (m3)</t>
  </si>
  <si>
    <t>Concreto prem 27.6 MPa  (m3)</t>
  </si>
  <si>
    <t>I00338</t>
  </si>
  <si>
    <t>Concreto premezclado de 27,6 MPa (4000 psi)  As 4"</t>
  </si>
  <si>
    <t>I00020</t>
  </si>
  <si>
    <t>Acero de Fy = 60.000 psi d&gt;1/4</t>
  </si>
  <si>
    <t>I00080</t>
  </si>
  <si>
    <t>Alambre negro calibre 18</t>
  </si>
  <si>
    <t>E0036</t>
  </si>
  <si>
    <t>Pulidora</t>
  </si>
  <si>
    <t>C 1O+1A</t>
  </si>
  <si>
    <t>Cuadrilla  A 1 Of +1 Ay  (jornal + prestaciones)</t>
  </si>
  <si>
    <t>Campamento (tabla +teja Ac+ piso)  (m2)</t>
  </si>
  <si>
    <t>I00970</t>
  </si>
  <si>
    <t>Tabla común cepillada 3,00 x 0,20 x 0,02 mts</t>
  </si>
  <si>
    <t>Un</t>
  </si>
  <si>
    <t>CONC SIMPLE 17.2 MPa  (m3)</t>
  </si>
  <si>
    <t>I01059</t>
  </si>
  <si>
    <t>Teja ondulada de fibrocemento</t>
  </si>
  <si>
    <t>I00515</t>
  </si>
  <si>
    <t>Guadua basa longitud promedio = 5 m</t>
  </si>
  <si>
    <t>I00860</t>
  </si>
  <si>
    <t>Puntilla (promedio)</t>
  </si>
  <si>
    <t>Lb</t>
  </si>
  <si>
    <t>I00059</t>
  </si>
  <si>
    <t>Afirmado</t>
  </si>
  <si>
    <t>I00142</t>
  </si>
  <si>
    <t>Bisagra de aluminio 3"</t>
  </si>
  <si>
    <t>SALIDA TOMA CORRIENTE GENERAL  (Un)</t>
  </si>
  <si>
    <t>SALIDA ELEC.ALUMBRADO INCANDES  (Un)</t>
  </si>
  <si>
    <t>C 1O+2A</t>
  </si>
  <si>
    <t>Cuadrilla B 1 Of + 2 Ay (jornal + prestaciones)</t>
  </si>
  <si>
    <t>Delineador tubular entre 1-1.4 m  (Un)</t>
  </si>
  <si>
    <t>I00389</t>
  </si>
  <si>
    <t>Delineadores plásticos grado diamante</t>
  </si>
  <si>
    <t>A</t>
  </si>
  <si>
    <t>Ayudante</t>
  </si>
  <si>
    <t>Localización y replanteo obra  (m2)</t>
  </si>
  <si>
    <t>TOP</t>
  </si>
  <si>
    <t>Topógrafo</t>
  </si>
  <si>
    <t>I00634</t>
  </si>
  <si>
    <t>Listón común 3,00 x 0,04 x 0,04 mts</t>
  </si>
  <si>
    <t>Corte mecánico placas y pavimentos de concreto rígido 6 cm &lt;= H&lt;=10 cm (incluye operario)  (m)</t>
  </si>
  <si>
    <t>E0008</t>
  </si>
  <si>
    <t>Cortadora con operario</t>
  </si>
  <si>
    <t>Cerramiento provisional con tela verde   (m)</t>
  </si>
  <si>
    <t>I00517</t>
  </si>
  <si>
    <t>Guadua sobrebasa</t>
  </si>
  <si>
    <t>I01289</t>
  </si>
  <si>
    <t>Varilla esqueleto fina</t>
  </si>
  <si>
    <t>I01064</t>
  </si>
  <si>
    <t>Tela de cerramiento a = 2,10 m (rollo por 100 m)</t>
  </si>
  <si>
    <t xml:space="preserve"> </t>
  </si>
  <si>
    <t>Descapote y limpieza manual (incluye retiro)  (m2)</t>
  </si>
  <si>
    <t>I01313</t>
  </si>
  <si>
    <t>Volqueta 7 m3</t>
  </si>
  <si>
    <t>Hr</t>
  </si>
  <si>
    <t>Control/manejo de aguas quebrada con saco de arena   (m3)</t>
  </si>
  <si>
    <t>I00428</t>
  </si>
  <si>
    <t>Estopa</t>
  </si>
  <si>
    <t>C 2A</t>
  </si>
  <si>
    <t>Cuadrilla I (Dos  ayudantes) (jornal + prestaciones)</t>
  </si>
  <si>
    <t>Control/manejo de aguas quebrada con tablestacado madera   (m2 )</t>
  </si>
  <si>
    <t>Valla informativa instalada  (m2)</t>
  </si>
  <si>
    <t>I01260</t>
  </si>
  <si>
    <t>Valla Banner Full Color</t>
  </si>
  <si>
    <t>I01144</t>
  </si>
  <si>
    <t>Tubería galvanizada Ø=2" espesor 2,95 mm</t>
  </si>
  <si>
    <t>Red provisional agua  (m)</t>
  </si>
  <si>
    <t>I00640</t>
  </si>
  <si>
    <t>Llave de paso tipo Red White de 1/2"</t>
  </si>
  <si>
    <t>I01198</t>
  </si>
  <si>
    <t>Tubería PVC presión de 1/2" rde   9</t>
  </si>
  <si>
    <t>I00881</t>
  </si>
  <si>
    <t>Registro de corte de 1/2"</t>
  </si>
  <si>
    <t>I00632</t>
  </si>
  <si>
    <t>Limpiador removedor PVC 1/4 Galón</t>
  </si>
  <si>
    <t>I00961</t>
  </si>
  <si>
    <t>Soldadura liquida para PVC 1/4 galón</t>
  </si>
  <si>
    <t>I00267</t>
  </si>
  <si>
    <t>Cinta de teflón 30 m</t>
  </si>
  <si>
    <t>Accesorios Promedi (% Tuberia)</t>
  </si>
  <si>
    <t>Construcción de senderos para el trasiego de los materiales (ml)</t>
  </si>
  <si>
    <t>Excavación conglomer seco H=0-1,5 m man  (m3)</t>
  </si>
  <si>
    <t>Excavación conglomer H=0-2 m mec  (m3)</t>
  </si>
  <si>
    <t>E0039</t>
  </si>
  <si>
    <t>Retroexcavadora (Excavadora para W en tierra)</t>
  </si>
  <si>
    <t>Hora</t>
  </si>
  <si>
    <t>Excavación en roca para pila/caisson  (m3)</t>
  </si>
  <si>
    <t>E0116</t>
  </si>
  <si>
    <t>Molinete (base, freno y manila de 15m)</t>
  </si>
  <si>
    <t>Dia</t>
  </si>
  <si>
    <t>E0009</t>
  </si>
  <si>
    <t>Cuña hidráulica</t>
  </si>
  <si>
    <t>Perforac</t>
  </si>
  <si>
    <t>Excavación caisson en conglomerado   (m3)</t>
  </si>
  <si>
    <t>Extracción material prof&gt;1m (m3)</t>
  </si>
  <si>
    <t>E0035</t>
  </si>
  <si>
    <t>Equipo de grúa movil &gt;300kg</t>
  </si>
  <si>
    <t>día</t>
  </si>
  <si>
    <t>Rollo Soga 1 1/4" 32mm (5 usos)</t>
  </si>
  <si>
    <t>rllo</t>
  </si>
  <si>
    <t xml:space="preserve">Motobomba 1.0 Hp </t>
  </si>
  <si>
    <t>dia</t>
  </si>
  <si>
    <t>Extractor aire</t>
  </si>
  <si>
    <t>Acarreo Vertical (% M.O.)</t>
  </si>
  <si>
    <t>Lleno estructural compactado con material de afirmado  (m3)</t>
  </si>
  <si>
    <t>E0002</t>
  </si>
  <si>
    <t>Apisonador tipo canguro</t>
  </si>
  <si>
    <t>E0063</t>
  </si>
  <si>
    <t>Motoniveladora</t>
  </si>
  <si>
    <t>E0064</t>
  </si>
  <si>
    <t>Cilindro compactador vibrador Dynapac</t>
  </si>
  <si>
    <t>I00685</t>
  </si>
  <si>
    <t>Material para subbase Tipo INVIAS</t>
  </si>
  <si>
    <t>E0003</t>
  </si>
  <si>
    <t>Carrotanque agua</t>
  </si>
  <si>
    <t>I01390</t>
  </si>
  <si>
    <t>Ensayo densidad en campo</t>
  </si>
  <si>
    <t>Mejoramiento de superficie de apoyo en concreto ciclopeo (m3)</t>
  </si>
  <si>
    <t>I00337-1</t>
  </si>
  <si>
    <t>Concreto premezclado de 24,5 MPa (3500 psi)  As 4"</t>
  </si>
  <si>
    <t>I00518</t>
  </si>
  <si>
    <t>Guadua sobrebasa L=3.2 m</t>
  </si>
  <si>
    <t>I00110</t>
  </si>
  <si>
    <t>Antisol blanco</t>
  </si>
  <si>
    <t>I00792</t>
  </si>
  <si>
    <t>Piedra de mano</t>
  </si>
  <si>
    <t>2.001-1</t>
  </si>
  <si>
    <t>Cargue manual + retiro y transporte de mat sobrante Incluye el costo de disposicion en escombrera oficial o autorizada   (m3)</t>
  </si>
  <si>
    <t>E0046</t>
  </si>
  <si>
    <t>Transporte a escombrera</t>
  </si>
  <si>
    <t>m3-Km</t>
  </si>
  <si>
    <t xml:space="preserve">Costo de permiso de disposicion </t>
  </si>
  <si>
    <t>2.033-1</t>
  </si>
  <si>
    <t>Sobreacarreo horizontal talud  man  (m3)</t>
  </si>
  <si>
    <t>Anden C 20.7 MPa E=.10 m  (m2)</t>
  </si>
  <si>
    <t>CONC SIMPLE 20.7 MPa  (m3)</t>
  </si>
  <si>
    <t>Sardinel T1 C20.7 MPa S/ Placa 200 cm2&lt; área transv&lt; =380 cm2   (m)</t>
  </si>
  <si>
    <t>Baranda tubular tipo Tub ppal 2" + 4 hilos 1/2"  (m)</t>
  </si>
  <si>
    <t>E0067</t>
  </si>
  <si>
    <t>Compresor pintura</t>
  </si>
  <si>
    <t>I01143</t>
  </si>
  <si>
    <t>Tubería galvanizada Ø=1 1/2" espesor 2,67 mm</t>
  </si>
  <si>
    <t>I00964</t>
  </si>
  <si>
    <t xml:space="preserve">Soldadura </t>
  </si>
  <si>
    <t xml:space="preserve"> kg</t>
  </si>
  <si>
    <t>I00581-1</t>
  </si>
  <si>
    <t>Lámina H.R. 1/4"</t>
  </si>
  <si>
    <t>E0016</t>
  </si>
  <si>
    <t xml:space="preserve">Equipo para soldadura eléctrica </t>
  </si>
  <si>
    <t>I01097</t>
  </si>
  <si>
    <t>Tornillo y chazos</t>
  </si>
  <si>
    <t>I00395</t>
  </si>
  <si>
    <t xml:space="preserve">Disolvente Esmalte </t>
  </si>
  <si>
    <t>I00800</t>
  </si>
  <si>
    <t xml:space="preserve">Pintura esmalte </t>
  </si>
  <si>
    <t>Gl</t>
  </si>
  <si>
    <t>SOL</t>
  </si>
  <si>
    <t>Soldador</t>
  </si>
  <si>
    <t>12.172-1</t>
  </si>
  <si>
    <t>Bordillo  en concreto de 20.7 Mpa 20x20 cm  (m)</t>
  </si>
  <si>
    <t>5.266-1</t>
  </si>
  <si>
    <t>Anillo pila/Caisson concreto 20.7 Mpa  Ø = 1.40 - 1.60m  (m3)</t>
  </si>
  <si>
    <t>E0097</t>
  </si>
  <si>
    <t>Formaleta cónica para caissons</t>
  </si>
  <si>
    <t>E0049</t>
  </si>
  <si>
    <t>Vibrador eléctrico para concreto</t>
  </si>
  <si>
    <t>5.007-1</t>
  </si>
  <si>
    <t>Concreto simple 17.2 Mpa Para solado  (m3)</t>
  </si>
  <si>
    <t>Conc C27.6 MPa premezclado Imperm. pilotes y caissons  (m3)</t>
  </si>
  <si>
    <t>E0034</t>
  </si>
  <si>
    <t>Planta eléctrica motor 5 HP 4500 Watts</t>
  </si>
  <si>
    <t>5.141-1</t>
  </si>
  <si>
    <t>Muro conc ref C27.6 MPa Esp: &gt;0.15 m &lt;=.30 m  (m3)</t>
  </si>
  <si>
    <t>E0024</t>
  </si>
  <si>
    <t>Formaleta metálica muros</t>
  </si>
  <si>
    <t>m2_DÍa</t>
  </si>
  <si>
    <t>SC</t>
  </si>
  <si>
    <t xml:space="preserve">Anclaje seudoactivos en barra 1". Inlcuye centralizadores, excavación, y relleno con grouting (Cemento+Arenón 1:3) perforación manual. No incluye acero ni dado en concreto </t>
  </si>
  <si>
    <t>ML</t>
  </si>
  <si>
    <t>I00510</t>
  </si>
  <si>
    <t>Grouting 20.7 MPa</t>
  </si>
  <si>
    <t>E0072</t>
  </si>
  <si>
    <t>Barreno para dren mecanico</t>
  </si>
  <si>
    <t>EPERF</t>
  </si>
  <si>
    <t xml:space="preserve">Equipo de perforación </t>
  </si>
  <si>
    <t>ECENTR</t>
  </si>
  <si>
    <t>Centralizador</t>
  </si>
  <si>
    <t>un</t>
  </si>
  <si>
    <t>E0001</t>
  </si>
  <si>
    <t xml:space="preserve">Andamio de tijera completo 1.5 x 1.5 x 2,3 </t>
  </si>
  <si>
    <t>C 1 Ofper+1AP+3A</t>
  </si>
  <si>
    <t>Cuadrilla J 1of per+1AP+3Ay (jornal + prestaciones)</t>
  </si>
  <si>
    <t xml:space="preserve">Anclajes seudoactivos en espieral  con tubería ø 1 1/4" de acero de calibre 40. </t>
  </si>
  <si>
    <t>I-1</t>
  </si>
  <si>
    <t>Tubería ø 1 1/4" de acero de calibre 40 sin costura</t>
  </si>
  <si>
    <t>M</t>
  </si>
  <si>
    <t>I-2</t>
  </si>
  <si>
    <t>Espital de diametro 3" con aletas de 3/16"</t>
  </si>
  <si>
    <t>Inyección de lechada para una presion de 70 psi</t>
  </si>
  <si>
    <t>sc</t>
  </si>
  <si>
    <t>EINYEC</t>
  </si>
  <si>
    <t>Equipo de Inyección + accesorios</t>
  </si>
  <si>
    <t>ETANQ</t>
  </si>
  <si>
    <t xml:space="preserve">tanque mezclador </t>
  </si>
  <si>
    <t>Dados de anclajes de 0,5*0,5*0,5 en concreto de 4000 psi (27,6 Mpa)</t>
  </si>
  <si>
    <t>Concreto simple 27.6 Mpa</t>
  </si>
  <si>
    <t>Micro hexapodos de 0,70 m, en concreto de 4000 psi (27,6 Mpa), fabricado in situ. Incluye cable de baja relajación para amarre y acero de refuerzo.</t>
  </si>
  <si>
    <t xml:space="preserve">Concreto simple 27.6 MPa  </t>
  </si>
  <si>
    <t>ICABBR</t>
  </si>
  <si>
    <t>Cable acero de baja relajación de 1/2" para unión de micro hexapodos</t>
  </si>
  <si>
    <t>IVAR1</t>
  </si>
  <si>
    <t>Varilla roscada de diametro 1"</t>
  </si>
  <si>
    <t>IAROE</t>
  </si>
  <si>
    <t>Aro electrosoldado</t>
  </si>
  <si>
    <t>IROSC</t>
  </si>
  <si>
    <t>Rosca diametro 1"</t>
  </si>
  <si>
    <t>C 1O+3A</t>
  </si>
  <si>
    <t>Cuadrilla C 1 Of + 3 Ay (jornal + prestaciones)</t>
  </si>
  <si>
    <t>Acarreo horizontal (%M.O)</t>
  </si>
  <si>
    <r>
      <t xml:space="preserve">Perforación de pantalla en concreto reforzado, con saca núcleo e&lt;0.2m </t>
    </r>
    <r>
      <rPr>
        <b/>
        <sz val="12"/>
        <rFont val="Calibri"/>
        <family val="2"/>
      </rPr>
      <t>Ø</t>
    </r>
    <r>
      <rPr>
        <b/>
        <sz val="10.8"/>
        <rFont val="Arial"/>
        <family val="2"/>
      </rPr>
      <t>=4"</t>
    </r>
  </si>
  <si>
    <t>ESNUC</t>
  </si>
  <si>
    <t>Equipo sacanúcleos para concreto reforzado</t>
  </si>
  <si>
    <t>E0051</t>
  </si>
  <si>
    <t>Arnes con eslinga</t>
  </si>
  <si>
    <t>Tala y retiro de árboles H&lt;12m</t>
  </si>
  <si>
    <t>Motosierra a gasolina</t>
  </si>
  <si>
    <t>Transporte y dispocision residuo forestal</t>
  </si>
  <si>
    <t>Costo de permiso de disposicion residuo forestal</t>
  </si>
  <si>
    <t>ml</t>
  </si>
  <si>
    <t>Muro Tierra armada + refuerzo geotextil H&lt;3.01M  (m3)</t>
  </si>
  <si>
    <t>I00979</t>
  </si>
  <si>
    <t>Tablero formaleta 70*140</t>
  </si>
  <si>
    <t>I00516</t>
  </si>
  <si>
    <t>Guadua cepa L=4.8 m</t>
  </si>
  <si>
    <t>I00383</t>
  </si>
  <si>
    <t>Cuartón de sajo 2" x 4" x 2,9 m</t>
  </si>
  <si>
    <t>I00485</t>
  </si>
  <si>
    <t>Geotextil tejido (Mayor igual) ≥ 2.400 a = 3,85 m</t>
  </si>
  <si>
    <t>I01071</t>
  </si>
  <si>
    <t>Tierra transportada cargada con equipo pesado</t>
  </si>
  <si>
    <t>12.083-1</t>
  </si>
  <si>
    <t>Suministro, transporte e instalación de geomanto control erosión</t>
  </si>
  <si>
    <t>I-3</t>
  </si>
  <si>
    <t>Geomanto sintetico en poliester</t>
  </si>
  <si>
    <t>I00426</t>
  </si>
  <si>
    <t>Grapas de anclaje varilla 3/8"</t>
  </si>
  <si>
    <t>5.014-1</t>
  </si>
  <si>
    <t>Acero Fy=420 MPa  Co+Fi+Ar (Caisson) (Kg)</t>
  </si>
  <si>
    <t>Elementos estructurales en acero A-36  (Kg)</t>
  </si>
  <si>
    <t>I01374</t>
  </si>
  <si>
    <t>Acero Estructural A36</t>
  </si>
  <si>
    <t>5.274-1</t>
  </si>
  <si>
    <t>Placa maciza C28 prem Steeldeck lámina 2" puente  (m3)</t>
  </si>
  <si>
    <t>I00968</t>
  </si>
  <si>
    <t xml:space="preserve">LAMINA METAL DECK  LAMINA 2"  CAL.16  - TIPO ACESCO O SIMILAR. </t>
  </si>
  <si>
    <t>M2</t>
  </si>
  <si>
    <t>E0041</t>
  </si>
  <si>
    <t>Tacos metálicos</t>
  </si>
  <si>
    <t>E0052</t>
  </si>
  <si>
    <t>Cercha metalica 3m</t>
  </si>
  <si>
    <t>E0053</t>
  </si>
  <si>
    <t>Tablero de madera de 1.40x0.70</t>
  </si>
  <si>
    <t>I00920</t>
  </si>
  <si>
    <t>Separol o similar</t>
  </si>
  <si>
    <t>E0117</t>
  </si>
  <si>
    <t>Andammio multidireccional y multinivel (2,5 x 1,2 x 6)</t>
  </si>
  <si>
    <t>Imprimación con emulsión asfaltica  (m2)</t>
  </si>
  <si>
    <t>I00410</t>
  </si>
  <si>
    <t>Emulsión asfáltica para imprimación</t>
  </si>
  <si>
    <t>Galón</t>
  </si>
  <si>
    <t>E0006</t>
  </si>
  <si>
    <t>Compresor con operario</t>
  </si>
  <si>
    <t>E0086</t>
  </si>
  <si>
    <t>Carrotanque asfalto</t>
  </si>
  <si>
    <t>Pavimento Concreto Asfaltico Caliente MDC 19 (Incl Transporte)  (m3)</t>
  </si>
  <si>
    <t>I00702</t>
  </si>
  <si>
    <t>Mezcla asfáltica MDC 19 (Incluye Transporte)</t>
  </si>
  <si>
    <t>E0096</t>
  </si>
  <si>
    <t>Finisher (pavimentadora) con operario incluye transporte</t>
  </si>
  <si>
    <t>E0065</t>
  </si>
  <si>
    <t>Compactador sellador de asfalto en llantas</t>
  </si>
  <si>
    <t>E0066</t>
  </si>
  <si>
    <t>Terminador de asfalto</t>
  </si>
  <si>
    <t>Concreto para losa de aproximación. f'c = 28MPa  (m3)</t>
  </si>
  <si>
    <t>E0025</t>
  </si>
  <si>
    <t>Formaleta metálica para pavimento L=2 mts</t>
  </si>
  <si>
    <t>Cuneta C20.7 MPa vaciadas in situ  (m3)</t>
  </si>
  <si>
    <t>I00861</t>
  </si>
  <si>
    <t>Puntilla 2" y 2 1/2"</t>
  </si>
  <si>
    <t>lb</t>
  </si>
  <si>
    <t>I01291</t>
  </si>
  <si>
    <t>Varillón de sajo</t>
  </si>
  <si>
    <t>5.137-1</t>
  </si>
  <si>
    <t>CONC CICLOPEO  (m3)</t>
  </si>
  <si>
    <t>I00268</t>
  </si>
  <si>
    <t>Cinta en PVC O - 22</t>
  </si>
  <si>
    <t>5.139-1</t>
  </si>
  <si>
    <t>Muro conc ref C24 Mpa  (m3)</t>
  </si>
  <si>
    <t>CONC SIMPLE 24 MPa  (m3)</t>
  </si>
  <si>
    <t>Instalacion micro hexapodos incluye Juego de fijacion y acarreo en talud y lecho de río.</t>
  </si>
  <si>
    <t>Anclaje Pasivo para fijación de Micro hexapodos</t>
  </si>
  <si>
    <t>Demol pavimento rígido  E&lt;0.21 m  (m2)</t>
  </si>
  <si>
    <t>Demol andenes  (m2)</t>
  </si>
  <si>
    <t>Demol sardineles  (m)</t>
  </si>
  <si>
    <t>1.088-1</t>
  </si>
  <si>
    <t>Demol estructuras varias de concreto reforzado   (m3)</t>
  </si>
  <si>
    <t>E0039-1</t>
  </si>
  <si>
    <t>2 Ayudante</t>
  </si>
  <si>
    <t>1.075-1</t>
  </si>
  <si>
    <t>Demol columnas reforzadas  0.30 x 0.30 (ml)</t>
  </si>
  <si>
    <t>E0030</t>
  </si>
  <si>
    <t>Taladro percutor</t>
  </si>
  <si>
    <t>1.075-2</t>
  </si>
  <si>
    <t>Descabezado Pilotes/Caisson (Und)</t>
  </si>
  <si>
    <t>I01172</t>
  </si>
  <si>
    <t>Tubería PVC Aguas Lluvias Ø=3"</t>
  </si>
  <si>
    <t>I00483</t>
  </si>
  <si>
    <t>Geotextil NT 1600 a = 3.5 m</t>
  </si>
  <si>
    <t>Concreto lanzado o proyectado f´c (4000 psi), m3</t>
  </si>
  <si>
    <t>CTGUT1</t>
  </si>
  <si>
    <t>Gunitadora de concreto por via humeda 33Kw, incluye transporte</t>
  </si>
  <si>
    <t>CTBOM1</t>
  </si>
  <si>
    <t xml:space="preserve">Bomba de lanzado </t>
  </si>
  <si>
    <t>CTCOM1</t>
  </si>
  <si>
    <t>Compresor SULLAIR</t>
  </si>
  <si>
    <t>CTMAN1</t>
  </si>
  <si>
    <t>Manguera de lanzado</t>
  </si>
  <si>
    <t>Separador de hormigon para muros</t>
  </si>
  <si>
    <t>CTCEM1</t>
  </si>
  <si>
    <t>Concreto proyectado f´c 4000psi, grava 1/2" asent 6" produccion</t>
  </si>
  <si>
    <t>CTTOX1</t>
  </si>
  <si>
    <t xml:space="preserve">Aditivo acelerante Sigunit L54 </t>
  </si>
  <si>
    <t>TRAN1</t>
  </si>
  <si>
    <t>Transporte de equipos</t>
  </si>
  <si>
    <t>CTEYE1</t>
  </si>
  <si>
    <t>Andamio colgante</t>
  </si>
  <si>
    <t>CTEYE2</t>
  </si>
  <si>
    <t>Plataforma de andamio colgante</t>
  </si>
  <si>
    <t>C 2OL+2AP</t>
  </si>
  <si>
    <t>Cuadrilla K 2 Of lanzador + 2Ap ( jornal + prestaciones)</t>
  </si>
  <si>
    <t>CTESL1</t>
  </si>
  <si>
    <t>Eslinga de absorcion en Y</t>
  </si>
  <si>
    <t>CTLIN1</t>
  </si>
  <si>
    <t>Linea de vida 20m</t>
  </si>
  <si>
    <t>CTARN1</t>
  </si>
  <si>
    <t>Arnes</t>
  </si>
  <si>
    <t>ITE210</t>
  </si>
  <si>
    <t>Excavación para conformación de taludes en material conglomerado manual (m3)</t>
  </si>
  <si>
    <t xml:space="preserve">Control de aguas </t>
  </si>
  <si>
    <t>2-06-07</t>
  </si>
  <si>
    <t>Filtro frances (0.60x0.90m) inclye tuberia, piedra y geotextil NT 1600</t>
  </si>
  <si>
    <t>Geotextil no tejido 1600 a 3.50m</t>
  </si>
  <si>
    <t>CTPIE1</t>
  </si>
  <si>
    <t>Piedra media songa (1-3")</t>
  </si>
  <si>
    <t>M3</t>
  </si>
  <si>
    <t>CTFFS1</t>
  </si>
  <si>
    <t>Tuberia PVC corrugada perforada de 100mm(4")</t>
  </si>
  <si>
    <t>Baranda Tubular  2" (3 Hilos)  (m)</t>
  </si>
  <si>
    <t xml:space="preserve">Trinchos en guadua h libre =2.00m </t>
  </si>
  <si>
    <t>(m2)</t>
  </si>
  <si>
    <t>ALMc12</t>
  </si>
  <si>
    <t>Alambre galvanizado c12</t>
  </si>
  <si>
    <t>Guadua basa L =5m</t>
  </si>
  <si>
    <t>Guadua sobre basa longitud promedio =5m</t>
  </si>
  <si>
    <t>(m)</t>
  </si>
  <si>
    <t>Geom20</t>
  </si>
  <si>
    <t xml:space="preserve">Geomembrana 20mils 0.5mm </t>
  </si>
  <si>
    <t>MAG</t>
  </si>
  <si>
    <t>Malla de gallinero</t>
  </si>
  <si>
    <t xml:space="preserve"> (m3)</t>
  </si>
  <si>
    <t>Tabla común 3,00 x 0,24 x 0,02 mts</t>
  </si>
  <si>
    <t xml:space="preserve">Tacos Metálicos </t>
  </si>
  <si>
    <t>Cuartón 4 cm x 8 cm</t>
  </si>
  <si>
    <t>Concreto de 27.6 mpa (produccion)</t>
  </si>
  <si>
    <t>Acarreo vertical (%M.O)</t>
  </si>
  <si>
    <t xml:space="preserve"> (m)</t>
  </si>
  <si>
    <t>Concreto de 20.7 mpa (produccion)</t>
  </si>
  <si>
    <t>CTHO1</t>
  </si>
  <si>
    <t>Herramienta menor (% M.O.)</t>
  </si>
  <si>
    <t xml:space="preserve">% </t>
  </si>
  <si>
    <t xml:space="preserve">Camara de inspección CLL-01 </t>
  </si>
  <si>
    <t>(und)</t>
  </si>
  <si>
    <t>Formaleta cuerpo de camara</t>
  </si>
  <si>
    <t xml:space="preserve"> (und)</t>
  </si>
  <si>
    <t>(m3)</t>
  </si>
  <si>
    <t>Acpm</t>
  </si>
  <si>
    <t>Almabre negro cal 18</t>
  </si>
  <si>
    <t xml:space="preserve">Box-Culvert C 20.7 MPa </t>
  </si>
  <si>
    <t>Mejoramiento Superf. Apoyo en conc.ciclópeo</t>
  </si>
  <si>
    <t xml:space="preserve">  (m3)</t>
  </si>
  <si>
    <t xml:space="preserve">Subbase granular tipo INVIAS  </t>
  </si>
  <si>
    <t xml:space="preserve">Junta Dil/Exp cinta PVC V-22 </t>
  </si>
  <si>
    <t xml:space="preserve">Acero Fy=420 MPa  Co+Fi+Ar  </t>
  </si>
  <si>
    <t>(Kg)</t>
  </si>
  <si>
    <t>Señal vertical de transito tipo SP, SR de 75 x 75 con lámina retroreflectiva tipo diamante</t>
  </si>
  <si>
    <t>Señal SR, SP y/o SI, tablero en lámina galvanizada de 75x75 cm, retrorreflectiva</t>
  </si>
  <si>
    <t>Poste en ángulo de ± 2 x 2 x 1/8" de 3,5 m (completo)</t>
  </si>
  <si>
    <t>Concreto de 17,2 Mpa (2500 PSI) (Producción)</t>
  </si>
  <si>
    <t>Alquiler de campero o camioneta Mod. &gt; 2016 de 2.600 o más C. C., con conductor</t>
  </si>
  <si>
    <t>Cuadrilla E 1 Of + 1 Ay (jornal + prestaciones)</t>
  </si>
  <si>
    <t>Herramienta menor (% mano obra)</t>
  </si>
  <si>
    <t>%MO</t>
  </si>
  <si>
    <t xml:space="preserve">Disolvente Pintráfico </t>
  </si>
  <si>
    <t>LT</t>
  </si>
  <si>
    <t>Microesferas reflectivas</t>
  </si>
  <si>
    <t>Pintura acrílica para tráfico</t>
  </si>
  <si>
    <t xml:space="preserve">C 4A  </t>
  </si>
  <si>
    <t>Cuadrilla E 4 Ay (jornal + prestaciones)</t>
  </si>
  <si>
    <t>Equipo móvil pintura línea vías</t>
  </si>
  <si>
    <t xml:space="preserve"> (Und)</t>
  </si>
  <si>
    <t>Adhesivo epóxico tipo IV grado 3 (ASTM C-881-02) para anclar barras de acero al concreto x 600 m (Sikadur® AnchorFix®-4 tubo x 600 ml) o similar</t>
  </si>
  <si>
    <t>Tacha reflectiva bidireccional</t>
  </si>
  <si>
    <t xml:space="preserve">Mejoramiento de superficie de apoyo en concreto ciclopeo </t>
  </si>
  <si>
    <t>Planta eléctrica ≥7000 Watts</t>
  </si>
  <si>
    <t xml:space="preserve">Equipo de perforación incluye (taladros y tubería) </t>
  </si>
  <si>
    <t>(Und)</t>
  </si>
  <si>
    <t xml:space="preserve">                                     ANALISIS FACTOR PRESTACIONAL </t>
  </si>
  <si>
    <t>Salario Mínimo Mensual Legal Vigente año 2024</t>
  </si>
  <si>
    <t>Subsidio de Transporte (salario &lt;= 2 SMMLV)</t>
  </si>
  <si>
    <t>SALARIO &lt;= 2 SMMLV</t>
  </si>
  <si>
    <t>SALARIO &gt; 2 SMMLV</t>
  </si>
  <si>
    <t>DETALLE</t>
  </si>
  <si>
    <t>PORCENTAJE PATRONAL</t>
  </si>
  <si>
    <t>PORCENTAJE EMPLEADO</t>
  </si>
  <si>
    <t>SM</t>
  </si>
  <si>
    <t>AT</t>
  </si>
  <si>
    <t>SALARIO MINIMO (S.M)</t>
  </si>
  <si>
    <t>S.M.</t>
  </si>
  <si>
    <t>SALARIO</t>
  </si>
  <si>
    <t>AUX. TRANSPORTE (A.T)</t>
  </si>
  <si>
    <t>A.T</t>
  </si>
  <si>
    <t>CESANTIAS (CS)</t>
  </si>
  <si>
    <t>(S.M + A.T) X 8,33%</t>
  </si>
  <si>
    <t>(SALARIO) X 8,33%</t>
  </si>
  <si>
    <t xml:space="preserve">PRIMA </t>
  </si>
  <si>
    <t xml:space="preserve">VACACIONES </t>
  </si>
  <si>
    <t>S.M X 4,17%</t>
  </si>
  <si>
    <t>SALARIO X 4,17%</t>
  </si>
  <si>
    <t xml:space="preserve">INTERES A LAS CESANTIAS </t>
  </si>
  <si>
    <t xml:space="preserve">(S.M + A.T)  X 1% </t>
  </si>
  <si>
    <t xml:space="preserve">(SALARIO)  X 1% </t>
  </si>
  <si>
    <t xml:space="preserve">PENSION </t>
  </si>
  <si>
    <t>S.M X 12% (PATRONO)</t>
  </si>
  <si>
    <t>S.M X 4% (EMPLEADO)</t>
  </si>
  <si>
    <t>SALARIO X 12% (PATRONO)</t>
  </si>
  <si>
    <t>SALUD</t>
  </si>
  <si>
    <t>S.M X 8,5% (PATRONO)</t>
  </si>
  <si>
    <t>SALARIO X 8,5% (PATRONO)</t>
  </si>
  <si>
    <t>ARL</t>
  </si>
  <si>
    <t>S.M X % (NIVEL CONSTRUCCION 6.96%)</t>
  </si>
  <si>
    <t>SALARIO X % (NIVEL CONSTRUCCION 6.96%)</t>
  </si>
  <si>
    <t>PARAFISCALES</t>
  </si>
  <si>
    <t>S.M X 4% ( COMFA 4%)</t>
  </si>
  <si>
    <t>EXAMEN DE INGRESO</t>
  </si>
  <si>
    <t>FIC</t>
  </si>
  <si>
    <t>S.M. / 40</t>
  </si>
  <si>
    <t>DOTACIÓN</t>
  </si>
  <si>
    <t>VALOR SALARIO + PRESTACIONES</t>
  </si>
  <si>
    <t>FACTOR PRESTACIONAL</t>
  </si>
  <si>
    <t xml:space="preserve">ANALISIS MANO DE OBRA </t>
  </si>
  <si>
    <t>COD.</t>
  </si>
  <si>
    <t>PERSONAL</t>
  </si>
  <si>
    <t>SALARIO DIA</t>
  </si>
  <si>
    <t>SALARIO MENSUAL</t>
  </si>
  <si>
    <t>% FACTOR PRESTACIONAL</t>
  </si>
  <si>
    <t>SALARIO + PRESTACIONES</t>
  </si>
  <si>
    <t>AP</t>
  </si>
  <si>
    <t>Ayudante práctico</t>
  </si>
  <si>
    <t>O</t>
  </si>
  <si>
    <t>Oficial</t>
  </si>
  <si>
    <t>CA</t>
  </si>
  <si>
    <t>Cadenero 1</t>
  </si>
  <si>
    <t>MO</t>
  </si>
  <si>
    <t>Maestro de obra</t>
  </si>
  <si>
    <t>MI</t>
  </si>
  <si>
    <t>Minero</t>
  </si>
  <si>
    <t>OE</t>
  </si>
  <si>
    <t>Oficial eléctrico</t>
  </si>
  <si>
    <t>OP</t>
  </si>
  <si>
    <t>Oficial pintor</t>
  </si>
  <si>
    <t>Oper</t>
  </si>
  <si>
    <t>Oficial Perforación</t>
  </si>
  <si>
    <t>OM</t>
  </si>
  <si>
    <t>Operador de maquinaria</t>
  </si>
  <si>
    <t>PSO</t>
  </si>
  <si>
    <t>Profesional en salud ocupacional</t>
  </si>
  <si>
    <t>C 2O+4A</t>
  </si>
  <si>
    <t>Cuadrilla D 2 Of + 4 Ay (jornal + prestaciones)</t>
  </si>
  <si>
    <t>C 4A</t>
  </si>
  <si>
    <t>C 1OE+1A</t>
  </si>
  <si>
    <t>Cuadrilla F 1 Of eléctrico+1Ay (jornal + prestaciones)</t>
  </si>
  <si>
    <t>C 1OE+2A</t>
  </si>
  <si>
    <t>Cuadrilla G 1 Of eléctrico+2Ay  (jornal + prestaciones)</t>
  </si>
  <si>
    <t>C 1SOL+1AP</t>
  </si>
  <si>
    <t>Cuadrilla H (1Sold.+1Ay práctico) (jornal + prestaciones)</t>
  </si>
  <si>
    <t>PT</t>
  </si>
  <si>
    <t>Paletero</t>
  </si>
  <si>
    <t>CT</t>
  </si>
  <si>
    <t>Controlador de Transito</t>
  </si>
  <si>
    <t>SEG PRIV</t>
  </si>
  <si>
    <t xml:space="preserve">Servicio de Escolta Vigilancia  Privada </t>
  </si>
  <si>
    <t>ALCALDIA DE PEREIRA</t>
  </si>
  <si>
    <t>Version:</t>
  </si>
  <si>
    <t>AU (supuesto):</t>
  </si>
  <si>
    <t xml:space="preserve">ANALISIS DE AU </t>
  </si>
  <si>
    <t>Fecha:</t>
  </si>
  <si>
    <t>INFORMACION GENERAL DEL CONTRATO:</t>
  </si>
  <si>
    <t>“OBRAS COMPLEMENTARIAS A LA CONSTRUCCIÓN DE LA OBRA DE PROTECCIÓN, MITIGACIÓN Y DE OBRAS COMPLEMENTARIAS EN PUENTE DE ACCESO AL I.E. HUGO ÁNGEL JARAMILLO, SECTOR DE LA QUEBRADA LA DULCERA EN LA URBANIZACIÓN CAMINOS DE MARAYA Y SECTOR EN LA URBANIZACIÓN OLIVAR DE LOS VIENTOS ETAPA II DEL MUNICIPIO DE PEREIRA CONFORME A LA DECLARATORIA DE CALAMIDAD PUBLICA SEGÚN DECRETO No. 000883 DEL 08 DE MAYO DE 2024”.</t>
  </si>
  <si>
    <t>AU (calculado):</t>
  </si>
  <si>
    <t>PLAZO (meses):</t>
  </si>
  <si>
    <t>DIRECTO:</t>
  </si>
  <si>
    <t>Anticipo:</t>
  </si>
  <si>
    <t>PRESUP OFICIAL:</t>
  </si>
  <si>
    <t>Salario Minimo:</t>
  </si>
  <si>
    <t>PERSONAL DE PLANILLA (con vinculacion)</t>
  </si>
  <si>
    <t>SUELDO MES</t>
  </si>
  <si>
    <t>DEDICACION MES</t>
  </si>
  <si>
    <t>No. MESES</t>
  </si>
  <si>
    <t>V/r PARCIAL</t>
  </si>
  <si>
    <t>Director de Obra  Ingeniero Civil</t>
  </si>
  <si>
    <t>Residente de Obra  Ingeniero Civil</t>
  </si>
  <si>
    <t>Maestro de Obra</t>
  </si>
  <si>
    <t>Subtotal Personal</t>
  </si>
  <si>
    <t>Total Personal</t>
  </si>
  <si>
    <t>PERSONAL  Y ACTIVIDADES DE APOYO</t>
  </si>
  <si>
    <t>VALOR</t>
  </si>
  <si>
    <t>Asesor Seguridad industrial salud ocupacional</t>
  </si>
  <si>
    <t xml:space="preserve">Asesor en gestión Ambiental     </t>
  </si>
  <si>
    <t>Secretaria</t>
  </si>
  <si>
    <t>Almacenista</t>
  </si>
  <si>
    <t>Contador</t>
  </si>
  <si>
    <t>Vigilante Nocturno</t>
  </si>
  <si>
    <t>Mensajero</t>
  </si>
  <si>
    <t>Subtotal personal y actividades de Apoyo</t>
  </si>
  <si>
    <t>COSTOS DE LEGALIZACIÓN</t>
  </si>
  <si>
    <t>Pólizas</t>
  </si>
  <si>
    <t>Subtotal costos de legalización</t>
  </si>
  <si>
    <t>IMPUESTOS</t>
  </si>
  <si>
    <t>Estampilla Procultura (si &gt; 15 SMMLV)</t>
  </si>
  <si>
    <t>Estampilla Pro Adulto mayor (si &gt; 30 SMMLV)</t>
  </si>
  <si>
    <t>Industria y Comercio</t>
  </si>
  <si>
    <t>Contribucion Especial</t>
  </si>
  <si>
    <t>Estampilla Pro Universidad Tecnológica</t>
  </si>
  <si>
    <t>Estampilla Pro Deporte y Recreación</t>
  </si>
  <si>
    <t>Subtotal Impuestos</t>
  </si>
  <si>
    <t>OTROS COSTOS</t>
  </si>
  <si>
    <t>Papelería</t>
  </si>
  <si>
    <t>Comunicaciones e Informes</t>
  </si>
  <si>
    <t>Oficina</t>
  </si>
  <si>
    <t>Servicios Públicos en oficina</t>
  </si>
  <si>
    <t>Computador y software</t>
  </si>
  <si>
    <t>Subtotal Otros costos</t>
  </si>
  <si>
    <t>VALOR TOTAL ADMINISTRACION</t>
  </si>
  <si>
    <t>VALOR UTILIDAD</t>
  </si>
  <si>
    <t>AU CALCULADO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</si>
</sst>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0.0"/>
    <numFmt numFmtId="204" formatCode="_-[$$-240A]\ * #,##0.00_-;\-[$$-240A]\ * #,##0.00_-;_-[$$-240A]\ * &quot;-&quot;??_-;_-@_-"/>
    <numFmt numFmtId="205" formatCode="&quot;$&quot;\ #,##0.00000"/>
    <numFmt numFmtId="206" formatCode="_-[$$-240A]* #,##0.0_-;\-[$$-240A]* #,##0.0_-;_-[$$-240A]* &quot;-&quot;??_-;_-@_-"/>
    <numFmt numFmtId="207" formatCode="_(* #,##0.000_);_(* \(#,##0.000\);_(* &quot;-&quot;??_);_(@_)"/>
    <numFmt numFmtId="208" formatCode="_(* #,##0_);_(* \(#,##0\);_(* &quot;-&quot;??_);_(@_)"/>
    <numFmt numFmtId="209" formatCode="_-* #,##0.000_-;\-* #,##0.000_-;_-* &quot;-&quot;??_-;_-@_-"/>
    <numFmt numFmtId="210" formatCode="0.00000"/>
    <numFmt numFmtId="211" formatCode="_-* #,##0.0_-;\-* #,##0.0_-;_-* &quot;-&quot;??_-;_-@_-"/>
    <numFmt numFmtId="212" formatCode="_-* #,##0.00000_-;\-* #,##0.00000_-;_-* &quot;-&quot;??_-;_-@_-"/>
    <numFmt numFmtId="213" formatCode="0.000%"/>
    <numFmt numFmtId="214" formatCode="_(&quot;$&quot;* #,##0.00_);_(&quot;$&quot;* \(#,##0.00\);_(&quot;$&quot;* &quot;-&quot;??_);_(@_)"/>
    <numFmt numFmtId="215" formatCode="_-[$$-1409]* #,##0_-;\-[$$-1409]* #,##0_-;_-[$$-1409]* &quot;-&quot;_-;_-@_-"/>
    <numFmt numFmtId="216" formatCode="&quot;$&quot;#,##0"/>
    <numFmt numFmtId="217" formatCode="&quot;$&quot;#,##0.00"/>
    <numFmt numFmtId="218" formatCode="[$$-1409]#,##0;\-[$$-1409]#,##0"/>
    <numFmt numFmtId="219" formatCode="[$$-1409]#,##0.00;\-[$$-1409]#,##0.00"/>
    <numFmt numFmtId="220" formatCode="&quot;$&quot;\ #,##0"/>
    <numFmt numFmtId="221" formatCode="_-[$$-1409]* #,##0.00_-;\-[$$-1409]* #,##0.00_-;_-[$$-1409]* &quot;-&quot;_-;_-@_-"/>
  </numFmts>
  <fonts count="7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sz val="11"/>
      <color theme="0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u/>
      <sz val="12"/>
      <color rgb="FF0563C1"/>
      <name val="Arial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0.8"/>
      <name val="Arial"/>
      <family val="2"/>
    </font>
    <font>
      <b/>
      <sz val="12"/>
      <color rgb="FFFF0000"/>
      <name val="Arial"/>
      <family val="2"/>
    </font>
    <font>
      <sz val="12"/>
      <color theme="0" tint="-0.499984740745262"/>
      <name val="Arial"/>
      <family val="2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38E84D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8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6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6">
      <alignment horizontal="right"/>
    </xf>
    <xf numFmtId="187" fontId="7" fillId="0" borderId="46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6">
      <alignment horizontal="right"/>
    </xf>
    <xf numFmtId="190" fontId="5" fillId="0" borderId="0">
      <protection locked="0"/>
    </xf>
    <xf numFmtId="3" fontId="34" fillId="0" borderId="0" applyFont="0" applyFill="0" applyBorder="0" applyAlignment="0" applyProtection="0"/>
    <xf numFmtId="191" fontId="5" fillId="0" borderId="0">
      <protection locked="0"/>
    </xf>
    <xf numFmtId="192" fontId="34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5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0">
      <protection locked="0"/>
    </xf>
    <xf numFmtId="44" fontId="45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215" fontId="1" fillId="0" borderId="0"/>
  </cellStyleXfs>
  <cellXfs count="645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6" xfId="89" applyFont="1" applyBorder="1"/>
    <xf numFmtId="0" fontId="33" fillId="0" borderId="37" xfId="89" applyFont="1" applyBorder="1"/>
    <xf numFmtId="0" fontId="33" fillId="0" borderId="34" xfId="89" applyFont="1" applyBorder="1"/>
    <xf numFmtId="0" fontId="33" fillId="0" borderId="35" xfId="89" applyFont="1" applyBorder="1"/>
    <xf numFmtId="0" fontId="33" fillId="0" borderId="0" xfId="90" applyFont="1"/>
    <xf numFmtId="0" fontId="33" fillId="0" borderId="34" xfId="90" applyFont="1" applyBorder="1"/>
    <xf numFmtId="0" fontId="33" fillId="0" borderId="35" xfId="90" applyFont="1" applyBorder="1"/>
    <xf numFmtId="181" fontId="33" fillId="0" borderId="35" xfId="90" applyNumberFormat="1" applyFont="1" applyBorder="1"/>
    <xf numFmtId="183" fontId="33" fillId="0" borderId="35" xfId="90" applyNumberFormat="1" applyFont="1" applyBorder="1"/>
    <xf numFmtId="0" fontId="30" fillId="0" borderId="34" xfId="89" applyFont="1" applyBorder="1"/>
    <xf numFmtId="0" fontId="30" fillId="0" borderId="35" xfId="89" applyFont="1" applyBorder="1"/>
    <xf numFmtId="0" fontId="33" fillId="25" borderId="0" xfId="89" applyFont="1" applyFill="1"/>
    <xf numFmtId="0" fontId="30" fillId="25" borderId="0" xfId="89" applyFont="1" applyFill="1"/>
    <xf numFmtId="0" fontId="33" fillId="25" borderId="35" xfId="89" applyFont="1" applyFill="1" applyBorder="1"/>
    <xf numFmtId="0" fontId="44" fillId="0" borderId="18" xfId="126" applyFont="1" applyBorder="1" applyAlignment="1">
      <alignment horizontal="center" vertical="center" wrapText="1"/>
    </xf>
    <xf numFmtId="0" fontId="44" fillId="24" borderId="39" xfId="73" applyFont="1" applyFill="1" applyBorder="1" applyAlignment="1">
      <alignment vertical="center"/>
    </xf>
    <xf numFmtId="0" fontId="44" fillId="24" borderId="41" xfId="73" applyFont="1" applyFill="1" applyBorder="1" applyAlignment="1">
      <alignment vertical="center"/>
    </xf>
    <xf numFmtId="0" fontId="44" fillId="24" borderId="42" xfId="73" applyFont="1" applyFill="1" applyBorder="1" applyAlignment="1">
      <alignment vertical="center"/>
    </xf>
    <xf numFmtId="0" fontId="43" fillId="0" borderId="48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4" fontId="43" fillId="0" borderId="17" xfId="39" applyNumberFormat="1" applyFont="1" applyBorder="1" applyAlignment="1">
      <alignment vertical="center" wrapText="1"/>
    </xf>
    <xf numFmtId="166" fontId="43" fillId="0" borderId="17" xfId="62" applyNumberFormat="1" applyFont="1" applyBorder="1" applyAlignment="1">
      <alignment horizontal="right" vertical="center" wrapText="1"/>
    </xf>
    <xf numFmtId="166" fontId="43" fillId="0" borderId="44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0" fontId="43" fillId="0" borderId="13" xfId="74" applyFont="1" applyBorder="1" applyAlignment="1">
      <alignment horizontal="center" vertical="center"/>
    </xf>
    <xf numFmtId="0" fontId="43" fillId="0" borderId="13" xfId="74" applyFont="1" applyBorder="1" applyAlignment="1">
      <alignment horizontal="left" vertical="center" wrapText="1"/>
    </xf>
    <xf numFmtId="166" fontId="43" fillId="0" borderId="22" xfId="62" applyNumberFormat="1" applyFont="1" applyBorder="1" applyAlignment="1">
      <alignment horizontal="right" vertical="center" wrapText="1"/>
    </xf>
    <xf numFmtId="175" fontId="44" fillId="0" borderId="38" xfId="39" applyNumberFormat="1" applyFont="1" applyBorder="1" applyAlignment="1">
      <alignment horizontal="right" vertical="center"/>
    </xf>
    <xf numFmtId="166" fontId="43" fillId="0" borderId="28" xfId="62" applyNumberFormat="1" applyFont="1" applyBorder="1" applyAlignment="1">
      <alignment horizontal="right" vertical="center" wrapText="1"/>
    </xf>
    <xf numFmtId="0" fontId="43" fillId="0" borderId="17" xfId="135" applyFont="1" applyBorder="1" applyAlignment="1">
      <alignment horizontal="center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0" fontId="43" fillId="0" borderId="17" xfId="73" applyFont="1" applyBorder="1" applyAlignment="1">
      <alignment horizontal="center" vertical="center"/>
    </xf>
    <xf numFmtId="0" fontId="43" fillId="0" borderId="17" xfId="73" applyFont="1" applyBorder="1" applyAlignment="1">
      <alignment horizontal="left" vertical="center" wrapText="1"/>
    </xf>
    <xf numFmtId="0" fontId="43" fillId="0" borderId="17" xfId="126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 wrapText="1"/>
    </xf>
    <xf numFmtId="166" fontId="43" fillId="0" borderId="17" xfId="62" quotePrefix="1" applyNumberFormat="1" applyFont="1" applyBorder="1" applyAlignment="1">
      <alignment horizontal="right" vertical="center" wrapText="1"/>
    </xf>
    <xf numFmtId="0" fontId="43" fillId="0" borderId="48" xfId="135" applyFont="1" applyBorder="1" applyAlignment="1">
      <alignment horizontal="center" vertical="center"/>
    </xf>
    <xf numFmtId="0" fontId="43" fillId="0" borderId="17" xfId="73" applyFont="1" applyBorder="1" applyAlignment="1">
      <alignment horizontal="center" vertical="center" wrapText="1"/>
    </xf>
    <xf numFmtId="0" fontId="43" fillId="0" borderId="47" xfId="73" applyFont="1" applyBorder="1" applyAlignment="1">
      <alignment horizontal="left" vertical="center"/>
    </xf>
    <xf numFmtId="0" fontId="43" fillId="0" borderId="0" xfId="73" applyFont="1" applyAlignment="1">
      <alignment horizontal="center" vertical="center"/>
    </xf>
    <xf numFmtId="0" fontId="43" fillId="0" borderId="0" xfId="73" applyFont="1" applyAlignment="1">
      <alignment horizontal="left" vertical="center" wrapText="1"/>
    </xf>
    <xf numFmtId="166" fontId="43" fillId="0" borderId="43" xfId="62" applyNumberFormat="1" applyFont="1" applyBorder="1" applyAlignment="1">
      <alignment horizontal="right" vertical="center" wrapText="1"/>
    </xf>
    <xf numFmtId="0" fontId="43" fillId="0" borderId="31" xfId="73" applyFont="1" applyBorder="1" applyAlignment="1">
      <alignment horizontal="center" vertical="center"/>
    </xf>
    <xf numFmtId="2" fontId="43" fillId="0" borderId="13" xfId="73" applyNumberFormat="1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/>
    </xf>
    <xf numFmtId="0" fontId="43" fillId="0" borderId="13" xfId="73" applyFont="1" applyBorder="1" applyAlignment="1">
      <alignment horizontal="center" vertical="center"/>
    </xf>
    <xf numFmtId="186" fontId="44" fillId="24" borderId="42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5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4" fillId="0" borderId="20" xfId="128" applyFont="1" applyBorder="1" applyAlignment="1">
      <alignment vertical="center"/>
    </xf>
    <xf numFmtId="0" fontId="44" fillId="0" borderId="19" xfId="128" applyFont="1" applyBorder="1" applyAlignment="1">
      <alignment horizontal="left" vertical="center"/>
    </xf>
    <xf numFmtId="0" fontId="44" fillId="0" borderId="25" xfId="128" applyFont="1" applyBorder="1" applyAlignment="1">
      <alignment horizontal="left" vertical="center"/>
    </xf>
    <xf numFmtId="9" fontId="43" fillId="0" borderId="29" xfId="129" applyNumberFormat="1" applyFont="1" applyBorder="1" applyAlignment="1">
      <alignment horizontal="center" vertical="center"/>
    </xf>
    <xf numFmtId="180" fontId="44" fillId="0" borderId="29" xfId="129" applyNumberFormat="1" applyFont="1" applyBorder="1" applyAlignment="1">
      <alignment vertical="center"/>
    </xf>
    <xf numFmtId="0" fontId="43" fillId="0" borderId="26" xfId="128" applyFont="1" applyBorder="1" applyAlignment="1">
      <alignment vertical="center"/>
    </xf>
    <xf numFmtId="2" fontId="43" fillId="0" borderId="0" xfId="128" applyNumberFormat="1" applyFont="1"/>
    <xf numFmtId="180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2" xfId="79" applyFont="1" applyBorder="1" applyAlignment="1">
      <alignment vertical="center"/>
    </xf>
    <xf numFmtId="185" fontId="44" fillId="26" borderId="44" xfId="60" applyNumberFormat="1" applyFont="1" applyFill="1" applyBorder="1" applyAlignment="1">
      <alignment horizontal="center" vertical="center"/>
    </xf>
    <xf numFmtId="185" fontId="44" fillId="26" borderId="17" xfId="60" applyNumberFormat="1" applyFont="1" applyFill="1" applyBorder="1" applyAlignment="1">
      <alignment horizontal="center" vertical="center"/>
    </xf>
    <xf numFmtId="0" fontId="43" fillId="0" borderId="54" xfId="0" applyFont="1" applyBorder="1" applyAlignment="1">
      <alignment vertical="center" wrapText="1"/>
    </xf>
    <xf numFmtId="0" fontId="43" fillId="0" borderId="51" xfId="0" applyFont="1" applyBorder="1" applyAlignment="1">
      <alignment vertical="center" wrapText="1"/>
    </xf>
    <xf numFmtId="0" fontId="43" fillId="0" borderId="55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3" xfId="0" applyFont="1" applyBorder="1" applyAlignment="1">
      <alignment vertical="center" wrapText="1"/>
    </xf>
    <xf numFmtId="0" fontId="43" fillId="0" borderId="1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0" borderId="12" xfId="0" applyFont="1" applyBorder="1" applyAlignment="1">
      <alignment vertical="center" wrapText="1"/>
    </xf>
    <xf numFmtId="0" fontId="33" fillId="25" borderId="62" xfId="89" applyFont="1" applyFill="1" applyBorder="1"/>
    <xf numFmtId="0" fontId="33" fillId="0" borderId="62" xfId="89" applyFont="1" applyBorder="1"/>
    <xf numFmtId="0" fontId="33" fillId="0" borderId="57" xfId="89" applyFont="1" applyBorder="1"/>
    <xf numFmtId="0" fontId="33" fillId="0" borderId="57" xfId="89" applyFont="1" applyBorder="1" applyAlignment="1">
      <alignment horizontal="center"/>
    </xf>
    <xf numFmtId="0" fontId="33" fillId="0" borderId="58" xfId="90" applyFont="1" applyBorder="1"/>
    <xf numFmtId="0" fontId="33" fillId="0" borderId="59" xfId="89" applyFont="1" applyBorder="1"/>
    <xf numFmtId="0" fontId="33" fillId="0" borderId="59" xfId="89" applyFont="1" applyBorder="1" applyAlignment="1">
      <alignment horizontal="center"/>
    </xf>
    <xf numFmtId="184" fontId="33" fillId="0" borderId="59" xfId="34" applyNumberFormat="1" applyFont="1" applyBorder="1"/>
    <xf numFmtId="0" fontId="33" fillId="0" borderId="60" xfId="89" applyFont="1" applyBorder="1"/>
    <xf numFmtId="203" fontId="44" fillId="24" borderId="41" xfId="73" applyNumberFormat="1" applyFont="1" applyFill="1" applyBorder="1" applyAlignment="1">
      <alignment horizontal="center" vertical="center"/>
    </xf>
    <xf numFmtId="0" fontId="46" fillId="25" borderId="17" xfId="0" applyFont="1" applyFill="1" applyBorder="1" applyAlignment="1">
      <alignment vertical="center" wrapText="1"/>
    </xf>
    <xf numFmtId="0" fontId="46" fillId="25" borderId="23" xfId="0" applyFont="1" applyFill="1" applyBorder="1" applyAlignment="1">
      <alignment vertical="center" wrapText="1"/>
    </xf>
    <xf numFmtId="0" fontId="47" fillId="25" borderId="17" xfId="135" applyFont="1" applyFill="1" applyBorder="1" applyAlignment="1">
      <alignment horizontal="center" vertical="center"/>
    </xf>
    <xf numFmtId="2" fontId="47" fillId="0" borderId="17" xfId="135" applyNumberFormat="1" applyFont="1" applyBorder="1" applyAlignment="1">
      <alignment horizontal="center" vertical="center"/>
    </xf>
    <xf numFmtId="44" fontId="47" fillId="0" borderId="17" xfId="255" applyFont="1" applyFill="1" applyBorder="1" applyAlignment="1">
      <alignment horizontal="center" vertical="center"/>
    </xf>
    <xf numFmtId="0" fontId="47" fillId="0" borderId="31" xfId="135" applyFont="1" applyBorder="1" applyAlignment="1">
      <alignment horizontal="center" vertical="center"/>
    </xf>
    <xf numFmtId="10" fontId="43" fillId="27" borderId="28" xfId="95" applyNumberFormat="1" applyFont="1" applyFill="1" applyBorder="1" applyAlignment="1">
      <alignment horizontal="center" vertical="center"/>
    </xf>
    <xf numFmtId="179" fontId="44" fillId="0" borderId="20" xfId="129" applyNumberFormat="1" applyFont="1" applyBorder="1" applyAlignment="1">
      <alignment horizontal="center" vertical="center"/>
    </xf>
    <xf numFmtId="10" fontId="44" fillId="0" borderId="21" xfId="128" applyNumberFormat="1" applyFont="1" applyBorder="1" applyAlignment="1">
      <alignment horizontal="right" vertical="center"/>
    </xf>
    <xf numFmtId="180" fontId="44" fillId="0" borderId="33" xfId="129" applyNumberFormat="1" applyFont="1" applyBorder="1" applyAlignment="1">
      <alignment vertical="center"/>
    </xf>
    <xf numFmtId="175" fontId="30" fillId="0" borderId="0" xfId="89" applyNumberFormat="1" applyFont="1"/>
    <xf numFmtId="204" fontId="32" fillId="0" borderId="0" xfId="90" applyNumberFormat="1" applyFont="1"/>
    <xf numFmtId="44" fontId="30" fillId="0" borderId="0" xfId="255" applyFont="1"/>
    <xf numFmtId="44" fontId="30" fillId="0" borderId="0" xfId="89" applyNumberFormat="1" applyFont="1"/>
    <xf numFmtId="205" fontId="30" fillId="0" borderId="0" xfId="89" applyNumberFormat="1" applyFont="1"/>
    <xf numFmtId="206" fontId="44" fillId="24" borderId="42" xfId="73" applyNumberFormat="1" applyFont="1" applyFill="1" applyBorder="1" applyAlignment="1">
      <alignment vertical="center"/>
    </xf>
    <xf numFmtId="10" fontId="44" fillId="0" borderId="16" xfId="128" applyNumberFormat="1" applyFont="1" applyBorder="1" applyAlignment="1">
      <alignment horizontal="right" vertical="center"/>
    </xf>
    <xf numFmtId="0" fontId="44" fillId="28" borderId="39" xfId="73" applyFont="1" applyFill="1" applyBorder="1" applyAlignment="1">
      <alignment horizontal="center" vertical="center" wrapText="1"/>
    </xf>
    <xf numFmtId="0" fontId="44" fillId="28" borderId="41" xfId="73" applyFont="1" applyFill="1" applyBorder="1" applyAlignment="1">
      <alignment horizontal="center" vertical="center" wrapText="1"/>
    </xf>
    <xf numFmtId="0" fontId="44" fillId="28" borderId="42" xfId="73" applyFont="1" applyFill="1" applyBorder="1" applyAlignment="1">
      <alignment horizontal="center" vertical="center" wrapText="1"/>
    </xf>
    <xf numFmtId="0" fontId="44" fillId="0" borderId="0" xfId="130" applyFont="1" applyAlignment="1">
      <alignment horizontal="center" vertical="top"/>
    </xf>
    <xf numFmtId="4" fontId="44" fillId="25" borderId="27" xfId="73" applyNumberFormat="1" applyFont="1" applyFill="1" applyBorder="1" applyAlignment="1">
      <alignment horizontal="center" vertical="center" wrapText="1"/>
    </xf>
    <xf numFmtId="4" fontId="44" fillId="25" borderId="18" xfId="73" applyNumberFormat="1" applyFont="1" applyFill="1" applyBorder="1" applyAlignment="1">
      <alignment horizontal="center" vertical="center" wrapText="1"/>
    </xf>
    <xf numFmtId="4" fontId="44" fillId="25" borderId="33" xfId="73" applyNumberFormat="1" applyFont="1" applyFill="1" applyBorder="1" applyAlignment="1">
      <alignment horizontal="center" vertical="center" wrapText="1"/>
    </xf>
    <xf numFmtId="4" fontId="44" fillId="25" borderId="40" xfId="73" applyNumberFormat="1" applyFont="1" applyFill="1" applyBorder="1" applyAlignment="1">
      <alignment horizontal="center" vertical="center" wrapText="1"/>
    </xf>
    <xf numFmtId="0" fontId="44" fillId="25" borderId="30" xfId="73" applyFont="1" applyFill="1" applyBorder="1" applyAlignment="1">
      <alignment horizontal="center" vertical="center" wrapText="1"/>
    </xf>
    <xf numFmtId="0" fontId="44" fillId="25" borderId="45" xfId="73" applyFont="1" applyFill="1" applyBorder="1" applyAlignment="1">
      <alignment horizontal="center" vertical="center" wrapText="1"/>
    </xf>
    <xf numFmtId="0" fontId="44" fillId="25" borderId="27" xfId="73" applyFont="1" applyFill="1" applyBorder="1" applyAlignment="1">
      <alignment horizontal="center" vertical="center" wrapText="1"/>
    </xf>
    <xf numFmtId="0" fontId="44" fillId="25" borderId="18" xfId="73" applyFont="1" applyFill="1" applyBorder="1" applyAlignment="1">
      <alignment horizontal="center" vertical="center" wrapText="1"/>
    </xf>
    <xf numFmtId="0" fontId="44" fillId="0" borderId="27" xfId="126" applyFont="1" applyBorder="1" applyAlignment="1">
      <alignment horizontal="center" vertical="center" wrapText="1"/>
    </xf>
    <xf numFmtId="0" fontId="43" fillId="27" borderId="48" xfId="89" applyFont="1" applyFill="1" applyBorder="1" applyAlignment="1">
      <alignment horizontal="left" vertical="center" wrapText="1"/>
    </xf>
    <xf numFmtId="0" fontId="43" fillId="27" borderId="23" xfId="89" applyFont="1" applyFill="1" applyBorder="1" applyAlignment="1">
      <alignment horizontal="left" vertical="center" wrapText="1"/>
    </xf>
    <xf numFmtId="0" fontId="43" fillId="27" borderId="44" xfId="89" applyFont="1" applyFill="1" applyBorder="1" applyAlignment="1">
      <alignment horizontal="left" vertical="center" wrapText="1"/>
    </xf>
    <xf numFmtId="0" fontId="43" fillId="27" borderId="31" xfId="89" applyFont="1" applyFill="1" applyBorder="1" applyAlignment="1">
      <alignment horizontal="left" vertical="center" wrapText="1"/>
    </xf>
    <xf numFmtId="0" fontId="43" fillId="27" borderId="17" xfId="89" applyFont="1" applyFill="1" applyBorder="1" applyAlignment="1">
      <alignment horizontal="left" vertical="center" wrapText="1"/>
    </xf>
    <xf numFmtId="0" fontId="43" fillId="27" borderId="28" xfId="89" applyFont="1" applyFill="1" applyBorder="1" applyAlignment="1">
      <alignment horizontal="left" vertical="center" wrapText="1"/>
    </xf>
    <xf numFmtId="0" fontId="43" fillId="26" borderId="19" xfId="89" applyFont="1" applyFill="1" applyBorder="1" applyAlignment="1">
      <alignment horizontal="center" vertical="center" wrapText="1"/>
    </xf>
    <xf numFmtId="0" fontId="43" fillId="26" borderId="20" xfId="89" applyFont="1" applyFill="1" applyBorder="1" applyAlignment="1">
      <alignment horizontal="center" vertical="center" wrapText="1"/>
    </xf>
    <xf numFmtId="0" fontId="43" fillId="26" borderId="52" xfId="89" applyFont="1" applyFill="1" applyBorder="1" applyAlignment="1">
      <alignment horizontal="center" vertical="center" wrapText="1"/>
    </xf>
    <xf numFmtId="0" fontId="7" fillId="0" borderId="61" xfId="89" applyFont="1" applyBorder="1" applyAlignment="1">
      <alignment horizontal="center" wrapText="1"/>
    </xf>
    <xf numFmtId="0" fontId="42" fillId="0" borderId="61" xfId="89" applyFont="1" applyBorder="1" applyAlignment="1">
      <alignment horizontal="center" wrapText="1"/>
    </xf>
    <xf numFmtId="0" fontId="44" fillId="24" borderId="12" xfId="73" applyFont="1" applyFill="1" applyBorder="1" applyAlignment="1">
      <alignment horizontal="left" vertical="center"/>
    </xf>
    <xf numFmtId="0" fontId="44" fillId="24" borderId="13" xfId="73" applyFont="1" applyFill="1" applyBorder="1" applyAlignment="1">
      <alignment horizontal="left" vertical="center"/>
    </xf>
    <xf numFmtId="0" fontId="44" fillId="24" borderId="14" xfId="73" applyFont="1" applyFill="1" applyBorder="1" applyAlignment="1">
      <alignment horizontal="left" vertical="center"/>
    </xf>
    <xf numFmtId="0" fontId="44" fillId="24" borderId="39" xfId="73" applyFont="1" applyFill="1" applyBorder="1" applyAlignment="1">
      <alignment horizontal="right" vertical="center"/>
    </xf>
    <xf numFmtId="0" fontId="44" fillId="24" borderId="41" xfId="73" applyFont="1" applyFill="1" applyBorder="1" applyAlignment="1">
      <alignment horizontal="right" vertical="center"/>
    </xf>
    <xf numFmtId="0" fontId="44" fillId="24" borderId="49" xfId="73" applyFont="1" applyFill="1" applyBorder="1" applyAlignment="1">
      <alignment horizontal="right" vertical="center"/>
    </xf>
    <xf numFmtId="0" fontId="43" fillId="25" borderId="18" xfId="130" applyFont="1" applyFill="1" applyBorder="1" applyAlignment="1">
      <alignment horizontal="center" vertical="center" wrapText="1"/>
    </xf>
    <xf numFmtId="0" fontId="43" fillId="25" borderId="40" xfId="130" applyFont="1" applyFill="1" applyBorder="1" applyAlignment="1">
      <alignment horizontal="center" vertical="center" wrapText="1"/>
    </xf>
    <xf numFmtId="0" fontId="43" fillId="26" borderId="31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3" fontId="44" fillId="26" borderId="23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4" xfId="79" applyFont="1" applyBorder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4" fillId="0" borderId="32" xfId="128" applyFont="1" applyBorder="1" applyAlignment="1">
      <alignment horizontal="left" vertical="center" wrapText="1"/>
    </xf>
    <xf numFmtId="0" fontId="44" fillId="0" borderId="15" xfId="128" applyFont="1" applyBorder="1" applyAlignment="1">
      <alignment horizontal="left" vertical="center" wrapText="1"/>
    </xf>
    <xf numFmtId="0" fontId="44" fillId="0" borderId="16" xfId="128" applyFont="1" applyBorder="1" applyAlignment="1">
      <alignment horizontal="left" vertical="center" wrapText="1"/>
    </xf>
    <xf numFmtId="0" fontId="50" fillId="29" borderId="23" xfId="256" applyFont="1" applyFill="1" applyBorder="1" applyAlignment="1" applyProtection="1">
      <alignment horizontal="center" vertical="center"/>
      <protection hidden="1"/>
    </xf>
    <xf numFmtId="207" fontId="50" fillId="29" borderId="23" xfId="257" applyNumberFormat="1" applyFont="1" applyFill="1" applyBorder="1" applyAlignment="1" applyProtection="1">
      <alignment horizontal="center" vertical="center"/>
      <protection hidden="1"/>
    </xf>
    <xf numFmtId="0" fontId="50" fillId="25" borderId="23" xfId="256" applyFont="1" applyFill="1" applyBorder="1" applyAlignment="1" applyProtection="1">
      <alignment horizontal="center" vertical="center"/>
      <protection hidden="1"/>
    </xf>
    <xf numFmtId="9" fontId="50" fillId="29" borderId="23" xfId="258" applyFont="1" applyFill="1" applyBorder="1" applyAlignment="1" applyProtection="1">
      <alignment horizontal="center" vertical="center" wrapText="1"/>
      <protection hidden="1"/>
    </xf>
    <xf numFmtId="208" fontId="50" fillId="29" borderId="23" xfId="257" applyNumberFormat="1" applyFont="1" applyFill="1" applyBorder="1" applyAlignment="1" applyProtection="1">
      <alignment horizontal="center" vertical="center"/>
      <protection hidden="1"/>
    </xf>
    <xf numFmtId="0" fontId="51" fillId="0" borderId="0" xfId="256" applyFont="1" applyAlignment="1">
      <alignment vertical="center"/>
    </xf>
    <xf numFmtId="0" fontId="1" fillId="0" borderId="0" xfId="256" applyAlignment="1">
      <alignment vertical="center"/>
    </xf>
    <xf numFmtId="209" fontId="53" fillId="30" borderId="17" xfId="259" applyNumberFormat="1" applyFont="1" applyFill="1" applyBorder="1" applyAlignment="1" applyProtection="1">
      <alignment horizontal="center" vertical="center" wrapText="1"/>
      <protection hidden="1"/>
    </xf>
    <xf numFmtId="43" fontId="50" fillId="30" borderId="17" xfId="257" applyNumberFormat="1" applyFont="1" applyFill="1" applyBorder="1" applyAlignment="1" applyProtection="1">
      <alignment horizontal="center" vertical="center" wrapText="1"/>
      <protection hidden="1"/>
    </xf>
    <xf numFmtId="43" fontId="50" fillId="30" borderId="63" xfId="257" applyNumberFormat="1" applyFont="1" applyFill="1" applyBorder="1" applyAlignment="1" applyProtection="1">
      <alignment horizontal="left" vertical="center" wrapText="1"/>
      <protection hidden="1"/>
    </xf>
    <xf numFmtId="43" fontId="50" fillId="30" borderId="21" xfId="257" applyNumberFormat="1" applyFont="1" applyFill="1" applyBorder="1" applyAlignment="1" applyProtection="1">
      <alignment horizontal="left" vertical="center" wrapText="1"/>
      <protection hidden="1"/>
    </xf>
    <xf numFmtId="0" fontId="50" fillId="0" borderId="0" xfId="256" applyFont="1" applyAlignment="1" applyProtection="1">
      <alignment vertical="center" wrapText="1"/>
      <protection hidden="1"/>
    </xf>
    <xf numFmtId="164" fontId="54" fillId="25" borderId="0" xfId="260" applyFont="1" applyFill="1" applyAlignment="1" applyProtection="1">
      <alignment vertical="center"/>
      <protection hidden="1"/>
    </xf>
    <xf numFmtId="164" fontId="54" fillId="0" borderId="0" xfId="260" applyFont="1" applyAlignment="1" applyProtection="1">
      <alignment vertical="center"/>
      <protection hidden="1"/>
    </xf>
    <xf numFmtId="44" fontId="51" fillId="0" borderId="0" xfId="256" applyNumberFormat="1" applyFont="1" applyAlignment="1">
      <alignment vertical="center"/>
    </xf>
    <xf numFmtId="44" fontId="1" fillId="0" borderId="0" xfId="256" applyNumberFormat="1" applyAlignment="1">
      <alignment vertical="center"/>
    </xf>
    <xf numFmtId="0" fontId="54" fillId="0" borderId="17" xfId="256" applyFont="1" applyBorder="1" applyAlignment="1" applyProtection="1">
      <alignment horizontal="center" vertical="center"/>
      <protection hidden="1"/>
    </xf>
    <xf numFmtId="0" fontId="47" fillId="0" borderId="17" xfId="256" applyFont="1" applyBorder="1" applyAlignment="1" applyProtection="1">
      <alignment vertical="center" wrapText="1"/>
      <protection hidden="1"/>
    </xf>
    <xf numFmtId="0" fontId="47" fillId="0" borderId="17" xfId="256" applyFont="1" applyBorder="1" applyAlignment="1" applyProtection="1">
      <alignment horizontal="center" vertical="center" wrapText="1"/>
      <protection hidden="1"/>
    </xf>
    <xf numFmtId="164" fontId="47" fillId="25" borderId="17" xfId="260" applyFont="1" applyFill="1" applyBorder="1" applyAlignment="1" applyProtection="1">
      <alignment horizontal="center" vertical="center" wrapText="1"/>
      <protection hidden="1"/>
    </xf>
    <xf numFmtId="179" fontId="47" fillId="0" borderId="17" xfId="258" applyNumberFormat="1" applyFont="1" applyBorder="1" applyAlignment="1" applyProtection="1">
      <alignment horizontal="center" vertical="center"/>
      <protection hidden="1"/>
    </xf>
    <xf numFmtId="164" fontId="47" fillId="0" borderId="17" xfId="260" applyFont="1" applyBorder="1" applyAlignment="1" applyProtection="1">
      <alignment horizontal="right" vertical="center"/>
      <protection hidden="1"/>
    </xf>
    <xf numFmtId="44" fontId="47" fillId="0" borderId="17" xfId="261" applyFont="1" applyBorder="1" applyAlignment="1" applyProtection="1">
      <alignment horizontal="right" vertical="center"/>
      <protection hidden="1"/>
    </xf>
    <xf numFmtId="188" fontId="47" fillId="0" borderId="17" xfId="256" applyNumberFormat="1" applyFont="1" applyBorder="1" applyAlignment="1" applyProtection="1">
      <alignment horizontal="center" vertical="center" wrapText="1"/>
      <protection hidden="1"/>
    </xf>
    <xf numFmtId="2" fontId="47" fillId="0" borderId="17" xfId="256" applyNumberFormat="1" applyFont="1" applyBorder="1" applyAlignment="1" applyProtection="1">
      <alignment horizontal="center" vertical="center" wrapText="1"/>
      <protection hidden="1"/>
    </xf>
    <xf numFmtId="188" fontId="54" fillId="0" borderId="17" xfId="256" applyNumberFormat="1" applyFont="1" applyBorder="1" applyAlignment="1" applyProtection="1">
      <alignment horizontal="center" vertical="center"/>
      <protection hidden="1"/>
    </xf>
    <xf numFmtId="9" fontId="47" fillId="0" borderId="17" xfId="256" applyNumberFormat="1" applyFont="1" applyBorder="1" applyAlignment="1" applyProtection="1">
      <alignment horizontal="center" vertical="center" wrapText="1"/>
      <protection hidden="1"/>
    </xf>
    <xf numFmtId="0" fontId="54" fillId="0" borderId="17" xfId="256" applyFont="1" applyBorder="1" applyAlignment="1" applyProtection="1">
      <alignment vertical="center"/>
      <protection hidden="1"/>
    </xf>
    <xf numFmtId="0" fontId="54" fillId="0" borderId="0" xfId="256" applyFont="1" applyAlignment="1" applyProtection="1">
      <alignment horizontal="center" vertical="center"/>
      <protection hidden="1"/>
    </xf>
    <xf numFmtId="43" fontId="50" fillId="31" borderId="23" xfId="257" applyNumberFormat="1" applyFont="1" applyFill="1" applyBorder="1" applyAlignment="1" applyProtection="1">
      <alignment vertical="center" wrapText="1"/>
      <protection hidden="1"/>
    </xf>
    <xf numFmtId="44" fontId="50" fillId="31" borderId="17" xfId="261" applyFont="1" applyFill="1" applyBorder="1" applyAlignment="1" applyProtection="1">
      <alignment horizontal="center" vertical="center" wrapText="1"/>
      <protection hidden="1"/>
    </xf>
    <xf numFmtId="208" fontId="50" fillId="0" borderId="0" xfId="257" applyNumberFormat="1" applyFont="1" applyAlignment="1" applyProtection="1">
      <alignment horizontal="center" vertical="center"/>
      <protection hidden="1"/>
    </xf>
    <xf numFmtId="44" fontId="50" fillId="25" borderId="0" xfId="261" applyFont="1" applyFill="1" applyAlignment="1" applyProtection="1">
      <alignment horizontal="center" vertical="center"/>
      <protection hidden="1"/>
    </xf>
    <xf numFmtId="9" fontId="50" fillId="0" borderId="0" xfId="258" applyFont="1" applyAlignment="1" applyProtection="1">
      <alignment horizontal="center" vertical="center"/>
      <protection hidden="1"/>
    </xf>
    <xf numFmtId="44" fontId="50" fillId="31" borderId="17" xfId="261" applyFont="1" applyFill="1" applyBorder="1" applyAlignment="1" applyProtection="1">
      <alignment vertical="center" wrapText="1"/>
      <protection hidden="1"/>
    </xf>
    <xf numFmtId="0" fontId="54" fillId="0" borderId="0" xfId="256" applyFont="1" applyAlignment="1" applyProtection="1">
      <alignment vertical="center"/>
      <protection hidden="1"/>
    </xf>
    <xf numFmtId="43" fontId="50" fillId="30" borderId="17" xfId="257" applyNumberFormat="1" applyFont="1" applyFill="1" applyBorder="1" applyAlignment="1" applyProtection="1">
      <alignment horizontal="left" vertical="center" wrapText="1"/>
      <protection hidden="1"/>
    </xf>
    <xf numFmtId="203" fontId="47" fillId="0" borderId="17" xfId="256" applyNumberFormat="1" applyFont="1" applyBorder="1" applyAlignment="1" applyProtection="1">
      <alignment horizontal="center" vertical="center" wrapText="1"/>
      <protection hidden="1"/>
    </xf>
    <xf numFmtId="0" fontId="1" fillId="0" borderId="0" xfId="256" applyAlignment="1">
      <alignment horizontal="center" vertical="center"/>
    </xf>
    <xf numFmtId="0" fontId="1" fillId="25" borderId="0" xfId="256" applyFill="1" applyAlignment="1">
      <alignment vertical="center"/>
    </xf>
    <xf numFmtId="43" fontId="54" fillId="0" borderId="0" xfId="256" applyNumberFormat="1" applyFont="1" applyAlignment="1" applyProtection="1">
      <alignment vertical="center"/>
      <protection hidden="1"/>
    </xf>
    <xf numFmtId="43" fontId="51" fillId="0" borderId="0" xfId="256" applyNumberFormat="1" applyFont="1" applyAlignment="1">
      <alignment vertical="center"/>
    </xf>
    <xf numFmtId="43" fontId="50" fillId="31" borderId="23" xfId="257" applyNumberFormat="1" applyFont="1" applyFill="1" applyBorder="1" applyAlignment="1" applyProtection="1">
      <alignment horizontal="center" vertical="center" wrapText="1"/>
      <protection hidden="1"/>
    </xf>
    <xf numFmtId="164" fontId="50" fillId="25" borderId="0" xfId="260" applyFont="1" applyFill="1" applyAlignment="1" applyProtection="1">
      <alignment horizontal="center" vertical="center"/>
      <protection hidden="1"/>
    </xf>
    <xf numFmtId="207" fontId="50" fillId="0" borderId="0" xfId="257" applyNumberFormat="1" applyFont="1" applyAlignment="1" applyProtection="1">
      <alignment horizontal="center" vertical="center"/>
      <protection hidden="1"/>
    </xf>
    <xf numFmtId="164" fontId="50" fillId="31" borderId="23" xfId="260" applyFont="1" applyFill="1" applyBorder="1" applyAlignment="1" applyProtection="1">
      <alignment vertical="center" wrapText="1"/>
      <protection hidden="1"/>
    </xf>
    <xf numFmtId="164" fontId="50" fillId="31" borderId="17" xfId="260" applyFont="1" applyFill="1" applyBorder="1" applyAlignment="1" applyProtection="1">
      <alignment vertical="center" wrapText="1"/>
      <protection hidden="1"/>
    </xf>
    <xf numFmtId="210" fontId="47" fillId="0" borderId="17" xfId="256" applyNumberFormat="1" applyFont="1" applyBorder="1" applyAlignment="1" applyProtection="1">
      <alignment horizontal="center" vertical="center" wrapText="1"/>
      <protection hidden="1"/>
    </xf>
    <xf numFmtId="189" fontId="54" fillId="0" borderId="17" xfId="256" applyNumberFormat="1" applyFont="1" applyBorder="1" applyAlignment="1" applyProtection="1">
      <alignment horizontal="center" vertical="center"/>
      <protection hidden="1"/>
    </xf>
    <xf numFmtId="44" fontId="54" fillId="25" borderId="0" xfId="261" applyFont="1" applyFill="1" applyAlignment="1" applyProtection="1">
      <alignment vertical="center"/>
      <protection hidden="1"/>
    </xf>
    <xf numFmtId="9" fontId="54" fillId="0" borderId="0" xfId="258" applyFont="1" applyAlignment="1" applyProtection="1">
      <alignment horizontal="center" vertical="center"/>
      <protection hidden="1"/>
    </xf>
    <xf numFmtId="44" fontId="54" fillId="0" borderId="0" xfId="261" applyFont="1" applyAlignment="1" applyProtection="1">
      <alignment vertical="center"/>
      <protection hidden="1"/>
    </xf>
    <xf numFmtId="9" fontId="47" fillId="0" borderId="17" xfId="258" applyFont="1" applyBorder="1" applyAlignment="1" applyProtection="1">
      <alignment horizontal="center" vertical="center"/>
      <protection hidden="1"/>
    </xf>
    <xf numFmtId="44" fontId="47" fillId="25" borderId="17" xfId="261" applyFont="1" applyFill="1" applyBorder="1" applyAlignment="1" applyProtection="1">
      <alignment horizontal="center" vertical="center" wrapText="1"/>
      <protection hidden="1"/>
    </xf>
    <xf numFmtId="1" fontId="47" fillId="0" borderId="17" xfId="256" applyNumberFormat="1" applyFont="1" applyBorder="1" applyAlignment="1" applyProtection="1">
      <alignment horizontal="center" vertical="center" wrapText="1"/>
      <protection hidden="1"/>
    </xf>
    <xf numFmtId="43" fontId="50" fillId="30" borderId="20" xfId="257" applyNumberFormat="1" applyFont="1" applyFill="1" applyBorder="1" applyAlignment="1" applyProtection="1">
      <alignment horizontal="left" vertical="center" wrapText="1"/>
      <protection hidden="1"/>
    </xf>
    <xf numFmtId="211" fontId="53" fillId="30" borderId="17" xfId="259" applyNumberFormat="1" applyFont="1" applyFill="1" applyBorder="1" applyAlignment="1" applyProtection="1">
      <alignment horizontal="center" vertical="center" wrapText="1"/>
      <protection hidden="1"/>
    </xf>
    <xf numFmtId="0" fontId="54" fillId="0" borderId="17" xfId="262" applyFont="1" applyBorder="1" applyAlignment="1" applyProtection="1">
      <alignment horizontal="center" vertical="center"/>
      <protection hidden="1"/>
    </xf>
    <xf numFmtId="0" fontId="47" fillId="0" borderId="17" xfId="263" applyFont="1" applyBorder="1" applyAlignment="1" applyProtection="1">
      <alignment vertical="center" wrapText="1"/>
      <protection hidden="1"/>
    </xf>
    <xf numFmtId="0" fontId="47" fillId="0" borderId="17" xfId="263" applyFont="1" applyBorder="1" applyAlignment="1" applyProtection="1">
      <alignment horizontal="center" vertical="center" wrapText="1"/>
      <protection hidden="1"/>
    </xf>
    <xf numFmtId="188" fontId="54" fillId="0" borderId="17" xfId="262" applyNumberFormat="1" applyFont="1" applyBorder="1" applyAlignment="1" applyProtection="1">
      <alignment horizontal="center" vertical="center"/>
      <protection hidden="1"/>
    </xf>
    <xf numFmtId="0" fontId="54" fillId="0" borderId="17" xfId="263" applyFont="1" applyBorder="1" applyAlignment="1" applyProtection="1">
      <alignment horizontal="center" vertical="center"/>
      <protection hidden="1"/>
    </xf>
    <xf numFmtId="9" fontId="47" fillId="0" borderId="17" xfId="262" applyNumberFormat="1" applyFont="1" applyBorder="1" applyAlignment="1" applyProtection="1">
      <alignment horizontal="center" vertical="center" wrapText="1"/>
      <protection hidden="1"/>
    </xf>
    <xf numFmtId="164" fontId="54" fillId="0" borderId="17" xfId="263" applyNumberFormat="1" applyFont="1" applyBorder="1" applyAlignment="1" applyProtection="1">
      <alignment vertical="center"/>
      <protection hidden="1"/>
    </xf>
    <xf numFmtId="0" fontId="1" fillId="32" borderId="0" xfId="256" applyFill="1" applyAlignment="1">
      <alignment vertical="center"/>
    </xf>
    <xf numFmtId="209" fontId="55" fillId="33" borderId="17" xfId="259" applyNumberFormat="1" applyFont="1" applyFill="1" applyBorder="1" applyAlignment="1" applyProtection="1">
      <alignment horizontal="center" vertical="center" wrapText="1"/>
      <protection hidden="1"/>
    </xf>
    <xf numFmtId="43" fontId="50" fillId="33" borderId="17" xfId="264" applyNumberFormat="1" applyFont="1" applyFill="1" applyBorder="1" applyAlignment="1" applyProtection="1">
      <alignment horizontal="center" vertical="center" wrapText="1"/>
      <protection hidden="1"/>
    </xf>
    <xf numFmtId="43" fontId="50" fillId="33" borderId="17" xfId="264" applyNumberFormat="1" applyFont="1" applyFill="1" applyBorder="1" applyAlignment="1" applyProtection="1">
      <alignment vertical="center" wrapText="1"/>
      <protection hidden="1"/>
    </xf>
    <xf numFmtId="44" fontId="46" fillId="25" borderId="0" xfId="261" applyFont="1" applyFill="1" applyBorder="1" applyAlignment="1" applyProtection="1">
      <alignment vertical="center"/>
      <protection hidden="1"/>
    </xf>
    <xf numFmtId="9" fontId="46" fillId="0" borderId="0" xfId="258" applyFont="1" applyFill="1" applyBorder="1" applyAlignment="1" applyProtection="1">
      <alignment horizontal="center" vertical="center"/>
      <protection hidden="1"/>
    </xf>
    <xf numFmtId="44" fontId="46" fillId="0" borderId="0" xfId="261" applyFont="1" applyFill="1" applyBorder="1" applyAlignment="1" applyProtection="1">
      <alignment vertical="center"/>
      <protection hidden="1"/>
    </xf>
    <xf numFmtId="0" fontId="46" fillId="0" borderId="17" xfId="256" applyFont="1" applyBorder="1" applyAlignment="1" applyProtection="1">
      <alignment horizontal="center" vertical="center"/>
      <protection hidden="1"/>
    </xf>
    <xf numFmtId="9" fontId="47" fillId="0" borderId="17" xfId="258" applyFont="1" applyFill="1" applyBorder="1" applyAlignment="1" applyProtection="1">
      <alignment horizontal="center" vertical="center"/>
      <protection hidden="1"/>
    </xf>
    <xf numFmtId="44" fontId="47" fillId="0" borderId="17" xfId="261" applyFont="1" applyFill="1" applyBorder="1" applyAlignment="1" applyProtection="1">
      <alignment horizontal="right" vertical="center"/>
      <protection hidden="1"/>
    </xf>
    <xf numFmtId="188" fontId="46" fillId="0" borderId="17" xfId="256" applyNumberFormat="1" applyFont="1" applyBorder="1" applyAlignment="1" applyProtection="1">
      <alignment horizontal="center" vertical="center"/>
      <protection hidden="1"/>
    </xf>
    <xf numFmtId="0" fontId="46" fillId="0" borderId="17" xfId="256" applyFont="1" applyBorder="1" applyAlignment="1" applyProtection="1">
      <alignment vertical="center"/>
      <protection hidden="1"/>
    </xf>
    <xf numFmtId="0" fontId="46" fillId="0" borderId="0" xfId="256" applyFont="1" applyAlignment="1" applyProtection="1">
      <alignment horizontal="center" vertical="center"/>
      <protection hidden="1"/>
    </xf>
    <xf numFmtId="43" fontId="50" fillId="33" borderId="23" xfId="264" applyNumberFormat="1" applyFont="1" applyFill="1" applyBorder="1" applyAlignment="1" applyProtection="1">
      <alignment vertical="center" wrapText="1"/>
      <protection hidden="1"/>
    </xf>
    <xf numFmtId="208" fontId="50" fillId="0" borderId="0" xfId="264" applyNumberFormat="1" applyFont="1" applyFill="1" applyBorder="1" applyAlignment="1" applyProtection="1">
      <alignment horizontal="center" vertical="center"/>
      <protection hidden="1"/>
    </xf>
    <xf numFmtId="44" fontId="50" fillId="25" borderId="0" xfId="261" applyFont="1" applyFill="1" applyBorder="1" applyAlignment="1" applyProtection="1">
      <alignment horizontal="center" vertical="center"/>
      <protection hidden="1"/>
    </xf>
    <xf numFmtId="9" fontId="50" fillId="0" borderId="0" xfId="258" applyFont="1" applyFill="1" applyBorder="1" applyAlignment="1" applyProtection="1">
      <alignment horizontal="center" vertical="center"/>
      <protection hidden="1"/>
    </xf>
    <xf numFmtId="211" fontId="55" fillId="33" borderId="17" xfId="259" applyNumberFormat="1" applyFont="1" applyFill="1" applyBorder="1" applyAlignment="1" applyProtection="1">
      <alignment horizontal="center" vertical="center" wrapText="1"/>
      <protection hidden="1"/>
    </xf>
    <xf numFmtId="179" fontId="47" fillId="0" borderId="17" xfId="258" applyNumberFormat="1" applyFont="1" applyFill="1" applyBorder="1" applyAlignment="1" applyProtection="1">
      <alignment horizontal="center" vertical="center"/>
      <protection hidden="1"/>
    </xf>
    <xf numFmtId="43" fontId="50" fillId="30" borderId="17" xfId="257" applyNumberFormat="1" applyFont="1" applyFill="1" applyBorder="1" applyAlignment="1" applyProtection="1">
      <alignment vertical="center" wrapText="1"/>
      <protection hidden="1"/>
    </xf>
    <xf numFmtId="209" fontId="53" fillId="30" borderId="56" xfId="259" applyNumberFormat="1" applyFont="1" applyFill="1" applyBorder="1" applyAlignment="1" applyProtection="1">
      <alignment horizontal="center" vertical="center" wrapText="1"/>
      <protection hidden="1"/>
    </xf>
    <xf numFmtId="43" fontId="50" fillId="30" borderId="56" xfId="257" applyNumberFormat="1" applyFont="1" applyFill="1" applyBorder="1" applyAlignment="1" applyProtection="1">
      <alignment vertical="center" wrapText="1"/>
      <protection hidden="1"/>
    </xf>
    <xf numFmtId="209" fontId="50" fillId="0" borderId="17" xfId="257" applyNumberFormat="1" applyFont="1" applyBorder="1" applyAlignment="1" applyProtection="1">
      <alignment horizontal="center" vertical="center" wrapText="1"/>
      <protection hidden="1"/>
    </xf>
    <xf numFmtId="44" fontId="54" fillId="0" borderId="17" xfId="261" applyFont="1" applyBorder="1" applyAlignment="1" applyProtection="1">
      <alignment vertical="center"/>
      <protection hidden="1"/>
    </xf>
    <xf numFmtId="209" fontId="52" fillId="30" borderId="56" xfId="259" applyNumberFormat="1" applyFill="1" applyBorder="1" applyAlignment="1" applyProtection="1">
      <alignment horizontal="center" vertical="center" wrapText="1"/>
      <protection hidden="1"/>
    </xf>
    <xf numFmtId="0" fontId="1" fillId="34" borderId="0" xfId="256" applyFill="1" applyAlignment="1">
      <alignment vertical="center"/>
    </xf>
    <xf numFmtId="0" fontId="54" fillId="0" borderId="17" xfId="256" applyFont="1" applyBorder="1" applyAlignment="1">
      <alignment horizontal="center" vertical="center"/>
    </xf>
    <xf numFmtId="0" fontId="54" fillId="0" borderId="17" xfId="256" applyFont="1" applyBorder="1" applyAlignment="1">
      <alignment vertical="center"/>
    </xf>
    <xf numFmtId="188" fontId="54" fillId="0" borderId="17" xfId="256" applyNumberFormat="1" applyFont="1" applyBorder="1" applyAlignment="1">
      <alignment horizontal="center" vertical="center"/>
    </xf>
    <xf numFmtId="44" fontId="47" fillId="25" borderId="17" xfId="261" applyFont="1" applyFill="1" applyBorder="1" applyAlignment="1" applyProtection="1">
      <alignment vertical="center" wrapText="1"/>
      <protection hidden="1"/>
    </xf>
    <xf numFmtId="43" fontId="50" fillId="31" borderId="23" xfId="264" applyNumberFormat="1" applyFont="1" applyFill="1" applyBorder="1" applyAlignment="1" applyProtection="1">
      <alignment vertical="center" wrapText="1"/>
      <protection hidden="1"/>
    </xf>
    <xf numFmtId="208" fontId="50" fillId="0" borderId="0" xfId="264" applyNumberFormat="1" applyFont="1" applyAlignment="1" applyProtection="1">
      <alignment horizontal="center" vertical="center"/>
      <protection hidden="1"/>
    </xf>
    <xf numFmtId="207" fontId="50" fillId="0" borderId="0" xfId="264" applyNumberFormat="1" applyFont="1" applyAlignment="1" applyProtection="1">
      <alignment horizontal="center" vertical="center"/>
      <protection hidden="1"/>
    </xf>
    <xf numFmtId="0" fontId="52" fillId="30" borderId="17" xfId="259" applyFill="1" applyBorder="1" applyAlignment="1">
      <alignment horizontal="center" vertical="center"/>
    </xf>
    <xf numFmtId="188" fontId="54" fillId="0" borderId="0" xfId="256" applyNumberFormat="1" applyFont="1" applyAlignment="1" applyProtection="1">
      <alignment horizontal="center" vertical="center"/>
      <protection hidden="1"/>
    </xf>
    <xf numFmtId="0" fontId="54" fillId="25" borderId="17" xfId="256" applyFont="1" applyFill="1" applyBorder="1" applyAlignment="1" applyProtection="1">
      <alignment horizontal="center" vertical="center"/>
      <protection hidden="1"/>
    </xf>
    <xf numFmtId="0" fontId="47" fillId="25" borderId="17" xfId="256" applyFont="1" applyFill="1" applyBorder="1" applyAlignment="1" applyProtection="1">
      <alignment vertical="center" wrapText="1"/>
      <protection hidden="1"/>
    </xf>
    <xf numFmtId="0" fontId="47" fillId="25" borderId="17" xfId="256" applyFont="1" applyFill="1" applyBorder="1" applyAlignment="1" applyProtection="1">
      <alignment horizontal="center" vertical="center" wrapText="1"/>
      <protection hidden="1"/>
    </xf>
    <xf numFmtId="188" fontId="54" fillId="25" borderId="17" xfId="256" applyNumberFormat="1" applyFont="1" applyFill="1" applyBorder="1" applyAlignment="1" applyProtection="1">
      <alignment horizontal="center" vertical="center"/>
      <protection hidden="1"/>
    </xf>
    <xf numFmtId="179" fontId="47" fillId="25" borderId="17" xfId="258" applyNumberFormat="1" applyFont="1" applyFill="1" applyBorder="1" applyAlignment="1" applyProtection="1">
      <alignment horizontal="center" vertical="center"/>
      <protection hidden="1"/>
    </xf>
    <xf numFmtId="44" fontId="47" fillId="25" borderId="17" xfId="261" applyFont="1" applyFill="1" applyBorder="1" applyAlignment="1" applyProtection="1">
      <alignment horizontal="right" vertical="center"/>
      <protection hidden="1"/>
    </xf>
    <xf numFmtId="209" fontId="52" fillId="30" borderId="17" xfId="259" applyNumberFormat="1" applyFill="1" applyBorder="1" applyAlignment="1" applyProtection="1">
      <alignment horizontal="center" vertical="center" wrapText="1"/>
      <protection hidden="1"/>
    </xf>
    <xf numFmtId="189" fontId="47" fillId="25" borderId="17" xfId="256" applyNumberFormat="1" applyFont="1" applyFill="1" applyBorder="1" applyAlignment="1" applyProtection="1">
      <alignment horizontal="center" vertical="center" wrapText="1"/>
      <protection hidden="1"/>
    </xf>
    <xf numFmtId="0" fontId="47" fillId="0" borderId="23" xfId="256" applyFont="1" applyBorder="1" applyAlignment="1" applyProtection="1">
      <alignment vertical="center" wrapText="1"/>
      <protection hidden="1"/>
    </xf>
    <xf numFmtId="0" fontId="47" fillId="0" borderId="23" xfId="256" applyFont="1" applyBorder="1" applyAlignment="1" applyProtection="1">
      <alignment horizontal="center" vertical="center" wrapText="1"/>
      <protection hidden="1"/>
    </xf>
    <xf numFmtId="1" fontId="47" fillId="0" borderId="17" xfId="258" applyNumberFormat="1" applyFont="1" applyBorder="1" applyAlignment="1" applyProtection="1">
      <alignment horizontal="center" vertical="center" wrapText="1"/>
      <protection hidden="1"/>
    </xf>
    <xf numFmtId="189" fontId="47" fillId="0" borderId="17" xfId="256" applyNumberFormat="1" applyFont="1" applyBorder="1" applyAlignment="1" applyProtection="1">
      <alignment horizontal="center" vertical="center" wrapText="1"/>
      <protection hidden="1"/>
    </xf>
    <xf numFmtId="188" fontId="47" fillId="25" borderId="17" xfId="256" applyNumberFormat="1" applyFont="1" applyFill="1" applyBorder="1" applyAlignment="1" applyProtection="1">
      <alignment horizontal="center" vertical="center" wrapText="1"/>
      <protection hidden="1"/>
    </xf>
    <xf numFmtId="0" fontId="50" fillId="0" borderId="0" xfId="256" applyFont="1" applyAlignment="1" applyProtection="1">
      <alignment horizontal="center" vertical="center" wrapText="1"/>
      <protection hidden="1"/>
    </xf>
    <xf numFmtId="209" fontId="54" fillId="0" borderId="17" xfId="256" applyNumberFormat="1" applyFont="1" applyBorder="1" applyAlignment="1" applyProtection="1">
      <alignment horizontal="center" vertical="center"/>
      <protection hidden="1"/>
    </xf>
    <xf numFmtId="43" fontId="47" fillId="0" borderId="17" xfId="256" applyNumberFormat="1" applyFont="1" applyBorder="1" applyAlignment="1" applyProtection="1">
      <alignment vertical="center" wrapText="1"/>
      <protection hidden="1"/>
    </xf>
    <xf numFmtId="189" fontId="46" fillId="0" borderId="17" xfId="256" applyNumberFormat="1" applyFont="1" applyBorder="1" applyAlignment="1" applyProtection="1">
      <alignment horizontal="center" vertical="center"/>
      <protection hidden="1"/>
    </xf>
    <xf numFmtId="0" fontId="56" fillId="0" borderId="0" xfId="256" applyFont="1" applyAlignment="1">
      <alignment horizontal="center" vertical="center"/>
    </xf>
    <xf numFmtId="0" fontId="56" fillId="0" borderId="0" xfId="256" applyFont="1" applyAlignment="1">
      <alignment vertical="center"/>
    </xf>
    <xf numFmtId="0" fontId="56" fillId="25" borderId="0" xfId="256" applyFont="1" applyFill="1" applyAlignment="1">
      <alignment vertical="center"/>
    </xf>
    <xf numFmtId="43" fontId="50" fillId="30" borderId="56" xfId="257" applyNumberFormat="1" applyFont="1" applyFill="1" applyBorder="1" applyAlignment="1" applyProtection="1">
      <alignment horizontal="left" vertical="center" wrapText="1"/>
      <protection hidden="1"/>
    </xf>
    <xf numFmtId="43" fontId="50" fillId="30" borderId="56" xfId="257" applyNumberFormat="1" applyFont="1" applyFill="1" applyBorder="1" applyAlignment="1" applyProtection="1">
      <alignment horizontal="center" vertical="center" wrapText="1"/>
      <protection hidden="1"/>
    </xf>
    <xf numFmtId="188" fontId="47" fillId="35" borderId="17" xfId="256" applyNumberFormat="1" applyFont="1" applyFill="1" applyBorder="1" applyAlignment="1" applyProtection="1">
      <alignment horizontal="center" vertical="center" wrapText="1"/>
      <protection hidden="1"/>
    </xf>
    <xf numFmtId="43" fontId="54" fillId="0" borderId="17" xfId="265" applyFont="1" applyBorder="1" applyAlignment="1" applyProtection="1">
      <alignment horizontal="center" vertical="center"/>
      <protection hidden="1"/>
    </xf>
    <xf numFmtId="42" fontId="54" fillId="25" borderId="17" xfId="266" applyFont="1" applyFill="1" applyBorder="1" applyAlignment="1" applyProtection="1">
      <alignment horizontal="center" vertical="center"/>
      <protection hidden="1"/>
    </xf>
    <xf numFmtId="179" fontId="47" fillId="0" borderId="0" xfId="258" applyNumberFormat="1" applyFont="1" applyFill="1" applyBorder="1" applyAlignment="1" applyProtection="1">
      <alignment horizontal="center" vertical="center"/>
      <protection hidden="1"/>
    </xf>
    <xf numFmtId="44" fontId="47" fillId="0" borderId="23" xfId="261" applyFont="1" applyFill="1" applyBorder="1" applyAlignment="1" applyProtection="1">
      <alignment horizontal="right" vertical="center"/>
      <protection hidden="1"/>
    </xf>
    <xf numFmtId="0" fontId="47" fillId="0" borderId="0" xfId="258" applyNumberFormat="1" applyFont="1" applyFill="1" applyBorder="1" applyAlignment="1" applyProtection="1">
      <alignment horizontal="center" vertical="center" wrapText="1"/>
      <protection hidden="1"/>
    </xf>
    <xf numFmtId="9" fontId="46" fillId="0" borderId="17" xfId="258" applyFont="1" applyFill="1" applyBorder="1" applyAlignment="1">
      <alignment vertical="center"/>
    </xf>
    <xf numFmtId="0" fontId="46" fillId="0" borderId="17" xfId="256" applyFont="1" applyBorder="1" applyAlignment="1">
      <alignment vertical="center"/>
    </xf>
    <xf numFmtId="2" fontId="46" fillId="0" borderId="17" xfId="256" applyNumberFormat="1" applyFont="1" applyBorder="1" applyAlignment="1">
      <alignment vertical="center"/>
    </xf>
    <xf numFmtId="2" fontId="46" fillId="0" borderId="17" xfId="256" applyNumberFormat="1" applyFont="1" applyBorder="1" applyAlignment="1">
      <alignment horizontal="center" vertical="center"/>
    </xf>
    <xf numFmtId="0" fontId="46" fillId="0" borderId="17" xfId="256" applyFont="1" applyBorder="1" applyAlignment="1">
      <alignment horizontal="center" vertical="center"/>
    </xf>
    <xf numFmtId="2" fontId="46" fillId="0" borderId="46" xfId="256" applyNumberFormat="1" applyFont="1" applyBorder="1" applyAlignment="1">
      <alignment horizontal="center" vertical="center"/>
    </xf>
    <xf numFmtId="2" fontId="46" fillId="0" borderId="0" xfId="256" applyNumberFormat="1" applyFont="1" applyAlignment="1">
      <alignment horizontal="center" vertical="center"/>
    </xf>
    <xf numFmtId="2" fontId="54" fillId="0" borderId="17" xfId="256" applyNumberFormat="1" applyFont="1" applyBorder="1" applyAlignment="1">
      <alignment horizontal="center" vertical="center"/>
    </xf>
    <xf numFmtId="44" fontId="54" fillId="25" borderId="17" xfId="261" applyFont="1" applyFill="1" applyBorder="1" applyAlignment="1">
      <alignment vertical="center"/>
    </xf>
    <xf numFmtId="9" fontId="54" fillId="0" borderId="17" xfId="256" applyNumberFormat="1" applyFont="1" applyBorder="1" applyAlignment="1">
      <alignment horizontal="center" vertical="center"/>
    </xf>
    <xf numFmtId="44" fontId="54" fillId="0" borderId="17" xfId="261" applyFont="1" applyBorder="1" applyAlignment="1">
      <alignment vertical="center"/>
    </xf>
    <xf numFmtId="44" fontId="47" fillId="0" borderId="17" xfId="261" applyFont="1" applyBorder="1" applyAlignment="1" applyProtection="1">
      <alignment horizontal="center" vertical="center" wrapText="1"/>
      <protection hidden="1"/>
    </xf>
    <xf numFmtId="0" fontId="54" fillId="0" borderId="17" xfId="256" applyFont="1" applyBorder="1" applyAlignment="1">
      <alignment vertical="center" wrapText="1"/>
    </xf>
    <xf numFmtId="188" fontId="54" fillId="0" borderId="17" xfId="256" applyNumberFormat="1" applyFont="1" applyBorder="1" applyAlignment="1">
      <alignment horizontal="center" vertical="center" wrapText="1"/>
    </xf>
    <xf numFmtId="2" fontId="54" fillId="0" borderId="17" xfId="256" applyNumberFormat="1" applyFont="1" applyBorder="1" applyAlignment="1">
      <alignment horizontal="center" vertical="center" wrapText="1"/>
    </xf>
    <xf numFmtId="0" fontId="54" fillId="0" borderId="17" xfId="256" applyFont="1" applyBorder="1" applyAlignment="1">
      <alignment horizontal="center" vertical="center" wrapText="1"/>
    </xf>
    <xf numFmtId="44" fontId="54" fillId="0" borderId="17" xfId="261" applyFont="1" applyBorder="1" applyAlignment="1">
      <alignment vertical="center" wrapText="1"/>
    </xf>
    <xf numFmtId="188" fontId="1" fillId="0" borderId="0" xfId="256" applyNumberFormat="1" applyAlignment="1">
      <alignment vertical="center"/>
    </xf>
    <xf numFmtId="9" fontId="54" fillId="0" borderId="17" xfId="258" applyFont="1" applyBorder="1" applyAlignment="1">
      <alignment horizontal="center" vertical="center"/>
    </xf>
    <xf numFmtId="188" fontId="1" fillId="0" borderId="17" xfId="256" applyNumberFormat="1" applyBorder="1" applyAlignment="1">
      <alignment horizontal="center" vertical="center"/>
    </xf>
    <xf numFmtId="2" fontId="54" fillId="0" borderId="17" xfId="256" applyNumberFormat="1" applyFont="1" applyBorder="1" applyAlignment="1">
      <alignment vertical="center"/>
    </xf>
    <xf numFmtId="44" fontId="54" fillId="0" borderId="17" xfId="261" applyFont="1" applyBorder="1" applyAlignment="1">
      <alignment horizontal="center" vertical="center"/>
    </xf>
    <xf numFmtId="0" fontId="54" fillId="25" borderId="17" xfId="256" applyFont="1" applyFill="1" applyBorder="1" applyAlignment="1">
      <alignment vertical="center"/>
    </xf>
    <xf numFmtId="2" fontId="47" fillId="25" borderId="17" xfId="256" applyNumberFormat="1" applyFont="1" applyFill="1" applyBorder="1" applyAlignment="1" applyProtection="1">
      <alignment horizontal="center" vertical="center" wrapText="1"/>
      <protection hidden="1"/>
    </xf>
    <xf numFmtId="179" fontId="47" fillId="0" borderId="0" xfId="258" applyNumberFormat="1" applyFont="1" applyBorder="1" applyAlignment="1" applyProtection="1">
      <alignment horizontal="center" vertical="center"/>
      <protection hidden="1"/>
    </xf>
    <xf numFmtId="0" fontId="54" fillId="0" borderId="55" xfId="256" applyFont="1" applyBorder="1" applyAlignment="1" applyProtection="1">
      <alignment horizontal="center" vertical="center"/>
      <protection hidden="1"/>
    </xf>
    <xf numFmtId="44" fontId="47" fillId="0" borderId="23" xfId="261" applyFont="1" applyBorder="1" applyAlignment="1" applyProtection="1">
      <alignment horizontal="right" vertical="center"/>
      <protection hidden="1"/>
    </xf>
    <xf numFmtId="9" fontId="47" fillId="0" borderId="17" xfId="258" applyFont="1" applyBorder="1" applyAlignment="1" applyProtection="1">
      <alignment horizontal="center" vertical="center" wrapText="1"/>
      <protection hidden="1"/>
    </xf>
    <xf numFmtId="9" fontId="54" fillId="0" borderId="17" xfId="258" applyFont="1" applyBorder="1" applyAlignment="1" applyProtection="1">
      <alignment horizontal="center" vertical="center"/>
      <protection hidden="1"/>
    </xf>
    <xf numFmtId="188" fontId="1" fillId="0" borderId="0" xfId="256" applyNumberFormat="1" applyAlignment="1">
      <alignment horizontal="center" vertical="center"/>
    </xf>
    <xf numFmtId="2" fontId="54" fillId="0" borderId="0" xfId="256" applyNumberFormat="1" applyFont="1" applyAlignment="1">
      <alignment vertical="center"/>
    </xf>
    <xf numFmtId="2" fontId="50" fillId="0" borderId="0" xfId="258" applyNumberFormat="1" applyFont="1" applyAlignment="1" applyProtection="1">
      <alignment horizontal="center" vertical="center"/>
      <protection hidden="1"/>
    </xf>
    <xf numFmtId="0" fontId="1" fillId="36" borderId="0" xfId="256" applyFill="1" applyAlignment="1">
      <alignment vertical="center"/>
    </xf>
    <xf numFmtId="0" fontId="54" fillId="0" borderId="31" xfId="256" applyFont="1" applyBorder="1" applyAlignment="1" applyProtection="1">
      <alignment horizontal="center" vertical="center"/>
      <protection hidden="1"/>
    </xf>
    <xf numFmtId="44" fontId="54" fillId="25" borderId="17" xfId="261" applyFont="1" applyFill="1" applyBorder="1" applyAlignment="1" applyProtection="1">
      <alignment vertical="center"/>
      <protection hidden="1"/>
    </xf>
    <xf numFmtId="43" fontId="50" fillId="31" borderId="23" xfId="264" applyNumberFormat="1" applyFont="1" applyFill="1" applyBorder="1" applyAlignment="1" applyProtection="1">
      <alignment horizontal="center" vertical="center" wrapText="1"/>
      <protection hidden="1"/>
    </xf>
    <xf numFmtId="0" fontId="1" fillId="37" borderId="0" xfId="256" applyFill="1" applyAlignment="1">
      <alignment vertical="center"/>
    </xf>
    <xf numFmtId="43" fontId="50" fillId="33" borderId="63" xfId="264" applyNumberFormat="1" applyFont="1" applyFill="1" applyBorder="1" applyAlignment="1" applyProtection="1">
      <alignment horizontal="left" vertical="center" wrapText="1"/>
      <protection hidden="1"/>
    </xf>
    <xf numFmtId="43" fontId="50" fillId="33" borderId="21" xfId="264" applyNumberFormat="1" applyFont="1" applyFill="1" applyBorder="1" applyAlignment="1" applyProtection="1">
      <alignment horizontal="left" vertical="center" wrapText="1"/>
      <protection hidden="1"/>
    </xf>
    <xf numFmtId="2" fontId="47" fillId="35" borderId="17" xfId="256" applyNumberFormat="1" applyFont="1" applyFill="1" applyBorder="1" applyAlignment="1" applyProtection="1">
      <alignment horizontal="center" vertical="center" wrapText="1"/>
      <protection hidden="1"/>
    </xf>
    <xf numFmtId="203" fontId="47" fillId="35" borderId="17" xfId="256" applyNumberFormat="1" applyFont="1" applyFill="1" applyBorder="1" applyAlignment="1" applyProtection="1">
      <alignment horizontal="center" vertical="center" wrapText="1"/>
      <protection hidden="1"/>
    </xf>
    <xf numFmtId="1" fontId="47" fillId="35" borderId="17" xfId="256" applyNumberFormat="1" applyFont="1" applyFill="1" applyBorder="1" applyAlignment="1" applyProtection="1">
      <alignment horizontal="center" vertical="center" wrapText="1"/>
      <protection hidden="1"/>
    </xf>
    <xf numFmtId="43" fontId="50" fillId="33" borderId="23" xfId="264" applyNumberFormat="1" applyFont="1" applyFill="1" applyBorder="1" applyAlignment="1" applyProtection="1">
      <alignment horizontal="center" vertical="center" wrapText="1"/>
      <protection hidden="1"/>
    </xf>
    <xf numFmtId="207" fontId="50" fillId="0" borderId="0" xfId="264" applyNumberFormat="1" applyFont="1" applyFill="1" applyBorder="1" applyAlignment="1" applyProtection="1">
      <alignment horizontal="center" vertical="center"/>
      <protection hidden="1"/>
    </xf>
    <xf numFmtId="0" fontId="54" fillId="0" borderId="23" xfId="256" applyFont="1" applyBorder="1" applyAlignment="1" applyProtection="1">
      <alignment horizontal="center" vertical="center"/>
      <protection hidden="1"/>
    </xf>
    <xf numFmtId="209" fontId="50" fillId="30" borderId="17" xfId="257" applyNumberFormat="1" applyFont="1" applyFill="1" applyBorder="1" applyAlignment="1" applyProtection="1">
      <alignment horizontal="center" vertical="center" wrapText="1"/>
      <protection hidden="1"/>
    </xf>
    <xf numFmtId="42" fontId="54" fillId="25" borderId="17" xfId="266" applyFont="1" applyFill="1" applyBorder="1" applyAlignment="1">
      <alignment vertical="center"/>
    </xf>
    <xf numFmtId="2" fontId="47" fillId="0" borderId="0" xfId="256" applyNumberFormat="1" applyFont="1" applyAlignment="1" applyProtection="1">
      <alignment horizontal="center" vertical="center" wrapText="1"/>
      <protection hidden="1"/>
    </xf>
    <xf numFmtId="0" fontId="54" fillId="0" borderId="31" xfId="256" applyFont="1" applyBorder="1" applyAlignment="1">
      <alignment horizontal="center" vertical="center"/>
    </xf>
    <xf numFmtId="164" fontId="47" fillId="0" borderId="17" xfId="260" applyFont="1" applyBorder="1" applyAlignment="1" applyProtection="1">
      <alignment horizontal="left" vertical="center" wrapText="1"/>
      <protection hidden="1"/>
    </xf>
    <xf numFmtId="188" fontId="47" fillId="0" borderId="17" xfId="263" applyNumberFormat="1" applyFont="1" applyBorder="1" applyAlignment="1" applyProtection="1">
      <alignment horizontal="center" vertical="center" wrapText="1"/>
      <protection hidden="1"/>
    </xf>
    <xf numFmtId="0" fontId="1" fillId="0" borderId="17" xfId="256" applyBorder="1" applyAlignment="1">
      <alignment vertical="center"/>
    </xf>
    <xf numFmtId="9" fontId="47" fillId="0" borderId="17" xfId="263" applyNumberFormat="1" applyFont="1" applyBorder="1" applyAlignment="1" applyProtection="1">
      <alignment horizontal="center" vertical="center" wrapText="1"/>
      <protection hidden="1"/>
    </xf>
    <xf numFmtId="0" fontId="54" fillId="0" borderId="21" xfId="256" applyFont="1" applyBorder="1" applyAlignment="1" applyProtection="1">
      <alignment horizontal="center" vertical="center"/>
      <protection hidden="1"/>
    </xf>
    <xf numFmtId="0" fontId="54" fillId="0" borderId="21" xfId="256" applyFont="1" applyBorder="1" applyAlignment="1">
      <alignment horizontal="center" vertical="center"/>
    </xf>
    <xf numFmtId="0" fontId="47" fillId="0" borderId="17" xfId="265" applyNumberFormat="1" applyFont="1" applyBorder="1" applyAlignment="1" applyProtection="1">
      <alignment vertical="center" wrapText="1"/>
      <protection hidden="1"/>
    </xf>
    <xf numFmtId="49" fontId="53" fillId="30" borderId="17" xfId="259" applyNumberFormat="1" applyFont="1" applyFill="1" applyBorder="1" applyAlignment="1" applyProtection="1">
      <alignment horizontal="center" vertical="center" wrapText="1"/>
      <protection hidden="1"/>
    </xf>
    <xf numFmtId="212" fontId="46" fillId="0" borderId="17" xfId="256" applyNumberFormat="1" applyFont="1" applyBorder="1" applyAlignment="1" applyProtection="1">
      <alignment horizontal="center" vertical="center"/>
      <protection hidden="1"/>
    </xf>
    <xf numFmtId="212" fontId="54" fillId="0" borderId="43" xfId="256" applyNumberFormat="1" applyFont="1" applyBorder="1" applyAlignment="1">
      <alignment horizontal="center" vertical="center"/>
    </xf>
    <xf numFmtId="0" fontId="47" fillId="0" borderId="17" xfId="256" applyFont="1" applyBorder="1" applyAlignment="1" applyProtection="1">
      <alignment horizontal="left" vertical="center" wrapText="1"/>
      <protection hidden="1"/>
    </xf>
    <xf numFmtId="212" fontId="54" fillId="0" borderId="17" xfId="256" applyNumberFormat="1" applyFont="1" applyBorder="1" applyAlignment="1">
      <alignment horizontal="center" vertical="center"/>
    </xf>
    <xf numFmtId="43" fontId="50" fillId="30" borderId="17" xfId="257" applyNumberFormat="1" applyFont="1" applyFill="1" applyBorder="1" applyAlignment="1" applyProtection="1">
      <alignment horizontal="center" wrapText="1"/>
      <protection hidden="1"/>
    </xf>
    <xf numFmtId="0" fontId="47" fillId="0" borderId="17" xfId="256" applyFont="1" applyBorder="1" applyAlignment="1" applyProtection="1">
      <alignment horizontal="center" vertical="center"/>
      <protection hidden="1"/>
    </xf>
    <xf numFmtId="44" fontId="59" fillId="25" borderId="0" xfId="261" applyFont="1" applyFill="1" applyAlignment="1" applyProtection="1">
      <alignment horizontal="center" vertical="center"/>
      <protection hidden="1"/>
    </xf>
    <xf numFmtId="0" fontId="1" fillId="0" borderId="0" xfId="256" applyAlignment="1">
      <alignment vertical="center" wrapText="1"/>
    </xf>
    <xf numFmtId="188" fontId="50" fillId="0" borderId="0" xfId="256" applyNumberFormat="1" applyFont="1" applyAlignment="1" applyProtection="1">
      <alignment vertical="center" wrapText="1"/>
      <protection hidden="1"/>
    </xf>
    <xf numFmtId="44" fontId="54" fillId="25" borderId="0" xfId="261" applyFont="1" applyFill="1" applyAlignment="1" applyProtection="1">
      <alignment vertical="center" wrapText="1"/>
      <protection hidden="1"/>
    </xf>
    <xf numFmtId="44" fontId="54" fillId="0" borderId="0" xfId="261" applyFont="1" applyAlignment="1" applyProtection="1">
      <alignment vertical="center" wrapText="1"/>
      <protection hidden="1"/>
    </xf>
    <xf numFmtId="0" fontId="54" fillId="0" borderId="17" xfId="256" applyFont="1" applyBorder="1" applyAlignment="1" applyProtection="1">
      <alignment horizontal="center" vertical="center" wrapText="1"/>
      <protection hidden="1"/>
    </xf>
    <xf numFmtId="44" fontId="47" fillId="25" borderId="17" xfId="256" applyNumberFormat="1" applyFont="1" applyFill="1" applyBorder="1" applyAlignment="1" applyProtection="1">
      <alignment vertical="center" wrapText="1"/>
      <protection hidden="1"/>
    </xf>
    <xf numFmtId="2" fontId="54" fillId="0" borderId="17" xfId="256" applyNumberFormat="1" applyFont="1" applyBorder="1" applyAlignment="1" applyProtection="1">
      <alignment horizontal="center" vertical="center"/>
      <protection hidden="1"/>
    </xf>
    <xf numFmtId="0" fontId="47" fillId="0" borderId="17" xfId="258" applyNumberFormat="1" applyFont="1" applyBorder="1" applyAlignment="1" applyProtection="1">
      <alignment horizontal="center" vertical="center"/>
      <protection hidden="1"/>
    </xf>
    <xf numFmtId="0" fontId="47" fillId="0" borderId="17" xfId="258" applyNumberFormat="1" applyFont="1" applyFill="1" applyBorder="1" applyAlignment="1" applyProtection="1">
      <alignment horizontal="center" vertical="center"/>
      <protection hidden="1"/>
    </xf>
    <xf numFmtId="2" fontId="51" fillId="0" borderId="0" xfId="256" applyNumberFormat="1" applyFont="1" applyAlignment="1">
      <alignment vertical="center"/>
    </xf>
    <xf numFmtId="9" fontId="47" fillId="35" borderId="17" xfId="258" applyFont="1" applyFill="1" applyBorder="1" applyAlignment="1" applyProtection="1">
      <alignment horizontal="center" vertical="center" wrapText="1"/>
      <protection hidden="1"/>
    </xf>
    <xf numFmtId="2" fontId="47" fillId="0" borderId="17" xfId="258" applyNumberFormat="1" applyFont="1" applyBorder="1" applyAlignment="1" applyProtection="1">
      <alignment horizontal="center" vertical="center"/>
      <protection hidden="1"/>
    </xf>
    <xf numFmtId="2" fontId="47" fillId="0" borderId="17" xfId="258" applyNumberFormat="1" applyFont="1" applyFill="1" applyBorder="1" applyAlignment="1" applyProtection="1">
      <alignment horizontal="center" vertical="center"/>
      <protection hidden="1"/>
    </xf>
    <xf numFmtId="0" fontId="1" fillId="0" borderId="0" xfId="256"/>
    <xf numFmtId="0" fontId="1" fillId="25" borderId="0" xfId="256" applyFill="1"/>
    <xf numFmtId="0" fontId="51" fillId="0" borderId="0" xfId="256" applyFont="1"/>
    <xf numFmtId="209" fontId="50" fillId="30" borderId="17" xfId="257" applyNumberFormat="1" applyFont="1" applyFill="1" applyBorder="1" applyAlignment="1" applyProtection="1">
      <alignment horizontal="center" wrapText="1"/>
      <protection hidden="1"/>
    </xf>
    <xf numFmtId="43" fontId="50" fillId="30" borderId="63" xfId="257" applyNumberFormat="1" applyFont="1" applyFill="1" applyBorder="1" applyAlignment="1" applyProtection="1">
      <alignment wrapText="1"/>
      <protection hidden="1"/>
    </xf>
    <xf numFmtId="0" fontId="50" fillId="0" borderId="0" xfId="256" applyFont="1" applyAlignment="1" applyProtection="1">
      <alignment wrapText="1"/>
      <protection hidden="1"/>
    </xf>
    <xf numFmtId="44" fontId="54" fillId="25" borderId="0" xfId="261" applyFont="1" applyFill="1" applyProtection="1">
      <protection hidden="1"/>
    </xf>
    <xf numFmtId="44" fontId="54" fillId="0" borderId="0" xfId="261" applyFont="1" applyProtection="1">
      <protection hidden="1"/>
    </xf>
    <xf numFmtId="0" fontId="54" fillId="0" borderId="0" xfId="256" applyFont="1" applyProtection="1">
      <protection hidden="1"/>
    </xf>
    <xf numFmtId="44" fontId="51" fillId="0" borderId="0" xfId="256" applyNumberFormat="1" applyFont="1"/>
    <xf numFmtId="0" fontId="54" fillId="0" borderId="17" xfId="256" applyFont="1" applyBorder="1" applyProtection="1">
      <protection hidden="1"/>
    </xf>
    <xf numFmtId="0" fontId="54" fillId="0" borderId="17" xfId="256" applyFont="1" applyBorder="1" applyAlignment="1" applyProtection="1">
      <alignment horizontal="center"/>
      <protection hidden="1"/>
    </xf>
    <xf numFmtId="0" fontId="47" fillId="0" borderId="17" xfId="256" applyFont="1" applyBorder="1" applyAlignment="1" applyProtection="1">
      <alignment wrapText="1"/>
      <protection hidden="1"/>
    </xf>
    <xf numFmtId="0" fontId="47" fillId="0" borderId="17" xfId="256" applyFont="1" applyBorder="1" applyAlignment="1" applyProtection="1">
      <alignment horizontal="center" wrapText="1"/>
      <protection hidden="1"/>
    </xf>
    <xf numFmtId="44" fontId="47" fillId="25" borderId="17" xfId="261" applyFont="1" applyFill="1" applyBorder="1" applyAlignment="1" applyProtection="1">
      <alignment horizontal="center" wrapText="1"/>
      <protection hidden="1"/>
    </xf>
    <xf numFmtId="179" fontId="47" fillId="0" borderId="17" xfId="258" applyNumberFormat="1" applyFont="1" applyBorder="1" applyAlignment="1" applyProtection="1">
      <alignment horizontal="center"/>
      <protection hidden="1"/>
    </xf>
    <xf numFmtId="44" fontId="47" fillId="0" borderId="17" xfId="261" applyFont="1" applyBorder="1" applyAlignment="1" applyProtection="1">
      <alignment horizontal="right"/>
      <protection hidden="1"/>
    </xf>
    <xf numFmtId="164" fontId="47" fillId="25" borderId="17" xfId="260" applyFont="1" applyFill="1" applyBorder="1" applyAlignment="1" applyProtection="1">
      <alignment horizontal="center" wrapText="1"/>
      <protection hidden="1"/>
    </xf>
    <xf numFmtId="2" fontId="47" fillId="0" borderId="17" xfId="256" applyNumberFormat="1" applyFont="1" applyBorder="1" applyAlignment="1" applyProtection="1">
      <alignment horizontal="center" wrapText="1"/>
      <protection hidden="1"/>
    </xf>
    <xf numFmtId="188" fontId="47" fillId="0" borderId="17" xfId="256" applyNumberFormat="1" applyFont="1" applyBorder="1" applyAlignment="1" applyProtection="1">
      <alignment horizontal="center" wrapText="1"/>
      <protection hidden="1"/>
    </xf>
    <xf numFmtId="188" fontId="54" fillId="0" borderId="17" xfId="256" applyNumberFormat="1" applyFont="1" applyBorder="1" applyAlignment="1" applyProtection="1">
      <alignment horizontal="center"/>
      <protection hidden="1"/>
    </xf>
    <xf numFmtId="9" fontId="47" fillId="0" borderId="17" xfId="256" applyNumberFormat="1" applyFont="1" applyBorder="1" applyAlignment="1" applyProtection="1">
      <alignment horizontal="center" wrapText="1"/>
      <protection hidden="1"/>
    </xf>
    <xf numFmtId="0" fontId="54" fillId="0" borderId="0" xfId="256" applyFont="1" applyAlignment="1" applyProtection="1">
      <alignment horizontal="center"/>
      <protection hidden="1"/>
    </xf>
    <xf numFmtId="43" fontId="50" fillId="31" borderId="23" xfId="257" applyNumberFormat="1" applyFont="1" applyFill="1" applyBorder="1" applyAlignment="1" applyProtection="1">
      <alignment wrapText="1"/>
      <protection hidden="1"/>
    </xf>
    <xf numFmtId="44" fontId="50" fillId="38" borderId="17" xfId="261" applyFont="1" applyFill="1" applyBorder="1" applyAlignment="1" applyProtection="1">
      <alignment horizontal="center" vertical="center" wrapText="1"/>
      <protection hidden="1"/>
    </xf>
    <xf numFmtId="208" fontId="50" fillId="0" borderId="0" xfId="257" applyNumberFormat="1" applyFont="1" applyAlignment="1" applyProtection="1">
      <alignment horizontal="center"/>
      <protection hidden="1"/>
    </xf>
    <xf numFmtId="44" fontId="50" fillId="25" borderId="0" xfId="261" applyFont="1" applyFill="1" applyAlignment="1" applyProtection="1">
      <alignment horizontal="center"/>
      <protection hidden="1"/>
    </xf>
    <xf numFmtId="207" fontId="50" fillId="0" borderId="0" xfId="257" applyNumberFormat="1" applyFont="1" applyAlignment="1" applyProtection="1">
      <alignment horizontal="center"/>
      <protection hidden="1"/>
    </xf>
    <xf numFmtId="44" fontId="50" fillId="31" borderId="17" xfId="261" applyFont="1" applyFill="1" applyBorder="1" applyAlignment="1" applyProtection="1">
      <alignment wrapText="1"/>
      <protection hidden="1"/>
    </xf>
    <xf numFmtId="179" fontId="47" fillId="0" borderId="17" xfId="258" applyNumberFormat="1" applyFont="1" applyFill="1" applyBorder="1" applyAlignment="1" applyProtection="1">
      <alignment horizontal="center"/>
      <protection hidden="1"/>
    </xf>
    <xf numFmtId="44" fontId="47" fillId="0" borderId="17" xfId="261" applyFont="1" applyFill="1" applyBorder="1" applyAlignment="1" applyProtection="1">
      <alignment horizontal="right"/>
      <protection hidden="1"/>
    </xf>
    <xf numFmtId="43" fontId="50" fillId="33" borderId="23" xfId="264" applyNumberFormat="1" applyFont="1" applyFill="1" applyBorder="1" applyAlignment="1" applyProtection="1">
      <alignment wrapText="1"/>
      <protection hidden="1"/>
    </xf>
    <xf numFmtId="208" fontId="50" fillId="0" borderId="0" xfId="264" applyNumberFormat="1" applyFont="1" applyAlignment="1" applyProtection="1">
      <alignment horizontal="center"/>
      <protection hidden="1"/>
    </xf>
    <xf numFmtId="43" fontId="50" fillId="30" borderId="21" xfId="257" applyNumberFormat="1" applyFont="1" applyFill="1" applyBorder="1" applyAlignment="1" applyProtection="1">
      <alignment horizontal="center" vertical="center" wrapText="1"/>
      <protection hidden="1"/>
    </xf>
    <xf numFmtId="203" fontId="47" fillId="0" borderId="17" xfId="256" applyNumberFormat="1" applyFont="1" applyBorder="1" applyAlignment="1" applyProtection="1">
      <alignment horizontal="center" wrapText="1"/>
      <protection hidden="1"/>
    </xf>
    <xf numFmtId="0" fontId="1" fillId="0" borderId="0" xfId="256" applyAlignment="1">
      <alignment horizontal="center" vertical="center" wrapText="1"/>
    </xf>
    <xf numFmtId="9" fontId="47" fillId="0" borderId="17" xfId="258" applyFont="1" applyBorder="1" applyAlignment="1" applyProtection="1">
      <alignment horizontal="center"/>
      <protection hidden="1"/>
    </xf>
    <xf numFmtId="0" fontId="54" fillId="25" borderId="17" xfId="256" applyFont="1" applyFill="1" applyBorder="1" applyProtection="1">
      <protection hidden="1"/>
    </xf>
    <xf numFmtId="0" fontId="54" fillId="25" borderId="17" xfId="256" applyFont="1" applyFill="1" applyBorder="1" applyAlignment="1" applyProtection="1">
      <alignment horizontal="center"/>
      <protection hidden="1"/>
    </xf>
    <xf numFmtId="0" fontId="47" fillId="25" borderId="17" xfId="256" applyFont="1" applyFill="1" applyBorder="1" applyAlignment="1" applyProtection="1">
      <alignment wrapText="1"/>
      <protection hidden="1"/>
    </xf>
    <xf numFmtId="188" fontId="54" fillId="25" borderId="17" xfId="256" applyNumberFormat="1" applyFont="1" applyFill="1" applyBorder="1" applyAlignment="1" applyProtection="1">
      <alignment horizontal="center"/>
      <protection hidden="1"/>
    </xf>
    <xf numFmtId="179" fontId="47" fillId="25" borderId="17" xfId="258" applyNumberFormat="1" applyFont="1" applyFill="1" applyBorder="1" applyAlignment="1" applyProtection="1">
      <alignment horizontal="center"/>
      <protection hidden="1"/>
    </xf>
    <xf numFmtId="44" fontId="47" fillId="25" borderId="17" xfId="261" applyFont="1" applyFill="1" applyBorder="1" applyAlignment="1" applyProtection="1">
      <alignment horizontal="right"/>
      <protection hidden="1"/>
    </xf>
    <xf numFmtId="164" fontId="54" fillId="25" borderId="0" xfId="260" applyFont="1" applyFill="1" applyProtection="1">
      <protection hidden="1"/>
    </xf>
    <xf numFmtId="164" fontId="54" fillId="0" borderId="0" xfId="260" applyFont="1" applyProtection="1">
      <protection hidden="1"/>
    </xf>
    <xf numFmtId="164" fontId="47" fillId="0" borderId="17" xfId="260" applyFont="1" applyBorder="1" applyAlignment="1" applyProtection="1">
      <alignment horizontal="right"/>
      <protection hidden="1"/>
    </xf>
    <xf numFmtId="210" fontId="47" fillId="0" borderId="17" xfId="256" applyNumberFormat="1" applyFont="1" applyBorder="1" applyAlignment="1" applyProtection="1">
      <alignment horizontal="center" wrapText="1"/>
      <protection hidden="1"/>
    </xf>
    <xf numFmtId="189" fontId="54" fillId="0" borderId="17" xfId="256" applyNumberFormat="1" applyFont="1" applyBorder="1" applyAlignment="1" applyProtection="1">
      <alignment horizontal="center"/>
      <protection hidden="1"/>
    </xf>
    <xf numFmtId="9" fontId="50" fillId="0" borderId="0" xfId="258" applyFont="1" applyAlignment="1" applyProtection="1">
      <alignment horizontal="center"/>
      <protection hidden="1"/>
    </xf>
    <xf numFmtId="43" fontId="50" fillId="30" borderId="63" xfId="257" applyNumberFormat="1" applyFont="1" applyFill="1" applyBorder="1" applyAlignment="1" applyProtection="1">
      <alignment vertical="center" wrapText="1"/>
      <protection hidden="1"/>
    </xf>
    <xf numFmtId="188" fontId="47" fillId="0" borderId="17" xfId="258" applyNumberFormat="1" applyFont="1" applyBorder="1" applyAlignment="1" applyProtection="1">
      <alignment horizontal="center" vertical="center"/>
      <protection hidden="1"/>
    </xf>
    <xf numFmtId="189" fontId="47" fillId="0" borderId="17" xfId="258" applyNumberFormat="1" applyFont="1" applyBorder="1" applyAlignment="1" applyProtection="1">
      <alignment horizontal="center" vertical="center"/>
      <protection hidden="1"/>
    </xf>
    <xf numFmtId="212" fontId="54" fillId="0" borderId="17" xfId="265" applyNumberFormat="1" applyFont="1" applyBorder="1" applyAlignment="1" applyProtection="1">
      <alignment horizontal="center" vertical="center" wrapText="1"/>
      <protection hidden="1"/>
    </xf>
    <xf numFmtId="43" fontId="47" fillId="0" borderId="17" xfId="265" applyFont="1" applyBorder="1" applyAlignment="1" applyProtection="1">
      <alignment vertical="center" wrapText="1"/>
      <protection hidden="1"/>
    </xf>
    <xf numFmtId="43" fontId="47" fillId="0" borderId="17" xfId="265" applyFont="1" applyBorder="1" applyAlignment="1" applyProtection="1">
      <alignment horizontal="center" vertical="center" wrapText="1"/>
      <protection hidden="1"/>
    </xf>
    <xf numFmtId="188" fontId="54" fillId="0" borderId="17" xfId="256" applyNumberFormat="1" applyFont="1" applyBorder="1" applyAlignment="1" applyProtection="1">
      <alignment horizontal="center" vertical="center" wrapText="1"/>
      <protection hidden="1"/>
    </xf>
    <xf numFmtId="43" fontId="47" fillId="25" borderId="17" xfId="265" applyFont="1" applyFill="1" applyBorder="1" applyAlignment="1" applyProtection="1">
      <alignment horizontal="center" vertical="center" wrapText="1"/>
      <protection hidden="1"/>
    </xf>
    <xf numFmtId="44" fontId="47" fillId="0" borderId="17" xfId="261" applyFont="1" applyBorder="1" applyAlignment="1" applyProtection="1">
      <alignment horizontal="right" vertical="center" wrapText="1"/>
      <protection hidden="1"/>
    </xf>
    <xf numFmtId="179" fontId="47" fillId="0" borderId="17" xfId="258" applyNumberFormat="1" applyFont="1" applyBorder="1" applyAlignment="1" applyProtection="1">
      <alignment horizontal="center" vertical="center" wrapText="1"/>
      <protection hidden="1"/>
    </xf>
    <xf numFmtId="0" fontId="54" fillId="0" borderId="17" xfId="256" applyFont="1" applyBorder="1" applyAlignment="1" applyProtection="1">
      <alignment vertical="center" wrapText="1"/>
      <protection hidden="1"/>
    </xf>
    <xf numFmtId="0" fontId="54" fillId="0" borderId="0" xfId="256" applyFont="1" applyAlignment="1" applyProtection="1">
      <alignment horizontal="center" vertical="center" wrapText="1"/>
      <protection hidden="1"/>
    </xf>
    <xf numFmtId="207" fontId="50" fillId="0" borderId="0" xfId="257" applyNumberFormat="1" applyFont="1" applyAlignment="1" applyProtection="1">
      <alignment horizontal="center" vertical="center" wrapText="1"/>
      <protection hidden="1"/>
    </xf>
    <xf numFmtId="44" fontId="51" fillId="0" borderId="0" xfId="256" applyNumberFormat="1" applyFont="1" applyAlignment="1">
      <alignment vertical="center" wrapText="1"/>
    </xf>
    <xf numFmtId="0" fontId="1" fillId="25" borderId="0" xfId="256" applyFill="1" applyAlignment="1">
      <alignment vertical="center" wrapText="1"/>
    </xf>
    <xf numFmtId="0" fontId="54" fillId="25" borderId="17" xfId="256" applyFont="1" applyFill="1" applyBorder="1" applyAlignment="1">
      <alignment vertical="center" wrapText="1"/>
    </xf>
    <xf numFmtId="2" fontId="54" fillId="0" borderId="17" xfId="256" applyNumberFormat="1" applyFont="1" applyBorder="1" applyAlignment="1">
      <alignment vertical="center" wrapText="1"/>
    </xf>
    <xf numFmtId="0" fontId="46" fillId="0" borderId="17" xfId="256" applyFont="1" applyBorder="1" applyAlignment="1" applyProtection="1">
      <alignment horizontal="center" vertical="center" wrapText="1"/>
      <protection hidden="1"/>
    </xf>
    <xf numFmtId="9" fontId="54" fillId="0" borderId="17" xfId="258" applyFont="1" applyBorder="1" applyAlignment="1" applyProtection="1">
      <alignment horizontal="center" vertical="center" wrapText="1"/>
      <protection hidden="1"/>
    </xf>
    <xf numFmtId="188" fontId="1" fillId="0" borderId="0" xfId="256" applyNumberFormat="1" applyAlignment="1">
      <alignment horizontal="center" vertical="center" wrapText="1"/>
    </xf>
    <xf numFmtId="43" fontId="50" fillId="31" borderId="17" xfId="257" applyNumberFormat="1" applyFont="1" applyFill="1" applyBorder="1" applyAlignment="1" applyProtection="1">
      <alignment vertical="center" wrapText="1"/>
      <protection hidden="1"/>
    </xf>
    <xf numFmtId="2" fontId="50" fillId="0" borderId="17" xfId="258" applyNumberFormat="1" applyFont="1" applyBorder="1" applyAlignment="1" applyProtection="1">
      <alignment horizontal="center" vertical="center" wrapText="1"/>
      <protection hidden="1"/>
    </xf>
    <xf numFmtId="2" fontId="54" fillId="0" borderId="17" xfId="256" applyNumberFormat="1" applyFont="1" applyBorder="1" applyAlignment="1">
      <alignment horizontal="center"/>
    </xf>
    <xf numFmtId="0" fontId="54" fillId="25" borderId="17" xfId="256" applyFont="1" applyFill="1" applyBorder="1"/>
    <xf numFmtId="2" fontId="54" fillId="0" borderId="17" xfId="256" applyNumberFormat="1" applyFont="1" applyBorder="1"/>
    <xf numFmtId="0" fontId="54" fillId="0" borderId="17" xfId="256" applyFont="1" applyBorder="1"/>
    <xf numFmtId="188" fontId="54" fillId="0" borderId="17" xfId="256" applyNumberFormat="1" applyFont="1" applyBorder="1"/>
    <xf numFmtId="188" fontId="54" fillId="0" borderId="17" xfId="256" applyNumberFormat="1" applyFont="1" applyBorder="1" applyAlignment="1">
      <alignment vertical="center"/>
    </xf>
    <xf numFmtId="9" fontId="54" fillId="0" borderId="17" xfId="258" applyFont="1" applyBorder="1" applyAlignment="1">
      <alignment horizontal="center"/>
    </xf>
    <xf numFmtId="44" fontId="54" fillId="25" borderId="17" xfId="261" applyFont="1" applyFill="1" applyBorder="1"/>
    <xf numFmtId="9" fontId="54" fillId="0" borderId="17" xfId="256" applyNumberFormat="1" applyFont="1" applyBorder="1" applyAlignment="1">
      <alignment horizontal="center"/>
    </xf>
    <xf numFmtId="188" fontId="1" fillId="0" borderId="0" xfId="256" applyNumberFormat="1"/>
    <xf numFmtId="2" fontId="54" fillId="0" borderId="0" xfId="256" applyNumberFormat="1" applyFont="1"/>
    <xf numFmtId="2" fontId="50" fillId="0" borderId="0" xfId="258" applyNumberFormat="1" applyFont="1" applyAlignment="1" applyProtection="1">
      <alignment horizontal="center"/>
      <protection hidden="1"/>
    </xf>
    <xf numFmtId="0" fontId="1" fillId="32" borderId="0" xfId="256" applyFill="1"/>
    <xf numFmtId="0" fontId="46" fillId="0" borderId="17" xfId="256" applyFont="1" applyBorder="1" applyProtection="1">
      <protection hidden="1"/>
    </xf>
    <xf numFmtId="0" fontId="46" fillId="0" borderId="17" xfId="256" applyFont="1" applyBorder="1" applyAlignment="1" applyProtection="1">
      <alignment horizontal="center"/>
      <protection hidden="1"/>
    </xf>
    <xf numFmtId="188" fontId="47" fillId="35" borderId="17" xfId="256" applyNumberFormat="1" applyFont="1" applyFill="1" applyBorder="1" applyAlignment="1" applyProtection="1">
      <alignment horizontal="center" wrapText="1"/>
      <protection hidden="1"/>
    </xf>
    <xf numFmtId="43" fontId="54" fillId="0" borderId="17" xfId="265" applyFont="1" applyBorder="1" applyAlignment="1" applyProtection="1">
      <alignment horizontal="center"/>
      <protection hidden="1"/>
    </xf>
    <xf numFmtId="2" fontId="46" fillId="0" borderId="17" xfId="256" applyNumberFormat="1" applyFont="1" applyBorder="1"/>
    <xf numFmtId="42" fontId="54" fillId="25" borderId="17" xfId="266" applyFont="1" applyFill="1" applyBorder="1" applyAlignment="1" applyProtection="1">
      <alignment horizontal="center"/>
      <protection hidden="1"/>
    </xf>
    <xf numFmtId="0" fontId="46" fillId="0" borderId="0" xfId="256" applyFont="1" applyProtection="1">
      <protection hidden="1"/>
    </xf>
    <xf numFmtId="0" fontId="46" fillId="0" borderId="0" xfId="256" applyFont="1" applyAlignment="1" applyProtection="1">
      <alignment horizontal="center"/>
      <protection hidden="1"/>
    </xf>
    <xf numFmtId="43" fontId="50" fillId="30" borderId="56" xfId="257" applyNumberFormat="1" applyFont="1" applyFill="1" applyBorder="1" applyAlignment="1" applyProtection="1">
      <alignment horizontal="left" wrapText="1"/>
      <protection hidden="1"/>
    </xf>
    <xf numFmtId="43" fontId="54" fillId="25" borderId="17" xfId="265" applyFont="1" applyFill="1" applyBorder="1" applyAlignment="1">
      <alignment vertical="center" wrapText="1"/>
    </xf>
    <xf numFmtId="0" fontId="54" fillId="0" borderId="0" xfId="256" applyFont="1" applyAlignment="1">
      <alignment horizontal="center" vertical="center"/>
    </xf>
    <xf numFmtId="0" fontId="54" fillId="0" borderId="0" xfId="256" applyFont="1" applyAlignment="1">
      <alignment vertical="center"/>
    </xf>
    <xf numFmtId="0" fontId="47" fillId="0" borderId="0" xfId="256" applyFont="1" applyAlignment="1">
      <alignment vertical="center" wrapText="1"/>
    </xf>
    <xf numFmtId="0" fontId="47" fillId="0" borderId="0" xfId="256" applyFont="1" applyAlignment="1">
      <alignment horizontal="center" vertical="center"/>
    </xf>
    <xf numFmtId="0" fontId="47" fillId="0" borderId="0" xfId="256" applyFont="1" applyAlignment="1">
      <alignment vertical="center"/>
    </xf>
    <xf numFmtId="0" fontId="54" fillId="25" borderId="0" xfId="256" applyFont="1" applyFill="1" applyAlignment="1">
      <alignment vertical="center"/>
    </xf>
    <xf numFmtId="0" fontId="60" fillId="0" borderId="0" xfId="256" applyFont="1" applyAlignment="1">
      <alignment vertical="center"/>
    </xf>
    <xf numFmtId="0" fontId="47" fillId="0" borderId="17" xfId="256" applyFont="1" applyBorder="1" applyAlignment="1">
      <alignment vertical="center" wrapText="1"/>
    </xf>
    <xf numFmtId="0" fontId="47" fillId="0" borderId="17" xfId="256" applyFont="1" applyBorder="1" applyAlignment="1">
      <alignment horizontal="center" vertical="center"/>
    </xf>
    <xf numFmtId="44" fontId="47" fillId="0" borderId="17" xfId="261" applyFont="1" applyBorder="1" applyAlignment="1">
      <alignment vertical="center"/>
    </xf>
    <xf numFmtId="44" fontId="47" fillId="0" borderId="0" xfId="261" applyFont="1" applyAlignment="1">
      <alignment vertical="center"/>
    </xf>
    <xf numFmtId="0" fontId="61" fillId="0" borderId="0" xfId="256" applyFont="1" applyAlignment="1">
      <alignment vertical="center" wrapText="1"/>
    </xf>
    <xf numFmtId="0" fontId="49" fillId="0" borderId="0" xfId="256" applyFont="1" applyAlignment="1">
      <alignment vertical="center"/>
    </xf>
    <xf numFmtId="0" fontId="61" fillId="0" borderId="0" xfId="256" applyFont="1" applyAlignment="1">
      <alignment vertical="center"/>
    </xf>
    <xf numFmtId="0" fontId="61" fillId="0" borderId="0" xfId="256" applyFont="1" applyAlignment="1">
      <alignment horizontal="center" vertical="center"/>
    </xf>
    <xf numFmtId="0" fontId="62" fillId="30" borderId="64" xfId="256" applyFont="1" applyFill="1" applyBorder="1" applyAlignment="1">
      <alignment horizontal="center" vertical="center" wrapText="1"/>
    </xf>
    <xf numFmtId="0" fontId="62" fillId="30" borderId="53" xfId="256" applyFont="1" applyFill="1" applyBorder="1" applyAlignment="1">
      <alignment horizontal="center" vertical="center" wrapText="1"/>
    </xf>
    <xf numFmtId="0" fontId="62" fillId="30" borderId="65" xfId="256" applyFont="1" applyFill="1" applyBorder="1" applyAlignment="1">
      <alignment horizontal="center" vertical="center" wrapText="1"/>
    </xf>
    <xf numFmtId="0" fontId="63" fillId="0" borderId="0" xfId="256" applyFont="1" applyAlignment="1">
      <alignment vertical="center" wrapText="1"/>
    </xf>
    <xf numFmtId="0" fontId="62" fillId="30" borderId="11" xfId="256" applyFont="1" applyFill="1" applyBorder="1" applyAlignment="1">
      <alignment horizontal="center" vertical="center" wrapText="1"/>
    </xf>
    <xf numFmtId="0" fontId="62" fillId="30" borderId="0" xfId="256" applyFont="1" applyFill="1" applyAlignment="1">
      <alignment horizontal="center" vertical="center" wrapText="1"/>
    </xf>
    <xf numFmtId="0" fontId="62" fillId="30" borderId="66" xfId="256" applyFont="1" applyFill="1" applyBorder="1" applyAlignment="1">
      <alignment horizontal="center" vertical="center" wrapText="1"/>
    </xf>
    <xf numFmtId="0" fontId="62" fillId="30" borderId="12" xfId="256" applyFont="1" applyFill="1" applyBorder="1" applyAlignment="1">
      <alignment horizontal="center" vertical="center" wrapText="1"/>
    </xf>
    <xf numFmtId="0" fontId="62" fillId="30" borderId="13" xfId="256" applyFont="1" applyFill="1" applyBorder="1" applyAlignment="1">
      <alignment horizontal="center" vertical="center" wrapText="1"/>
    </xf>
    <xf numFmtId="0" fontId="62" fillId="30" borderId="14" xfId="256" applyFont="1" applyFill="1" applyBorder="1" applyAlignment="1">
      <alignment horizontal="center" vertical="center" wrapText="1"/>
    </xf>
    <xf numFmtId="0" fontId="64" fillId="0" borderId="30" xfId="233" applyFont="1" applyBorder="1" applyAlignment="1">
      <alignment horizontal="center"/>
    </xf>
    <xf numFmtId="0" fontId="64" fillId="0" borderId="67" xfId="233" applyFont="1" applyBorder="1" applyAlignment="1">
      <alignment horizontal="center"/>
    </xf>
    <xf numFmtId="164" fontId="65" fillId="39" borderId="68" xfId="260" applyFont="1" applyFill="1" applyBorder="1"/>
    <xf numFmtId="164" fontId="65" fillId="0" borderId="0" xfId="260" applyFont="1" applyFill="1" applyBorder="1"/>
    <xf numFmtId="10" fontId="64" fillId="0" borderId="0" xfId="258" applyNumberFormat="1" applyFont="1" applyAlignment="1"/>
    <xf numFmtId="0" fontId="64" fillId="0" borderId="45" xfId="233" applyFont="1" applyBorder="1" applyAlignment="1">
      <alignment horizontal="center"/>
    </xf>
    <xf numFmtId="0" fontId="64" fillId="0" borderId="69" xfId="233" applyFont="1" applyBorder="1" applyAlignment="1">
      <alignment horizontal="center"/>
    </xf>
    <xf numFmtId="164" fontId="65" fillId="39" borderId="70" xfId="260" applyFont="1" applyFill="1" applyBorder="1"/>
    <xf numFmtId="0" fontId="64" fillId="0" borderId="0" xfId="233" applyFont="1"/>
    <xf numFmtId="0" fontId="1" fillId="30" borderId="0" xfId="256" applyFill="1"/>
    <xf numFmtId="0" fontId="65" fillId="30" borderId="17" xfId="256" applyFont="1" applyFill="1" applyBorder="1" applyAlignment="1">
      <alignment horizontal="center"/>
    </xf>
    <xf numFmtId="0" fontId="1" fillId="40" borderId="0" xfId="256" applyFill="1"/>
    <xf numFmtId="0" fontId="65" fillId="30" borderId="17" xfId="267" applyFont="1" applyFill="1" applyBorder="1" applyAlignment="1">
      <alignment horizontal="center" vertical="center"/>
    </xf>
    <xf numFmtId="0" fontId="1" fillId="0" borderId="17" xfId="267" applyBorder="1"/>
    <xf numFmtId="0" fontId="1" fillId="0" borderId="17" xfId="267" applyBorder="1" applyAlignment="1">
      <alignment horizontal="center"/>
    </xf>
    <xf numFmtId="0" fontId="0" fillId="0" borderId="17" xfId="267" applyFont="1" applyBorder="1"/>
    <xf numFmtId="164" fontId="1" fillId="0" borderId="17" xfId="267" applyNumberFormat="1" applyBorder="1"/>
    <xf numFmtId="9" fontId="1" fillId="0" borderId="17" xfId="267" applyNumberFormat="1" applyBorder="1" applyAlignment="1">
      <alignment horizontal="center"/>
    </xf>
    <xf numFmtId="9" fontId="1" fillId="0" borderId="17" xfId="267" applyNumberFormat="1" applyBorder="1"/>
    <xf numFmtId="9" fontId="0" fillId="0" borderId="17" xfId="267" applyNumberFormat="1" applyFont="1" applyBorder="1"/>
    <xf numFmtId="10" fontId="1" fillId="0" borderId="17" xfId="267" applyNumberFormat="1" applyBorder="1"/>
    <xf numFmtId="10" fontId="1" fillId="0" borderId="17" xfId="267" applyNumberFormat="1" applyBorder="1" applyAlignment="1">
      <alignment horizontal="center"/>
    </xf>
    <xf numFmtId="10" fontId="0" fillId="0" borderId="17" xfId="267" applyNumberFormat="1" applyFont="1" applyBorder="1"/>
    <xf numFmtId="10" fontId="1" fillId="0" borderId="17" xfId="258" applyNumberFormat="1" applyFill="1" applyBorder="1" applyAlignment="1">
      <alignment horizontal="center"/>
    </xf>
    <xf numFmtId="213" fontId="1" fillId="0" borderId="17" xfId="258" applyNumberFormat="1" applyFill="1" applyBorder="1" applyAlignment="1">
      <alignment horizontal="center"/>
    </xf>
    <xf numFmtId="0" fontId="65" fillId="0" borderId="17" xfId="267" applyFont="1" applyBorder="1"/>
    <xf numFmtId="0" fontId="1" fillId="0" borderId="17" xfId="267" applyBorder="1" applyAlignment="1">
      <alignment horizontal="center"/>
    </xf>
    <xf numFmtId="0" fontId="65" fillId="0" borderId="56" xfId="267" applyFont="1" applyBorder="1"/>
    <xf numFmtId="214" fontId="1" fillId="0" borderId="56" xfId="267" applyNumberFormat="1" applyBorder="1" applyAlignment="1">
      <alignment horizontal="center" vertical="center"/>
    </xf>
    <xf numFmtId="214" fontId="1" fillId="0" borderId="0" xfId="267" applyNumberFormat="1" applyAlignment="1">
      <alignment vertical="center"/>
    </xf>
    <xf numFmtId="0" fontId="1" fillId="0" borderId="0" xfId="267" applyAlignment="1">
      <alignment vertical="center"/>
    </xf>
    <xf numFmtId="214" fontId="1" fillId="0" borderId="56" xfId="267" applyNumberFormat="1" applyBorder="1" applyAlignment="1">
      <alignment vertical="center"/>
    </xf>
    <xf numFmtId="0" fontId="65" fillId="30" borderId="71" xfId="267" applyFont="1" applyFill="1" applyBorder="1"/>
    <xf numFmtId="10" fontId="65" fillId="30" borderId="72" xfId="267" applyNumberFormat="1" applyFont="1" applyFill="1" applyBorder="1" applyAlignment="1">
      <alignment horizontal="center"/>
    </xf>
    <xf numFmtId="10" fontId="1" fillId="0" borderId="0" xfId="267" applyNumberFormat="1"/>
    <xf numFmtId="0" fontId="1" fillId="0" borderId="0" xfId="267"/>
    <xf numFmtId="0" fontId="54" fillId="0" borderId="0" xfId="256" applyFont="1"/>
    <xf numFmtId="0" fontId="66" fillId="30" borderId="64" xfId="256" applyFont="1" applyFill="1" applyBorder="1" applyAlignment="1">
      <alignment horizontal="center" vertical="center" wrapText="1"/>
    </xf>
    <xf numFmtId="0" fontId="66" fillId="30" borderId="53" xfId="256" applyFont="1" applyFill="1" applyBorder="1" applyAlignment="1">
      <alignment horizontal="center" vertical="center" wrapText="1"/>
    </xf>
    <xf numFmtId="0" fontId="66" fillId="30" borderId="65" xfId="256" applyFont="1" applyFill="1" applyBorder="1" applyAlignment="1">
      <alignment horizontal="center" vertical="center" wrapText="1"/>
    </xf>
    <xf numFmtId="0" fontId="54" fillId="0" borderId="0" xfId="256" applyFont="1" applyAlignment="1">
      <alignment vertical="center" wrapText="1"/>
    </xf>
    <xf numFmtId="0" fontId="66" fillId="30" borderId="11" xfId="256" applyFont="1" applyFill="1" applyBorder="1" applyAlignment="1">
      <alignment horizontal="center" vertical="center" wrapText="1"/>
    </xf>
    <xf numFmtId="0" fontId="66" fillId="30" borderId="0" xfId="256" applyFont="1" applyFill="1" applyAlignment="1">
      <alignment horizontal="center" vertical="center" wrapText="1"/>
    </xf>
    <xf numFmtId="0" fontId="66" fillId="30" borderId="66" xfId="256" applyFont="1" applyFill="1" applyBorder="1" applyAlignment="1">
      <alignment horizontal="center" vertical="center" wrapText="1"/>
    </xf>
    <xf numFmtId="0" fontId="66" fillId="30" borderId="12" xfId="256" applyFont="1" applyFill="1" applyBorder="1" applyAlignment="1">
      <alignment horizontal="center" vertical="center" wrapText="1"/>
    </xf>
    <xf numFmtId="0" fontId="66" fillId="30" borderId="13" xfId="256" applyFont="1" applyFill="1" applyBorder="1" applyAlignment="1">
      <alignment horizontal="center" vertical="center" wrapText="1"/>
    </xf>
    <xf numFmtId="0" fontId="66" fillId="30" borderId="14" xfId="256" applyFont="1" applyFill="1" applyBorder="1" applyAlignment="1">
      <alignment horizontal="center" vertical="center" wrapText="1"/>
    </xf>
    <xf numFmtId="0" fontId="67" fillId="30" borderId="73" xfId="256" applyFont="1" applyFill="1" applyBorder="1" applyAlignment="1">
      <alignment horizontal="center" vertical="center"/>
    </xf>
    <xf numFmtId="0" fontId="50" fillId="30" borderId="74" xfId="256" applyFont="1" applyFill="1" applyBorder="1" applyAlignment="1">
      <alignment horizontal="center" vertical="center"/>
    </xf>
    <xf numFmtId="0" fontId="50" fillId="30" borderId="53" xfId="256" applyFont="1" applyFill="1" applyBorder="1" applyAlignment="1">
      <alignment horizontal="center" vertical="center"/>
    </xf>
    <xf numFmtId="0" fontId="50" fillId="30" borderId="75" xfId="256" applyFont="1" applyFill="1" applyBorder="1" applyAlignment="1">
      <alignment horizontal="center" vertical="center" wrapText="1"/>
    </xf>
    <xf numFmtId="0" fontId="50" fillId="30" borderId="74" xfId="256" applyFont="1" applyFill="1" applyBorder="1" applyAlignment="1">
      <alignment horizontal="center" vertical="center" wrapText="1"/>
    </xf>
    <xf numFmtId="0" fontId="54" fillId="0" borderId="30" xfId="256" applyFont="1" applyBorder="1" applyAlignment="1">
      <alignment horizontal="center"/>
    </xf>
    <xf numFmtId="0" fontId="47" fillId="0" borderId="27" xfId="256" applyFont="1" applyBorder="1" applyAlignment="1">
      <alignment vertical="center"/>
    </xf>
    <xf numFmtId="0" fontId="47" fillId="0" borderId="27" xfId="256" applyFont="1" applyBorder="1" applyAlignment="1">
      <alignment horizontal="center" vertical="center"/>
    </xf>
    <xf numFmtId="164" fontId="54" fillId="0" borderId="27" xfId="260" applyFont="1" applyFill="1" applyBorder="1" applyAlignment="1">
      <alignment vertical="center"/>
    </xf>
    <xf numFmtId="10" fontId="54" fillId="0" borderId="17" xfId="258" applyNumberFormat="1" applyFont="1" applyFill="1" applyBorder="1" applyAlignment="1">
      <alignment horizontal="center" vertical="center"/>
    </xf>
    <xf numFmtId="164" fontId="54" fillId="0" borderId="33" xfId="260" applyFont="1" applyFill="1" applyBorder="1" applyAlignment="1">
      <alignment vertical="center"/>
    </xf>
    <xf numFmtId="167" fontId="54" fillId="0" borderId="0" xfId="256" applyNumberFormat="1" applyFont="1"/>
    <xf numFmtId="0" fontId="54" fillId="0" borderId="31" xfId="256" applyFont="1" applyBorder="1" applyAlignment="1">
      <alignment horizontal="center"/>
    </xf>
    <xf numFmtId="0" fontId="47" fillId="0" borderId="17" xfId="256" applyFont="1" applyBorder="1" applyAlignment="1">
      <alignment vertical="center"/>
    </xf>
    <xf numFmtId="164" fontId="54" fillId="0" borderId="17" xfId="260" applyFont="1" applyFill="1" applyBorder="1" applyAlignment="1">
      <alignment vertical="center"/>
    </xf>
    <xf numFmtId="164" fontId="54" fillId="0" borderId="28" xfId="260" applyFont="1" applyFill="1" applyBorder="1" applyAlignment="1">
      <alignment vertical="center"/>
    </xf>
    <xf numFmtId="164" fontId="54" fillId="0" borderId="17" xfId="260" applyFont="1" applyBorder="1" applyAlignment="1" applyProtection="1">
      <alignment vertical="center"/>
      <protection hidden="1"/>
    </xf>
    <xf numFmtId="0" fontId="54" fillId="0" borderId="31" xfId="256" applyFont="1" applyBorder="1" applyAlignment="1" applyProtection="1">
      <alignment horizontal="center"/>
      <protection hidden="1"/>
    </xf>
    <xf numFmtId="10" fontId="54" fillId="0" borderId="17" xfId="258" applyNumberFormat="1" applyFont="1" applyBorder="1" applyAlignment="1" applyProtection="1">
      <alignment horizontal="center" vertical="center"/>
      <protection hidden="1"/>
    </xf>
    <xf numFmtId="164" fontId="54" fillId="0" borderId="28" xfId="260" applyFont="1" applyBorder="1" applyAlignment="1" applyProtection="1">
      <alignment vertical="center"/>
      <protection hidden="1"/>
    </xf>
    <xf numFmtId="0" fontId="54" fillId="0" borderId="45" xfId="256" applyFont="1" applyBorder="1" applyAlignment="1" applyProtection="1">
      <alignment horizontal="center"/>
      <protection hidden="1"/>
    </xf>
    <xf numFmtId="0" fontId="54" fillId="0" borderId="18" xfId="256" applyFont="1" applyBorder="1" applyAlignment="1" applyProtection="1">
      <alignment vertical="center"/>
      <protection hidden="1"/>
    </xf>
    <xf numFmtId="0" fontId="47" fillId="0" borderId="18" xfId="256" applyFont="1" applyBorder="1" applyAlignment="1" applyProtection="1">
      <alignment horizontal="center" wrapText="1"/>
      <protection hidden="1"/>
    </xf>
    <xf numFmtId="164" fontId="54" fillId="0" borderId="18" xfId="260" applyFont="1" applyBorder="1" applyAlignment="1" applyProtection="1">
      <alignment vertical="center"/>
      <protection hidden="1"/>
    </xf>
    <xf numFmtId="44" fontId="54" fillId="0" borderId="18" xfId="256" applyNumberFormat="1" applyFont="1" applyBorder="1" applyProtection="1">
      <protection hidden="1"/>
    </xf>
    <xf numFmtId="0" fontId="54" fillId="0" borderId="18" xfId="256" applyFont="1" applyBorder="1" applyProtection="1">
      <protection hidden="1"/>
    </xf>
    <xf numFmtId="44" fontId="54" fillId="0" borderId="40" xfId="256" applyNumberFormat="1" applyFont="1" applyBorder="1" applyProtection="1">
      <protection hidden="1"/>
    </xf>
    <xf numFmtId="0" fontId="47" fillId="0" borderId="23" xfId="256" applyFont="1" applyBorder="1" applyAlignment="1" applyProtection="1">
      <alignment horizontal="center" vertical="center"/>
      <protection hidden="1"/>
    </xf>
    <xf numFmtId="164" fontId="54" fillId="0" borderId="23" xfId="260" applyFont="1" applyBorder="1" applyAlignment="1" applyProtection="1">
      <alignment vertical="center"/>
      <protection hidden="1"/>
    </xf>
    <xf numFmtId="44" fontId="54" fillId="0" borderId="0" xfId="256" applyNumberFormat="1" applyFont="1"/>
    <xf numFmtId="215" fontId="65" fillId="0" borderId="64" xfId="268" applyFont="1" applyBorder="1"/>
    <xf numFmtId="215" fontId="0" fillId="0" borderId="53" xfId="268" applyFont="1" applyBorder="1"/>
    <xf numFmtId="215" fontId="0" fillId="0" borderId="53" xfId="268" applyFont="1" applyBorder="1" applyAlignment="1">
      <alignment horizontal="center" vertical="center"/>
    </xf>
    <xf numFmtId="215" fontId="0" fillId="0" borderId="53" xfId="268" applyFont="1" applyBorder="1" applyAlignment="1">
      <alignment horizontal="right"/>
    </xf>
    <xf numFmtId="215" fontId="0" fillId="0" borderId="65" xfId="268" applyFont="1" applyBorder="1" applyAlignment="1">
      <alignment horizontal="center"/>
    </xf>
    <xf numFmtId="215" fontId="0" fillId="0" borderId="0" xfId="268" applyFont="1"/>
    <xf numFmtId="43" fontId="0" fillId="0" borderId="0" xfId="265" applyFont="1" applyAlignment="1">
      <alignment horizontal="center"/>
    </xf>
    <xf numFmtId="215" fontId="65" fillId="0" borderId="11" xfId="268" applyFont="1" applyBorder="1"/>
    <xf numFmtId="215" fontId="0" fillId="0" borderId="0" xfId="268" applyFont="1" applyAlignment="1">
      <alignment horizontal="center" vertical="center"/>
    </xf>
    <xf numFmtId="215" fontId="0" fillId="0" borderId="0" xfId="268" applyFont="1" applyAlignment="1">
      <alignment horizontal="right"/>
    </xf>
    <xf numFmtId="215" fontId="0" fillId="0" borderId="66" xfId="268" applyFont="1" applyBorder="1" applyAlignment="1">
      <alignment horizontal="center"/>
    </xf>
    <xf numFmtId="10" fontId="0" fillId="40" borderId="17" xfId="265" applyNumberFormat="1" applyFont="1" applyFill="1" applyBorder="1" applyAlignment="1">
      <alignment horizontal="center"/>
    </xf>
    <xf numFmtId="215" fontId="68" fillId="0" borderId="11" xfId="268" applyFont="1" applyBorder="1"/>
    <xf numFmtId="215" fontId="0" fillId="0" borderId="0" xfId="268" applyFont="1" applyAlignment="1">
      <alignment horizontal="center"/>
    </xf>
    <xf numFmtId="43" fontId="0" fillId="0" borderId="0" xfId="265" applyFont="1"/>
    <xf numFmtId="215" fontId="0" fillId="0" borderId="11" xfId="268" applyFont="1" applyBorder="1"/>
    <xf numFmtId="14" fontId="69" fillId="0" borderId="76" xfId="268" applyNumberFormat="1" applyFont="1" applyBorder="1" applyAlignment="1">
      <alignment horizontal="left" vertical="center" wrapText="1"/>
    </xf>
    <xf numFmtId="10" fontId="0" fillId="0" borderId="17" xfId="268" applyNumberFormat="1" applyFont="1" applyBorder="1" applyAlignment="1">
      <alignment horizontal="center"/>
    </xf>
    <xf numFmtId="2" fontId="61" fillId="25" borderId="28" xfId="268" applyNumberFormat="1" applyFont="1" applyFill="1" applyBorder="1" applyAlignment="1">
      <alignment horizontal="center"/>
    </xf>
    <xf numFmtId="14" fontId="1" fillId="0" borderId="47" xfId="268" applyNumberFormat="1" applyBorder="1" applyAlignment="1">
      <alignment horizontal="left" vertical="center" wrapText="1"/>
    </xf>
    <xf numFmtId="216" fontId="0" fillId="25" borderId="17" xfId="268" applyNumberFormat="1" applyFont="1" applyFill="1" applyBorder="1" applyAlignment="1">
      <alignment horizontal="center"/>
    </xf>
    <xf numFmtId="9" fontId="61" fillId="40" borderId="28" xfId="268" applyNumberFormat="1" applyFont="1" applyFill="1" applyBorder="1" applyAlignment="1">
      <alignment horizontal="center"/>
    </xf>
    <xf numFmtId="217" fontId="0" fillId="0" borderId="28" xfId="268" applyNumberFormat="1" applyFont="1" applyBorder="1" applyAlignment="1">
      <alignment horizontal="center"/>
    </xf>
    <xf numFmtId="14" fontId="1" fillId="0" borderId="48" xfId="268" applyNumberFormat="1" applyBorder="1" applyAlignment="1">
      <alignment horizontal="left" vertical="center" wrapText="1"/>
    </xf>
    <xf numFmtId="215" fontId="0" fillId="0" borderId="66" xfId="268" applyFont="1" applyBorder="1"/>
    <xf numFmtId="213" fontId="1" fillId="26" borderId="0" xfId="258" applyNumberFormat="1" applyFont="1" applyFill="1"/>
    <xf numFmtId="215" fontId="70" fillId="39" borderId="31" xfId="268" applyFont="1" applyFill="1" applyBorder="1" applyAlignment="1">
      <alignment horizontal="center" vertical="center" wrapText="1"/>
    </xf>
    <xf numFmtId="215" fontId="70" fillId="39" borderId="17" xfId="268" applyFont="1" applyFill="1" applyBorder="1" applyAlignment="1">
      <alignment horizontal="center" vertical="center" wrapText="1"/>
    </xf>
    <xf numFmtId="2" fontId="70" fillId="39" borderId="17" xfId="268" applyNumberFormat="1" applyFont="1" applyFill="1" applyBorder="1" applyAlignment="1">
      <alignment horizontal="center" vertical="center" wrapText="1"/>
    </xf>
    <xf numFmtId="215" fontId="70" fillId="39" borderId="28" xfId="268" applyFont="1" applyFill="1" applyBorder="1" applyAlignment="1">
      <alignment horizontal="center" vertical="center" wrapText="1"/>
    </xf>
    <xf numFmtId="215" fontId="61" fillId="0" borderId="31" xfId="268" applyFont="1" applyBorder="1"/>
    <xf numFmtId="218" fontId="61" fillId="0" borderId="17" xfId="268" applyNumberFormat="1" applyFont="1" applyBorder="1" applyAlignment="1">
      <alignment horizontal="center" vertical="center"/>
    </xf>
    <xf numFmtId="0" fontId="61" fillId="25" borderId="17" xfId="268" applyNumberFormat="1" applyFont="1" applyFill="1" applyBorder="1" applyAlignment="1">
      <alignment horizontal="center" vertical="center"/>
    </xf>
    <xf numFmtId="9" fontId="61" fillId="25" borderId="17" xfId="258" applyFont="1" applyFill="1" applyBorder="1" applyAlignment="1">
      <alignment horizontal="center" vertical="center"/>
    </xf>
    <xf numFmtId="2" fontId="61" fillId="0" borderId="17" xfId="268" applyNumberFormat="1" applyFont="1" applyBorder="1" applyAlignment="1">
      <alignment horizontal="center" vertical="center"/>
    </xf>
    <xf numFmtId="219" fontId="61" fillId="0" borderId="28" xfId="268" applyNumberFormat="1" applyFont="1" applyBorder="1" applyAlignment="1">
      <alignment horizontal="center" vertical="center"/>
    </xf>
    <xf numFmtId="44" fontId="0" fillId="0" borderId="0" xfId="261" applyFont="1"/>
    <xf numFmtId="215" fontId="61" fillId="0" borderId="31" xfId="268" applyFont="1" applyBorder="1" applyAlignment="1">
      <alignment vertical="center"/>
    </xf>
    <xf numFmtId="215" fontId="0" fillId="0" borderId="0" xfId="268" applyFont="1" applyAlignment="1">
      <alignment vertical="center"/>
    </xf>
    <xf numFmtId="215" fontId="61" fillId="0" borderId="19" xfId="268" applyFont="1" applyBorder="1"/>
    <xf numFmtId="215" fontId="61" fillId="0" borderId="20" xfId="268" applyFont="1" applyBorder="1"/>
    <xf numFmtId="215" fontId="61" fillId="0" borderId="20" xfId="268" applyFont="1" applyBorder="1" applyAlignment="1">
      <alignment horizontal="center" vertical="center"/>
    </xf>
    <xf numFmtId="2" fontId="61" fillId="0" borderId="21" xfId="268" applyNumberFormat="1" applyFont="1" applyBorder="1" applyAlignment="1">
      <alignment horizontal="center"/>
    </xf>
    <xf numFmtId="219" fontId="70" fillId="0" borderId="28" xfId="268" applyNumberFormat="1" applyFont="1" applyBorder="1" applyAlignment="1">
      <alignment horizontal="center"/>
    </xf>
    <xf numFmtId="215" fontId="70" fillId="0" borderId="19" xfId="268" applyFont="1" applyBorder="1"/>
    <xf numFmtId="215" fontId="61" fillId="0" borderId="11" xfId="268" applyFont="1" applyBorder="1"/>
    <xf numFmtId="215" fontId="61" fillId="0" borderId="0" xfId="268" applyFont="1"/>
    <xf numFmtId="215" fontId="61" fillId="0" borderId="0" xfId="268" applyFont="1" applyAlignment="1">
      <alignment horizontal="center" vertical="center"/>
    </xf>
    <xf numFmtId="2" fontId="61" fillId="0" borderId="0" xfId="268" applyNumberFormat="1" applyFont="1" applyAlignment="1">
      <alignment horizontal="center"/>
    </xf>
    <xf numFmtId="215" fontId="70" fillId="0" borderId="66" xfId="268" applyFont="1" applyBorder="1"/>
    <xf numFmtId="215" fontId="61" fillId="0" borderId="31" xfId="268" applyFont="1" applyBorder="1" applyAlignment="1">
      <alignment wrapText="1"/>
    </xf>
    <xf numFmtId="189" fontId="0" fillId="0" borderId="0" xfId="268" applyNumberFormat="1" applyFont="1"/>
    <xf numFmtId="2" fontId="61" fillId="0" borderId="17" xfId="268" applyNumberFormat="1" applyFont="1" applyBorder="1" applyAlignment="1">
      <alignment horizontal="center"/>
    </xf>
    <xf numFmtId="215" fontId="61" fillId="0" borderId="17" xfId="268" applyFont="1" applyBorder="1"/>
    <xf numFmtId="218" fontId="61" fillId="0" borderId="17" xfId="268" applyNumberFormat="1" applyFont="1" applyBorder="1" applyAlignment="1">
      <alignment horizontal="center"/>
    </xf>
    <xf numFmtId="0" fontId="61" fillId="25" borderId="17" xfId="268" applyNumberFormat="1" applyFont="1" applyFill="1" applyBorder="1" applyAlignment="1">
      <alignment horizontal="center"/>
    </xf>
    <xf numFmtId="218" fontId="61" fillId="0" borderId="20" xfId="268" applyNumberFormat="1" applyFont="1" applyBorder="1" applyAlignment="1">
      <alignment horizontal="center"/>
    </xf>
    <xf numFmtId="218" fontId="61" fillId="25" borderId="20" xfId="268" applyNumberFormat="1" applyFont="1" applyFill="1" applyBorder="1" applyAlignment="1">
      <alignment horizontal="center"/>
    </xf>
    <xf numFmtId="2" fontId="61" fillId="25" borderId="20" xfId="268" applyNumberFormat="1" applyFont="1" applyFill="1" applyBorder="1" applyAlignment="1">
      <alignment horizontal="center" vertical="center"/>
    </xf>
    <xf numFmtId="219" fontId="61" fillId="0" borderId="63" xfId="268" applyNumberFormat="1" applyFont="1" applyBorder="1" applyAlignment="1">
      <alignment horizontal="center" vertical="center"/>
    </xf>
    <xf numFmtId="9" fontId="61" fillId="0" borderId="21" xfId="268" applyNumberFormat="1" applyFont="1" applyBorder="1" applyAlignment="1">
      <alignment horizontal="center"/>
    </xf>
    <xf numFmtId="215" fontId="70" fillId="0" borderId="11" xfId="268" applyFont="1" applyBorder="1"/>
    <xf numFmtId="9" fontId="61" fillId="0" borderId="0" xfId="268" applyNumberFormat="1" applyFont="1" applyAlignment="1">
      <alignment horizontal="center"/>
    </xf>
    <xf numFmtId="219" fontId="70" fillId="0" borderId="66" xfId="268" applyNumberFormat="1" applyFont="1" applyBorder="1" applyAlignment="1">
      <alignment horizontal="center"/>
    </xf>
    <xf numFmtId="175" fontId="61" fillId="0" borderId="17" xfId="268" applyNumberFormat="1" applyFont="1" applyBorder="1" applyAlignment="1">
      <alignment horizontal="center"/>
    </xf>
    <xf numFmtId="10" fontId="61" fillId="0" borderId="17" xfId="258" applyNumberFormat="1" applyFont="1" applyBorder="1" applyAlignment="1">
      <alignment horizontal="center" vertical="center"/>
    </xf>
    <xf numFmtId="175" fontId="61" fillId="0" borderId="17" xfId="268" applyNumberFormat="1" applyFont="1" applyBorder="1" applyAlignment="1">
      <alignment horizontal="center" vertical="center"/>
    </xf>
    <xf numFmtId="220" fontId="61" fillId="0" borderId="17" xfId="268" applyNumberFormat="1" applyFont="1" applyBorder="1" applyAlignment="1">
      <alignment horizontal="center"/>
    </xf>
    <xf numFmtId="220" fontId="61" fillId="0" borderId="20" xfId="268" applyNumberFormat="1" applyFont="1" applyBorder="1"/>
    <xf numFmtId="175" fontId="70" fillId="0" borderId="28" xfId="268" applyNumberFormat="1" applyFont="1" applyBorder="1" applyAlignment="1">
      <alignment horizontal="center"/>
    </xf>
    <xf numFmtId="175" fontId="70" fillId="0" borderId="66" xfId="268" applyNumberFormat="1" applyFont="1" applyBorder="1" applyAlignment="1">
      <alignment horizontal="center"/>
    </xf>
    <xf numFmtId="2" fontId="61" fillId="25" borderId="17" xfId="258" applyNumberFormat="1" applyFont="1" applyFill="1" applyBorder="1" applyAlignment="1">
      <alignment horizontal="center" vertical="center"/>
    </xf>
    <xf numFmtId="221" fontId="0" fillId="0" borderId="0" xfId="268" applyNumberFormat="1" applyFont="1"/>
    <xf numFmtId="2" fontId="61" fillId="0" borderId="17" xfId="258" applyNumberFormat="1" applyFont="1" applyBorder="1" applyAlignment="1">
      <alignment horizontal="center" vertical="center"/>
    </xf>
    <xf numFmtId="215" fontId="61" fillId="0" borderId="66" xfId="268" applyFont="1" applyBorder="1"/>
    <xf numFmtId="10" fontId="70" fillId="0" borderId="20" xfId="268" applyNumberFormat="1" applyFont="1" applyBorder="1" applyAlignment="1">
      <alignment horizontal="center"/>
    </xf>
    <xf numFmtId="221" fontId="70" fillId="25" borderId="52" xfId="268" applyNumberFormat="1" applyFont="1" applyFill="1" applyBorder="1"/>
    <xf numFmtId="10" fontId="70" fillId="0" borderId="0" xfId="268" applyNumberFormat="1" applyFont="1" applyAlignment="1">
      <alignment horizontal="center"/>
    </xf>
    <xf numFmtId="221" fontId="48" fillId="0" borderId="52" xfId="268" applyNumberFormat="1" applyFont="1" applyBorder="1"/>
    <xf numFmtId="10" fontId="71" fillId="41" borderId="20" xfId="268" applyNumberFormat="1" applyFont="1" applyFill="1" applyBorder="1" applyAlignment="1">
      <alignment horizontal="center"/>
    </xf>
    <xf numFmtId="221" fontId="70" fillId="0" borderId="52" xfId="268" applyNumberFormat="1" applyFont="1" applyBorder="1"/>
    <xf numFmtId="212" fontId="1" fillId="0" borderId="0" xfId="265" applyNumberFormat="1" applyFont="1"/>
    <xf numFmtId="215" fontId="70" fillId="0" borderId="12" xfId="268" applyFont="1" applyBorder="1"/>
    <xf numFmtId="215" fontId="61" fillId="0" borderId="13" xfId="268" applyFont="1" applyBorder="1"/>
    <xf numFmtId="215" fontId="61" fillId="0" borderId="13" xfId="268" applyFont="1" applyBorder="1" applyAlignment="1">
      <alignment horizontal="center" vertical="center"/>
    </xf>
    <xf numFmtId="215" fontId="0" fillId="0" borderId="13" xfId="268" applyFont="1" applyBorder="1" applyAlignment="1">
      <alignment horizontal="center"/>
    </xf>
    <xf numFmtId="215" fontId="70" fillId="0" borderId="14" xfId="268" applyFont="1" applyBorder="1"/>
    <xf numFmtId="215" fontId="70" fillId="0" borderId="0" xfId="268" applyFont="1"/>
    <xf numFmtId="186" fontId="43" fillId="0" borderId="42" xfId="73" applyNumberFormat="1" applyFont="1" applyFill="1" applyBorder="1" applyAlignment="1">
      <alignment vertical="center"/>
    </xf>
    <xf numFmtId="44" fontId="51" fillId="0" borderId="0" xfId="255" applyFont="1" applyAlignment="1">
      <alignment vertical="center"/>
    </xf>
    <xf numFmtId="166" fontId="43" fillId="0" borderId="17" xfId="62" applyNumberFormat="1" applyFont="1" applyFill="1" applyBorder="1" applyAlignment="1">
      <alignment horizontal="right" vertical="center" wrapText="1"/>
    </xf>
    <xf numFmtId="166" fontId="43" fillId="0" borderId="28" xfId="62" applyNumberFormat="1" applyFont="1" applyFill="1" applyBorder="1" applyAlignment="1">
      <alignment horizontal="right" vertical="center" wrapText="1"/>
    </xf>
    <xf numFmtId="44" fontId="43" fillId="0" borderId="0" xfId="255" applyFont="1"/>
  </cellXfs>
  <cellStyles count="26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9" xr:uid="{7463954D-059A-4D99-BF62-7C18350AA32E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5" xr:uid="{1FEC4081-3787-4800-9C5C-96DC1977CBA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264" xr:uid="{1C584208-0500-4BB1-A587-6D09AF8C29C2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57" xr:uid="{86213ED1-EF7B-432C-A3F1-E79A00511DFE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[0] 2" xfId="266" xr:uid="{E5D73CEB-B49B-4294-96B2-1018590620B3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9095B88F-CDDC-47A1-87B5-4D813DCAB1E6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3 2" xfId="261" xr:uid="{5E507857-9B39-4C75-B425-56815E150387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6" xr:uid="{1D9FA572-0949-4D1F-BBFB-BCE4C57BCD2E}"/>
    <cellStyle name="Normal 15" xfId="263" xr:uid="{85BFC1E4-C5A2-4003-ABEC-125D37F1BCFE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14" xfId="268" xr:uid="{E63854A9-53C8-41F3-9457-225BD9FD22F5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0" xfId="262" xr:uid="{66001DEF-D728-4781-A834-10D673294A16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4 3" xfId="267" xr:uid="{69BD878B-C1DF-4CB6-8FCA-AF40E0DDC933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aje 6" xfId="258" xr:uid="{53DD6DDA-991C-4FB7-880E-609732478AD4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4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28" Type="http://schemas.openxmlformats.org/officeDocument/2006/relationships/externalLink" Target="externalLinks/externalLink12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134" Type="http://schemas.openxmlformats.org/officeDocument/2006/relationships/customXml" Target="../customXml/item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129" Type="http://schemas.openxmlformats.org/officeDocument/2006/relationships/theme" Target="theme/theme1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0" Type="http://schemas.openxmlformats.org/officeDocument/2006/relationships/styles" Target="styles.xml"/><Relationship Id="rId135" Type="http://schemas.openxmlformats.org/officeDocument/2006/relationships/customXml" Target="../customXml/item3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sharedStrings" Target="sharedStrings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calcChain" Target="calcChain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26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619125</xdr:colOff>
      <xdr:row>1</xdr:row>
      <xdr:rowOff>133350</xdr:rowOff>
    </xdr:from>
    <xdr:to>
      <xdr:col>10</xdr:col>
      <xdr:colOff>1086135</xdr:colOff>
      <xdr:row>4</xdr:row>
      <xdr:rowOff>76300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518AFE-C52E-99D0-D777-35921554B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1900" y="352425"/>
          <a:ext cx="2038635" cy="7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619125</xdr:colOff>
      <xdr:row>1</xdr:row>
      <xdr:rowOff>133350</xdr:rowOff>
    </xdr:from>
    <xdr:to>
      <xdr:col>10</xdr:col>
      <xdr:colOff>1086135</xdr:colOff>
      <xdr:row>4</xdr:row>
      <xdr:rowOff>76300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F0140A-383C-43F6-A92B-B72CF5E24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1900" y="352425"/>
          <a:ext cx="2038635" cy="714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2</xdr:row>
          <xdr:rowOff>68580</xdr:rowOff>
        </xdr:from>
        <xdr:to>
          <xdr:col>7</xdr:col>
          <xdr:colOff>1089660</xdr:colOff>
          <xdr:row>4</xdr:row>
          <xdr:rowOff>106680</xdr:rowOff>
        </xdr:to>
        <xdr:sp macro="" textlink="">
          <xdr:nvSpPr>
            <xdr:cNvPr id="4097" name="ajustar_au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FBEF51DC-B806-40C4-B4D7-4A096A30C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765</xdr:row>
      <xdr:rowOff>0</xdr:rowOff>
    </xdr:from>
    <xdr:to>
      <xdr:col>7</xdr:col>
      <xdr:colOff>304800</xdr:colOff>
      <xdr:row>818</xdr:row>
      <xdr:rowOff>82920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B7E9227-1E09-4A4E-A3A9-846ED8499FA5}"/>
            </a:ext>
          </a:extLst>
        </xdr:cNvPr>
        <xdr:cNvSpPr>
          <a:spLocks noChangeAspect="1" noChangeArrowheads="1"/>
        </xdr:cNvSpPr>
      </xdr:nvSpPr>
      <xdr:spPr bwMode="auto">
        <a:xfrm>
          <a:off x="10439400" y="0"/>
          <a:ext cx="304800" cy="28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828</xdr:row>
      <xdr:rowOff>0</xdr:rowOff>
    </xdr:from>
    <xdr:to>
      <xdr:col>7</xdr:col>
      <xdr:colOff>304800</xdr:colOff>
      <xdr:row>828</xdr:row>
      <xdr:rowOff>304802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B1970286-1C7F-4815-880C-29CDA4F02549}"/>
            </a:ext>
          </a:extLst>
        </xdr:cNvPr>
        <xdr:cNvSpPr>
          <a:spLocks noChangeAspect="1" noChangeArrowheads="1"/>
        </xdr:cNvSpPr>
      </xdr:nvSpPr>
      <xdr:spPr bwMode="auto">
        <a:xfrm>
          <a:off x="10439400" y="2110740"/>
          <a:ext cx="304800" cy="304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816</xdr:row>
      <xdr:rowOff>0</xdr:rowOff>
    </xdr:from>
    <xdr:ext cx="304800" cy="300568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A3AE10C7-4B26-401C-9284-2043BE951B95}"/>
            </a:ext>
          </a:extLst>
        </xdr:cNvPr>
        <xdr:cNvSpPr>
          <a:spLocks noChangeAspect="1" noChangeArrowheads="1"/>
        </xdr:cNvSpPr>
      </xdr:nvSpPr>
      <xdr:spPr bwMode="auto">
        <a:xfrm>
          <a:off x="10439400" y="0"/>
          <a:ext cx="304800" cy="300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814</xdr:row>
      <xdr:rowOff>0</xdr:rowOff>
    </xdr:from>
    <xdr:to>
      <xdr:col>7</xdr:col>
      <xdr:colOff>304800</xdr:colOff>
      <xdr:row>818</xdr:row>
      <xdr:rowOff>104777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703034F-4355-42DE-81B8-A7F2A688FAF2}"/>
            </a:ext>
          </a:extLst>
        </xdr:cNvPr>
        <xdr:cNvSpPr>
          <a:spLocks noChangeAspect="1" noChangeArrowheads="1"/>
        </xdr:cNvSpPr>
      </xdr:nvSpPr>
      <xdr:spPr bwMode="auto">
        <a:xfrm>
          <a:off x="10439400" y="0"/>
          <a:ext cx="304800" cy="302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364067</xdr:colOff>
      <xdr:row>807</xdr:row>
      <xdr:rowOff>160867</xdr:rowOff>
    </xdr:from>
    <xdr:ext cx="306493" cy="361528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F1DDAE12-FF1E-42AF-979E-A4F84E67D75F}"/>
            </a:ext>
          </a:extLst>
        </xdr:cNvPr>
        <xdr:cNvSpPr>
          <a:spLocks noChangeAspect="1" noChangeArrowheads="1"/>
        </xdr:cNvSpPr>
      </xdr:nvSpPr>
      <xdr:spPr bwMode="auto">
        <a:xfrm>
          <a:off x="10803467" y="0"/>
          <a:ext cx="306493" cy="361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Q\Users\Users\usuario\Desktop\PRESUPUESTO%20OBRAS%20DE%20EMERGENCIA%20VERIFICADO%2019-07-2024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Q\Users\Users\usuario\Desktop\OBRAS%20DE%20EMERGENCIA\INTERVENTORIA\PPTO%20OFICIAL%20OBRAS%203%20PUNTOS%20VERSION%204%2026-07-2024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Q\Users\Users\usuario\Desktop\OBRAS%20DE%20EMERGENCIA\PRESUPUESTO\PRESUPUESTO%20VERIFICADO%20NCv3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Q\Users\Users\usuario\Desktop\OBRAS%20DE%20EMERGENCIA\PRESUPUESTO\Presupuesto%20obras%20de%20emergencia%20Nicolas.xlsx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NQ\Users\Public\Tarjetas%20profesionales\42.%20Obras%20de%20emergencia\Oficios\ENV\PER3852-075-2024%20Solicitud%20Adici&#243;n%20presupuestal%20y%20pr&#243;rroga%20(May%20y%20Men)\Anexo%206%20-%20Presupuesto%20Contrato%20N&#176;2%20V2.xlsx" TargetMode="External"/><Relationship Id="rId1" Type="http://schemas.openxmlformats.org/officeDocument/2006/relationships/externalLinkPath" Target="file:///\\BENQ\Users\Public\Tarjetas%20profesionales\42.%20Obras%20de%20emergencia\Oficios\ENV\PER3852-075-2024%20Solicitud%20Adici&#243;n%20presupuestal%20y%20pr&#243;rroga%20(May%20y%20Men)\Anexo%206%20-%20Presupuesto%20Contrato%20N&#176;2%20V2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Q\Users\Users\usuario\Downloads\PRESUPUESTO%20VERIFICADO%20alejandro%20(2).xlsx" TargetMode="External"/></Relationships>
</file>

<file path=xl/externalLinks/_rels/externalLink11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isa\Downloads\P.E.%20Ing%20Civiles%20Obras%20Emergencia%20Invitaci&#243;n%20+APU+AIU.xlsx" TargetMode="External"/><Relationship Id="rId1" Type="http://schemas.openxmlformats.org/officeDocument/2006/relationships/externalLinkPath" Target="file:///C:\Users\luisa\Downloads\P.E.%20Ing%20Civiles%20Obras%20Emergencia%20Invitaci&#243;n%20+APU+AIU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abriel\Proyectos\Pereira%20Colectores%20Quebrada%20Letras\Dise&#241;o%20y%20Chequeo%20Hidraulico%20Interceptor%20Q%20Letras%20V4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abriel\Proyectos\Pereira%20Colectores%20Quebrada%20Letras\Dise&#241;o%20y%20Chequeo%20Hidraulico%20Interceptor%20Q%20Letras%20V2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Division%20Tecnica%202015\Pereira%20Egoya\PRESUPUESTO\PRESUPUESTO%20PLUMON%20-%20copia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ivision%20Tecnica%202015\Pereira%20Egoya\PRESUPUESTO\ALCANTARILLADO\ALCANTARILL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EQUIPOS"/>
      <sheetName val="MANO DE OBRA"/>
      <sheetName val="TRANSPORTE"/>
      <sheetName val="//d.docs.live.net/a  aaInformac"/>
      <sheetName val="HISTORICOS FUEL OIL EXP"/>
      <sheetName val="ACTA No.1 "/>
      <sheetName val="AC2-AG96"/>
      <sheetName val="MURO PR25+221-235"/>
      <sheetName val="MURO PR25+261-267"/>
      <sheetName val="ACTA No.5"/>
      <sheetName val="ACTA MAYORES - GENERAL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Users\ANDRES FELIPE MUÑOZ\Down"/>
      <sheetName val="\E\a  aaInformación GRUPO 4\A M"/>
      <sheetName val="G.G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COSTOS UNITARIOS"/>
      <sheetName val="CA-2909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5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7"/>
      <sheetName val="\Users\LENOVO\Downloads\a  aaIn"/>
      <sheetName val="_aCCIDENTES_DE_1995___1996_x_25"/>
      <sheetName val="_aCCIDENTES_DE_1995___1996_x_23"/>
      <sheetName val="_aCCIDENTES_DE_1995___1996_x_24"/>
      <sheetName val="_aCCIDENTES_DE_1995___1996_x_26"/>
      <sheetName val="\Users\rosalym\Desktop\BALANCE "/>
      <sheetName val="MATERIAL"/>
      <sheetName val="_aCCIDENTES_DE_1995___1996_x_28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REQUISITOS INF INTERVENTORÍA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MAT"/>
      <sheetName val="HER"/>
      <sheetName val="PER"/>
      <sheetName val="TRANS"/>
      <sheetName val="_aCCIDENTES_DE_1995___1996_x_37"/>
      <sheetName val="_aCCIDENTES_DE_1995___1996_x_36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NALISIS RESUMIDOS"/>
      <sheetName val="EVA"/>
      <sheetName val="Program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82"/>
      <sheetName val="_aCCIDENTES_DE_1995___1996_x_81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Tabla CONPES 3714"/>
      <sheetName val="gp05"/>
      <sheetName val="GP06"/>
      <sheetName val="BASES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CCIDENTES%2520DE%25201995%2520"/>
      <sheetName val="APU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RBOL DE PROBLEMAS final"/>
      <sheetName val="IDENTIFICACION DEL PROBLEMA fin"/>
      <sheetName val="OBJETIVOS FINALES"/>
      <sheetName val="ESTRUCTURA DE PROYECTO"/>
      <sheetName val="OBJETIVOS ESPECIFICOS final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2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\\B1FE7578\aCCIDENTES DE 1995 -"/>
      <sheetName val="lista-precio-mat-equipos"/>
      <sheetName val="rendimiento"/>
      <sheetName val=""/>
      <sheetName val="CONS"/>
      <sheetName val="31"/>
      <sheetName val="SRN-005"/>
      <sheetName val="0."/>
      <sheetName val="Base_Mater"/>
      <sheetName val="20."/>
      <sheetName val="17."/>
      <sheetName val="11."/>
      <sheetName val="CUMPLIMIENTO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/>
      <sheetData sheetId="989"/>
      <sheetData sheetId="990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 refreshError="1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/>
      <sheetData sheetId="1834"/>
      <sheetData sheetId="1835"/>
      <sheetData sheetId="1836"/>
      <sheetData sheetId="1837"/>
      <sheetData sheetId="1838" refreshError="1"/>
      <sheetData sheetId="1839" refreshError="1"/>
      <sheetData sheetId="1840" refreshError="1"/>
      <sheetData sheetId="1841" refreshError="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 refreshError="1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LISTADO "/>
      <sheetName val="M.O."/>
      <sheetName val="REQUISITOS INF INTERVENTORÍA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HISTORICOS FUEL OIL EXP"/>
      <sheetName val="\Nuevos APU Córdoba\a  aaInform"/>
      <sheetName val="\E\Nuevos APU Córdoba\a  aaInfo"/>
      <sheetName val="\Users\JoseGabriel\Documents\Mi"/>
      <sheetName val="#REF"/>
      <sheetName val="\Users\rosalym\Desktop\BALANCE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CCIDENTES%2520DE%25201995%2520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"/>
      <sheetName val="ESTADO VÍA-CRIT.TECNICO"/>
      <sheetName val="Hoja2"/>
      <sheetName val="gp05"/>
      <sheetName val="GP06"/>
      <sheetName val="COSTOS UNITARIOS"/>
      <sheetName val="CA-2909"/>
      <sheetName val="\E\a  aaInformación GRUPO 4\A M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G.G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DIRECTAS AMO I"/>
      <sheetName val="DIRECTAS AMO II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RBOL DE PROBLEMAS final"/>
      <sheetName val="IDENTIFICACION DEL PROBLEMA fin"/>
      <sheetName val="OBJETIVOS FINALES"/>
      <sheetName val="ESTRUCTURA DE PROYECTO"/>
      <sheetName val="OBJETIVOS ESPECIFICOS final"/>
      <sheetName val="modf "/>
      <sheetName val="1,2 MC"/>
      <sheetName val="3,1 MC"/>
      <sheetName val="3,2 MC"/>
      <sheetName val="4,2 MC"/>
      <sheetName val="\Users\LENOVO\Downloads\a  aaIn"/>
      <sheetName val="INST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\\Gabrielaapabone\d copias\a  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0."/>
      <sheetName val="Base_Mater"/>
      <sheetName val="20."/>
      <sheetName val="17."/>
      <sheetName val="11."/>
      <sheetName val="PU (2)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G\I\AMV___no_borrar\PRESUPUES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G\I\AMV___no_borrar\PRESUPUES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 refreshError="1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 refreshError="1"/>
      <sheetData sheetId="2026" refreshError="1"/>
      <sheetData sheetId="2027" refreshError="1"/>
      <sheetData sheetId="2028" refreshError="1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 refreshError="1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precios-básicos200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ANEL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PRECIOS"/>
      <sheetName val="_MANTENIMIENTO RUTA 1001_MARZO "/>
      <sheetName val="_I_MANTENIMIENTO RUTA 1001_MARZ"/>
      <sheetName val="[a  aaInformación]__192_168__16"/>
      <sheetName val="[a  aaInformación]__192_168__15"/>
      <sheetName val="[a  aaInformación]__192_168__17"/>
      <sheetName val="[a  aaInformación]__192_168__18"/>
      <sheetName val="M_O_"/>
      <sheetName val="ITEMS"/>
      <sheetName val="//cceficiente_sharepoint_com/MA"/>
      <sheetName val="[a  aaInformación]__cceficie_49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\Users\LENOVO\Downloads\Users\A"/>
      <sheetName val="Res-Accide-10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[a  aaInformación]__cceficie_51"/>
      <sheetName val="[a  aaInformación]__cceficie_52"/>
      <sheetName val="[a  aaInformación]__cceficie_53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CrudosA"/>
      <sheetName val="casosWTI"/>
      <sheetName val="\\Pc2\amv1-real\MANTENIMIENTO R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Base Datos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210.2.2"/>
      <sheetName val="Itemes Renovación"/>
      <sheetName val="Estructura"/>
      <sheetName val="PREACTA"/>
      <sheetName val="General"/>
      <sheetName val="inst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  <sheetName val="CONTRATO"/>
      <sheetName val="LIQUIDA-NOMINA"/>
      <sheetName val="EMPRESA"/>
      <sheetName val="NOMINA 1"/>
      <sheetName val="Datos"/>
      <sheetName val="GENERALIDADES "/>
      <sheetName val="GRAFICOS"/>
      <sheetName val="PlanCero"/>
      <sheetName val="puente verdum"/>
      <sheetName val="ANALISIS"/>
      <sheetName val="Info-Portaf"/>
      <sheetName val="precios-básicos2002"/>
      <sheetName val="ITEMS"/>
      <sheetName val="1"/>
      <sheetName val="GENERALIDADES_"/>
      <sheetName val="ac2-ag96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/>
      <sheetData sheetId="6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items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INDICE"/>
      <sheetName val="DISTANCIA"/>
      <sheetName val="PERSONAL"/>
      <sheetName val="2103mar%20.xls"/>
      <sheetName val="ELECTRICO"/>
      <sheetName val="Vuelta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ManoDeObra"/>
      <sheetName val="tablas"/>
      <sheetName val="PARA INFORM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Ejecutado$"/>
      <sheetName val="Programado$"/>
      <sheetName val="Cálculo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basicos"/>
      <sheetName val="INV"/>
      <sheetName val="AASHT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ESTADO RED"/>
      <sheetName val="CARRETERAS"/>
      <sheetName val="GENERALIDADES 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 t="str">
            <v>INVÍAS - TERRITORIAL CORDOBA - GRUPO 3</v>
          </cell>
        </row>
      </sheetData>
      <sheetData sheetId="67"/>
      <sheetData sheetId="68"/>
      <sheetData sheetId="69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/>
      <sheetData sheetId="75"/>
      <sheetData sheetId="76">
        <row r="2">
          <cell r="A2" t="str">
            <v>INVÍAS - TERRITORIAL CORDOBA - GRUPO 3</v>
          </cell>
        </row>
      </sheetData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A2" t="str">
            <v>INVÍAS - TERRITORIAL CORDOBA - GRUPO 3</v>
          </cell>
        </row>
      </sheetData>
      <sheetData sheetId="111">
        <row r="2">
          <cell r="A2" t="str">
            <v>INVÍAS - TERRITORIAL CORDOBA - GRUPO 3</v>
          </cell>
        </row>
      </sheetData>
      <sheetData sheetId="112">
        <row r="2">
          <cell r="A2" t="str">
            <v>INVÍAS - TERRITORIAL CORDOBA - GRUPO 3</v>
          </cell>
        </row>
      </sheetData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/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/>
      <sheetData sheetId="123">
        <row r="2">
          <cell r="A2" t="str">
            <v>INVÍAS - TERRITORIAL CORDOBA - GRUPO 3</v>
          </cell>
        </row>
      </sheetData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>
        <row r="2">
          <cell r="A2" t="str">
            <v>INVÍAS - TERRITORIAL CORDOBA - GRUPO 3</v>
          </cell>
        </row>
      </sheetData>
      <sheetData sheetId="163"/>
      <sheetData sheetId="164">
        <row r="2">
          <cell r="A2" t="str">
            <v>INVÍAS - TERRITORIAL CORDOBA - GRUPO 3</v>
          </cell>
        </row>
      </sheetData>
      <sheetData sheetId="165">
        <row r="2">
          <cell r="A2" t="str">
            <v>INVÍAS - TERRITORIAL CORDOBA - GRUPO 3</v>
          </cell>
        </row>
      </sheetData>
      <sheetData sheetId="166">
        <row r="2">
          <cell r="A2" t="str">
            <v>INVÍAS - TERRITORIAL CORDOBA - GRUPO 3</v>
          </cell>
        </row>
      </sheetData>
      <sheetData sheetId="167">
        <row r="2">
          <cell r="A2" t="str">
            <v>INVÍAS - TERRITORIAL CORDOBA - GRUPO 3</v>
          </cell>
        </row>
      </sheetData>
      <sheetData sheetId="168">
        <row r="2">
          <cell r="A2" t="str">
            <v>INVÍAS - TERRITORIAL CORDOBA - GRUPO 3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>
        <row r="2">
          <cell r="A2" t="str">
            <v>INVÍAS - TERRITORIAL CORDOBA - GRUPO 3</v>
          </cell>
        </row>
      </sheetData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>
        <row r="2">
          <cell r="B2">
            <v>0</v>
          </cell>
        </row>
      </sheetData>
      <sheetData sheetId="241">
        <row r="2">
          <cell r="A2" t="str">
            <v>INVÍAS - TERRITORIAL CORDOBA - GRUPO 3</v>
          </cell>
        </row>
      </sheetData>
      <sheetData sheetId="242">
        <row r="2">
          <cell r="A2" t="str">
            <v>INVÍAS - TERRITORIAL CORDOBA - GRUPO 3</v>
          </cell>
        </row>
      </sheetData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2">
          <cell r="A2" t="str">
            <v>INVÍAS - TERRITORIAL CORDOBA - GRUPO 3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 refreshError="1"/>
      <sheetData sheetId="292" refreshError="1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>
        <row r="2">
          <cell r="A2" t="str">
            <v>INVÍAS - TERRITORIAL CORDOBA - GRUPO 3</v>
          </cell>
        </row>
      </sheetData>
      <sheetData sheetId="297">
        <row r="2">
          <cell r="A2" t="str">
            <v>INVÍAS - TERRITORIAL CORDOBA - GRUPO 3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2">
          <cell r="A2" t="str">
            <v>INVÍAS - TERRITORIAL CORDOBA - GRUPO 3</v>
          </cell>
        </row>
      </sheetData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>
        <row r="2">
          <cell r="A2" t="str">
            <v>INVÍAS - TERRITORIAL CORDOBA - GRUPO 3</v>
          </cell>
        </row>
      </sheetData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>
        <row r="2">
          <cell r="A2" t="str">
            <v>VIGENTE 2019</v>
          </cell>
        </row>
      </sheetData>
      <sheetData sheetId="482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>
        <row r="2">
          <cell r="A2">
            <v>0</v>
          </cell>
        </row>
      </sheetData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/>
      <sheetData sheetId="728">
        <row r="2">
          <cell r="A2">
            <v>0</v>
          </cell>
        </row>
      </sheetData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>
        <row r="2">
          <cell r="A2">
            <v>0</v>
          </cell>
        </row>
      </sheetData>
      <sheetData sheetId="747"/>
      <sheetData sheetId="748"/>
      <sheetData sheetId="749"/>
      <sheetData sheetId="75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 RED TEC"/>
      <sheetName val="items"/>
      <sheetName val="PUNITARIOS PARA 241201 2S"/>
      <sheetName val="Datos"/>
      <sheetName val="PR 1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5. ELECTRICO"/>
      <sheetName val="UNITARIOS"/>
      <sheetName val="THE"/>
      <sheetName val="ATHE"/>
      <sheetName val="OCTUBRE"/>
      <sheetName val="Bajadas"/>
      <sheetName val="Hoja2"/>
      <sheetName val="Cuadr."/>
      <sheetName val="PUNITARIOS PARA 241201 2S.xls"/>
      <sheetName val="OBRAS SES"/>
      <sheetName val="inst"/>
      <sheetName val="BALANCE"/>
      <sheetName val="ITEMS NO REVISTOS"/>
      <sheetName val="APU ELECTRICOS"/>
      <sheetName val="PREACTA_61"/>
      <sheetName val="A_P_U1"/>
      <sheetName val="PREACTA_6"/>
      <sheetName val="A_P_U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NARIÑO"/>
      <sheetName val="APU NO PREVISTO"/>
      <sheetName val="PPTA (3)"/>
      <sheetName val="PPTA (2)"/>
      <sheetName val="PPTA"/>
      <sheetName val="2,2,6,1 Pilotes 0,30"/>
      <sheetName val="_Liquidacion_de_Obra_por_Tramo1"/>
      <sheetName val="APU_NO_PREVISTO1"/>
      <sheetName val="PPTA_(3)1"/>
      <sheetName val="PPTA_(2)1"/>
      <sheetName val="TABLA_2008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s"/>
      <sheetName val="APU_NO_PREVISTO"/>
      <sheetName val="PPTA_(3)"/>
      <sheetName val="PPTA_(2)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2,2,6,1_Pilotes_0,30"/>
      <sheetName val="LISTA_DE_PRECIOS"/>
      <sheetName val="_Liquidacion_de_Obra_por_Tramo2"/>
      <sheetName val="APU_NO_PREVISTO2"/>
      <sheetName val="PPTA_(3)2"/>
      <sheetName val="PPTA_(2)2"/>
      <sheetName val="PREACTA_62"/>
      <sheetName val="TABLA_2008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PREACTA_63"/>
      <sheetName val="TABLA_2008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ONT_ADI"/>
      <sheetName val="Requisición1"/>
      <sheetName val="PERSONAL"/>
      <sheetName val="Tarifa MT"/>
      <sheetName val="PREACTA Y CONTRATISTAS"/>
      <sheetName val="7.1.8.1.1"/>
      <sheetName val="SALARIOS"/>
      <sheetName val="materiales"/>
      <sheetName val="otros"/>
      <sheetName val="PLAN DE INVERSION ANTICIPO"/>
      <sheetName val="inv mensual"/>
      <sheetName val="borrador flujo inv"/>
      <sheetName val="social-ambiental"/>
      <sheetName val="AU"/>
      <sheetName val="mdo"/>
      <sheetName val="equip"/>
      <sheetName val="mat"/>
      <sheetName val="CIRCUITOS CODENSA"/>
      <sheetName val="TABLAS"/>
      <sheetName val="costos oficina"/>
      <sheetName val="costos campamento"/>
      <sheetName val="días habiles 2015"/>
      <sheetName val="c2_5y2_613"/>
      <sheetName val="c2_5y2_612"/>
      <sheetName val="c2_5y2_611"/>
      <sheetName val="Poblacion"/>
      <sheetName val="APU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glvc"/>
      <sheetName val="BASE"/>
      <sheetName val="CURVA"/>
      <sheetName val="BITACORA"/>
      <sheetName val="Proveedores y acreedores"/>
      <sheetName val="c2_5y2_614"/>
      <sheetName val="DEST. MEDIOS"/>
      <sheetName val="COMBUASF"/>
      <sheetName val="BALCRUDO"/>
      <sheetName val="CARGASPROC."/>
      <sheetName val="G L P  FINAL"/>
      <sheetName val="Bases 2A"/>
      <sheetName val="for 6"/>
      <sheetName val="@RISK - Correlaciones"/>
      <sheetName val="Acta"/>
      <sheetName val="devdics"/>
      <sheetName val="PREACTA_Y_CONTRATISTAS"/>
      <sheetName val="5__ELECTRICO"/>
      <sheetName val="Tarifa_MT"/>
      <sheetName val="PUNITARIOS_PARA_241201_2S_xls"/>
      <sheetName val="CHINCHINA FINAL . A CEROS"/>
      <sheetName val="Memoria de calculo"/>
      <sheetName val="ACTA MODIFICACIÓN CIVIL"/>
      <sheetName val="base ctos"/>
      <sheetName val="gpi_526"/>
      <sheetName val="vea_374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48">
          <cell r="E48">
            <v>0</v>
          </cell>
        </row>
      </sheetData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>
        <row r="48">
          <cell r="E48">
            <v>0</v>
          </cell>
        </row>
      </sheetData>
      <sheetData sheetId="145"/>
      <sheetData sheetId="146"/>
      <sheetData sheetId="147"/>
      <sheetData sheetId="148"/>
      <sheetData sheetId="149">
        <row r="48">
          <cell r="E48">
            <v>0</v>
          </cell>
        </row>
      </sheetData>
      <sheetData sheetId="150">
        <row r="48">
          <cell r="E48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>
        <row r="48">
          <cell r="E48">
            <v>0</v>
          </cell>
        </row>
      </sheetData>
      <sheetData sheetId="169">
        <row r="48">
          <cell r="E48">
            <v>0</v>
          </cell>
        </row>
      </sheetData>
      <sheetData sheetId="170">
        <row r="48">
          <cell r="E48">
            <v>0</v>
          </cell>
        </row>
      </sheetData>
      <sheetData sheetId="171"/>
      <sheetData sheetId="172" refreshError="1"/>
      <sheetData sheetId="173"/>
      <sheetData sheetId="174"/>
      <sheetData sheetId="175">
        <row r="48">
          <cell r="E48">
            <v>0</v>
          </cell>
        </row>
      </sheetData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>
        <row r="48">
          <cell r="E48">
            <v>0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48">
          <cell r="E48">
            <v>0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>
        <row r="48">
          <cell r="E48">
            <v>0</v>
          </cell>
        </row>
      </sheetData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>
        <row r="48">
          <cell r="E48">
            <v>0</v>
          </cell>
        </row>
      </sheetData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48">
          <cell r="E48">
            <v>0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>
        <row r="48">
          <cell r="E48">
            <v>0</v>
          </cell>
        </row>
      </sheetData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>
        <row r="48">
          <cell r="E48">
            <v>0</v>
          </cell>
        </row>
      </sheetData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>
        <row r="48">
          <cell r="E48">
            <v>0</v>
          </cell>
        </row>
      </sheetData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livar"/>
      <sheetName val="PRESUPUESTO Caminos de Maraya"/>
      <sheetName val="PRESUPUESTO H. Jaramillo"/>
      <sheetName val="RESUMEN  "/>
      <sheetName val="Factor Prestacional"/>
      <sheetName val="Mano de Obra"/>
      <sheetName val="Analisis de AU"/>
      <sheetName val="Insumos-Equipo M_L"/>
      <sheetName val="APU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I00970</v>
          </cell>
          <cell r="B2" t="str">
            <v>Tabla común cepillada 3,00 x 0,20 x 0,02 mts</v>
          </cell>
          <cell r="C2" t="str">
            <v>Un</v>
          </cell>
          <cell r="D2">
            <v>17200</v>
          </cell>
        </row>
        <row r="3">
          <cell r="A3" t="str">
            <v>I01059</v>
          </cell>
          <cell r="B3" t="str">
            <v>Teja ondulada de fibrocemento</v>
          </cell>
          <cell r="C3" t="str">
            <v>m2</v>
          </cell>
          <cell r="D3">
            <v>29130.237652901782</v>
          </cell>
        </row>
        <row r="4">
          <cell r="A4" t="str">
            <v>I00515</v>
          </cell>
          <cell r="B4" t="str">
            <v>Guadua basa longitud promedio = 5 m</v>
          </cell>
          <cell r="C4" t="str">
            <v>Un</v>
          </cell>
          <cell r="D4">
            <v>6920.6382787500006</v>
          </cell>
        </row>
        <row r="5">
          <cell r="A5" t="str">
            <v>I00860</v>
          </cell>
          <cell r="B5" t="str">
            <v>Puntilla (promedio)</v>
          </cell>
          <cell r="C5" t="str">
            <v>Lb</v>
          </cell>
          <cell r="D5">
            <v>3031.8986745000002</v>
          </cell>
        </row>
        <row r="6">
          <cell r="A6" t="str">
            <v>I00059</v>
          </cell>
          <cell r="B6" t="str">
            <v>Afirmado</v>
          </cell>
          <cell r="C6" t="str">
            <v>m3</v>
          </cell>
          <cell r="D6">
            <v>48375</v>
          </cell>
        </row>
        <row r="7">
          <cell r="A7" t="str">
            <v>I00142</v>
          </cell>
          <cell r="B7" t="str">
            <v>Bisagra de aluminio 3"</v>
          </cell>
          <cell r="C7" t="str">
            <v>Un</v>
          </cell>
          <cell r="D7">
            <v>4745.5805340000006</v>
          </cell>
        </row>
        <row r="8">
          <cell r="A8" t="str">
            <v>I00389</v>
          </cell>
          <cell r="B8" t="str">
            <v>Delineadores plásticos grado diamante</v>
          </cell>
          <cell r="C8" t="str">
            <v>Un</v>
          </cell>
          <cell r="D8">
            <v>75006.536773500004</v>
          </cell>
        </row>
        <row r="9">
          <cell r="A9" t="str">
            <v>I00115</v>
          </cell>
          <cell r="B9" t="str">
            <v xml:space="preserve">Arena </v>
          </cell>
          <cell r="C9" t="str">
            <v>m3</v>
          </cell>
          <cell r="D9">
            <v>86000</v>
          </cell>
        </row>
        <row r="10">
          <cell r="A10" t="str">
            <v>I00634</v>
          </cell>
          <cell r="B10" t="str">
            <v>Listón común 3,00 x 0,04 x 0,04 mts</v>
          </cell>
          <cell r="C10" t="str">
            <v>Un</v>
          </cell>
          <cell r="D10">
            <v>6261.5298712499998</v>
          </cell>
        </row>
        <row r="11">
          <cell r="A11" t="str">
            <v>I00517</v>
          </cell>
          <cell r="B11" t="str">
            <v>Guadua sobrebasa</v>
          </cell>
          <cell r="C11" t="str">
            <v>Un</v>
          </cell>
          <cell r="D11">
            <v>8691.375</v>
          </cell>
        </row>
        <row r="12">
          <cell r="A12" t="str">
            <v>I01289</v>
          </cell>
          <cell r="B12" t="str">
            <v>Varilla esqueleto fina</v>
          </cell>
          <cell r="C12" t="str">
            <v>Un</v>
          </cell>
          <cell r="D12">
            <v>2285.7879572100001</v>
          </cell>
        </row>
        <row r="13">
          <cell r="A13" t="str">
            <v>I01064</v>
          </cell>
          <cell r="B13" t="str">
            <v>Tela de cerramiento a = 2,10 m (rollo por 100 m)</v>
          </cell>
          <cell r="C13" t="str">
            <v>m2</v>
          </cell>
          <cell r="D13">
            <v>2456.375</v>
          </cell>
        </row>
        <row r="14">
          <cell r="A14" t="str">
            <v>I01313</v>
          </cell>
          <cell r="B14" t="str">
            <v>Volqueta 7 m3</v>
          </cell>
          <cell r="C14" t="str">
            <v>Hr</v>
          </cell>
          <cell r="D14">
            <v>74149.69584375</v>
          </cell>
        </row>
        <row r="15">
          <cell r="A15" t="str">
            <v>I00428</v>
          </cell>
          <cell r="B15" t="str">
            <v>Estopa</v>
          </cell>
          <cell r="C15" t="str">
            <v>Un</v>
          </cell>
          <cell r="D15">
            <v>659.1084075</v>
          </cell>
        </row>
        <row r="16">
          <cell r="A16" t="str">
            <v>I01260</v>
          </cell>
          <cell r="B16" t="str">
            <v>Valla Banner Full Color</v>
          </cell>
          <cell r="C16" t="str">
            <v>m2</v>
          </cell>
          <cell r="D16">
            <v>46137.588524999999</v>
          </cell>
        </row>
        <row r="17">
          <cell r="A17" t="str">
            <v>I01144</v>
          </cell>
          <cell r="B17" t="str">
            <v>Tubería galvanizada Ø=2" espesor 2,95 mm</v>
          </cell>
          <cell r="C17" t="str">
            <v>m</v>
          </cell>
          <cell r="D17">
            <v>56573.471643749996</v>
          </cell>
        </row>
        <row r="18">
          <cell r="A18" t="str">
            <v>I00685</v>
          </cell>
          <cell r="B18" t="str">
            <v>Material para subbase Tipo INVIAS</v>
          </cell>
          <cell r="C18" t="str">
            <v>m3</v>
          </cell>
          <cell r="D18">
            <v>86000</v>
          </cell>
        </row>
        <row r="19">
          <cell r="A19" t="str">
            <v>I01390</v>
          </cell>
          <cell r="B19" t="str">
            <v>Ensayo densidad en campo</v>
          </cell>
          <cell r="C19" t="str">
            <v>Un</v>
          </cell>
          <cell r="D19">
            <v>75296.544472800015</v>
          </cell>
        </row>
        <row r="20">
          <cell r="A20" t="str">
            <v>I00337-1</v>
          </cell>
          <cell r="B20" t="str">
            <v>Concreto premezclado de 24,5 MPa (3500 psi)  As 4"</v>
          </cell>
          <cell r="C20" t="str">
            <v>m3</v>
          </cell>
          <cell r="D20">
            <v>614040</v>
          </cell>
        </row>
        <row r="21">
          <cell r="A21" t="str">
            <v>I00518</v>
          </cell>
          <cell r="B21" t="str">
            <v>Guadua sobrebasa L=3.2 m</v>
          </cell>
          <cell r="C21" t="str">
            <v>Un</v>
          </cell>
          <cell r="D21">
            <v>3669.9156129600001</v>
          </cell>
        </row>
        <row r="22">
          <cell r="A22" t="str">
            <v>I00110</v>
          </cell>
          <cell r="B22" t="str">
            <v>Antisol blanco</v>
          </cell>
          <cell r="C22" t="str">
            <v>Kg</v>
          </cell>
          <cell r="D22">
            <v>7432.1064029700001</v>
          </cell>
        </row>
        <row r="23">
          <cell r="A23" t="str">
            <v>I00792</v>
          </cell>
          <cell r="B23" t="str">
            <v>Piedra de mano</v>
          </cell>
          <cell r="C23" t="str">
            <v>m3</v>
          </cell>
          <cell r="D23">
            <v>102187.34999999999</v>
          </cell>
        </row>
        <row r="24">
          <cell r="A24" t="str">
            <v>I01143</v>
          </cell>
          <cell r="B24" t="str">
            <v>Tubería galvanizada Ø=1 1/2" espesor 2,67 mm</v>
          </cell>
          <cell r="C24" t="str">
            <v>m</v>
          </cell>
          <cell r="D24">
            <v>20284.180196697886</v>
          </cell>
        </row>
        <row r="25">
          <cell r="A25" t="str">
            <v>I00964</v>
          </cell>
          <cell r="B25" t="str">
            <v xml:space="preserve">Soldadura </v>
          </cell>
          <cell r="C25" t="str">
            <v xml:space="preserve"> kg</v>
          </cell>
          <cell r="D25">
            <v>24387.011077499999</v>
          </cell>
        </row>
        <row r="26">
          <cell r="A26" t="str">
            <v>I00581-1</v>
          </cell>
          <cell r="B26" t="str">
            <v>Lámina H.R. 1/4"</v>
          </cell>
          <cell r="C26" t="str">
            <v>m2</v>
          </cell>
          <cell r="D26">
            <v>375513.83300497499</v>
          </cell>
        </row>
        <row r="27">
          <cell r="A27" t="str">
            <v>I01097</v>
          </cell>
          <cell r="B27" t="str">
            <v>Tornillo y chazos</v>
          </cell>
          <cell r="C27" t="str">
            <v>Un</v>
          </cell>
          <cell r="D27">
            <v>1977.3252224999999</v>
          </cell>
        </row>
        <row r="28">
          <cell r="A28" t="str">
            <v>I00395</v>
          </cell>
          <cell r="B28" t="str">
            <v xml:space="preserve">Disolvente Esmalte </v>
          </cell>
          <cell r="C28" t="str">
            <v>Lt</v>
          </cell>
          <cell r="D28">
            <v>7645.6575269999994</v>
          </cell>
        </row>
        <row r="29">
          <cell r="A29" t="str">
            <v>I00800</v>
          </cell>
          <cell r="B29" t="str">
            <v xml:space="preserve">Pintura esmalte </v>
          </cell>
          <cell r="C29" t="str">
            <v>Gl</v>
          </cell>
          <cell r="D29">
            <v>53915.0677335</v>
          </cell>
        </row>
        <row r="30">
          <cell r="A30" t="str">
            <v>I00496</v>
          </cell>
          <cell r="B30" t="str">
            <v>Grava triturada de cantera Ø max 3/4"</v>
          </cell>
          <cell r="C30" t="str">
            <v>m3</v>
          </cell>
          <cell r="D30">
            <v>102187.34999999999</v>
          </cell>
        </row>
        <row r="31">
          <cell r="A31" t="str">
            <v>I00061</v>
          </cell>
          <cell r="B31" t="str">
            <v xml:space="preserve">Agua </v>
          </cell>
          <cell r="C31" t="str">
            <v>Lt</v>
          </cell>
          <cell r="D31">
            <v>13.182168149999999</v>
          </cell>
        </row>
        <row r="32">
          <cell r="A32" t="str">
            <v>I00221-1</v>
          </cell>
          <cell r="B32" t="str">
            <v xml:space="preserve">Cemento gris </v>
          </cell>
          <cell r="C32" t="str">
            <v>KG</v>
          </cell>
          <cell r="D32">
            <v>650</v>
          </cell>
        </row>
        <row r="33">
          <cell r="A33" t="str">
            <v>I00020</v>
          </cell>
          <cell r="B33" t="str">
            <v>Acero de Fy = 60.000 psi d&gt;1/4</v>
          </cell>
          <cell r="C33" t="str">
            <v>Kg</v>
          </cell>
          <cell r="D33">
            <v>6296.2749999999996</v>
          </cell>
        </row>
        <row r="34">
          <cell r="A34" t="str">
            <v>I00080</v>
          </cell>
          <cell r="B34" t="str">
            <v>Alambre negro calibre 18</v>
          </cell>
          <cell r="C34" t="str">
            <v>Kg</v>
          </cell>
          <cell r="D34">
            <v>9491.1610680000013</v>
          </cell>
        </row>
        <row r="35">
          <cell r="A35" t="str">
            <v>I01374</v>
          </cell>
          <cell r="B35" t="str">
            <v>Acero Estructural A36</v>
          </cell>
          <cell r="C35" t="str">
            <v>kg</v>
          </cell>
          <cell r="D35">
            <v>15480</v>
          </cell>
        </row>
        <row r="36">
          <cell r="A36" t="str">
            <v>I00338</v>
          </cell>
          <cell r="B36" t="str">
            <v>Concreto premezclado de 27,6 MPa (4000 psi)  As 4"</v>
          </cell>
          <cell r="C36" t="str">
            <v>m3</v>
          </cell>
          <cell r="D36">
            <v>645000</v>
          </cell>
        </row>
        <row r="37">
          <cell r="A37" t="str">
            <v>I00968</v>
          </cell>
          <cell r="B37" t="str">
            <v xml:space="preserve">LAMINA METAL DECK  LAMINA 2"  CAL.16  - TIPO ACESCO O SIMILAR. </v>
          </cell>
          <cell r="C37" t="str">
            <v>M2</v>
          </cell>
          <cell r="D37">
            <v>44160.263302500003</v>
          </cell>
        </row>
        <row r="38">
          <cell r="A38" t="str">
            <v>I00920</v>
          </cell>
          <cell r="B38" t="str">
            <v>Separol o similar</v>
          </cell>
          <cell r="C38" t="str">
            <v>Kg</v>
          </cell>
          <cell r="D38">
            <v>18349.578064800004</v>
          </cell>
        </row>
        <row r="39">
          <cell r="A39" t="str">
            <v>I00410</v>
          </cell>
          <cell r="B39" t="str">
            <v>Emulsión asfáltica para imprimación</v>
          </cell>
          <cell r="C39" t="str">
            <v>Galón</v>
          </cell>
          <cell r="D39">
            <v>17268.640276499998</v>
          </cell>
        </row>
        <row r="40">
          <cell r="A40" t="str">
            <v>I00702</v>
          </cell>
          <cell r="B40" t="str">
            <v>Mezcla asfáltica MDC 19 (Incluye Transporte)</v>
          </cell>
          <cell r="C40" t="str">
            <v>m3</v>
          </cell>
          <cell r="D40">
            <v>767553.76249999995</v>
          </cell>
        </row>
        <row r="41">
          <cell r="A41" t="str">
            <v>I00861</v>
          </cell>
          <cell r="B41" t="str">
            <v>Puntilla 2" y 2 1/2"</v>
          </cell>
          <cell r="C41" t="str">
            <v>lb</v>
          </cell>
          <cell r="D41">
            <v>3031.8986745000002</v>
          </cell>
        </row>
        <row r="42">
          <cell r="A42" t="str">
            <v>I01291</v>
          </cell>
          <cell r="B42" t="str">
            <v>Varillón de sajo</v>
          </cell>
          <cell r="C42" t="str">
            <v>m</v>
          </cell>
          <cell r="D42">
            <v>2420.24607234</v>
          </cell>
        </row>
        <row r="43">
          <cell r="A43" t="str">
            <v>I00268</v>
          </cell>
          <cell r="B43" t="str">
            <v>Cinta en PVC O - 22</v>
          </cell>
          <cell r="C43" t="str">
            <v>m</v>
          </cell>
          <cell r="D43">
            <v>51410.455784999998</v>
          </cell>
        </row>
        <row r="44">
          <cell r="A44" t="str">
            <v>I00793</v>
          </cell>
          <cell r="B44" t="str">
            <v>Piedra media zonga</v>
          </cell>
          <cell r="C44" t="str">
            <v>m3</v>
          </cell>
          <cell r="D44">
            <v>102187.34999999999</v>
          </cell>
        </row>
        <row r="45">
          <cell r="A45" t="str">
            <v>I00451</v>
          </cell>
          <cell r="B45" t="str">
            <v>Fluidificante para concretos</v>
          </cell>
          <cell r="C45" t="str">
            <v>Kg</v>
          </cell>
          <cell r="D45">
            <v>10545.73452</v>
          </cell>
        </row>
        <row r="46">
          <cell r="A46" t="str">
            <v>I00545</v>
          </cell>
          <cell r="B46" t="str">
            <v>Impermeabilizante para concreto</v>
          </cell>
          <cell r="C46" t="str">
            <v>Kg</v>
          </cell>
          <cell r="D46">
            <v>19773.252225</v>
          </cell>
        </row>
        <row r="47">
          <cell r="A47" t="str">
            <v>E0039-1</v>
          </cell>
          <cell r="B47" t="str">
            <v>Retroexcavadora con martillo</v>
          </cell>
          <cell r="C47" t="str">
            <v>hora</v>
          </cell>
          <cell r="D47">
            <v>252625</v>
          </cell>
        </row>
        <row r="48">
          <cell r="A48" t="str">
            <v>I00640</v>
          </cell>
          <cell r="B48" t="str">
            <v>Llave de paso tipo Red White de 1/2"</v>
          </cell>
          <cell r="C48" t="str">
            <v>Un</v>
          </cell>
          <cell r="D48">
            <v>49354.037553600007</v>
          </cell>
        </row>
        <row r="49">
          <cell r="A49" t="str">
            <v>I01198</v>
          </cell>
          <cell r="B49" t="str">
            <v>Tubería PVC presión de 1/2" rde   9</v>
          </cell>
          <cell r="C49" t="str">
            <v>m</v>
          </cell>
          <cell r="D49">
            <v>4340.0091605850002</v>
          </cell>
        </row>
        <row r="50">
          <cell r="A50" t="str">
            <v>I00881</v>
          </cell>
          <cell r="B50" t="str">
            <v>Registro de corte de 1/2"</v>
          </cell>
          <cell r="C50" t="str">
            <v>Un</v>
          </cell>
          <cell r="D50">
            <v>32135.48951607</v>
          </cell>
        </row>
        <row r="51">
          <cell r="A51" t="str">
            <v>I00632</v>
          </cell>
          <cell r="B51" t="str">
            <v>Limpiador removedor PVC 1/4 Galón</v>
          </cell>
          <cell r="C51" t="str">
            <v>Un</v>
          </cell>
          <cell r="D51">
            <v>53971.751056545007</v>
          </cell>
        </row>
        <row r="52">
          <cell r="A52" t="str">
            <v>I00961</v>
          </cell>
          <cell r="B52" t="str">
            <v>Soldadura liquida para PVC 1/4 galón</v>
          </cell>
          <cell r="C52" t="str">
            <v>Un</v>
          </cell>
          <cell r="D52">
            <v>111935.06262891002</v>
          </cell>
        </row>
        <row r="53">
          <cell r="A53" t="str">
            <v>I00267</v>
          </cell>
          <cell r="B53" t="str">
            <v>Cinta de teflón 30 m</v>
          </cell>
          <cell r="C53" t="str">
            <v>Un</v>
          </cell>
          <cell r="D53">
            <v>3427.3637189999999</v>
          </cell>
        </row>
        <row r="54">
          <cell r="A54" t="str">
            <v>I00510</v>
          </cell>
          <cell r="B54" t="str">
            <v>Grouting 20.7 MPa</v>
          </cell>
          <cell r="C54" t="str">
            <v>m3</v>
          </cell>
          <cell r="D54">
            <v>688109.17743000004</v>
          </cell>
        </row>
        <row r="55">
          <cell r="A55" t="str">
            <v>I-1</v>
          </cell>
          <cell r="B55" t="str">
            <v>Tubería ø 1 1/4" de acero de calibre 40 sin costura</v>
          </cell>
          <cell r="C55" t="str">
            <v>M</v>
          </cell>
          <cell r="D55">
            <v>322500</v>
          </cell>
        </row>
        <row r="56">
          <cell r="A56" t="str">
            <v>I-2</v>
          </cell>
          <cell r="B56" t="str">
            <v>Espital de diametro 3" con aletas de 3/16"</v>
          </cell>
          <cell r="C56" t="str">
            <v>M</v>
          </cell>
          <cell r="D56">
            <v>322500</v>
          </cell>
        </row>
        <row r="57">
          <cell r="A57" t="str">
            <v>I01172</v>
          </cell>
          <cell r="B57" t="str">
            <v>Tubería PVC Aguas Lluvias Ø=3"</v>
          </cell>
          <cell r="C57" t="str">
            <v>m</v>
          </cell>
          <cell r="D57">
            <v>10941.199564500001</v>
          </cell>
        </row>
        <row r="58">
          <cell r="A58" t="str">
            <v>I00483</v>
          </cell>
          <cell r="B58" t="str">
            <v>Geotextil NT 1600 a = 3.5 m</v>
          </cell>
          <cell r="C58" t="str">
            <v>m2</v>
          </cell>
          <cell r="D58">
            <v>5272.86726</v>
          </cell>
        </row>
        <row r="59">
          <cell r="A59" t="str">
            <v>I00979</v>
          </cell>
          <cell r="B59" t="str">
            <v>Tablero formaleta 70*140</v>
          </cell>
          <cell r="C59" t="str">
            <v>Dia</v>
          </cell>
          <cell r="D59">
            <v>467.96696932500004</v>
          </cell>
        </row>
        <row r="60">
          <cell r="A60" t="str">
            <v>I00516</v>
          </cell>
          <cell r="B60" t="str">
            <v>Guadua cepa L=4.8 m</v>
          </cell>
          <cell r="C60" t="str">
            <v>Un</v>
          </cell>
          <cell r="D60">
            <v>7612.7021066250009</v>
          </cell>
        </row>
        <row r="61">
          <cell r="A61" t="str">
            <v>I00383</v>
          </cell>
          <cell r="B61" t="str">
            <v>Cuartón de sajo 2" x 4" x 2,9 m</v>
          </cell>
          <cell r="C61" t="str">
            <v>m</v>
          </cell>
          <cell r="D61">
            <v>3295.5420374999999</v>
          </cell>
        </row>
        <row r="62">
          <cell r="A62" t="str">
            <v>I00485</v>
          </cell>
          <cell r="B62" t="str">
            <v>Geotextil tejido (Mayor igual) ≥ 2.400 a = 3,85 m</v>
          </cell>
          <cell r="C62" t="str">
            <v>m2</v>
          </cell>
          <cell r="D62">
            <v>8627.7290541750008</v>
          </cell>
        </row>
        <row r="63">
          <cell r="A63" t="str">
            <v>I01071</v>
          </cell>
          <cell r="B63" t="str">
            <v>Tierra transportada cargada con equipo pesado</v>
          </cell>
          <cell r="C63" t="str">
            <v>m3</v>
          </cell>
          <cell r="D63">
            <v>30130.670057142859</v>
          </cell>
        </row>
        <row r="64">
          <cell r="A64" t="str">
            <v>I00426</v>
          </cell>
          <cell r="B64" t="str">
            <v>Grapas de anclaje varilla 3/8"</v>
          </cell>
          <cell r="C64" t="str">
            <v>kg</v>
          </cell>
          <cell r="D64">
            <v>8469.9249999999993</v>
          </cell>
        </row>
        <row r="65">
          <cell r="A65" t="str">
            <v>I-3</v>
          </cell>
          <cell r="B65" t="str">
            <v>Geomanto sintetico en poliester</v>
          </cell>
          <cell r="C65" t="str">
            <v>m2</v>
          </cell>
          <cell r="D65">
            <v>18812.5</v>
          </cell>
        </row>
        <row r="66">
          <cell r="A66" t="str">
            <v>ICABBR</v>
          </cell>
          <cell r="B66" t="str">
            <v>Cable acero de baja relajación de 1/2" para unión de micro hexapodos</v>
          </cell>
          <cell r="C66" t="str">
            <v>m</v>
          </cell>
          <cell r="D66">
            <v>30100</v>
          </cell>
        </row>
        <row r="67">
          <cell r="A67" t="str">
            <v>IVAR1</v>
          </cell>
          <cell r="B67" t="str">
            <v>Varilla roscada de diametro 1"</v>
          </cell>
          <cell r="C67" t="str">
            <v>Un</v>
          </cell>
          <cell r="D67">
            <v>162411</v>
          </cell>
        </row>
        <row r="68">
          <cell r="A68" t="str">
            <v>IAROE</v>
          </cell>
          <cell r="B68" t="str">
            <v>Aro electrosoldado</v>
          </cell>
          <cell r="C68" t="str">
            <v>Un</v>
          </cell>
          <cell r="D68">
            <v>43000</v>
          </cell>
        </row>
        <row r="69">
          <cell r="A69" t="str">
            <v>IROSC</v>
          </cell>
          <cell r="B69" t="str">
            <v>Rosca diametro 1"</v>
          </cell>
          <cell r="C69" t="str">
            <v>Un</v>
          </cell>
          <cell r="D69">
            <v>12900</v>
          </cell>
        </row>
        <row r="71">
          <cell r="B71" t="str">
            <v>EQUIPO</v>
          </cell>
        </row>
        <row r="72">
          <cell r="A72" t="str">
            <v>E0008</v>
          </cell>
          <cell r="B72" t="str">
            <v>Cortadora con operario</v>
          </cell>
          <cell r="C72" t="str">
            <v>Día</v>
          </cell>
          <cell r="D72">
            <v>175277.71799999999</v>
          </cell>
        </row>
        <row r="73">
          <cell r="A73" t="str">
            <v>E0039</v>
          </cell>
          <cell r="B73" t="str">
            <v>Retroexcavadora (Excavadora para W en tierra)</v>
          </cell>
          <cell r="C73" t="str">
            <v>Hora</v>
          </cell>
          <cell r="D73">
            <v>225670.06192499999</v>
          </cell>
        </row>
        <row r="74">
          <cell r="A74" t="str">
            <v>E0116</v>
          </cell>
          <cell r="B74" t="str">
            <v>Molinete (base, freno y manila de 15m)</v>
          </cell>
          <cell r="C74" t="str">
            <v>Dia</v>
          </cell>
          <cell r="D74">
            <v>21500</v>
          </cell>
        </row>
        <row r="75">
          <cell r="A75" t="str">
            <v>E0009</v>
          </cell>
          <cell r="B75" t="str">
            <v>Cuña hidráulica</v>
          </cell>
          <cell r="C75" t="str">
            <v>Perforac</v>
          </cell>
          <cell r="D75">
            <v>32805.99</v>
          </cell>
        </row>
        <row r="76">
          <cell r="A76" t="str">
            <v>E0002</v>
          </cell>
          <cell r="B76" t="str">
            <v>Apisonador tipo canguro</v>
          </cell>
          <cell r="C76" t="str">
            <v>Día</v>
          </cell>
          <cell r="D76">
            <v>63491.865000000005</v>
          </cell>
        </row>
        <row r="77">
          <cell r="A77" t="str">
            <v>E0063</v>
          </cell>
          <cell r="B77" t="str">
            <v>Motoniveladora</v>
          </cell>
          <cell r="C77" t="str">
            <v>Hora</v>
          </cell>
          <cell r="D77">
            <v>198316.11502500001</v>
          </cell>
        </row>
        <row r="78">
          <cell r="A78" t="str">
            <v>E0064</v>
          </cell>
          <cell r="B78" t="str">
            <v>Cilindro compactador vibrador Dynapac</v>
          </cell>
          <cell r="C78" t="str">
            <v>Hora</v>
          </cell>
          <cell r="D78">
            <v>118250</v>
          </cell>
        </row>
        <row r="79">
          <cell r="A79" t="str">
            <v>E0003</v>
          </cell>
          <cell r="B79" t="str">
            <v>Carrotanque agua</v>
          </cell>
          <cell r="C79" t="str">
            <v>Hora</v>
          </cell>
          <cell r="D79">
            <v>96750</v>
          </cell>
        </row>
        <row r="80">
          <cell r="A80" t="str">
            <v>E0046</v>
          </cell>
          <cell r="B80" t="str">
            <v>Transporte a escombrera</v>
          </cell>
          <cell r="C80" t="str">
            <v>m3-Km</v>
          </cell>
          <cell r="D80">
            <v>1227.4349999999999</v>
          </cell>
        </row>
        <row r="81">
          <cell r="A81" t="str">
            <v>E0067</v>
          </cell>
          <cell r="B81" t="str">
            <v>Compresor pintura</v>
          </cell>
          <cell r="C81" t="str">
            <v>Día</v>
          </cell>
          <cell r="D81">
            <v>39835.844999999994</v>
          </cell>
        </row>
        <row r="82">
          <cell r="A82" t="str">
            <v>E0016</v>
          </cell>
          <cell r="B82" t="str">
            <v xml:space="preserve">Equipo para soldadura eléctrica </v>
          </cell>
          <cell r="C82" t="str">
            <v>Día</v>
          </cell>
          <cell r="D82">
            <v>69629.040000000008</v>
          </cell>
        </row>
        <row r="83">
          <cell r="A83" t="str">
            <v>E0097</v>
          </cell>
          <cell r="B83" t="str">
            <v>Formaleta cónica para caissons</v>
          </cell>
          <cell r="C83" t="str">
            <v>Día</v>
          </cell>
          <cell r="D83">
            <v>22551.3285</v>
          </cell>
        </row>
        <row r="84">
          <cell r="A84" t="str">
            <v>E0049</v>
          </cell>
          <cell r="B84" t="str">
            <v>Vibrador eléctrico para concreto</v>
          </cell>
          <cell r="C84" t="str">
            <v>Día</v>
          </cell>
          <cell r="D84">
            <v>50458.737000000001</v>
          </cell>
        </row>
        <row r="85">
          <cell r="A85" t="str">
            <v>E0031</v>
          </cell>
          <cell r="B85" t="str">
            <v>Mezcladora de 1 saco</v>
          </cell>
          <cell r="C85" t="str">
            <v>Día</v>
          </cell>
          <cell r="D85">
            <v>50458.737000000001</v>
          </cell>
        </row>
        <row r="86">
          <cell r="A86" t="str">
            <v>E0034</v>
          </cell>
          <cell r="B86" t="str">
            <v>Planta eléctrica motor 5 HP 4500 Watts</v>
          </cell>
          <cell r="C86" t="str">
            <v>Día</v>
          </cell>
          <cell r="D86">
            <v>79671.689999999988</v>
          </cell>
        </row>
        <row r="87">
          <cell r="A87" t="str">
            <v>E0036</v>
          </cell>
          <cell r="B87" t="str">
            <v>Pulidora</v>
          </cell>
          <cell r="C87" t="str">
            <v>Día</v>
          </cell>
          <cell r="D87">
            <v>50458.737000000001</v>
          </cell>
        </row>
        <row r="88">
          <cell r="A88" t="str">
            <v>E0001</v>
          </cell>
          <cell r="B88" t="str">
            <v xml:space="preserve">Andamio de tijera completo 1.5 x 1.5 x 2,3 </v>
          </cell>
          <cell r="C88" t="str">
            <v>Día</v>
          </cell>
          <cell r="D88">
            <v>1593.4338</v>
          </cell>
        </row>
        <row r="89">
          <cell r="A89" t="str">
            <v>E0041</v>
          </cell>
          <cell r="B89" t="str">
            <v>Tacos metálicos</v>
          </cell>
          <cell r="C89" t="str">
            <v>Día</v>
          </cell>
          <cell r="D89">
            <v>331.96537499999999</v>
          </cell>
        </row>
        <row r="90">
          <cell r="A90" t="str">
            <v>E0052</v>
          </cell>
          <cell r="B90" t="str">
            <v>Cercha metalica 3m</v>
          </cell>
          <cell r="C90" t="str">
            <v>Día</v>
          </cell>
          <cell r="D90">
            <v>242.13945000000001</v>
          </cell>
        </row>
        <row r="91">
          <cell r="A91" t="str">
            <v>E0053</v>
          </cell>
          <cell r="B91" t="str">
            <v>Tablero de madera de 1.40x0.70</v>
          </cell>
          <cell r="C91" t="str">
            <v>Día</v>
          </cell>
          <cell r="D91">
            <v>531.14459999999997</v>
          </cell>
        </row>
        <row r="92">
          <cell r="A92" t="str">
            <v>E0117</v>
          </cell>
          <cell r="B92" t="str">
            <v>Andammio multidireccional y multinivel (2,5 x 1,2 x 6)</v>
          </cell>
          <cell r="C92" t="str">
            <v>Dia</v>
          </cell>
          <cell r="D92">
            <v>109053.375</v>
          </cell>
        </row>
        <row r="93">
          <cell r="A93" t="str">
            <v>E0006</v>
          </cell>
          <cell r="B93" t="str">
            <v>Compresor con operario</v>
          </cell>
          <cell r="C93" t="str">
            <v>Hora</v>
          </cell>
          <cell r="D93">
            <v>83711.06700000001</v>
          </cell>
        </row>
        <row r="94">
          <cell r="A94" t="str">
            <v>E0086</v>
          </cell>
          <cell r="B94" t="str">
            <v>Carrotanque asfalto</v>
          </cell>
          <cell r="C94" t="str">
            <v>Hora</v>
          </cell>
          <cell r="D94">
            <v>118168.51499999998</v>
          </cell>
        </row>
        <row r="95">
          <cell r="A95" t="str">
            <v>E0096</v>
          </cell>
          <cell r="B95" t="str">
            <v>Finisher (pavimentadora) con operario incluye transporte</v>
          </cell>
          <cell r="C95" t="str">
            <v>Hora</v>
          </cell>
          <cell r="D95">
            <v>170925</v>
          </cell>
        </row>
        <row r="96">
          <cell r="A96" t="str">
            <v>E0065</v>
          </cell>
          <cell r="B96" t="str">
            <v>Compactador sellador de asfalto en llantas</v>
          </cell>
          <cell r="C96" t="str">
            <v>Hora</v>
          </cell>
          <cell r="D96">
            <v>118250</v>
          </cell>
        </row>
        <row r="97">
          <cell r="A97" t="str">
            <v>E0066</v>
          </cell>
          <cell r="B97" t="str">
            <v>Terminador de asfalto</v>
          </cell>
          <cell r="C97" t="str">
            <v>Hora</v>
          </cell>
          <cell r="D97">
            <v>119044.42499999999</v>
          </cell>
        </row>
        <row r="98">
          <cell r="A98" t="str">
            <v>E0025</v>
          </cell>
          <cell r="B98" t="str">
            <v>Formaleta metálica para pavimento L=2 mts</v>
          </cell>
          <cell r="C98" t="str">
            <v>Día</v>
          </cell>
          <cell r="D98">
            <v>2257.3645500000002</v>
          </cell>
        </row>
        <row r="99">
          <cell r="A99" t="str">
            <v>E0024</v>
          </cell>
          <cell r="B99" t="str">
            <v>Formaleta metálica muros</v>
          </cell>
          <cell r="C99" t="str">
            <v>m2_DÍa</v>
          </cell>
          <cell r="D99">
            <v>1673.7749999999999</v>
          </cell>
        </row>
        <row r="100">
          <cell r="A100" t="str">
            <v>E0072</v>
          </cell>
          <cell r="B100" t="str">
            <v>Barreno para dren mecanico</v>
          </cell>
          <cell r="C100" t="str">
            <v>Día</v>
          </cell>
          <cell r="D100">
            <v>200853</v>
          </cell>
        </row>
        <row r="101">
          <cell r="A101" t="str">
            <v>E0039</v>
          </cell>
          <cell r="B101" t="str">
            <v xml:space="preserve">Retroexcavadora </v>
          </cell>
          <cell r="C101" t="str">
            <v>Hora</v>
          </cell>
          <cell r="D101">
            <v>225670.06192499999</v>
          </cell>
        </row>
        <row r="102">
          <cell r="A102" t="str">
            <v>E0030</v>
          </cell>
          <cell r="B102" t="str">
            <v>Martillo rotopercutor</v>
          </cell>
          <cell r="C102" t="str">
            <v>día</v>
          </cell>
          <cell r="D102">
            <v>83151.25</v>
          </cell>
        </row>
        <row r="103">
          <cell r="A103" t="str">
            <v>EPERF</v>
          </cell>
          <cell r="B103" t="str">
            <v xml:space="preserve">Equipo de perforación </v>
          </cell>
          <cell r="C103" t="str">
            <v>Hr</v>
          </cell>
          <cell r="D103">
            <v>510625</v>
          </cell>
        </row>
        <row r="104">
          <cell r="A104" t="str">
            <v>ECENTR</v>
          </cell>
          <cell r="B104" t="str">
            <v>Centralizador</v>
          </cell>
          <cell r="C104" t="str">
            <v>un</v>
          </cell>
          <cell r="D104">
            <v>53750</v>
          </cell>
        </row>
        <row r="105">
          <cell r="A105" t="str">
            <v>EINYEC</v>
          </cell>
          <cell r="B105" t="str">
            <v>Equipo de Inyección + accesorios</v>
          </cell>
          <cell r="C105" t="str">
            <v>dia</v>
          </cell>
          <cell r="D105">
            <v>225750</v>
          </cell>
        </row>
        <row r="106">
          <cell r="A106" t="str">
            <v>ETANQ</v>
          </cell>
          <cell r="B106" t="str">
            <v xml:space="preserve">tanque mezclador </v>
          </cell>
          <cell r="C106" t="str">
            <v>dia</v>
          </cell>
          <cell r="D106">
            <v>172000</v>
          </cell>
        </row>
        <row r="107">
          <cell r="A107" t="str">
            <v>E0064</v>
          </cell>
          <cell r="B107" t="str">
            <v>Cilindro compactador vibrador Dynapac</v>
          </cell>
          <cell r="C107" t="str">
            <v>Hora</v>
          </cell>
          <cell r="D107">
            <v>118250</v>
          </cell>
        </row>
        <row r="108">
          <cell r="A108" t="str">
            <v>E0051</v>
          </cell>
          <cell r="B108" t="str">
            <v>Arnes con eslinga</v>
          </cell>
          <cell r="C108" t="str">
            <v>Día</v>
          </cell>
          <cell r="D108">
            <v>13278.615</v>
          </cell>
        </row>
        <row r="109">
          <cell r="A109" t="str">
            <v>ESNUC</v>
          </cell>
          <cell r="B109" t="str">
            <v>Equipo sacanúcleos para concreto reforzado</v>
          </cell>
          <cell r="C109" t="str">
            <v>Día</v>
          </cell>
          <cell r="D109">
            <v>209625</v>
          </cell>
        </row>
      </sheetData>
      <sheetData sheetId="8" refreshError="1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livar"/>
      <sheetName val="PRESUPUESTO Caminos de Maraya"/>
      <sheetName val="PRESUPUESTO H. Jaramillo"/>
      <sheetName val="APU"/>
      <sheetName val="RESUMEN  "/>
      <sheetName val="Factor Prestacional"/>
      <sheetName val="Mano de Obra"/>
      <sheetName val="Analisis de A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A7" t="str">
            <v>A</v>
          </cell>
          <cell r="B7" t="str">
            <v>Ayudante</v>
          </cell>
          <cell r="C7" t="str">
            <v>día</v>
          </cell>
          <cell r="D7">
            <v>76122</v>
          </cell>
          <cell r="E7">
            <v>1300000</v>
          </cell>
          <cell r="F7">
            <v>0.75667246153846135</v>
          </cell>
          <cell r="G7">
            <v>2283674</v>
          </cell>
        </row>
        <row r="8">
          <cell r="A8" t="str">
            <v>AP</v>
          </cell>
          <cell r="B8" t="str">
            <v>Ayudante práctico</v>
          </cell>
          <cell r="C8" t="str">
            <v>día</v>
          </cell>
          <cell r="D8">
            <v>91347</v>
          </cell>
          <cell r="E8">
            <v>1560000</v>
          </cell>
          <cell r="F8">
            <v>0.75667246153846135</v>
          </cell>
          <cell r="G8">
            <v>2740409</v>
          </cell>
        </row>
        <row r="9">
          <cell r="A9" t="str">
            <v>O</v>
          </cell>
          <cell r="B9" t="str">
            <v>Oficial</v>
          </cell>
          <cell r="C9" t="str">
            <v>día</v>
          </cell>
          <cell r="D9">
            <v>137020</v>
          </cell>
          <cell r="E9">
            <v>2340000</v>
          </cell>
          <cell r="F9">
            <v>0.75667246153846135</v>
          </cell>
          <cell r="G9">
            <v>4110614</v>
          </cell>
        </row>
        <row r="10">
          <cell r="A10" t="str">
            <v>CA</v>
          </cell>
          <cell r="B10" t="str">
            <v>Cadenero 1</v>
          </cell>
          <cell r="C10" t="str">
            <v>día</v>
          </cell>
          <cell r="D10">
            <v>114184</v>
          </cell>
          <cell r="E10">
            <v>1950000</v>
          </cell>
          <cell r="F10">
            <v>0.75667246153846135</v>
          </cell>
          <cell r="G10">
            <v>3425511</v>
          </cell>
        </row>
        <row r="11">
          <cell r="A11" t="str">
            <v>MO</v>
          </cell>
          <cell r="B11" t="str">
            <v>Maestro de obra</v>
          </cell>
          <cell r="C11" t="str">
            <v>día</v>
          </cell>
          <cell r="D11">
            <v>168366</v>
          </cell>
          <cell r="E11">
            <v>3250000</v>
          </cell>
          <cell r="F11">
            <v>0.55414999999999959</v>
          </cell>
          <cell r="G11">
            <v>5050988</v>
          </cell>
        </row>
        <row r="12">
          <cell r="A12" t="str">
            <v>MI</v>
          </cell>
          <cell r="B12" t="str">
            <v>Minero</v>
          </cell>
          <cell r="C12" t="str">
            <v>día</v>
          </cell>
          <cell r="D12">
            <v>168366</v>
          </cell>
          <cell r="E12">
            <v>3250000</v>
          </cell>
          <cell r="F12">
            <v>0.55414999999999959</v>
          </cell>
          <cell r="G12">
            <v>5050988</v>
          </cell>
        </row>
        <row r="13">
          <cell r="A13" t="str">
            <v>OE</v>
          </cell>
          <cell r="B13" t="str">
            <v>Oficial eléctrico</v>
          </cell>
          <cell r="C13" t="str">
            <v>día</v>
          </cell>
          <cell r="D13">
            <v>152245</v>
          </cell>
          <cell r="E13">
            <v>2600000</v>
          </cell>
          <cell r="F13">
            <v>0.75667246153846135</v>
          </cell>
          <cell r="G13">
            <v>4567348</v>
          </cell>
        </row>
        <row r="14">
          <cell r="A14" t="str">
            <v>OP</v>
          </cell>
          <cell r="B14" t="str">
            <v>Oficial pintor</v>
          </cell>
          <cell r="C14" t="str">
            <v>día</v>
          </cell>
          <cell r="D14">
            <v>121796</v>
          </cell>
          <cell r="E14">
            <v>2080000</v>
          </cell>
          <cell r="F14">
            <v>0.75667246153846135</v>
          </cell>
          <cell r="G14">
            <v>3653879</v>
          </cell>
        </row>
        <row r="15">
          <cell r="A15" t="str">
            <v>Oper</v>
          </cell>
          <cell r="B15" t="str">
            <v>Oficial Perforación</v>
          </cell>
          <cell r="C15" t="str">
            <v>día</v>
          </cell>
          <cell r="D15">
            <v>152245</v>
          </cell>
          <cell r="E15">
            <v>2600000</v>
          </cell>
          <cell r="F15">
            <v>0.75667246153846135</v>
          </cell>
          <cell r="G15">
            <v>4567348</v>
          </cell>
        </row>
        <row r="16">
          <cell r="A16" t="str">
            <v>OM</v>
          </cell>
          <cell r="B16" t="str">
            <v>Operador de maquinaria</v>
          </cell>
          <cell r="C16" t="str">
            <v>día</v>
          </cell>
          <cell r="D16">
            <v>137020</v>
          </cell>
          <cell r="E16">
            <v>2340000</v>
          </cell>
          <cell r="F16">
            <v>0.75667246153846135</v>
          </cell>
          <cell r="G16">
            <v>4110614</v>
          </cell>
        </row>
        <row r="17">
          <cell r="A17" t="str">
            <v>SOL</v>
          </cell>
          <cell r="B17" t="str">
            <v>Soldador</v>
          </cell>
          <cell r="C17" t="str">
            <v>día</v>
          </cell>
          <cell r="D17">
            <v>137020</v>
          </cell>
          <cell r="E17">
            <v>2340000</v>
          </cell>
          <cell r="F17">
            <v>0.75667246153846135</v>
          </cell>
          <cell r="G17">
            <v>4110614</v>
          </cell>
        </row>
        <row r="18">
          <cell r="A18" t="str">
            <v>TOP</v>
          </cell>
          <cell r="B18" t="str">
            <v>Topógrafo</v>
          </cell>
          <cell r="C18" t="str">
            <v>día</v>
          </cell>
          <cell r="D18">
            <v>235713</v>
          </cell>
          <cell r="E18">
            <v>4550000</v>
          </cell>
          <cell r="F18">
            <v>0.55414999999999959</v>
          </cell>
          <cell r="G18">
            <v>7071383</v>
          </cell>
        </row>
        <row r="19">
          <cell r="A19" t="str">
            <v>PSO</v>
          </cell>
          <cell r="B19" t="str">
            <v>Profesional en salud ocupacional</v>
          </cell>
          <cell r="C19" t="str">
            <v>día</v>
          </cell>
          <cell r="D19">
            <v>188570</v>
          </cell>
          <cell r="E19">
            <v>3640000</v>
          </cell>
          <cell r="F19">
            <v>0.55414999999999959</v>
          </cell>
          <cell r="G19">
            <v>5657106</v>
          </cell>
        </row>
        <row r="20">
          <cell r="A20" t="str">
            <v>C 1O+1A</v>
          </cell>
          <cell r="B20" t="str">
            <v>Cuadrilla  A 1 Of +1 Ay  (jornal + prestaciones)</v>
          </cell>
          <cell r="C20" t="str">
            <v>día</v>
          </cell>
          <cell r="D20">
            <v>213143</v>
          </cell>
          <cell r="E20">
            <v>3640000</v>
          </cell>
          <cell r="F20"/>
          <cell r="G20">
            <v>6394288</v>
          </cell>
        </row>
        <row r="21">
          <cell r="A21" t="str">
            <v>C 1O+2A</v>
          </cell>
          <cell r="B21" t="str">
            <v>Cuadrilla B 1 Of + 2 Ay (jornal + prestaciones)</v>
          </cell>
          <cell r="C21" t="str">
            <v>día</v>
          </cell>
          <cell r="D21">
            <v>289265</v>
          </cell>
          <cell r="E21">
            <v>4940000</v>
          </cell>
          <cell r="F21"/>
          <cell r="G21">
            <v>8677962</v>
          </cell>
        </row>
        <row r="22">
          <cell r="A22" t="str">
            <v>C 1O+4A</v>
          </cell>
          <cell r="B22" t="str">
            <v>Cuadrilla C 1 Of + 4 Ay (jornal + prestaciones)</v>
          </cell>
          <cell r="C22" t="str">
            <v>día</v>
          </cell>
          <cell r="D22">
            <v>441510</v>
          </cell>
          <cell r="E22">
            <v>7540000</v>
          </cell>
          <cell r="F22"/>
          <cell r="G22">
            <v>13245310</v>
          </cell>
        </row>
        <row r="23">
          <cell r="A23" t="str">
            <v>C 2O+4A</v>
          </cell>
          <cell r="B23" t="str">
            <v>Cuadrilla D 2 Of + 4 Ay (jornal + prestaciones)</v>
          </cell>
          <cell r="C23" t="str">
            <v>día</v>
          </cell>
          <cell r="D23">
            <v>578531</v>
          </cell>
          <cell r="E23">
            <v>9880000</v>
          </cell>
          <cell r="F23"/>
          <cell r="G23">
            <v>17355924</v>
          </cell>
        </row>
        <row r="24">
          <cell r="A24" t="str">
            <v>C 4A</v>
          </cell>
          <cell r="B24" t="str">
            <v>Cuadrilla E 4 Ay (jornal + prestaciones)</v>
          </cell>
          <cell r="C24" t="str">
            <v>día</v>
          </cell>
          <cell r="D24">
            <v>304490</v>
          </cell>
          <cell r="E24">
            <v>5200000</v>
          </cell>
          <cell r="F24"/>
          <cell r="G24">
            <v>9134696</v>
          </cell>
        </row>
        <row r="25">
          <cell r="A25" t="str">
            <v>C 1OE+1A</v>
          </cell>
          <cell r="B25" t="str">
            <v>Cuadrilla F 1 Of eléctrico+1Ay (jornal + prestaciones)</v>
          </cell>
          <cell r="C25" t="str">
            <v>día</v>
          </cell>
          <cell r="D25">
            <v>228367</v>
          </cell>
          <cell r="E25">
            <v>3900000</v>
          </cell>
          <cell r="F25"/>
          <cell r="G25">
            <v>6851022</v>
          </cell>
        </row>
        <row r="26">
          <cell r="A26" t="str">
            <v>C 1OE+2A</v>
          </cell>
          <cell r="B26" t="str">
            <v>Cuadrilla G 1 Of eléctrico+2Ay  (jornal + prestaciones)</v>
          </cell>
          <cell r="C26" t="str">
            <v>día</v>
          </cell>
          <cell r="D26">
            <v>304490</v>
          </cell>
          <cell r="E26">
            <v>5200000</v>
          </cell>
          <cell r="F26"/>
          <cell r="G26">
            <v>9134696</v>
          </cell>
        </row>
        <row r="27">
          <cell r="A27" t="str">
            <v>C 1SOL+1AP</v>
          </cell>
          <cell r="B27" t="str">
            <v>Cuadrilla H (1Sold.+1Ay práctico) (jornal + prestaciones)</v>
          </cell>
          <cell r="C27" t="str">
            <v>día</v>
          </cell>
          <cell r="D27">
            <v>228367</v>
          </cell>
          <cell r="E27">
            <v>3900000</v>
          </cell>
          <cell r="F27"/>
          <cell r="G27">
            <v>6851023</v>
          </cell>
        </row>
        <row r="28">
          <cell r="A28" t="str">
            <v>PT</v>
          </cell>
          <cell r="B28" t="str">
            <v>Paletero</v>
          </cell>
          <cell r="C28" t="str">
            <v>Día</v>
          </cell>
          <cell r="D28">
            <v>76122</v>
          </cell>
          <cell r="E28">
            <v>1300000</v>
          </cell>
          <cell r="F28">
            <v>0.75667246153846135</v>
          </cell>
          <cell r="G28">
            <v>2283674</v>
          </cell>
        </row>
        <row r="29">
          <cell r="A29" t="str">
            <v>CT</v>
          </cell>
          <cell r="B29" t="str">
            <v>Controlador de Transito</v>
          </cell>
          <cell r="C29" t="str">
            <v>Día</v>
          </cell>
          <cell r="D29">
            <v>91347</v>
          </cell>
          <cell r="E29">
            <v>1560000</v>
          </cell>
          <cell r="F29">
            <v>0.75667246153846135</v>
          </cell>
          <cell r="G29">
            <v>2740409</v>
          </cell>
        </row>
        <row r="30">
          <cell r="A30" t="str">
            <v>C 2A</v>
          </cell>
          <cell r="B30" t="str">
            <v>Cuadrilla I (Dos  ayudantes) (jornal + prestaciones)</v>
          </cell>
          <cell r="C30" t="str">
            <v>Día</v>
          </cell>
          <cell r="D30">
            <v>135540</v>
          </cell>
          <cell r="E30">
            <v>2600000</v>
          </cell>
          <cell r="F30"/>
          <cell r="G30">
            <v>4066190</v>
          </cell>
        </row>
        <row r="31">
          <cell r="A31" t="str">
            <v>C 1O+3A</v>
          </cell>
          <cell r="B31" t="str">
            <v>Cuadrilla C 1 Of + 3 Ay (jornal + prestaciones)</v>
          </cell>
          <cell r="C31" t="str">
            <v>Día</v>
          </cell>
          <cell r="D31">
            <v>365388</v>
          </cell>
          <cell r="E31">
            <v>6240000</v>
          </cell>
          <cell r="F31"/>
          <cell r="G31">
            <v>10961636</v>
          </cell>
        </row>
        <row r="32">
          <cell r="A32" t="str">
            <v>C 1 Ofper+1AP+3A</v>
          </cell>
          <cell r="B32" t="str">
            <v>Cuadrilla J 1of per+1AP+3Ay (jornal + prestaciones)</v>
          </cell>
          <cell r="C32" t="str">
            <v>Día</v>
          </cell>
          <cell r="D32">
            <v>471959</v>
          </cell>
          <cell r="E32">
            <v>8060000</v>
          </cell>
          <cell r="F32"/>
          <cell r="G32">
            <v>14158779</v>
          </cell>
        </row>
        <row r="34">
          <cell r="A34" t="str">
            <v>SEG PRIV</v>
          </cell>
          <cell r="B34" t="str">
            <v xml:space="preserve">Servicio de Escolta Vigilancia  Privada </v>
          </cell>
          <cell r="C34" t="str">
            <v>Día</v>
          </cell>
          <cell r="D34">
            <v>113422.22222222223</v>
          </cell>
          <cell r="E34">
            <v>10208000</v>
          </cell>
          <cell r="F34"/>
          <cell r="G34"/>
        </row>
      </sheetData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 "/>
      <sheetName val="PRESUPUESTO H. Jaramillo"/>
      <sheetName val="PRESUPUESTO Caminos de Maraya"/>
      <sheetName val="PRESUPUESTO Olivar"/>
      <sheetName val="Factor Prestacional"/>
      <sheetName val="APU"/>
      <sheetName val="Mano de Obra"/>
      <sheetName val="Analisis de AU"/>
      <sheetName val="Insumos-Equipo M_L"/>
      <sheetName val="Insumos"/>
    </sheetNames>
    <sheetDataSet>
      <sheetData sheetId="0"/>
      <sheetData sheetId="1"/>
      <sheetData sheetId="2"/>
      <sheetData sheetId="3"/>
      <sheetData sheetId="4">
        <row r="27">
          <cell r="B27">
            <v>0.75667246153846135</v>
          </cell>
        </row>
      </sheetData>
      <sheetData sheetId="5"/>
      <sheetData sheetId="6">
        <row r="7">
          <cell r="A7" t="str">
            <v>A</v>
          </cell>
          <cell r="B7" t="str">
            <v>Ayudante</v>
          </cell>
          <cell r="C7" t="str">
            <v>día</v>
          </cell>
          <cell r="D7">
            <v>76122</v>
          </cell>
          <cell r="E7">
            <v>1300000</v>
          </cell>
          <cell r="F7">
            <v>0.75667246153846135</v>
          </cell>
          <cell r="G7">
            <v>2283674</v>
          </cell>
        </row>
        <row r="8">
          <cell r="A8" t="str">
            <v>AP</v>
          </cell>
          <cell r="B8" t="str">
            <v>Ayudante práctico</v>
          </cell>
          <cell r="C8" t="str">
            <v>día</v>
          </cell>
          <cell r="D8">
            <v>91347</v>
          </cell>
          <cell r="E8">
            <v>1560000</v>
          </cell>
          <cell r="F8">
            <v>0.75667246153846135</v>
          </cell>
          <cell r="G8">
            <v>2740409</v>
          </cell>
        </row>
        <row r="9">
          <cell r="A9" t="str">
            <v>O</v>
          </cell>
          <cell r="B9" t="str">
            <v>Oficial</v>
          </cell>
          <cell r="C9" t="str">
            <v>día</v>
          </cell>
          <cell r="D9">
            <v>137020</v>
          </cell>
          <cell r="E9">
            <v>2340000</v>
          </cell>
          <cell r="F9">
            <v>0.75667246153846135</v>
          </cell>
          <cell r="G9">
            <v>4110614</v>
          </cell>
        </row>
        <row r="10">
          <cell r="A10" t="str">
            <v>CA</v>
          </cell>
          <cell r="B10" t="str">
            <v>Cadenero 1</v>
          </cell>
          <cell r="C10" t="str">
            <v>día</v>
          </cell>
          <cell r="D10">
            <v>114184</v>
          </cell>
          <cell r="E10">
            <v>1950000</v>
          </cell>
          <cell r="F10">
            <v>0.75667246153846135</v>
          </cell>
          <cell r="G10">
            <v>3425511</v>
          </cell>
        </row>
        <row r="11">
          <cell r="A11" t="str">
            <v>MO</v>
          </cell>
          <cell r="B11" t="str">
            <v>Maestro de obra</v>
          </cell>
          <cell r="C11" t="str">
            <v>día</v>
          </cell>
          <cell r="D11">
            <v>168366</v>
          </cell>
          <cell r="E11">
            <v>3250000</v>
          </cell>
          <cell r="F11">
            <v>0.55414999999999959</v>
          </cell>
          <cell r="G11">
            <v>5050988</v>
          </cell>
        </row>
        <row r="12">
          <cell r="A12" t="str">
            <v>MI</v>
          </cell>
          <cell r="B12" t="str">
            <v>Minero</v>
          </cell>
          <cell r="C12" t="str">
            <v>día</v>
          </cell>
          <cell r="D12">
            <v>168366</v>
          </cell>
          <cell r="E12">
            <v>3250000</v>
          </cell>
          <cell r="F12">
            <v>0.55414999999999959</v>
          </cell>
          <cell r="G12">
            <v>5050988</v>
          </cell>
        </row>
        <row r="13">
          <cell r="A13" t="str">
            <v>OE</v>
          </cell>
          <cell r="B13" t="str">
            <v>Oficial eléctrico</v>
          </cell>
          <cell r="C13" t="str">
            <v>día</v>
          </cell>
          <cell r="D13">
            <v>152245</v>
          </cell>
          <cell r="E13">
            <v>2600000</v>
          </cell>
          <cell r="F13">
            <v>0.75667246153846135</v>
          </cell>
          <cell r="G13">
            <v>4567348</v>
          </cell>
        </row>
        <row r="14">
          <cell r="A14" t="str">
            <v>OP</v>
          </cell>
          <cell r="B14" t="str">
            <v>Oficial pintor</v>
          </cell>
          <cell r="C14" t="str">
            <v>día</v>
          </cell>
          <cell r="D14">
            <v>121796</v>
          </cell>
          <cell r="E14">
            <v>2080000</v>
          </cell>
          <cell r="F14">
            <v>0.75667246153846135</v>
          </cell>
          <cell r="G14">
            <v>3653879</v>
          </cell>
        </row>
        <row r="15">
          <cell r="A15" t="str">
            <v>Oper</v>
          </cell>
          <cell r="B15" t="str">
            <v>Oficial Perforación</v>
          </cell>
          <cell r="C15" t="str">
            <v>día</v>
          </cell>
          <cell r="D15">
            <v>152245</v>
          </cell>
          <cell r="E15">
            <v>2600000</v>
          </cell>
          <cell r="F15">
            <v>0.75667246153846135</v>
          </cell>
          <cell r="G15">
            <v>4567348</v>
          </cell>
        </row>
        <row r="16">
          <cell r="A16" t="str">
            <v>OL</v>
          </cell>
          <cell r="B16" t="str">
            <v>Oficial landazor de concreto</v>
          </cell>
          <cell r="C16" t="str">
            <v>dia</v>
          </cell>
          <cell r="D16">
            <v>152245</v>
          </cell>
          <cell r="E16">
            <v>2600000</v>
          </cell>
          <cell r="F16">
            <v>0.75667246153846135</v>
          </cell>
          <cell r="G16">
            <v>4567348</v>
          </cell>
        </row>
        <row r="17">
          <cell r="A17" t="str">
            <v>OM</v>
          </cell>
          <cell r="B17" t="str">
            <v>Operador de maquinaria</v>
          </cell>
          <cell r="C17" t="str">
            <v>día</v>
          </cell>
          <cell r="D17">
            <v>137020</v>
          </cell>
          <cell r="E17">
            <v>2340000</v>
          </cell>
          <cell r="F17">
            <v>0.75667246153846135</v>
          </cell>
          <cell r="G17">
            <v>4110614</v>
          </cell>
        </row>
        <row r="18">
          <cell r="A18" t="str">
            <v>SOL</v>
          </cell>
          <cell r="B18" t="str">
            <v>Soldador</v>
          </cell>
          <cell r="C18" t="str">
            <v>día</v>
          </cell>
          <cell r="D18">
            <v>137020</v>
          </cell>
          <cell r="E18">
            <v>2340000</v>
          </cell>
          <cell r="F18">
            <v>0.75667246153846135</v>
          </cell>
          <cell r="G18">
            <v>4110614</v>
          </cell>
        </row>
        <row r="19">
          <cell r="A19" t="str">
            <v>TOP</v>
          </cell>
          <cell r="B19" t="str">
            <v>Topógrafo</v>
          </cell>
          <cell r="C19" t="str">
            <v>día</v>
          </cell>
          <cell r="D19">
            <v>235713</v>
          </cell>
          <cell r="E19">
            <v>4550000</v>
          </cell>
          <cell r="F19">
            <v>0.55414999999999959</v>
          </cell>
          <cell r="G19">
            <v>7071383</v>
          </cell>
        </row>
        <row r="20">
          <cell r="A20" t="str">
            <v>PSO</v>
          </cell>
          <cell r="B20" t="str">
            <v>Profesional en salud ocupacional</v>
          </cell>
          <cell r="C20" t="str">
            <v>día</v>
          </cell>
          <cell r="D20">
            <v>188570</v>
          </cell>
          <cell r="E20">
            <v>3640000</v>
          </cell>
          <cell r="F20">
            <v>0.55414999999999959</v>
          </cell>
          <cell r="G20">
            <v>5657106</v>
          </cell>
        </row>
        <row r="21">
          <cell r="A21" t="str">
            <v>C 1O+1A</v>
          </cell>
          <cell r="B21" t="str">
            <v>Cuadrilla  A 1 Of +1 Ay  (jornal + prestaciones)</v>
          </cell>
          <cell r="C21" t="str">
            <v>día</v>
          </cell>
          <cell r="D21">
            <v>213143</v>
          </cell>
          <cell r="E21">
            <v>3640000</v>
          </cell>
          <cell r="F21"/>
          <cell r="G21">
            <v>6394288</v>
          </cell>
        </row>
        <row r="22">
          <cell r="A22" t="str">
            <v>C 1O+2A</v>
          </cell>
          <cell r="B22" t="str">
            <v>Cuadrilla B 1 Of + 2 Ay (jornal + prestaciones)</v>
          </cell>
          <cell r="C22" t="str">
            <v>día</v>
          </cell>
          <cell r="D22">
            <v>289265</v>
          </cell>
          <cell r="E22">
            <v>4940000</v>
          </cell>
          <cell r="F22"/>
          <cell r="G22">
            <v>8677962</v>
          </cell>
        </row>
        <row r="23">
          <cell r="A23" t="str">
            <v>C 1O+4A</v>
          </cell>
          <cell r="B23" t="str">
            <v>Cuadrilla C 1 Of + 4 Ay (jornal + prestaciones)</v>
          </cell>
          <cell r="C23" t="str">
            <v>día</v>
          </cell>
          <cell r="D23">
            <v>441510</v>
          </cell>
          <cell r="E23">
            <v>7540000</v>
          </cell>
          <cell r="F23"/>
          <cell r="G23">
            <v>13245310</v>
          </cell>
        </row>
        <row r="24">
          <cell r="A24" t="str">
            <v>C 2O+4A</v>
          </cell>
          <cell r="B24" t="str">
            <v>Cuadrilla D 2 Of + 4 Ay (jornal + prestaciones)</v>
          </cell>
          <cell r="C24" t="str">
            <v>día</v>
          </cell>
          <cell r="D24">
            <v>578531</v>
          </cell>
          <cell r="E24">
            <v>9880000</v>
          </cell>
          <cell r="F24"/>
          <cell r="G24">
            <v>17355924</v>
          </cell>
        </row>
        <row r="25">
          <cell r="A25" t="str">
            <v>C 4A</v>
          </cell>
          <cell r="B25" t="str">
            <v>Cuadrilla E 4 Ay (jornal + prestaciones)</v>
          </cell>
          <cell r="C25" t="str">
            <v>día</v>
          </cell>
          <cell r="D25">
            <v>304490</v>
          </cell>
          <cell r="E25">
            <v>5200000</v>
          </cell>
          <cell r="F25"/>
          <cell r="G25">
            <v>9134696</v>
          </cell>
        </row>
        <row r="26">
          <cell r="A26" t="str">
            <v>C 1OE+1A</v>
          </cell>
          <cell r="B26" t="str">
            <v>Cuadrilla F 1 Of eléctrico+1Ay (jornal + prestaciones)</v>
          </cell>
          <cell r="C26" t="str">
            <v>día</v>
          </cell>
          <cell r="D26">
            <v>228367</v>
          </cell>
          <cell r="E26">
            <v>3900000</v>
          </cell>
          <cell r="F26"/>
          <cell r="G26">
            <v>6851022</v>
          </cell>
        </row>
        <row r="27">
          <cell r="A27" t="str">
            <v>C 1OE+2A</v>
          </cell>
          <cell r="B27" t="str">
            <v>Cuadrilla G 1 Of eléctrico+2Ay  (jornal + prestaciones)</v>
          </cell>
          <cell r="C27" t="str">
            <v>día</v>
          </cell>
          <cell r="D27">
            <v>304490</v>
          </cell>
          <cell r="E27">
            <v>5200000</v>
          </cell>
          <cell r="F27"/>
          <cell r="G27">
            <v>9134696</v>
          </cell>
        </row>
        <row r="28">
          <cell r="A28" t="str">
            <v>C 1SOL+1AP</v>
          </cell>
          <cell r="B28" t="str">
            <v>Cuadrilla H (1Sold.+1Ay práctico) (jornal + prestaciones)</v>
          </cell>
          <cell r="C28" t="str">
            <v>día</v>
          </cell>
          <cell r="D28">
            <v>228367</v>
          </cell>
          <cell r="E28">
            <v>3900000</v>
          </cell>
          <cell r="F28"/>
          <cell r="G28">
            <v>6851023</v>
          </cell>
        </row>
        <row r="29">
          <cell r="A29" t="str">
            <v>C 2OL+2AP</v>
          </cell>
          <cell r="B29" t="str">
            <v>Cuadrilla K 2 Of lanzador + 2Ap ( jornal + prestaciones)</v>
          </cell>
          <cell r="C29" t="str">
            <v>dia</v>
          </cell>
          <cell r="D29">
            <v>487184</v>
          </cell>
          <cell r="E29">
            <v>8320000</v>
          </cell>
          <cell r="F29"/>
          <cell r="G29">
            <v>14615514</v>
          </cell>
        </row>
        <row r="30">
          <cell r="A30" t="str">
            <v>PT</v>
          </cell>
          <cell r="B30" t="str">
            <v>Paletero</v>
          </cell>
          <cell r="C30" t="str">
            <v>Día</v>
          </cell>
          <cell r="D30">
            <v>76122</v>
          </cell>
          <cell r="E30">
            <v>1300000</v>
          </cell>
          <cell r="F30">
            <v>0.75667246153846135</v>
          </cell>
          <cell r="G30">
            <v>2283674</v>
          </cell>
        </row>
        <row r="31">
          <cell r="A31" t="str">
            <v>CT</v>
          </cell>
          <cell r="B31" t="str">
            <v>Controlador de Transito</v>
          </cell>
          <cell r="C31" t="str">
            <v>Día</v>
          </cell>
          <cell r="D31">
            <v>91347</v>
          </cell>
          <cell r="E31">
            <v>1560000</v>
          </cell>
          <cell r="F31">
            <v>0.75667246153846135</v>
          </cell>
          <cell r="G31">
            <v>2740409</v>
          </cell>
        </row>
        <row r="32">
          <cell r="A32" t="str">
            <v>C 2A</v>
          </cell>
          <cell r="B32" t="str">
            <v>Cuadrilla I (Dos  ayudantes) (jornal + prestaciones)</v>
          </cell>
          <cell r="C32" t="str">
            <v>Día</v>
          </cell>
          <cell r="D32">
            <v>135540</v>
          </cell>
          <cell r="E32">
            <v>2600000</v>
          </cell>
          <cell r="F32"/>
          <cell r="G32">
            <v>4066190</v>
          </cell>
        </row>
        <row r="33">
          <cell r="A33" t="str">
            <v>C 1O+3A</v>
          </cell>
          <cell r="B33" t="str">
            <v>Cuadrilla C 1 Of + 3 Ay (jornal + prestaciones)</v>
          </cell>
          <cell r="C33" t="str">
            <v>Día</v>
          </cell>
          <cell r="D33">
            <v>365388</v>
          </cell>
          <cell r="E33">
            <v>6240000</v>
          </cell>
          <cell r="F33"/>
          <cell r="G33">
            <v>10961636</v>
          </cell>
        </row>
        <row r="34">
          <cell r="A34" t="str">
            <v>C 1 Ofper+1AP+3A</v>
          </cell>
          <cell r="B34" t="str">
            <v>Cuadrilla J 1of per+1AP+3Ay (jornal + prestaciones)</v>
          </cell>
          <cell r="C34" t="str">
            <v>Día</v>
          </cell>
          <cell r="D34">
            <v>471959</v>
          </cell>
          <cell r="E34">
            <v>8060000</v>
          </cell>
          <cell r="F34"/>
          <cell r="G34">
            <v>14158779</v>
          </cell>
        </row>
        <row r="36">
          <cell r="A36" t="str">
            <v>SEG PRIV</v>
          </cell>
          <cell r="B36" t="str">
            <v xml:space="preserve">Servicio de Escolta Vigilancia  Privada </v>
          </cell>
          <cell r="C36" t="str">
            <v>Día</v>
          </cell>
          <cell r="D36">
            <v>113422.22222222223</v>
          </cell>
          <cell r="E36">
            <v>10208000</v>
          </cell>
          <cell r="F36"/>
          <cell r="G36"/>
        </row>
      </sheetData>
      <sheetData sheetId="7"/>
      <sheetData sheetId="8">
        <row r="2">
          <cell r="A2" t="str">
            <v>I00970</v>
          </cell>
          <cell r="B2" t="str">
            <v>Tabla común cepillada 3,00 x 0,20 x 0,02 mts</v>
          </cell>
          <cell r="C2" t="str">
            <v>Un</v>
          </cell>
          <cell r="D2">
            <v>17845</v>
          </cell>
        </row>
        <row r="3">
          <cell r="A3" t="str">
            <v>I01059</v>
          </cell>
          <cell r="B3" t="str">
            <v>Teja ondulada de fibrocemento</v>
          </cell>
          <cell r="C3" t="str">
            <v>m2</v>
          </cell>
          <cell r="D3">
            <v>29130.237652901782</v>
          </cell>
        </row>
        <row r="4">
          <cell r="A4" t="str">
            <v>CTMJ1</v>
          </cell>
          <cell r="B4" t="str">
            <v>Guadua basa longitud promedio = 5 m</v>
          </cell>
          <cell r="C4" t="str">
            <v>Un</v>
          </cell>
          <cell r="D4">
            <v>9450</v>
          </cell>
        </row>
        <row r="5">
          <cell r="A5" t="str">
            <v>I00860</v>
          </cell>
          <cell r="B5" t="str">
            <v>Puntilla (promedio)</v>
          </cell>
          <cell r="C5" t="str">
            <v>Lb</v>
          </cell>
          <cell r="D5">
            <v>3031.8986745000002</v>
          </cell>
        </row>
        <row r="6">
          <cell r="A6" t="str">
            <v>I00059</v>
          </cell>
          <cell r="B6" t="str">
            <v>Afirmado</v>
          </cell>
          <cell r="C6" t="str">
            <v>m3</v>
          </cell>
          <cell r="D6">
            <v>48375</v>
          </cell>
        </row>
        <row r="7">
          <cell r="A7" t="str">
            <v>I00142</v>
          </cell>
          <cell r="B7" t="str">
            <v>Bisagra de aluminio 3"</v>
          </cell>
          <cell r="C7" t="str">
            <v>Un</v>
          </cell>
          <cell r="D7">
            <v>4745.5805340000006</v>
          </cell>
        </row>
        <row r="8">
          <cell r="A8" t="str">
            <v>CTMJ2</v>
          </cell>
          <cell r="B8" t="str">
            <v>Delineadores plásticos grado diamante</v>
          </cell>
          <cell r="C8" t="str">
            <v>Un</v>
          </cell>
          <cell r="D8">
            <v>75006.536773500004</v>
          </cell>
        </row>
        <row r="9">
          <cell r="A9" t="str">
            <v>I00115</v>
          </cell>
          <cell r="B9" t="str">
            <v xml:space="preserve">Arena </v>
          </cell>
          <cell r="C9" t="str">
            <v>m3</v>
          </cell>
          <cell r="D9">
            <v>86000</v>
          </cell>
        </row>
        <row r="10">
          <cell r="A10" t="str">
            <v>CTMJ3</v>
          </cell>
          <cell r="B10" t="str">
            <v>Listón común 3,00 x 0,04 x 0,04 mts</v>
          </cell>
          <cell r="C10" t="str">
            <v>Un</v>
          </cell>
          <cell r="D10">
            <v>8400</v>
          </cell>
        </row>
        <row r="11">
          <cell r="A11" t="str">
            <v>CTMJ4</v>
          </cell>
          <cell r="B11" t="str">
            <v>Guadua sobrebasa</v>
          </cell>
          <cell r="C11" t="str">
            <v>Un</v>
          </cell>
          <cell r="D11">
            <v>10500</v>
          </cell>
        </row>
        <row r="12">
          <cell r="A12" t="str">
            <v>CTMJ5</v>
          </cell>
          <cell r="B12" t="str">
            <v>Varilla esqueleto fina</v>
          </cell>
          <cell r="C12" t="str">
            <v>Un</v>
          </cell>
          <cell r="D12">
            <v>3150</v>
          </cell>
        </row>
        <row r="13">
          <cell r="A13" t="str">
            <v>I01064</v>
          </cell>
          <cell r="B13" t="str">
            <v>Tela de cerramiento a = 2,10 m (rollo por 100 m)</v>
          </cell>
          <cell r="C13" t="str">
            <v>m2</v>
          </cell>
          <cell r="D13">
            <v>2456.375</v>
          </cell>
        </row>
        <row r="14">
          <cell r="A14" t="str">
            <v>I01313</v>
          </cell>
          <cell r="B14" t="str">
            <v>Volqueta 7 m3</v>
          </cell>
          <cell r="C14" t="str">
            <v>Hr</v>
          </cell>
          <cell r="D14">
            <v>74149.69584375</v>
          </cell>
        </row>
        <row r="15">
          <cell r="A15" t="str">
            <v>I00428</v>
          </cell>
          <cell r="B15" t="str">
            <v>Estopa</v>
          </cell>
          <cell r="C15" t="str">
            <v>Un</v>
          </cell>
          <cell r="D15">
            <v>1800</v>
          </cell>
        </row>
        <row r="16">
          <cell r="A16" t="str">
            <v>I01260</v>
          </cell>
          <cell r="B16" t="str">
            <v>Valla Banner Full Color</v>
          </cell>
          <cell r="C16" t="str">
            <v>m2</v>
          </cell>
          <cell r="D16">
            <v>46137.588524999999</v>
          </cell>
        </row>
        <row r="17">
          <cell r="A17" t="str">
            <v>I01144</v>
          </cell>
          <cell r="B17" t="str">
            <v>Tubería galvanizada Ø=2" espesor 2,95 mm</v>
          </cell>
          <cell r="C17" t="str">
            <v>m</v>
          </cell>
          <cell r="D17">
            <v>56573.471643749996</v>
          </cell>
        </row>
        <row r="18">
          <cell r="A18" t="str">
            <v>I00685</v>
          </cell>
          <cell r="B18" t="str">
            <v>Material para subbase Tipo INVIAS</v>
          </cell>
          <cell r="C18" t="str">
            <v>m3</v>
          </cell>
          <cell r="D18">
            <v>86000</v>
          </cell>
        </row>
        <row r="19">
          <cell r="A19" t="str">
            <v>I01390</v>
          </cell>
          <cell r="B19" t="str">
            <v>Ensayo densidad en campo</v>
          </cell>
          <cell r="C19" t="str">
            <v>Un</v>
          </cell>
          <cell r="D19">
            <v>75296.544472800015</v>
          </cell>
        </row>
        <row r="20">
          <cell r="A20" t="str">
            <v>I00337-1</v>
          </cell>
          <cell r="B20" t="str">
            <v>Concreto premezclado de 24,5 MPa (3500 psi)  As 4"</v>
          </cell>
          <cell r="C20" t="str">
            <v>m3</v>
          </cell>
          <cell r="D20">
            <v>614040</v>
          </cell>
        </row>
        <row r="21">
          <cell r="A21" t="str">
            <v>CTMJ6</v>
          </cell>
          <cell r="B21" t="str">
            <v>Guadua sobrebasa L=3.2 m</v>
          </cell>
          <cell r="C21" t="str">
            <v>Un</v>
          </cell>
          <cell r="D21">
            <v>7350</v>
          </cell>
        </row>
        <row r="22">
          <cell r="A22" t="str">
            <v>I00110</v>
          </cell>
          <cell r="B22" t="str">
            <v>Antisol blanco</v>
          </cell>
          <cell r="C22" t="str">
            <v>Kg</v>
          </cell>
          <cell r="D22">
            <v>7432.1064029700001</v>
          </cell>
        </row>
        <row r="23">
          <cell r="A23" t="str">
            <v>CTCMP1</v>
          </cell>
          <cell r="B23" t="str">
            <v>Piedra de mano</v>
          </cell>
          <cell r="C23" t="str">
            <v>m3</v>
          </cell>
          <cell r="D23">
            <v>108722</v>
          </cell>
        </row>
        <row r="24">
          <cell r="A24" t="str">
            <v>I01143</v>
          </cell>
          <cell r="B24" t="str">
            <v>Tubería galvanizada Ø=1 1/2" espesor 2,67 mm</v>
          </cell>
          <cell r="C24" t="str">
            <v>m</v>
          </cell>
          <cell r="D24">
            <v>20284.180196697886</v>
          </cell>
        </row>
        <row r="25">
          <cell r="A25" t="str">
            <v>I00964</v>
          </cell>
          <cell r="B25" t="str">
            <v xml:space="preserve">Soldadura </v>
          </cell>
          <cell r="C25" t="str">
            <v xml:space="preserve"> kg</v>
          </cell>
          <cell r="D25">
            <v>24387.011077499999</v>
          </cell>
        </row>
        <row r="26">
          <cell r="A26" t="str">
            <v>I00581-1</v>
          </cell>
          <cell r="B26" t="str">
            <v>Lámina H.R. 1/4"</v>
          </cell>
          <cell r="C26" t="str">
            <v>m2</v>
          </cell>
          <cell r="D26">
            <v>375513.83300497499</v>
          </cell>
        </row>
        <row r="27">
          <cell r="A27" t="str">
            <v>I01097</v>
          </cell>
          <cell r="B27" t="str">
            <v>Tornillo y chazos</v>
          </cell>
          <cell r="C27" t="str">
            <v>Un</v>
          </cell>
          <cell r="D27">
            <v>1977.3252224999999</v>
          </cell>
        </row>
        <row r="28">
          <cell r="A28" t="str">
            <v>I00395</v>
          </cell>
          <cell r="B28" t="str">
            <v xml:space="preserve">Disolvente Esmalte </v>
          </cell>
          <cell r="C28" t="str">
            <v>Lt</v>
          </cell>
          <cell r="D28">
            <v>7645.6575269999994</v>
          </cell>
        </row>
        <row r="29">
          <cell r="A29" t="str">
            <v>I00800</v>
          </cell>
          <cell r="B29" t="str">
            <v xml:space="preserve">Pintura esmalte </v>
          </cell>
          <cell r="C29" t="str">
            <v>Gl</v>
          </cell>
          <cell r="D29">
            <v>53915.0677335</v>
          </cell>
        </row>
        <row r="30">
          <cell r="A30" t="str">
            <v>I00496</v>
          </cell>
          <cell r="B30" t="str">
            <v>Grava triturada de cantera Ø max 3/4"</v>
          </cell>
          <cell r="C30" t="str">
            <v>m3</v>
          </cell>
          <cell r="D30">
            <v>102187.34999999999</v>
          </cell>
        </row>
        <row r="31">
          <cell r="A31" t="str">
            <v>I00061</v>
          </cell>
          <cell r="B31" t="str">
            <v xml:space="preserve">Agua </v>
          </cell>
          <cell r="C31" t="str">
            <v>Lt</v>
          </cell>
          <cell r="D31">
            <v>13.182168149999999</v>
          </cell>
        </row>
        <row r="32">
          <cell r="A32" t="str">
            <v>I00221-1</v>
          </cell>
          <cell r="B32" t="str">
            <v xml:space="preserve">Cemento gris </v>
          </cell>
          <cell r="C32" t="str">
            <v>KG</v>
          </cell>
          <cell r="D32">
            <v>650</v>
          </cell>
        </row>
        <row r="33">
          <cell r="A33" t="str">
            <v>CTHO1</v>
          </cell>
          <cell r="B33" t="str">
            <v>Acero de Fy = 60.000 psi d&gt;1/4</v>
          </cell>
          <cell r="C33" t="str">
            <v>Kg</v>
          </cell>
          <cell r="D33">
            <v>6296.2749999999996</v>
          </cell>
        </row>
        <row r="34">
          <cell r="A34" t="str">
            <v>I00080</v>
          </cell>
          <cell r="B34" t="str">
            <v>Alambre negro calibre 18</v>
          </cell>
          <cell r="C34" t="str">
            <v>Kg</v>
          </cell>
          <cell r="D34">
            <v>10900</v>
          </cell>
        </row>
        <row r="35">
          <cell r="A35" t="str">
            <v>I01374</v>
          </cell>
          <cell r="B35" t="str">
            <v>Acero Estructural A36</v>
          </cell>
          <cell r="C35" t="str">
            <v>kg</v>
          </cell>
          <cell r="D35">
            <v>15480</v>
          </cell>
        </row>
        <row r="36">
          <cell r="A36" t="str">
            <v>I00338</v>
          </cell>
          <cell r="B36" t="str">
            <v>Concreto premezclado de 27,6 MPa (4000 psi)  As 6"</v>
          </cell>
          <cell r="C36" t="str">
            <v>m3</v>
          </cell>
          <cell r="D36">
            <v>645000</v>
          </cell>
        </row>
        <row r="37">
          <cell r="A37" t="str">
            <v>I00968</v>
          </cell>
          <cell r="B37" t="str">
            <v xml:space="preserve">LAMINA METAL DECK  LAMINA 2"  CAL.16  - TIPO ACESCO O SIMILAR. </v>
          </cell>
          <cell r="C37" t="str">
            <v>M2</v>
          </cell>
          <cell r="D37">
            <v>44160.263302500003</v>
          </cell>
        </row>
        <row r="38">
          <cell r="A38" t="str">
            <v>I00920</v>
          </cell>
          <cell r="B38" t="str">
            <v>Separol o similar</v>
          </cell>
          <cell r="C38" t="str">
            <v>Kg</v>
          </cell>
          <cell r="D38">
            <v>18349.578064800004</v>
          </cell>
        </row>
        <row r="39">
          <cell r="A39" t="str">
            <v>I00410</v>
          </cell>
          <cell r="B39" t="str">
            <v>Emulsión asfáltica para imprimación</v>
          </cell>
          <cell r="C39" t="str">
            <v>Galón</v>
          </cell>
          <cell r="D39">
            <v>17268.640276499998</v>
          </cell>
        </row>
        <row r="40">
          <cell r="A40" t="str">
            <v>I00702</v>
          </cell>
          <cell r="B40" t="str">
            <v>Mezcla asfáltica MDC 19 (Incluye Transporte)</v>
          </cell>
          <cell r="C40" t="str">
            <v>m3</v>
          </cell>
          <cell r="D40">
            <v>767553.76249999995</v>
          </cell>
        </row>
        <row r="41">
          <cell r="A41" t="str">
            <v>I00861</v>
          </cell>
          <cell r="B41" t="str">
            <v>Puntilla 2" y 2 1/2"</v>
          </cell>
          <cell r="C41" t="str">
            <v>lb</v>
          </cell>
          <cell r="D41">
            <v>3031.8986745000002</v>
          </cell>
        </row>
        <row r="42">
          <cell r="A42" t="str">
            <v>I01291</v>
          </cell>
          <cell r="B42" t="str">
            <v>Varillón de sajo</v>
          </cell>
          <cell r="C42" t="str">
            <v>m</v>
          </cell>
          <cell r="D42">
            <v>2420.24607234</v>
          </cell>
        </row>
        <row r="43">
          <cell r="A43" t="str">
            <v>I00268</v>
          </cell>
          <cell r="B43" t="str">
            <v>Cinta en PVC O - 22</v>
          </cell>
          <cell r="C43" t="str">
            <v>m</v>
          </cell>
          <cell r="D43">
            <v>51410.455784999998</v>
          </cell>
        </row>
        <row r="44">
          <cell r="A44" t="str">
            <v>I00793</v>
          </cell>
          <cell r="B44" t="str">
            <v>Piedra media zonga</v>
          </cell>
          <cell r="C44" t="str">
            <v>m3</v>
          </cell>
          <cell r="D44">
            <v>102187.34999999999</v>
          </cell>
        </row>
        <row r="45">
          <cell r="A45" t="str">
            <v>I00451</v>
          </cell>
          <cell r="B45" t="str">
            <v>Fluidificante para concretos</v>
          </cell>
          <cell r="C45" t="str">
            <v>Kg</v>
          </cell>
          <cell r="D45">
            <v>10545.73452</v>
          </cell>
        </row>
        <row r="46">
          <cell r="A46" t="str">
            <v>I00545</v>
          </cell>
          <cell r="B46" t="str">
            <v>Impermeabilizante para concreto</v>
          </cell>
          <cell r="C46" t="str">
            <v>Kg</v>
          </cell>
          <cell r="D46">
            <v>19773.252225</v>
          </cell>
        </row>
        <row r="47">
          <cell r="A47" t="str">
            <v>E0039-1</v>
          </cell>
          <cell r="B47" t="str">
            <v>Retroexcavadora con martillo</v>
          </cell>
          <cell r="C47" t="str">
            <v>hora</v>
          </cell>
          <cell r="D47">
            <v>252625</v>
          </cell>
        </row>
        <row r="48">
          <cell r="A48" t="str">
            <v>I00640</v>
          </cell>
          <cell r="B48" t="str">
            <v>Llave de paso tipo Red White de 1/2"</v>
          </cell>
          <cell r="C48" t="str">
            <v>Un</v>
          </cell>
          <cell r="D48">
            <v>49354.037553600007</v>
          </cell>
        </row>
        <row r="49">
          <cell r="A49" t="str">
            <v>I01198</v>
          </cell>
          <cell r="B49" t="str">
            <v>Tubería PVC presión de 1/2" rde   9</v>
          </cell>
          <cell r="C49" t="str">
            <v>m</v>
          </cell>
          <cell r="D49">
            <v>4340.0091605850002</v>
          </cell>
        </row>
        <row r="50">
          <cell r="A50" t="str">
            <v>I00881</v>
          </cell>
          <cell r="B50" t="str">
            <v>Registro de corte de 1/2"</v>
          </cell>
          <cell r="C50" t="str">
            <v>Un</v>
          </cell>
          <cell r="D50">
            <v>32135.48951607</v>
          </cell>
        </row>
        <row r="51">
          <cell r="A51" t="str">
            <v>I00632</v>
          </cell>
          <cell r="B51" t="str">
            <v>Limpiador removedor PVC 1/4 Galón</v>
          </cell>
          <cell r="C51" t="str">
            <v>Un</v>
          </cell>
          <cell r="D51">
            <v>53971.751056545007</v>
          </cell>
        </row>
        <row r="52">
          <cell r="A52" t="str">
            <v>I00961</v>
          </cell>
          <cell r="B52" t="str">
            <v>Soldadura liquida para PVC 1/4 galón</v>
          </cell>
          <cell r="C52" t="str">
            <v>Un</v>
          </cell>
          <cell r="D52">
            <v>111935.06262891002</v>
          </cell>
        </row>
        <row r="53">
          <cell r="A53" t="str">
            <v>I00267</v>
          </cell>
          <cell r="B53" t="str">
            <v>Cinta de teflón 30 m</v>
          </cell>
          <cell r="C53" t="str">
            <v>Un</v>
          </cell>
          <cell r="D53">
            <v>3427.3637189999999</v>
          </cell>
        </row>
        <row r="54">
          <cell r="A54" t="str">
            <v>I00510</v>
          </cell>
          <cell r="B54" t="str">
            <v>Grouting 20.7 MPa</v>
          </cell>
          <cell r="C54" t="str">
            <v>m3</v>
          </cell>
          <cell r="D54">
            <v>688109.17743000004</v>
          </cell>
        </row>
        <row r="55">
          <cell r="A55" t="str">
            <v>I-1</v>
          </cell>
          <cell r="B55" t="str">
            <v>Tubería ø 1" de acero de calibre 40 sin costura</v>
          </cell>
          <cell r="C55" t="str">
            <v>M</v>
          </cell>
          <cell r="D55">
            <v>322500</v>
          </cell>
        </row>
        <row r="56">
          <cell r="A56" t="str">
            <v>I-2</v>
          </cell>
          <cell r="B56" t="str">
            <v>Espiral con aletas de 1" e= 1/8"</v>
          </cell>
          <cell r="C56" t="str">
            <v>M</v>
          </cell>
          <cell r="D56">
            <v>322500</v>
          </cell>
        </row>
        <row r="57">
          <cell r="A57" t="str">
            <v>I01172</v>
          </cell>
          <cell r="B57" t="str">
            <v>Tubería PVC Aguas Lluvias Ø=3"</v>
          </cell>
          <cell r="C57" t="str">
            <v>m</v>
          </cell>
          <cell r="D57">
            <v>10941.199564500001</v>
          </cell>
        </row>
        <row r="58">
          <cell r="A58" t="str">
            <v>I00483</v>
          </cell>
          <cell r="B58" t="str">
            <v>Geotextil NT 1600 a = 3.5 m</v>
          </cell>
          <cell r="C58" t="str">
            <v>m2</v>
          </cell>
          <cell r="D58">
            <v>5272.86726</v>
          </cell>
        </row>
        <row r="59">
          <cell r="A59" t="str">
            <v>I00979</v>
          </cell>
          <cell r="B59" t="str">
            <v>Tablero formaleta 70*140</v>
          </cell>
          <cell r="C59" t="str">
            <v>Dia</v>
          </cell>
          <cell r="D59">
            <v>467.96696932500004</v>
          </cell>
        </row>
        <row r="60">
          <cell r="A60" t="str">
            <v>CTMJ7</v>
          </cell>
          <cell r="B60" t="str">
            <v>Guadua cepa L=4.8 m</v>
          </cell>
          <cell r="C60" t="str">
            <v>Un</v>
          </cell>
          <cell r="D60">
            <v>10500</v>
          </cell>
        </row>
        <row r="61">
          <cell r="A61" t="str">
            <v>CTMJ8</v>
          </cell>
          <cell r="B61" t="str">
            <v>Cuartón de sajo 2" x 4" x 2,9 m</v>
          </cell>
          <cell r="C61" t="str">
            <v>m</v>
          </cell>
          <cell r="D61">
            <v>4200</v>
          </cell>
        </row>
        <row r="62">
          <cell r="A62" t="str">
            <v>I00485</v>
          </cell>
          <cell r="B62" t="str">
            <v>Geotextil tejido (Mayor igual) ≥ 2.400 a = 3,85 m</v>
          </cell>
          <cell r="C62" t="str">
            <v>m2</v>
          </cell>
          <cell r="D62">
            <v>8627.7290541750008</v>
          </cell>
        </row>
        <row r="63">
          <cell r="A63" t="str">
            <v>I01071</v>
          </cell>
          <cell r="B63" t="str">
            <v>Tierra transportada cargada con equipo pesado</v>
          </cell>
          <cell r="C63" t="str">
            <v>m3</v>
          </cell>
          <cell r="D63">
            <v>30130.670057142859</v>
          </cell>
        </row>
        <row r="64">
          <cell r="A64" t="str">
            <v>I00426</v>
          </cell>
          <cell r="B64" t="str">
            <v>Grapas de anclaje varilla 3/8"</v>
          </cell>
          <cell r="C64" t="str">
            <v>kg</v>
          </cell>
          <cell r="D64">
            <v>8469.9249999999993</v>
          </cell>
        </row>
        <row r="65">
          <cell r="A65" t="str">
            <v>I-3</v>
          </cell>
          <cell r="B65" t="str">
            <v>Geomanto sintetico en poliester</v>
          </cell>
          <cell r="C65" t="str">
            <v>m2</v>
          </cell>
          <cell r="D65">
            <v>18812.5</v>
          </cell>
        </row>
        <row r="66">
          <cell r="A66" t="str">
            <v>ICABBR</v>
          </cell>
          <cell r="B66" t="str">
            <v>Cable acero de baja relajación de 1/2" para unión de micro hexapodos</v>
          </cell>
          <cell r="C66" t="str">
            <v>m</v>
          </cell>
          <cell r="D66">
            <v>30100</v>
          </cell>
        </row>
        <row r="67">
          <cell r="A67" t="str">
            <v>IVAR1</v>
          </cell>
          <cell r="B67" t="str">
            <v>Varilla roscada de diametro 1"</v>
          </cell>
          <cell r="C67" t="str">
            <v>Un</v>
          </cell>
          <cell r="D67">
            <v>162411</v>
          </cell>
        </row>
        <row r="68">
          <cell r="A68" t="str">
            <v>IAROE</v>
          </cell>
          <cell r="B68" t="str">
            <v>Aro electrosoldado</v>
          </cell>
          <cell r="C68" t="str">
            <v>Un</v>
          </cell>
          <cell r="D68">
            <v>43000</v>
          </cell>
        </row>
        <row r="69">
          <cell r="A69" t="str">
            <v>IROSC</v>
          </cell>
          <cell r="B69" t="str">
            <v>Rosca diametro 1"</v>
          </cell>
          <cell r="C69" t="str">
            <v>Un</v>
          </cell>
          <cell r="D69">
            <v>12900</v>
          </cell>
        </row>
        <row r="70">
          <cell r="A70" t="str">
            <v>CTTOX1</v>
          </cell>
          <cell r="B70" t="str">
            <v xml:space="preserve">Aditivo acelerante Sigunit L54 </v>
          </cell>
          <cell r="C70" t="str">
            <v>Kg</v>
          </cell>
          <cell r="D70">
            <v>9728.6424999999999</v>
          </cell>
        </row>
        <row r="71">
          <cell r="A71">
            <v>14.077</v>
          </cell>
          <cell r="B71" t="str">
            <v>SALIDA TOMA CORRIENTE GENERAL  (Un)</v>
          </cell>
          <cell r="C71" t="str">
            <v>und</v>
          </cell>
          <cell r="D71">
            <v>43450</v>
          </cell>
        </row>
        <row r="72">
          <cell r="A72">
            <v>14.073</v>
          </cell>
          <cell r="B72" t="str">
            <v>SALIDA ELEC.ALUMBRADO INCANDES  (Un)</v>
          </cell>
          <cell r="C72" t="str">
            <v>und</v>
          </cell>
          <cell r="D72">
            <v>407890</v>
          </cell>
        </row>
        <row r="73">
          <cell r="A73" t="str">
            <v>CTPIE1</v>
          </cell>
          <cell r="B73" t="str">
            <v>Piedra media songa (1")</v>
          </cell>
          <cell r="C73" t="str">
            <v>m3</v>
          </cell>
          <cell r="D73">
            <v>91375</v>
          </cell>
        </row>
        <row r="74">
          <cell r="A74" t="str">
            <v>CTFFS1</v>
          </cell>
          <cell r="B74" t="str">
            <v>Tuberia PVC corrugada perforada de 100mm(4") m</v>
          </cell>
          <cell r="C74" t="str">
            <v>und</v>
          </cell>
          <cell r="D74">
            <v>18274.104166666668</v>
          </cell>
        </row>
        <row r="75">
          <cell r="A75"/>
          <cell r="B75"/>
          <cell r="C75"/>
          <cell r="D75"/>
        </row>
        <row r="76">
          <cell r="A76"/>
          <cell r="B76" t="str">
            <v>EQUIPO</v>
          </cell>
          <cell r="C76"/>
          <cell r="D76"/>
        </row>
        <row r="77">
          <cell r="A77" t="str">
            <v>CTFH1</v>
          </cell>
          <cell r="B77" t="str">
            <v>Cortadora con operario y disco de corte</v>
          </cell>
          <cell r="C77" t="str">
            <v>Día</v>
          </cell>
          <cell r="D77">
            <v>315000</v>
          </cell>
        </row>
        <row r="78">
          <cell r="A78" t="str">
            <v>E0039</v>
          </cell>
          <cell r="B78" t="str">
            <v>Retroexcavadora (Excavadora para W en tierra)</v>
          </cell>
          <cell r="C78" t="str">
            <v>Hora</v>
          </cell>
          <cell r="D78">
            <v>225670.06192499999</v>
          </cell>
        </row>
        <row r="79">
          <cell r="A79" t="str">
            <v>E0116</v>
          </cell>
          <cell r="B79" t="str">
            <v>Molinete (base, freno y manila de 15m)</v>
          </cell>
          <cell r="C79" t="str">
            <v>Dia</v>
          </cell>
          <cell r="D79">
            <v>21500</v>
          </cell>
        </row>
        <row r="80">
          <cell r="A80" t="str">
            <v>E0009</v>
          </cell>
          <cell r="B80" t="str">
            <v>Cuña hidráulica</v>
          </cell>
          <cell r="C80" t="str">
            <v>Perforac</v>
          </cell>
          <cell r="D80">
            <v>32805.99</v>
          </cell>
        </row>
        <row r="81">
          <cell r="A81" t="str">
            <v>CTFH3</v>
          </cell>
          <cell r="B81" t="str">
            <v>Apisonador tipo canguro</v>
          </cell>
          <cell r="C81" t="str">
            <v>Día</v>
          </cell>
          <cell r="D81">
            <v>95200</v>
          </cell>
        </row>
        <row r="82">
          <cell r="A82" t="str">
            <v>E0063</v>
          </cell>
          <cell r="B82" t="str">
            <v>Motoniveladora</v>
          </cell>
          <cell r="C82" t="str">
            <v>Hora</v>
          </cell>
          <cell r="D82">
            <v>198316.11502500001</v>
          </cell>
        </row>
        <row r="83">
          <cell r="A83" t="str">
            <v>E0064</v>
          </cell>
          <cell r="B83" t="str">
            <v>Cilindro compactador vibrador Dynapac</v>
          </cell>
          <cell r="C83" t="str">
            <v>Hora</v>
          </cell>
          <cell r="D83">
            <v>118250</v>
          </cell>
        </row>
        <row r="84">
          <cell r="A84" t="str">
            <v>E0003</v>
          </cell>
          <cell r="B84" t="str">
            <v>Carrotanque agua</v>
          </cell>
          <cell r="C84" t="str">
            <v>Hora</v>
          </cell>
          <cell r="D84">
            <v>96750</v>
          </cell>
        </row>
        <row r="85">
          <cell r="A85" t="str">
            <v>E0046</v>
          </cell>
          <cell r="B85" t="str">
            <v>Transporte a escombrera</v>
          </cell>
          <cell r="C85" t="str">
            <v>m3-Km</v>
          </cell>
          <cell r="D85">
            <v>1227.4349999999999</v>
          </cell>
        </row>
        <row r="86">
          <cell r="A86" t="str">
            <v>E0067</v>
          </cell>
          <cell r="B86" t="str">
            <v>Compresor pintura</v>
          </cell>
          <cell r="C86" t="str">
            <v>Día</v>
          </cell>
          <cell r="D86">
            <v>39835.844999999994</v>
          </cell>
        </row>
        <row r="87">
          <cell r="A87" t="str">
            <v>E0016</v>
          </cell>
          <cell r="B87" t="str">
            <v xml:space="preserve">Equipo para soldadura eléctrica </v>
          </cell>
          <cell r="C87" t="str">
            <v>Día</v>
          </cell>
          <cell r="D87">
            <v>69629.040000000008</v>
          </cell>
        </row>
        <row r="88">
          <cell r="A88" t="str">
            <v>E0097</v>
          </cell>
          <cell r="B88" t="str">
            <v>Formaleta cónica para caissons</v>
          </cell>
          <cell r="C88" t="str">
            <v>Día</v>
          </cell>
          <cell r="D88">
            <v>22551.3285</v>
          </cell>
        </row>
        <row r="89">
          <cell r="A89" t="str">
            <v>E0049</v>
          </cell>
          <cell r="B89" t="str">
            <v>Vibrador eléctrico para concreto</v>
          </cell>
          <cell r="C89" t="str">
            <v>Día</v>
          </cell>
          <cell r="D89">
            <v>50458.737000000001</v>
          </cell>
        </row>
        <row r="90">
          <cell r="A90" t="str">
            <v>E0031</v>
          </cell>
          <cell r="B90" t="str">
            <v>Mezcladora de 1 saco</v>
          </cell>
          <cell r="C90" t="str">
            <v>Día</v>
          </cell>
          <cell r="D90">
            <v>50458.737000000001</v>
          </cell>
        </row>
        <row r="91">
          <cell r="A91" t="str">
            <v>CTFH2</v>
          </cell>
          <cell r="B91" t="str">
            <v>Planta eléctrica 7000 Watts</v>
          </cell>
          <cell r="C91" t="str">
            <v>Día</v>
          </cell>
          <cell r="D91">
            <v>120500</v>
          </cell>
        </row>
        <row r="92">
          <cell r="A92" t="str">
            <v>E0036</v>
          </cell>
          <cell r="B92" t="str">
            <v>Pulidora</v>
          </cell>
          <cell r="C92" t="str">
            <v>Día</v>
          </cell>
          <cell r="D92">
            <v>50458.737000000001</v>
          </cell>
        </row>
        <row r="93">
          <cell r="A93" t="str">
            <v>E0001</v>
          </cell>
          <cell r="B93" t="str">
            <v xml:space="preserve">Andamio de tijera completo 1.5 x 1.5 x 2,3 </v>
          </cell>
          <cell r="C93" t="str">
            <v>Día</v>
          </cell>
          <cell r="D93">
            <v>1593.4338</v>
          </cell>
        </row>
        <row r="94">
          <cell r="A94" t="str">
            <v>E0041</v>
          </cell>
          <cell r="B94" t="str">
            <v>Tacos metálicos</v>
          </cell>
          <cell r="C94" t="str">
            <v>Día</v>
          </cell>
          <cell r="D94">
            <v>331.96537499999999</v>
          </cell>
        </row>
        <row r="95">
          <cell r="A95" t="str">
            <v>E0052</v>
          </cell>
          <cell r="B95" t="str">
            <v>Cercha metalica 3m</v>
          </cell>
          <cell r="C95" t="str">
            <v>Día</v>
          </cell>
          <cell r="D95">
            <v>242.13945000000001</v>
          </cell>
        </row>
        <row r="96">
          <cell r="A96" t="str">
            <v>CTMJ9</v>
          </cell>
          <cell r="B96" t="str">
            <v>Tablero de madera de 1.40x0.70</v>
          </cell>
          <cell r="C96" t="str">
            <v>Día</v>
          </cell>
          <cell r="D96">
            <v>1850</v>
          </cell>
        </row>
        <row r="97">
          <cell r="A97" t="str">
            <v>E0117</v>
          </cell>
          <cell r="B97" t="str">
            <v>Andammio multidireccional y multinivel (2,5 x 1,2 x 6)</v>
          </cell>
          <cell r="C97" t="str">
            <v>Dia</v>
          </cell>
          <cell r="D97">
            <v>109053.375</v>
          </cell>
        </row>
        <row r="98">
          <cell r="A98" t="str">
            <v>CTFH4</v>
          </cell>
          <cell r="B98" t="str">
            <v>Compresor con operario</v>
          </cell>
          <cell r="C98" t="str">
            <v>Hora</v>
          </cell>
          <cell r="D98">
            <v>120000</v>
          </cell>
        </row>
        <row r="99">
          <cell r="A99" t="str">
            <v>E0086</v>
          </cell>
          <cell r="B99" t="str">
            <v>Carrotanque asfalto</v>
          </cell>
          <cell r="C99" t="str">
            <v>Hora</v>
          </cell>
          <cell r="D99">
            <v>118168.51499999998</v>
          </cell>
        </row>
        <row r="100">
          <cell r="A100" t="str">
            <v>E0096</v>
          </cell>
          <cell r="B100" t="str">
            <v>Finisher (pavimentadora) con operario incluye transporte</v>
          </cell>
          <cell r="C100" t="str">
            <v>Hora</v>
          </cell>
          <cell r="D100">
            <v>170925</v>
          </cell>
        </row>
        <row r="101">
          <cell r="A101" t="str">
            <v>E0065</v>
          </cell>
          <cell r="B101" t="str">
            <v>Compactador sellador de asfalto en llantas</v>
          </cell>
          <cell r="C101" t="str">
            <v>Hora</v>
          </cell>
          <cell r="D101">
            <v>118250</v>
          </cell>
        </row>
        <row r="102">
          <cell r="A102" t="str">
            <v>E0066</v>
          </cell>
          <cell r="B102" t="str">
            <v>Terminador de asfalto</v>
          </cell>
          <cell r="C102" t="str">
            <v>Hora</v>
          </cell>
          <cell r="D102">
            <v>119044.42499999999</v>
          </cell>
        </row>
        <row r="103">
          <cell r="A103" t="str">
            <v>E0025</v>
          </cell>
          <cell r="B103" t="str">
            <v>Formaleta metálica para pavimento L=2 mts</v>
          </cell>
          <cell r="C103" t="str">
            <v>Día</v>
          </cell>
          <cell r="D103">
            <v>2257.3645500000002</v>
          </cell>
        </row>
        <row r="104">
          <cell r="A104" t="str">
            <v>E0024</v>
          </cell>
          <cell r="B104" t="str">
            <v>Formaleta metálica muros</v>
          </cell>
          <cell r="C104" t="str">
            <v>m2_DÍa</v>
          </cell>
          <cell r="D104">
            <v>1673.7749999999999</v>
          </cell>
        </row>
        <row r="105">
          <cell r="A105" t="str">
            <v>E0072</v>
          </cell>
          <cell r="B105" t="str">
            <v>Barreno para dren mecanico</v>
          </cell>
          <cell r="C105" t="str">
            <v>Día</v>
          </cell>
          <cell r="D105">
            <v>200853</v>
          </cell>
        </row>
        <row r="106">
          <cell r="A106" t="str">
            <v>E0039</v>
          </cell>
          <cell r="B106" t="str">
            <v>Retroexcavadora sobre oruga tipo 200</v>
          </cell>
          <cell r="C106" t="str">
            <v>Hora</v>
          </cell>
          <cell r="D106">
            <v>268750</v>
          </cell>
        </row>
        <row r="107">
          <cell r="A107" t="str">
            <v>E0030</v>
          </cell>
          <cell r="B107" t="str">
            <v>Martillo rotopercutor</v>
          </cell>
          <cell r="C107" t="str">
            <v>día</v>
          </cell>
          <cell r="D107">
            <v>83151.25</v>
          </cell>
        </row>
        <row r="108">
          <cell r="A108" t="str">
            <v>EPERF</v>
          </cell>
          <cell r="B108" t="str">
            <v xml:space="preserve">Equipo de perforación </v>
          </cell>
          <cell r="C108" t="str">
            <v>Hr</v>
          </cell>
          <cell r="D108">
            <v>510625</v>
          </cell>
        </row>
        <row r="109">
          <cell r="A109" t="str">
            <v>ECENTR</v>
          </cell>
          <cell r="B109" t="str">
            <v>Centralizador</v>
          </cell>
          <cell r="C109" t="str">
            <v>un</v>
          </cell>
          <cell r="D109">
            <v>53750</v>
          </cell>
        </row>
        <row r="110">
          <cell r="A110" t="str">
            <v>EINYEC</v>
          </cell>
          <cell r="B110" t="str">
            <v>Equipo de Inyección + accesorios</v>
          </cell>
          <cell r="C110" t="str">
            <v>dia</v>
          </cell>
          <cell r="D110">
            <v>225750</v>
          </cell>
        </row>
        <row r="111">
          <cell r="A111" t="str">
            <v>ETANQ</v>
          </cell>
          <cell r="B111" t="str">
            <v xml:space="preserve">tanque mezclador </v>
          </cell>
          <cell r="C111" t="str">
            <v>dia</v>
          </cell>
          <cell r="D111">
            <v>172000</v>
          </cell>
        </row>
        <row r="112">
          <cell r="A112" t="str">
            <v>E0064</v>
          </cell>
          <cell r="B112" t="str">
            <v>Cilindro compactador vibrador Dynapac</v>
          </cell>
          <cell r="C112" t="str">
            <v>Hora</v>
          </cell>
          <cell r="D112">
            <v>118250</v>
          </cell>
        </row>
        <row r="113">
          <cell r="A113" t="str">
            <v>E0051</v>
          </cell>
          <cell r="B113" t="str">
            <v>Arnes con eslinga</v>
          </cell>
          <cell r="C113" t="str">
            <v>Día</v>
          </cell>
          <cell r="D113">
            <v>13278.615</v>
          </cell>
        </row>
        <row r="114">
          <cell r="A114" t="str">
            <v>ESNUC</v>
          </cell>
          <cell r="B114" t="str">
            <v>Equipo sacanúcleos para concreto reforzado</v>
          </cell>
          <cell r="C114" t="str">
            <v>Día</v>
          </cell>
          <cell r="D114">
            <v>209625</v>
          </cell>
        </row>
        <row r="115">
          <cell r="A115" t="str">
            <v>AUTCON</v>
          </cell>
          <cell r="B115" t="str">
            <v>Autobomba de concreto</v>
          </cell>
          <cell r="C115" t="str">
            <v>m3</v>
          </cell>
          <cell r="D115">
            <v>53549.996249999997</v>
          </cell>
        </row>
        <row r="116">
          <cell r="A116" t="str">
            <v>CTMV1</v>
          </cell>
          <cell r="B116" t="str">
            <v>Retroexcavadora sobre oruga tipo 200</v>
          </cell>
          <cell r="C116" t="str">
            <v>Hora</v>
          </cell>
          <cell r="D116">
            <v>295601</v>
          </cell>
        </row>
        <row r="117">
          <cell r="A117" t="str">
            <v>CTCEM1</v>
          </cell>
          <cell r="B117" t="str">
            <v>Concreto proyectado f´c 4000psi, grava 1/2" asent 6"</v>
          </cell>
          <cell r="C117" t="str">
            <v>M3</v>
          </cell>
          <cell r="D117">
            <v>763250</v>
          </cell>
        </row>
        <row r="118">
          <cell r="A118" t="str">
            <v>CTGUT1</v>
          </cell>
          <cell r="B118" t="str">
            <v>Gunitadora de concreto por via humeda 33Kw</v>
          </cell>
          <cell r="C118" t="str">
            <v>Hora</v>
          </cell>
          <cell r="D118">
            <v>195650</v>
          </cell>
        </row>
        <row r="119">
          <cell r="A119" t="str">
            <v>CTBOM1</v>
          </cell>
          <cell r="B119" t="str">
            <v xml:space="preserve">Bomba de lanzado </v>
          </cell>
          <cell r="C119" t="str">
            <v>Hora</v>
          </cell>
          <cell r="D119">
            <v>98040</v>
          </cell>
        </row>
        <row r="120">
          <cell r="A120" t="str">
            <v>CTEYE1</v>
          </cell>
          <cell r="B120" t="str">
            <v>Andamio colgante</v>
          </cell>
          <cell r="C120" t="str">
            <v>un</v>
          </cell>
          <cell r="D120">
            <v>4759.9924999999994</v>
          </cell>
        </row>
        <row r="121">
          <cell r="A121" t="str">
            <v>CTEYE2</v>
          </cell>
          <cell r="B121" t="str">
            <v>Plataforma de andamio colgante</v>
          </cell>
          <cell r="C121" t="str">
            <v>un</v>
          </cell>
          <cell r="D121">
            <v>16125</v>
          </cell>
        </row>
        <row r="122">
          <cell r="A122" t="str">
            <v>TRAN1</v>
          </cell>
          <cell r="B122" t="str">
            <v>Transporte de concreto</v>
          </cell>
          <cell r="C122" t="str">
            <v>m3-km</v>
          </cell>
          <cell r="D122">
            <v>2257.5</v>
          </cell>
        </row>
        <row r="123">
          <cell r="A123" t="str">
            <v>CTLIN1</v>
          </cell>
          <cell r="B123" t="str">
            <v>Linea de vida 20m</v>
          </cell>
          <cell r="C123" t="str">
            <v>un</v>
          </cell>
          <cell r="D123">
            <v>261800</v>
          </cell>
        </row>
        <row r="124">
          <cell r="A124" t="str">
            <v>CTESL1</v>
          </cell>
          <cell r="B124" t="str">
            <v>Eslinga de absorcion en Y</v>
          </cell>
          <cell r="C124" t="str">
            <v>un</v>
          </cell>
          <cell r="D124">
            <v>261800</v>
          </cell>
        </row>
        <row r="125">
          <cell r="A125" t="str">
            <v>CTARN1</v>
          </cell>
          <cell r="B125" t="str">
            <v>Arnes</v>
          </cell>
          <cell r="C125" t="str">
            <v>un</v>
          </cell>
          <cell r="D125">
            <v>130900</v>
          </cell>
        </row>
        <row r="126">
          <cell r="A126" t="str">
            <v>ESY001</v>
          </cell>
          <cell r="B126" t="str">
            <v>Ensayo de resistencia concretos</v>
          </cell>
          <cell r="C126" t="str">
            <v>un</v>
          </cell>
          <cell r="D126">
            <v>9281.9999999999982</v>
          </cell>
        </row>
        <row r="127">
          <cell r="A127" t="str">
            <v>CTMAN1</v>
          </cell>
          <cell r="B127" t="str">
            <v>Manguera de lanzado</v>
          </cell>
          <cell r="C127" t="str">
            <v>hora</v>
          </cell>
          <cell r="D127">
            <v>15265</v>
          </cell>
        </row>
        <row r="128">
          <cell r="A128" t="str">
            <v>CTCOM1</v>
          </cell>
          <cell r="B128" t="str">
            <v>Compresor SULLAIR</v>
          </cell>
          <cell r="C128" t="str">
            <v>hora</v>
          </cell>
          <cell r="D128">
            <v>79166.7</v>
          </cell>
        </row>
        <row r="129">
          <cell r="A129" t="str">
            <v>CTROT1</v>
          </cell>
          <cell r="B129" t="str">
            <v>Euipo de perforacion (rotomartillo)</v>
          </cell>
          <cell r="C129" t="str">
            <v>dia</v>
          </cell>
          <cell r="D129">
            <v>370875</v>
          </cell>
        </row>
        <row r="130">
          <cell r="A130"/>
          <cell r="B130"/>
          <cell r="C130"/>
          <cell r="D130"/>
        </row>
        <row r="131">
          <cell r="A131"/>
          <cell r="B131"/>
          <cell r="C131"/>
          <cell r="D131"/>
        </row>
        <row r="132">
          <cell r="A132"/>
          <cell r="B132"/>
          <cell r="C132"/>
          <cell r="D132"/>
        </row>
        <row r="133">
          <cell r="A133"/>
          <cell r="B133" t="str">
            <v>CONCRETO</v>
          </cell>
          <cell r="C133"/>
          <cell r="D133"/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</row>
        <row r="135">
          <cell r="A135">
            <v>0</v>
          </cell>
          <cell r="B135" t="str">
            <v>CONCRETO</v>
          </cell>
          <cell r="C135">
            <v>0</v>
          </cell>
          <cell r="D135">
            <v>0</v>
          </cell>
        </row>
      </sheetData>
      <sheetData sheetId="9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H. Jaramillo"/>
      <sheetName val="PRESUPUESTO Caminos de Maraya"/>
      <sheetName val="PRESUPUESTO Olivar"/>
      <sheetName val="RESUMEN  "/>
      <sheetName val="APU"/>
      <sheetName val="Factor Prestacional"/>
      <sheetName val="Mano de Obra"/>
      <sheetName val="Analisis de AU"/>
      <sheetName val="Insumos-Equipo M_L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A7" t="str">
            <v>A</v>
          </cell>
          <cell r="B7" t="str">
            <v>Ayudante</v>
          </cell>
          <cell r="C7" t="str">
            <v>día</v>
          </cell>
          <cell r="D7">
            <v>76122</v>
          </cell>
          <cell r="E7">
            <v>1300000</v>
          </cell>
          <cell r="F7">
            <v>0.75667246153846135</v>
          </cell>
          <cell r="G7">
            <v>2283674</v>
          </cell>
        </row>
        <row r="8">
          <cell r="A8" t="str">
            <v>AP</v>
          </cell>
          <cell r="B8" t="str">
            <v>Ayudante práctico</v>
          </cell>
          <cell r="C8" t="str">
            <v>día</v>
          </cell>
          <cell r="D8">
            <v>91347</v>
          </cell>
          <cell r="E8">
            <v>1560000</v>
          </cell>
          <cell r="F8">
            <v>0.75667246153846135</v>
          </cell>
          <cell r="G8">
            <v>2740409</v>
          </cell>
        </row>
        <row r="9">
          <cell r="A9" t="str">
            <v>O</v>
          </cell>
          <cell r="B9" t="str">
            <v>Oficial</v>
          </cell>
          <cell r="C9" t="str">
            <v>día</v>
          </cell>
          <cell r="D9">
            <v>137020</v>
          </cell>
          <cell r="E9">
            <v>2340000</v>
          </cell>
          <cell r="F9">
            <v>0.75667246153846135</v>
          </cell>
          <cell r="G9">
            <v>4110614</v>
          </cell>
        </row>
        <row r="10">
          <cell r="A10" t="str">
            <v>CA</v>
          </cell>
          <cell r="B10" t="str">
            <v>Cadenero 1</v>
          </cell>
          <cell r="C10" t="str">
            <v>día</v>
          </cell>
          <cell r="D10">
            <v>114184</v>
          </cell>
          <cell r="E10">
            <v>1950000</v>
          </cell>
          <cell r="F10">
            <v>0.75667246153846135</v>
          </cell>
          <cell r="G10">
            <v>3425511</v>
          </cell>
        </row>
        <row r="11">
          <cell r="A11" t="str">
            <v>MO</v>
          </cell>
          <cell r="B11" t="str">
            <v>Maestro de obra</v>
          </cell>
          <cell r="C11" t="str">
            <v>día</v>
          </cell>
          <cell r="D11">
            <v>168366</v>
          </cell>
          <cell r="E11">
            <v>3250000</v>
          </cell>
          <cell r="F11">
            <v>0.55414999999999959</v>
          </cell>
          <cell r="G11">
            <v>5050988</v>
          </cell>
        </row>
        <row r="12">
          <cell r="A12" t="str">
            <v>MI</v>
          </cell>
          <cell r="B12" t="str">
            <v>Minero</v>
          </cell>
          <cell r="C12" t="str">
            <v>día</v>
          </cell>
          <cell r="D12">
            <v>168366</v>
          </cell>
          <cell r="E12">
            <v>3250000</v>
          </cell>
          <cell r="F12">
            <v>0.55414999999999959</v>
          </cell>
          <cell r="G12">
            <v>5050988</v>
          </cell>
        </row>
        <row r="13">
          <cell r="A13" t="str">
            <v>OE</v>
          </cell>
          <cell r="B13" t="str">
            <v>Oficial eléctrico</v>
          </cell>
          <cell r="C13" t="str">
            <v>día</v>
          </cell>
          <cell r="D13">
            <v>152245</v>
          </cell>
          <cell r="E13">
            <v>2600000</v>
          </cell>
          <cell r="F13">
            <v>0.75667246153846135</v>
          </cell>
          <cell r="G13">
            <v>4567348</v>
          </cell>
        </row>
        <row r="14">
          <cell r="A14" t="str">
            <v>OP</v>
          </cell>
          <cell r="B14" t="str">
            <v>Oficial pintor</v>
          </cell>
          <cell r="C14" t="str">
            <v>día</v>
          </cell>
          <cell r="D14">
            <v>121796</v>
          </cell>
          <cell r="E14">
            <v>2080000</v>
          </cell>
          <cell r="F14">
            <v>0.75667246153846135</v>
          </cell>
          <cell r="G14">
            <v>3653879</v>
          </cell>
        </row>
        <row r="15">
          <cell r="A15" t="str">
            <v>Oper</v>
          </cell>
          <cell r="B15" t="str">
            <v>Oficial Perforación</v>
          </cell>
          <cell r="C15" t="str">
            <v>día</v>
          </cell>
          <cell r="D15">
            <v>152245</v>
          </cell>
          <cell r="E15">
            <v>2600000</v>
          </cell>
          <cell r="F15">
            <v>0.75667246153846135</v>
          </cell>
          <cell r="G15">
            <v>4567348</v>
          </cell>
        </row>
        <row r="16">
          <cell r="A16" t="str">
            <v>OM</v>
          </cell>
          <cell r="B16" t="str">
            <v>Operador de maquinaria</v>
          </cell>
          <cell r="C16" t="str">
            <v>día</v>
          </cell>
          <cell r="D16">
            <v>137020</v>
          </cell>
          <cell r="E16">
            <v>2340000</v>
          </cell>
          <cell r="F16">
            <v>0.75667246153846135</v>
          </cell>
          <cell r="G16">
            <v>4110614</v>
          </cell>
        </row>
        <row r="17">
          <cell r="A17" t="str">
            <v>SOL</v>
          </cell>
          <cell r="B17" t="str">
            <v>Soldador</v>
          </cell>
          <cell r="C17" t="str">
            <v>día</v>
          </cell>
          <cell r="D17">
            <v>137020</v>
          </cell>
          <cell r="E17">
            <v>2340000</v>
          </cell>
          <cell r="F17">
            <v>0.75667246153846135</v>
          </cell>
          <cell r="G17">
            <v>4110614</v>
          </cell>
        </row>
        <row r="18">
          <cell r="A18" t="str">
            <v>TOP</v>
          </cell>
          <cell r="B18" t="str">
            <v>Topógrafo</v>
          </cell>
          <cell r="C18" t="str">
            <v>día</v>
          </cell>
          <cell r="D18">
            <v>235713</v>
          </cell>
          <cell r="E18">
            <v>4550000</v>
          </cell>
          <cell r="F18">
            <v>0.55414999999999959</v>
          </cell>
          <cell r="G18">
            <v>7071383</v>
          </cell>
        </row>
        <row r="19">
          <cell r="A19" t="str">
            <v>PSO</v>
          </cell>
          <cell r="B19" t="str">
            <v>Profesional en salud ocupacional</v>
          </cell>
          <cell r="C19" t="str">
            <v>día</v>
          </cell>
          <cell r="D19">
            <v>188570</v>
          </cell>
          <cell r="E19">
            <v>3640000</v>
          </cell>
          <cell r="F19">
            <v>0.55414999999999959</v>
          </cell>
          <cell r="G19">
            <v>5657106</v>
          </cell>
        </row>
        <row r="20">
          <cell r="A20" t="str">
            <v>C 1O+1A</v>
          </cell>
          <cell r="B20" t="str">
            <v>Cuadrilla  A 1 Of +1 Ay  (jornal + prestaciones)</v>
          </cell>
          <cell r="C20" t="str">
            <v>día</v>
          </cell>
          <cell r="D20">
            <v>213143</v>
          </cell>
          <cell r="E20">
            <v>3640000</v>
          </cell>
          <cell r="F20">
            <v>0</v>
          </cell>
          <cell r="G20">
            <v>6394288</v>
          </cell>
        </row>
        <row r="21">
          <cell r="A21" t="str">
            <v>C 1O+2A</v>
          </cell>
          <cell r="B21" t="str">
            <v>Cuadrilla B 1 Of + 2 Ay (jornal + prestaciones)</v>
          </cell>
          <cell r="C21" t="str">
            <v>día</v>
          </cell>
          <cell r="D21">
            <v>289265</v>
          </cell>
          <cell r="E21">
            <v>4940000</v>
          </cell>
          <cell r="F21">
            <v>0</v>
          </cell>
          <cell r="G21">
            <v>8677962</v>
          </cell>
        </row>
        <row r="22">
          <cell r="A22" t="str">
            <v>C 1O+4A</v>
          </cell>
          <cell r="B22" t="str">
            <v>Cuadrilla C 1 Of + 4 Ay (jornal + prestaciones)</v>
          </cell>
          <cell r="C22" t="str">
            <v>día</v>
          </cell>
          <cell r="D22">
            <v>441510</v>
          </cell>
          <cell r="E22">
            <v>7540000</v>
          </cell>
          <cell r="F22">
            <v>0</v>
          </cell>
          <cell r="G22">
            <v>13245310</v>
          </cell>
        </row>
        <row r="23">
          <cell r="A23" t="str">
            <v>C 2O+4A</v>
          </cell>
          <cell r="B23" t="str">
            <v>Cuadrilla D 2 Of + 4 Ay (jornal + prestaciones)</v>
          </cell>
          <cell r="C23" t="str">
            <v>día</v>
          </cell>
          <cell r="D23">
            <v>578531</v>
          </cell>
          <cell r="E23">
            <v>9880000</v>
          </cell>
          <cell r="F23">
            <v>0</v>
          </cell>
          <cell r="G23">
            <v>17355924</v>
          </cell>
        </row>
        <row r="24">
          <cell r="A24" t="str">
            <v>C 4A</v>
          </cell>
          <cell r="B24" t="str">
            <v>Cuadrilla E 4 Ay (jornal + prestaciones)</v>
          </cell>
          <cell r="C24" t="str">
            <v>día</v>
          </cell>
          <cell r="D24">
            <v>304490</v>
          </cell>
          <cell r="E24">
            <v>5200000</v>
          </cell>
          <cell r="F24">
            <v>0</v>
          </cell>
          <cell r="G24">
            <v>9134696</v>
          </cell>
        </row>
        <row r="25">
          <cell r="A25" t="str">
            <v>C 1OE+1A</v>
          </cell>
          <cell r="B25" t="str">
            <v>Cuadrilla F 1 Of eléctrico+1Ay (jornal + prestaciones)</v>
          </cell>
          <cell r="C25" t="str">
            <v>día</v>
          </cell>
          <cell r="D25">
            <v>228367</v>
          </cell>
          <cell r="E25">
            <v>3900000</v>
          </cell>
          <cell r="F25">
            <v>0</v>
          </cell>
          <cell r="G25">
            <v>6851022</v>
          </cell>
        </row>
        <row r="26">
          <cell r="A26" t="str">
            <v>C 1OE+2A</v>
          </cell>
          <cell r="B26" t="str">
            <v>Cuadrilla G 1 Of eléctrico+2Ay  (jornal + prestaciones)</v>
          </cell>
          <cell r="C26" t="str">
            <v>día</v>
          </cell>
          <cell r="D26">
            <v>304490</v>
          </cell>
          <cell r="E26">
            <v>5200000</v>
          </cell>
          <cell r="F26">
            <v>0</v>
          </cell>
          <cell r="G26">
            <v>9134696</v>
          </cell>
        </row>
        <row r="27">
          <cell r="A27" t="str">
            <v>C 1SOL+1AP</v>
          </cell>
          <cell r="B27" t="str">
            <v>Cuadrilla H (1Sold.+1Ay práctico) (jornal + prestaciones)</v>
          </cell>
          <cell r="C27" t="str">
            <v>día</v>
          </cell>
          <cell r="D27">
            <v>228367</v>
          </cell>
          <cell r="E27">
            <v>3900000</v>
          </cell>
          <cell r="F27">
            <v>0</v>
          </cell>
          <cell r="G27">
            <v>6851023</v>
          </cell>
        </row>
        <row r="28">
          <cell r="A28" t="str">
            <v>PT</v>
          </cell>
          <cell r="B28" t="str">
            <v>Paletero</v>
          </cell>
          <cell r="C28" t="str">
            <v>Día</v>
          </cell>
          <cell r="D28">
            <v>76122</v>
          </cell>
          <cell r="E28">
            <v>1300000</v>
          </cell>
          <cell r="F28">
            <v>0.75667246153846135</v>
          </cell>
          <cell r="G28">
            <v>2283674</v>
          </cell>
        </row>
        <row r="29">
          <cell r="A29" t="str">
            <v>CT</v>
          </cell>
          <cell r="B29" t="str">
            <v>Controlador de Transito</v>
          </cell>
          <cell r="C29" t="str">
            <v>Día</v>
          </cell>
          <cell r="D29">
            <v>91347</v>
          </cell>
          <cell r="E29">
            <v>1560000</v>
          </cell>
          <cell r="F29">
            <v>0.75667246153846135</v>
          </cell>
          <cell r="G29">
            <v>2740409</v>
          </cell>
        </row>
        <row r="30">
          <cell r="A30" t="str">
            <v>C 2A</v>
          </cell>
          <cell r="B30" t="str">
            <v>Cuadrilla I (Dos  ayudantes) (jornal + prestaciones)</v>
          </cell>
          <cell r="C30" t="str">
            <v>Día</v>
          </cell>
          <cell r="D30">
            <v>135540</v>
          </cell>
          <cell r="E30">
            <v>2600000</v>
          </cell>
          <cell r="F30">
            <v>0</v>
          </cell>
          <cell r="G30">
            <v>4066190</v>
          </cell>
        </row>
        <row r="31">
          <cell r="A31" t="str">
            <v>C 1O+3A</v>
          </cell>
          <cell r="B31" t="str">
            <v>Cuadrilla C 1 Of + 3 Ay (jornal + prestaciones)</v>
          </cell>
          <cell r="C31" t="str">
            <v>Día</v>
          </cell>
          <cell r="D31">
            <v>365388</v>
          </cell>
          <cell r="E31">
            <v>6240000</v>
          </cell>
          <cell r="F31">
            <v>0</v>
          </cell>
          <cell r="G31">
            <v>10961636</v>
          </cell>
        </row>
        <row r="32">
          <cell r="A32" t="str">
            <v>C 1 Ofper+1AP+3A</v>
          </cell>
          <cell r="B32" t="str">
            <v>Cuadrilla J 1of per+1AP+3Ay (jornal + prestaciones)</v>
          </cell>
          <cell r="C32" t="str">
            <v>Día</v>
          </cell>
          <cell r="D32">
            <v>471959</v>
          </cell>
          <cell r="E32">
            <v>8060000</v>
          </cell>
          <cell r="F32">
            <v>0</v>
          </cell>
          <cell r="G32">
            <v>14158779</v>
          </cell>
        </row>
        <row r="34">
          <cell r="A34" t="str">
            <v>SEG PRIV</v>
          </cell>
          <cell r="B34" t="str">
            <v xml:space="preserve">Servicio de Escolta Vigilancia  Privada </v>
          </cell>
          <cell r="C34" t="str">
            <v>Día</v>
          </cell>
          <cell r="D34">
            <v>113422.22222222223</v>
          </cell>
          <cell r="E34">
            <v>10208000</v>
          </cell>
          <cell r="F34">
            <v>0</v>
          </cell>
          <cell r="G34">
            <v>0</v>
          </cell>
        </row>
      </sheetData>
      <sheetData sheetId="7"/>
      <sheetData sheetId="8">
        <row r="2">
          <cell r="A2" t="str">
            <v>I00970</v>
          </cell>
          <cell r="B2" t="str">
            <v>Tabla común cepillada 3,00 x 0,20 x 0,02 mts</v>
          </cell>
          <cell r="C2" t="str">
            <v>Un</v>
          </cell>
          <cell r="D2">
            <v>17845</v>
          </cell>
        </row>
        <row r="3">
          <cell r="A3" t="str">
            <v>I01059</v>
          </cell>
          <cell r="B3" t="str">
            <v>Teja ondulada de fibrocemento</v>
          </cell>
          <cell r="C3" t="str">
            <v>m2</v>
          </cell>
          <cell r="D3">
            <v>29130.237652901753</v>
          </cell>
        </row>
        <row r="4">
          <cell r="A4" t="str">
            <v>I00515</v>
          </cell>
          <cell r="B4" t="str">
            <v>Guadua basa longitud promedio = 5 m</v>
          </cell>
          <cell r="C4" t="str">
            <v>Un</v>
          </cell>
          <cell r="D4">
            <v>9450</v>
          </cell>
        </row>
        <row r="5">
          <cell r="A5" t="str">
            <v>I00860</v>
          </cell>
          <cell r="B5" t="str">
            <v>Puntilla (promedio)</v>
          </cell>
          <cell r="C5" t="str">
            <v>Lb</v>
          </cell>
          <cell r="D5">
            <v>3031.8986744999997</v>
          </cell>
        </row>
        <row r="6">
          <cell r="A6" t="str">
            <v>I00059</v>
          </cell>
          <cell r="B6" t="str">
            <v>Afirmado</v>
          </cell>
          <cell r="C6" t="str">
            <v>m3</v>
          </cell>
          <cell r="D6">
            <v>48375</v>
          </cell>
        </row>
        <row r="7">
          <cell r="A7" t="str">
            <v>I00142</v>
          </cell>
          <cell r="B7" t="str">
            <v>Bisagra de aluminio 3"</v>
          </cell>
          <cell r="C7" t="str">
            <v>Un</v>
          </cell>
          <cell r="D7">
            <v>4745.5805340000006</v>
          </cell>
        </row>
        <row r="8">
          <cell r="A8" t="str">
            <v>I00389</v>
          </cell>
          <cell r="B8" t="str">
            <v>Delineadores plásticos grado diamante</v>
          </cell>
          <cell r="C8" t="str">
            <v>Un</v>
          </cell>
          <cell r="D8">
            <v>49728</v>
          </cell>
        </row>
        <row r="9">
          <cell r="A9" t="str">
            <v>I00115</v>
          </cell>
          <cell r="B9" t="str">
            <v xml:space="preserve">Arena </v>
          </cell>
          <cell r="C9" t="str">
            <v>m3</v>
          </cell>
          <cell r="D9">
            <v>86000</v>
          </cell>
        </row>
        <row r="10">
          <cell r="A10" t="str">
            <v>I00634</v>
          </cell>
          <cell r="B10" t="str">
            <v>Listón común 3,00 x 0,04 x 0,04 mts</v>
          </cell>
          <cell r="C10" t="str">
            <v>Un</v>
          </cell>
          <cell r="D10">
            <v>8400</v>
          </cell>
        </row>
        <row r="11">
          <cell r="A11" t="str">
            <v>I00517</v>
          </cell>
          <cell r="B11" t="str">
            <v>Guadua sobrebasa</v>
          </cell>
          <cell r="C11" t="str">
            <v>Un</v>
          </cell>
          <cell r="D11">
            <v>10500</v>
          </cell>
        </row>
        <row r="12">
          <cell r="A12" t="str">
            <v>I01289</v>
          </cell>
          <cell r="B12" t="str">
            <v>Varilla esqueleto fina</v>
          </cell>
          <cell r="C12" t="str">
            <v>Un</v>
          </cell>
          <cell r="D12">
            <v>3150</v>
          </cell>
        </row>
        <row r="13">
          <cell r="A13" t="str">
            <v>I01064</v>
          </cell>
          <cell r="B13" t="str">
            <v>Tela de cerramiento a = 2,10 m (rollo por 100 m)</v>
          </cell>
          <cell r="C13" t="str">
            <v>m2</v>
          </cell>
          <cell r="D13">
            <v>2456.375</v>
          </cell>
        </row>
        <row r="14">
          <cell r="A14" t="str">
            <v>I01313</v>
          </cell>
          <cell r="B14" t="str">
            <v>Volqueta 7 m3</v>
          </cell>
          <cell r="C14" t="str">
            <v>Hr</v>
          </cell>
          <cell r="D14">
            <v>74149.69584375</v>
          </cell>
        </row>
        <row r="15">
          <cell r="A15" t="str">
            <v>I00428</v>
          </cell>
          <cell r="B15" t="str">
            <v>Estopa</v>
          </cell>
          <cell r="C15" t="str">
            <v>Un</v>
          </cell>
          <cell r="D15">
            <v>1800</v>
          </cell>
        </row>
        <row r="16">
          <cell r="A16" t="str">
            <v>I01260</v>
          </cell>
          <cell r="B16" t="str">
            <v>Valla Banner Full Color</v>
          </cell>
          <cell r="C16" t="str">
            <v>m2</v>
          </cell>
          <cell r="D16">
            <v>46137.588524999999</v>
          </cell>
        </row>
        <row r="17">
          <cell r="A17" t="str">
            <v>I01144</v>
          </cell>
          <cell r="B17" t="str">
            <v>Tubería galvanizada Ø=2" espesor 2,95 mm</v>
          </cell>
          <cell r="C17" t="str">
            <v>m</v>
          </cell>
          <cell r="D17">
            <v>56573.471643749996</v>
          </cell>
        </row>
        <row r="18">
          <cell r="A18" t="str">
            <v>I00685</v>
          </cell>
          <cell r="B18" t="str">
            <v>Material para subbase Tipo INVIAS</v>
          </cell>
          <cell r="C18" t="str">
            <v>m3</v>
          </cell>
          <cell r="D18">
            <v>86000</v>
          </cell>
        </row>
        <row r="19">
          <cell r="A19" t="str">
            <v>I01390</v>
          </cell>
          <cell r="B19" t="str">
            <v>Ensayo densidad en campo</v>
          </cell>
          <cell r="C19" t="str">
            <v>Un</v>
          </cell>
          <cell r="D19">
            <v>75296.544472800015</v>
          </cell>
        </row>
        <row r="20">
          <cell r="A20" t="str">
            <v>I00337-1</v>
          </cell>
          <cell r="B20" t="str">
            <v>Concreto premezclado de 24,5 MPa (3500 psi)  As 4"</v>
          </cell>
          <cell r="C20" t="str">
            <v>m3</v>
          </cell>
          <cell r="D20">
            <v>614040</v>
          </cell>
        </row>
        <row r="21">
          <cell r="A21" t="str">
            <v>I00518</v>
          </cell>
          <cell r="B21" t="str">
            <v>Guadua sobrebasa L=3.2 m</v>
          </cell>
          <cell r="C21" t="str">
            <v>Un</v>
          </cell>
          <cell r="D21">
            <v>7350</v>
          </cell>
        </row>
        <row r="22">
          <cell r="A22" t="str">
            <v>I00110</v>
          </cell>
          <cell r="B22" t="str">
            <v>Antisol blanco</v>
          </cell>
          <cell r="C22" t="str">
            <v>Kg</v>
          </cell>
          <cell r="D22">
            <v>7432.1064029700001</v>
          </cell>
        </row>
        <row r="23">
          <cell r="A23" t="str">
            <v>I00792</v>
          </cell>
          <cell r="B23" t="str">
            <v>Piedra de mano</v>
          </cell>
          <cell r="C23" t="str">
            <v>m3</v>
          </cell>
          <cell r="D23">
            <v>108722</v>
          </cell>
        </row>
        <row r="24">
          <cell r="A24" t="str">
            <v>I01143</v>
          </cell>
          <cell r="B24" t="str">
            <v>Tubería galvanizada Ø=1 1/2" espesor 2,67 mm</v>
          </cell>
          <cell r="C24" t="str">
            <v>m</v>
          </cell>
          <cell r="D24">
            <v>20284.180196697886</v>
          </cell>
        </row>
        <row r="25">
          <cell r="A25" t="str">
            <v>I00964</v>
          </cell>
          <cell r="B25" t="str">
            <v xml:space="preserve">Soldadura </v>
          </cell>
          <cell r="C25" t="str">
            <v xml:space="preserve"> kg</v>
          </cell>
          <cell r="D25">
            <v>24387.011077499999</v>
          </cell>
        </row>
        <row r="26">
          <cell r="A26" t="str">
            <v>I00581-1</v>
          </cell>
          <cell r="B26" t="str">
            <v>Lámina H.R. 1/4"</v>
          </cell>
          <cell r="C26" t="str">
            <v>m2</v>
          </cell>
          <cell r="D26">
            <v>375513.83300497499</v>
          </cell>
        </row>
        <row r="27">
          <cell r="A27" t="str">
            <v>I01097</v>
          </cell>
          <cell r="B27" t="str">
            <v>Tornillo y chazos</v>
          </cell>
          <cell r="C27" t="str">
            <v>Un</v>
          </cell>
          <cell r="D27">
            <v>1977.3252224999999</v>
          </cell>
        </row>
        <row r="28">
          <cell r="A28" t="str">
            <v>I00395</v>
          </cell>
          <cell r="B28" t="str">
            <v xml:space="preserve">Disolvente Esmalte </v>
          </cell>
          <cell r="C28" t="str">
            <v>Lt</v>
          </cell>
          <cell r="D28">
            <v>7645.6575269999994</v>
          </cell>
        </row>
        <row r="29">
          <cell r="A29" t="str">
            <v>I00800</v>
          </cell>
          <cell r="B29" t="str">
            <v xml:space="preserve">Pintura esmalte </v>
          </cell>
          <cell r="C29" t="str">
            <v>Gl</v>
          </cell>
          <cell r="D29">
            <v>53915.0677335</v>
          </cell>
        </row>
        <row r="30">
          <cell r="A30" t="str">
            <v>I00496</v>
          </cell>
          <cell r="B30" t="str">
            <v>Grava triturada de cantera Ø max 3/4"</v>
          </cell>
          <cell r="C30" t="str">
            <v>m3</v>
          </cell>
          <cell r="D30">
            <v>102187.34999999999</v>
          </cell>
        </row>
        <row r="31">
          <cell r="A31" t="str">
            <v>I00061</v>
          </cell>
          <cell r="B31" t="str">
            <v xml:space="preserve">Agua </v>
          </cell>
          <cell r="C31" t="str">
            <v>Lt</v>
          </cell>
          <cell r="D31">
            <v>13.182168149999999</v>
          </cell>
        </row>
        <row r="32">
          <cell r="A32" t="str">
            <v>I00221-1</v>
          </cell>
          <cell r="B32" t="str">
            <v xml:space="preserve">Cemento gris </v>
          </cell>
          <cell r="C32" t="str">
            <v>KG</v>
          </cell>
          <cell r="D32">
            <v>650</v>
          </cell>
        </row>
        <row r="33">
          <cell r="A33" t="str">
            <v>I00020</v>
          </cell>
          <cell r="B33" t="str">
            <v>Acero de Fy = 60.000 psi d&gt;1/4</v>
          </cell>
          <cell r="C33" t="str">
            <v>Kg</v>
          </cell>
          <cell r="D33">
            <v>6296.2749999999996</v>
          </cell>
        </row>
        <row r="34">
          <cell r="A34" t="str">
            <v>I00080</v>
          </cell>
          <cell r="B34" t="str">
            <v>Alambre negro calibre 18</v>
          </cell>
          <cell r="C34" t="str">
            <v>Kg</v>
          </cell>
          <cell r="D34">
            <v>10900</v>
          </cell>
        </row>
        <row r="35">
          <cell r="A35" t="str">
            <v>I01374</v>
          </cell>
          <cell r="B35" t="str">
            <v>Acero Estructural A36</v>
          </cell>
          <cell r="C35" t="str">
            <v>kg</v>
          </cell>
          <cell r="D35">
            <v>15480</v>
          </cell>
        </row>
        <row r="36">
          <cell r="A36" t="str">
            <v>I00338</v>
          </cell>
          <cell r="B36" t="str">
            <v>Concreto premezclado de 27,6 MPa (4000 psi)  As 4"</v>
          </cell>
          <cell r="C36" t="str">
            <v>m3</v>
          </cell>
          <cell r="D36">
            <v>645000</v>
          </cell>
        </row>
        <row r="37">
          <cell r="A37" t="str">
            <v>I00968</v>
          </cell>
          <cell r="B37" t="str">
            <v xml:space="preserve">LAMINA METAL DECK  LAMINA 2"  CAL.16  - TIPO ACESCO O SIMILAR. </v>
          </cell>
          <cell r="C37" t="str">
            <v>M2</v>
          </cell>
          <cell r="D37">
            <v>44160.263302500003</v>
          </cell>
        </row>
        <row r="38">
          <cell r="A38" t="str">
            <v>I00920</v>
          </cell>
          <cell r="B38" t="str">
            <v>Separol o similar</v>
          </cell>
          <cell r="C38" t="str">
            <v>Kg</v>
          </cell>
          <cell r="D38">
            <v>18349.578064800004</v>
          </cell>
        </row>
        <row r="39">
          <cell r="A39" t="str">
            <v>I00410</v>
          </cell>
          <cell r="B39" t="str">
            <v>Emulsión asfáltica para imprimación</v>
          </cell>
          <cell r="C39" t="str">
            <v>Galón</v>
          </cell>
          <cell r="D39">
            <v>17268.640276499998</v>
          </cell>
        </row>
        <row r="40">
          <cell r="A40" t="str">
            <v>I00702</v>
          </cell>
          <cell r="B40" t="str">
            <v>Mezcla asfáltica MDC 19 (Incluye Transporte)</v>
          </cell>
          <cell r="C40" t="str">
            <v>m3</v>
          </cell>
          <cell r="D40">
            <v>767553.76249999995</v>
          </cell>
        </row>
        <row r="41">
          <cell r="A41" t="str">
            <v>I00861</v>
          </cell>
          <cell r="B41" t="str">
            <v>Puntilla 2" y 2 1/2"</v>
          </cell>
          <cell r="C41" t="str">
            <v>lb</v>
          </cell>
          <cell r="D41">
            <v>3031.8986745000002</v>
          </cell>
        </row>
        <row r="42">
          <cell r="A42" t="str">
            <v>I01291</v>
          </cell>
          <cell r="B42" t="str">
            <v>Varillón de sajo</v>
          </cell>
          <cell r="C42" t="str">
            <v>m</v>
          </cell>
          <cell r="D42">
            <v>2420.24607234</v>
          </cell>
        </row>
        <row r="43">
          <cell r="A43" t="str">
            <v>I00268</v>
          </cell>
          <cell r="B43" t="str">
            <v>Cinta en PVC O - 22</v>
          </cell>
          <cell r="C43" t="str">
            <v>m</v>
          </cell>
          <cell r="D43">
            <v>51410.455784999998</v>
          </cell>
        </row>
        <row r="44">
          <cell r="A44" t="str">
            <v>I00793</v>
          </cell>
          <cell r="B44" t="str">
            <v>Piedra media zonga</v>
          </cell>
          <cell r="C44" t="str">
            <v>m3</v>
          </cell>
          <cell r="D44">
            <v>102187.34999999999</v>
          </cell>
        </row>
        <row r="45">
          <cell r="A45" t="str">
            <v>I00451</v>
          </cell>
          <cell r="B45" t="str">
            <v>Fluidificante para concretos</v>
          </cell>
          <cell r="C45" t="str">
            <v>Kg</v>
          </cell>
          <cell r="D45">
            <v>10545.73452</v>
          </cell>
        </row>
        <row r="46">
          <cell r="A46" t="str">
            <v>I00545</v>
          </cell>
          <cell r="B46" t="str">
            <v>Impermeabilizante para concreto</v>
          </cell>
          <cell r="C46" t="str">
            <v>Kg</v>
          </cell>
          <cell r="D46">
            <v>19773.252225</v>
          </cell>
        </row>
        <row r="47">
          <cell r="A47" t="str">
            <v>E0039-1</v>
          </cell>
          <cell r="B47" t="str">
            <v>Retroexcavadora con martillo</v>
          </cell>
          <cell r="C47" t="str">
            <v>hora</v>
          </cell>
          <cell r="D47">
            <v>252625</v>
          </cell>
        </row>
        <row r="48">
          <cell r="A48" t="str">
            <v>I00640</v>
          </cell>
          <cell r="B48" t="str">
            <v>Llave de paso tipo Red White de 1/2"</v>
          </cell>
          <cell r="C48" t="str">
            <v>Un</v>
          </cell>
          <cell r="D48">
            <v>49354.037553600007</v>
          </cell>
        </row>
        <row r="49">
          <cell r="A49" t="str">
            <v>I01198</v>
          </cell>
          <cell r="B49" t="str">
            <v>Tubería PVC presión de 1/2" rde   9</v>
          </cell>
          <cell r="C49" t="str">
            <v>m</v>
          </cell>
          <cell r="D49">
            <v>4340.0091605850002</v>
          </cell>
        </row>
        <row r="50">
          <cell r="A50" t="str">
            <v>I00881</v>
          </cell>
          <cell r="B50" t="str">
            <v>Registro de corte de 1/2"</v>
          </cell>
          <cell r="C50" t="str">
            <v>Un</v>
          </cell>
          <cell r="D50">
            <v>32135.48951607</v>
          </cell>
        </row>
        <row r="51">
          <cell r="A51" t="str">
            <v>I00632</v>
          </cell>
          <cell r="B51" t="str">
            <v>Limpiador removedor PVC 1/4 Galón</v>
          </cell>
          <cell r="C51" t="str">
            <v>Un</v>
          </cell>
          <cell r="D51">
            <v>53971.751056545007</v>
          </cell>
        </row>
        <row r="52">
          <cell r="A52" t="str">
            <v>I00961</v>
          </cell>
          <cell r="B52" t="str">
            <v>Soldadura liquida para PVC 1/4 galón</v>
          </cell>
          <cell r="C52" t="str">
            <v>Un</v>
          </cell>
          <cell r="D52">
            <v>111935.06262891002</v>
          </cell>
        </row>
        <row r="53">
          <cell r="A53" t="str">
            <v>I00267</v>
          </cell>
          <cell r="B53" t="str">
            <v>Cinta de teflón 30 m</v>
          </cell>
          <cell r="C53" t="str">
            <v>Un</v>
          </cell>
          <cell r="D53">
            <v>3427.3637189999999</v>
          </cell>
        </row>
        <row r="54">
          <cell r="A54" t="str">
            <v>I00510</v>
          </cell>
          <cell r="B54" t="str">
            <v>Grouting 20.7 MPa</v>
          </cell>
          <cell r="C54" t="str">
            <v>m3</v>
          </cell>
          <cell r="D54">
            <v>688109.17743000004</v>
          </cell>
        </row>
        <row r="55">
          <cell r="A55" t="str">
            <v>I-1</v>
          </cell>
          <cell r="B55" t="str">
            <v>Tubería ø 1" de acero de calibre 40 sin costura</v>
          </cell>
          <cell r="C55" t="str">
            <v>M</v>
          </cell>
          <cell r="D55">
            <v>17969</v>
          </cell>
        </row>
        <row r="56">
          <cell r="A56" t="str">
            <v>I-2</v>
          </cell>
          <cell r="B56" t="str">
            <v>Espiral con aletas de 1" e= 1/8"</v>
          </cell>
          <cell r="C56" t="str">
            <v>M</v>
          </cell>
          <cell r="D56">
            <v>3936.2820000000002</v>
          </cell>
        </row>
        <row r="57">
          <cell r="A57" t="str">
            <v>I01172</v>
          </cell>
          <cell r="B57" t="str">
            <v>Tubería PVC Aguas Lluvias Ø=3"</v>
          </cell>
          <cell r="C57" t="str">
            <v>m</v>
          </cell>
          <cell r="D57">
            <v>10941.199564500001</v>
          </cell>
        </row>
        <row r="58">
          <cell r="A58" t="str">
            <v>I00483</v>
          </cell>
          <cell r="B58" t="str">
            <v>Geotextil NT 1600 a = 3.5 m</v>
          </cell>
          <cell r="C58" t="str">
            <v>m2</v>
          </cell>
          <cell r="D58">
            <v>5272.86726</v>
          </cell>
        </row>
        <row r="59">
          <cell r="A59" t="str">
            <v>I00979</v>
          </cell>
          <cell r="B59" t="str">
            <v>Tablero formaleta 70*140</v>
          </cell>
          <cell r="C59" t="str">
            <v>Dia</v>
          </cell>
          <cell r="D59">
            <v>467.96696932500004</v>
          </cell>
        </row>
        <row r="60">
          <cell r="A60" t="str">
            <v>I00516</v>
          </cell>
          <cell r="B60" t="str">
            <v>Guadua cepa L=4.8 m</v>
          </cell>
          <cell r="C60" t="str">
            <v>Un</v>
          </cell>
          <cell r="D60">
            <v>10500</v>
          </cell>
        </row>
        <row r="61">
          <cell r="A61" t="str">
            <v>I00383</v>
          </cell>
          <cell r="B61" t="str">
            <v>Cuartón de sajo 2" x 4" x 2,9 m</v>
          </cell>
          <cell r="C61" t="str">
            <v>m</v>
          </cell>
          <cell r="D61">
            <v>4200</v>
          </cell>
        </row>
        <row r="62">
          <cell r="A62" t="str">
            <v>I00485</v>
          </cell>
          <cell r="B62" t="str">
            <v>Geotextil tejido (Mayor igual) ≥ 2.400 a = 3,85 m</v>
          </cell>
          <cell r="C62" t="str">
            <v>m2</v>
          </cell>
          <cell r="D62">
            <v>8627.7290541750008</v>
          </cell>
        </row>
        <row r="63">
          <cell r="A63" t="str">
            <v>I01071</v>
          </cell>
          <cell r="B63" t="str">
            <v>Tierra transportada cargada con equipo pesado</v>
          </cell>
          <cell r="C63" t="str">
            <v>m3</v>
          </cell>
          <cell r="D63">
            <v>30130.670057142859</v>
          </cell>
        </row>
        <row r="64">
          <cell r="A64" t="str">
            <v>I00426</v>
          </cell>
          <cell r="B64" t="str">
            <v>Grapas de anclaje varilla 3/8"</v>
          </cell>
          <cell r="C64" t="str">
            <v>kg</v>
          </cell>
          <cell r="D64">
            <v>8469.9249999999993</v>
          </cell>
        </row>
        <row r="65">
          <cell r="A65" t="str">
            <v>I-3</v>
          </cell>
          <cell r="B65" t="str">
            <v>Geomanto sintetico en poliester</v>
          </cell>
          <cell r="C65" t="str">
            <v>m2</v>
          </cell>
          <cell r="D65">
            <v>18812.5</v>
          </cell>
        </row>
        <row r="66">
          <cell r="A66" t="str">
            <v>ICABBR</v>
          </cell>
          <cell r="B66" t="str">
            <v>Cable acero de baja relajación de 1/2" para unión de hexapodos</v>
          </cell>
          <cell r="C66" t="str">
            <v>m</v>
          </cell>
          <cell r="D66">
            <v>30100</v>
          </cell>
        </row>
        <row r="67">
          <cell r="A67" t="str">
            <v>IVAR1</v>
          </cell>
          <cell r="B67" t="str">
            <v>Varilla roscada de diametro 1"</v>
          </cell>
          <cell r="C67" t="str">
            <v>Un</v>
          </cell>
          <cell r="D67">
            <v>162411</v>
          </cell>
        </row>
        <row r="68">
          <cell r="A68" t="str">
            <v>IAROE</v>
          </cell>
          <cell r="B68" t="str">
            <v>Aro electrosoldado</v>
          </cell>
          <cell r="C68" t="str">
            <v>Un</v>
          </cell>
          <cell r="D68">
            <v>43000</v>
          </cell>
        </row>
        <row r="69">
          <cell r="A69" t="str">
            <v>IROSC</v>
          </cell>
          <cell r="B69" t="str">
            <v>Rosca diametro 1"</v>
          </cell>
          <cell r="C69" t="str">
            <v>Un</v>
          </cell>
          <cell r="D69">
            <v>12900</v>
          </cell>
        </row>
        <row r="70">
          <cell r="A70" t="str">
            <v>ALMC12</v>
          </cell>
          <cell r="B70" t="str">
            <v>Alambre Galvanizado C12</v>
          </cell>
          <cell r="C70" t="str">
            <v>Kg</v>
          </cell>
          <cell r="D70">
            <v>11400</v>
          </cell>
        </row>
        <row r="71">
          <cell r="A71" t="str">
            <v>Hexapo</v>
          </cell>
          <cell r="B71" t="str">
            <v>Hexapodos de 0,70 m en concreto de 4000 psi</v>
          </cell>
          <cell r="C71" t="str">
            <v>und</v>
          </cell>
          <cell r="D71">
            <v>300130</v>
          </cell>
        </row>
        <row r="72">
          <cell r="A72" t="str">
            <v>Geom20</v>
          </cell>
          <cell r="B72" t="str">
            <v>Geomembrana 20,mils 0.5mm</v>
          </cell>
          <cell r="C72" t="str">
            <v>m2</v>
          </cell>
          <cell r="D72">
            <v>14190</v>
          </cell>
        </row>
        <row r="73">
          <cell r="A73" t="str">
            <v>MAG</v>
          </cell>
          <cell r="B73" t="str">
            <v>Malla de gallinero</v>
          </cell>
          <cell r="C73" t="str">
            <v>m2</v>
          </cell>
          <cell r="D73">
            <v>3050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</row>
        <row r="76">
          <cell r="A76">
            <v>0</v>
          </cell>
          <cell r="B76" t="str">
            <v>EQUIPO</v>
          </cell>
          <cell r="C76">
            <v>0</v>
          </cell>
          <cell r="D76">
            <v>0</v>
          </cell>
        </row>
        <row r="77">
          <cell r="A77" t="str">
            <v>E0008</v>
          </cell>
          <cell r="B77" t="str">
            <v>Cortadora con operario</v>
          </cell>
          <cell r="C77" t="str">
            <v>Día</v>
          </cell>
          <cell r="D77">
            <v>315000</v>
          </cell>
        </row>
        <row r="78">
          <cell r="A78" t="str">
            <v>E0039</v>
          </cell>
          <cell r="B78" t="str">
            <v>Retroexcavadora (Excavadora para W en tierra)</v>
          </cell>
          <cell r="C78" t="str">
            <v>Hora</v>
          </cell>
          <cell r="D78">
            <v>225670.06192499999</v>
          </cell>
        </row>
        <row r="79">
          <cell r="A79" t="str">
            <v>E0116</v>
          </cell>
          <cell r="B79" t="str">
            <v>Molinete (base, freno y manila de 15m)</v>
          </cell>
          <cell r="C79" t="str">
            <v>Dia</v>
          </cell>
          <cell r="D79">
            <v>21500</v>
          </cell>
        </row>
        <row r="80">
          <cell r="A80" t="str">
            <v>E0009</v>
          </cell>
          <cell r="B80" t="str">
            <v>Cuña hidráulica</v>
          </cell>
          <cell r="C80" t="str">
            <v>Perforac</v>
          </cell>
          <cell r="D80">
            <v>32805.99</v>
          </cell>
        </row>
        <row r="81">
          <cell r="A81" t="str">
            <v>E0002</v>
          </cell>
          <cell r="B81" t="str">
            <v>Apisonador tipo canguro</v>
          </cell>
          <cell r="C81" t="str">
            <v>Día</v>
          </cell>
          <cell r="D81">
            <v>63491.865000000005</v>
          </cell>
        </row>
        <row r="82">
          <cell r="A82" t="str">
            <v>E0063</v>
          </cell>
          <cell r="B82" t="str">
            <v>Motoniveladora</v>
          </cell>
          <cell r="C82" t="str">
            <v>Hora</v>
          </cell>
          <cell r="D82">
            <v>198316.11502500001</v>
          </cell>
        </row>
        <row r="83">
          <cell r="A83" t="str">
            <v>E0064</v>
          </cell>
          <cell r="B83" t="str">
            <v>Cilindro compactador vibrador Dynapac</v>
          </cell>
          <cell r="C83" t="str">
            <v>Hora</v>
          </cell>
          <cell r="D83">
            <v>118250</v>
          </cell>
        </row>
        <row r="84">
          <cell r="A84" t="str">
            <v>E0003</v>
          </cell>
          <cell r="B84" t="str">
            <v>Carrotanque agua</v>
          </cell>
          <cell r="C84" t="str">
            <v>Hora</v>
          </cell>
          <cell r="D84">
            <v>96750</v>
          </cell>
        </row>
        <row r="85">
          <cell r="A85" t="str">
            <v>E0046</v>
          </cell>
          <cell r="B85" t="str">
            <v>Transporte a escombrera</v>
          </cell>
          <cell r="C85" t="str">
            <v>m3-Km</v>
          </cell>
          <cell r="D85">
            <v>1227.4349999999999</v>
          </cell>
        </row>
        <row r="86">
          <cell r="A86" t="str">
            <v>E0067</v>
          </cell>
          <cell r="B86" t="str">
            <v>Compresor pintura</v>
          </cell>
          <cell r="C86" t="str">
            <v>Día</v>
          </cell>
          <cell r="D86">
            <v>39835.844999999994</v>
          </cell>
        </row>
        <row r="87">
          <cell r="A87" t="str">
            <v>E0016</v>
          </cell>
          <cell r="B87" t="str">
            <v xml:space="preserve">Equipo para soldadura eléctrica </v>
          </cell>
          <cell r="C87" t="str">
            <v>Día</v>
          </cell>
          <cell r="D87">
            <v>69629.040000000008</v>
          </cell>
        </row>
        <row r="88">
          <cell r="A88" t="str">
            <v>E0097</v>
          </cell>
          <cell r="B88" t="str">
            <v>Formaleta cónica para caissons</v>
          </cell>
          <cell r="C88" t="str">
            <v>Día</v>
          </cell>
          <cell r="D88">
            <v>22551.3285</v>
          </cell>
        </row>
        <row r="89">
          <cell r="A89" t="str">
            <v>E0049</v>
          </cell>
          <cell r="B89" t="str">
            <v>Vibrador eléctrico para concreto</v>
          </cell>
          <cell r="C89" t="str">
            <v>Día</v>
          </cell>
          <cell r="D89">
            <v>50458.737000000001</v>
          </cell>
        </row>
        <row r="90">
          <cell r="A90" t="str">
            <v>E0031</v>
          </cell>
          <cell r="B90" t="str">
            <v>Mezcladora de 1 saco</v>
          </cell>
          <cell r="C90" t="str">
            <v>Día</v>
          </cell>
          <cell r="D90">
            <v>50458.737000000001</v>
          </cell>
        </row>
        <row r="91">
          <cell r="A91" t="str">
            <v>E0034</v>
          </cell>
          <cell r="B91" t="str">
            <v>Planta electrica 7000 watts</v>
          </cell>
          <cell r="C91" t="str">
            <v>Día</v>
          </cell>
          <cell r="D91">
            <v>120500</v>
          </cell>
        </row>
        <row r="92">
          <cell r="A92" t="str">
            <v>E0036</v>
          </cell>
          <cell r="B92" t="str">
            <v>Pulidora</v>
          </cell>
          <cell r="C92" t="str">
            <v>Día</v>
          </cell>
          <cell r="D92">
            <v>50458.737000000001</v>
          </cell>
        </row>
        <row r="93">
          <cell r="A93" t="str">
            <v>E0001</v>
          </cell>
          <cell r="B93" t="str">
            <v xml:space="preserve">Andamio de tijera completo 1.5 x 1.5 x 2,3 </v>
          </cell>
          <cell r="C93" t="str">
            <v>Día</v>
          </cell>
          <cell r="D93">
            <v>1593.4338</v>
          </cell>
        </row>
        <row r="94">
          <cell r="A94" t="str">
            <v>E0041</v>
          </cell>
          <cell r="B94" t="str">
            <v>Tacos metálicos</v>
          </cell>
          <cell r="C94" t="str">
            <v>Día</v>
          </cell>
          <cell r="D94">
            <v>331.96537499999999</v>
          </cell>
        </row>
        <row r="95">
          <cell r="A95" t="str">
            <v>E0052</v>
          </cell>
          <cell r="B95" t="str">
            <v>Cercha metalica 3m</v>
          </cell>
          <cell r="C95" t="str">
            <v>Día</v>
          </cell>
          <cell r="D95">
            <v>242.13945000000001</v>
          </cell>
        </row>
        <row r="96">
          <cell r="A96" t="str">
            <v>E0053</v>
          </cell>
          <cell r="B96" t="str">
            <v>Tablero de madera de 1.40x0.70</v>
          </cell>
          <cell r="C96" t="str">
            <v>Día</v>
          </cell>
          <cell r="D96">
            <v>1850</v>
          </cell>
        </row>
        <row r="97">
          <cell r="A97" t="str">
            <v>E0117</v>
          </cell>
          <cell r="B97" t="str">
            <v>Andammio multidireccional y multinivel (2,5 x 1,2 x 6)</v>
          </cell>
          <cell r="C97" t="str">
            <v>Dia</v>
          </cell>
          <cell r="D97">
            <v>109053.375</v>
          </cell>
        </row>
        <row r="98">
          <cell r="A98" t="str">
            <v>E0006</v>
          </cell>
          <cell r="B98" t="str">
            <v>Compresor con operario</v>
          </cell>
          <cell r="C98" t="str">
            <v>Hora</v>
          </cell>
          <cell r="D98">
            <v>83711.06700000001</v>
          </cell>
        </row>
        <row r="99">
          <cell r="A99" t="str">
            <v>E0086</v>
          </cell>
          <cell r="B99" t="str">
            <v>Carrotanque asfalto</v>
          </cell>
          <cell r="C99" t="str">
            <v>Hora</v>
          </cell>
          <cell r="D99">
            <v>118168.51499999998</v>
          </cell>
        </row>
        <row r="100">
          <cell r="A100" t="str">
            <v>E0096</v>
          </cell>
          <cell r="B100" t="str">
            <v>Finisher (pavimentadora) con operario incluye transporte</v>
          </cell>
          <cell r="C100" t="str">
            <v>Hora</v>
          </cell>
          <cell r="D100">
            <v>170925</v>
          </cell>
        </row>
        <row r="101">
          <cell r="A101" t="str">
            <v>E0065</v>
          </cell>
          <cell r="B101" t="str">
            <v>Compactador sellador de asfalto en llantas</v>
          </cell>
          <cell r="C101" t="str">
            <v>Hora</v>
          </cell>
          <cell r="D101">
            <v>118250</v>
          </cell>
        </row>
        <row r="102">
          <cell r="A102" t="str">
            <v>E0066</v>
          </cell>
          <cell r="B102" t="str">
            <v>Terminador de asfalto</v>
          </cell>
          <cell r="C102" t="str">
            <v>Hora</v>
          </cell>
          <cell r="D102">
            <v>119044.42499999999</v>
          </cell>
        </row>
        <row r="103">
          <cell r="A103" t="str">
            <v>E0025</v>
          </cell>
          <cell r="B103" t="str">
            <v>Formaleta metálica para pavimento L=2 mts</v>
          </cell>
          <cell r="C103" t="str">
            <v>Día</v>
          </cell>
          <cell r="D103">
            <v>2257.3645500000002</v>
          </cell>
        </row>
        <row r="104">
          <cell r="A104" t="str">
            <v>E0024</v>
          </cell>
          <cell r="B104" t="str">
            <v>Formaleta metálica muros</v>
          </cell>
          <cell r="C104" t="str">
            <v>m2_DÍa</v>
          </cell>
          <cell r="D104">
            <v>1673.7749999999999</v>
          </cell>
        </row>
        <row r="105">
          <cell r="A105" t="str">
            <v>E0072</v>
          </cell>
          <cell r="B105" t="str">
            <v>Barreno para dren mecanico</v>
          </cell>
          <cell r="C105" t="str">
            <v>Día</v>
          </cell>
          <cell r="D105">
            <v>200853</v>
          </cell>
        </row>
        <row r="106">
          <cell r="A106" t="str">
            <v>E0039</v>
          </cell>
          <cell r="B106" t="str">
            <v xml:space="preserve">Retroexcavadora </v>
          </cell>
          <cell r="C106" t="str">
            <v>Hora</v>
          </cell>
          <cell r="D106">
            <v>225670.06192499999</v>
          </cell>
        </row>
        <row r="107">
          <cell r="A107" t="str">
            <v>E0030</v>
          </cell>
          <cell r="B107" t="str">
            <v>Martillo rotopercutor</v>
          </cell>
          <cell r="C107" t="str">
            <v>día</v>
          </cell>
          <cell r="D107">
            <v>83151.25</v>
          </cell>
        </row>
        <row r="108">
          <cell r="A108" t="str">
            <v>EPERF</v>
          </cell>
          <cell r="B108" t="str">
            <v xml:space="preserve">Equipo de perforación </v>
          </cell>
          <cell r="C108" t="str">
            <v>Hr</v>
          </cell>
          <cell r="D108">
            <v>510625</v>
          </cell>
        </row>
        <row r="109">
          <cell r="A109" t="str">
            <v>ECENTR</v>
          </cell>
          <cell r="B109" t="str">
            <v>Centralizador</v>
          </cell>
          <cell r="C109" t="str">
            <v>un</v>
          </cell>
          <cell r="D109">
            <v>53750</v>
          </cell>
        </row>
        <row r="110">
          <cell r="A110" t="str">
            <v>EINYEC</v>
          </cell>
          <cell r="B110" t="str">
            <v>Equipo de Inyección + accesorios</v>
          </cell>
          <cell r="C110" t="str">
            <v>dia</v>
          </cell>
          <cell r="D110">
            <v>225750</v>
          </cell>
        </row>
        <row r="111">
          <cell r="A111" t="str">
            <v>ETANQ</v>
          </cell>
          <cell r="B111" t="str">
            <v xml:space="preserve">tanque mezclador </v>
          </cell>
          <cell r="C111" t="str">
            <v>dia</v>
          </cell>
          <cell r="D111">
            <v>172000</v>
          </cell>
        </row>
        <row r="112">
          <cell r="A112" t="str">
            <v>E0064</v>
          </cell>
          <cell r="B112" t="str">
            <v>Cilindro compactador vibrador Dynapac</v>
          </cell>
          <cell r="C112" t="str">
            <v>Hora</v>
          </cell>
          <cell r="D112">
            <v>118250</v>
          </cell>
        </row>
        <row r="113">
          <cell r="A113" t="str">
            <v>E0051</v>
          </cell>
          <cell r="B113" t="str">
            <v>Arnes con eslinga</v>
          </cell>
          <cell r="C113" t="str">
            <v>Día</v>
          </cell>
          <cell r="D113">
            <v>13278.615</v>
          </cell>
        </row>
        <row r="114">
          <cell r="A114" t="str">
            <v>ESNUC</v>
          </cell>
          <cell r="B114" t="str">
            <v>Equipo sacanúcleos para concreto reforzado</v>
          </cell>
          <cell r="C114" t="str">
            <v>Día</v>
          </cell>
          <cell r="D114">
            <v>209625</v>
          </cell>
        </row>
        <row r="115">
          <cell r="A115" t="str">
            <v>AUTCON</v>
          </cell>
          <cell r="B115" t="str">
            <v>Autobomba de concreto</v>
          </cell>
          <cell r="C115" t="str">
            <v>m3</v>
          </cell>
          <cell r="D115">
            <v>53550</v>
          </cell>
        </row>
      </sheetData>
      <sheetData sheetId="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OLIVAR DE LOS VIENTOS"/>
      <sheetName val="I.E HUGO ANGEL JARAMILLO"/>
      <sheetName val="CAMINOS DE MARAYA"/>
      <sheetName val="APU-Rev."/>
      <sheetName val="COTIZACIONES"/>
      <sheetName val="1.01"/>
      <sheetName val="2.01"/>
      <sheetName val="2.02"/>
      <sheetName val="2.03"/>
      <sheetName val="2.04"/>
      <sheetName val="2.05"/>
      <sheetName val="2.06"/>
      <sheetName val="3,01"/>
      <sheetName val="3,02"/>
      <sheetName val="3,03"/>
      <sheetName val="3,04"/>
      <sheetName val="3,05"/>
      <sheetName val="3,06"/>
      <sheetName val="3,07"/>
      <sheetName val="3,08"/>
      <sheetName val="4,01"/>
      <sheetName val="4,02"/>
      <sheetName val="4,03"/>
      <sheetName val="4,04"/>
      <sheetName val="4,05"/>
      <sheetName val="4,06"/>
    </sheetNames>
    <sheetDataSet>
      <sheetData sheetId="0"/>
      <sheetData sheetId="1"/>
      <sheetData sheetId="2"/>
      <sheetData sheetId="3"/>
      <sheetData sheetId="4"/>
      <sheetData sheetId="5">
        <row r="34">
          <cell r="F34">
            <v>119000</v>
          </cell>
        </row>
        <row r="66">
          <cell r="F66">
            <v>10710</v>
          </cell>
        </row>
        <row r="70">
          <cell r="F70">
            <v>14637</v>
          </cell>
        </row>
        <row r="80">
          <cell r="F80">
            <v>20825</v>
          </cell>
        </row>
        <row r="83">
          <cell r="F83">
            <v>10808</v>
          </cell>
        </row>
        <row r="85">
          <cell r="F85">
            <v>890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 "/>
      <sheetName val="PRESUPUESTO H. Jaramillo"/>
      <sheetName val="PRESUPUESTO Caminos de Maraya"/>
      <sheetName val="PRESUPUESTO Olivar"/>
      <sheetName val="Factor Prestacional"/>
      <sheetName val="APU"/>
      <sheetName val="Mano de Obra"/>
      <sheetName val="Analisis de AU"/>
      <sheetName val="Insumos-Equipo M_L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A7" t="str">
            <v>A</v>
          </cell>
          <cell r="B7" t="str">
            <v>Ayudante</v>
          </cell>
          <cell r="C7" t="str">
            <v>día</v>
          </cell>
          <cell r="D7">
            <v>76122</v>
          </cell>
          <cell r="E7">
            <v>1300000</v>
          </cell>
          <cell r="F7">
            <v>0.75667246153846135</v>
          </cell>
          <cell r="G7">
            <v>2283674</v>
          </cell>
        </row>
        <row r="8">
          <cell r="A8" t="str">
            <v>AP</v>
          </cell>
          <cell r="B8" t="str">
            <v>Ayudante práctico</v>
          </cell>
          <cell r="C8" t="str">
            <v>día</v>
          </cell>
          <cell r="D8">
            <v>91347</v>
          </cell>
          <cell r="E8">
            <v>1560000</v>
          </cell>
          <cell r="F8">
            <v>0.75667246153846135</v>
          </cell>
          <cell r="G8">
            <v>2740409</v>
          </cell>
        </row>
        <row r="9">
          <cell r="A9" t="str">
            <v>O</v>
          </cell>
          <cell r="B9" t="str">
            <v>Oficial</v>
          </cell>
          <cell r="C9" t="str">
            <v>día</v>
          </cell>
          <cell r="D9">
            <v>137020</v>
          </cell>
          <cell r="E9">
            <v>2340000</v>
          </cell>
          <cell r="F9">
            <v>0.75667246153846135</v>
          </cell>
          <cell r="G9">
            <v>4110614</v>
          </cell>
        </row>
        <row r="10">
          <cell r="A10" t="str">
            <v>CA</v>
          </cell>
          <cell r="B10" t="str">
            <v>Cadenero 1</v>
          </cell>
          <cell r="C10" t="str">
            <v>día</v>
          </cell>
          <cell r="D10">
            <v>114184</v>
          </cell>
          <cell r="E10">
            <v>1950000</v>
          </cell>
          <cell r="F10">
            <v>0.75667246153846135</v>
          </cell>
          <cell r="G10">
            <v>3425511</v>
          </cell>
        </row>
        <row r="11">
          <cell r="A11" t="str">
            <v>MO</v>
          </cell>
          <cell r="B11" t="str">
            <v>Maestro de obra</v>
          </cell>
          <cell r="C11" t="str">
            <v>día</v>
          </cell>
          <cell r="D11">
            <v>168366</v>
          </cell>
          <cell r="E11">
            <v>3250000</v>
          </cell>
          <cell r="F11">
            <v>0.55414999999999959</v>
          </cell>
          <cell r="G11">
            <v>5050988</v>
          </cell>
        </row>
        <row r="12">
          <cell r="A12" t="str">
            <v>MI</v>
          </cell>
          <cell r="B12" t="str">
            <v>Minero</v>
          </cell>
          <cell r="C12" t="str">
            <v>día</v>
          </cell>
          <cell r="D12">
            <v>168366</v>
          </cell>
          <cell r="E12">
            <v>3250000</v>
          </cell>
          <cell r="F12">
            <v>0.55414999999999959</v>
          </cell>
          <cell r="G12">
            <v>5050988</v>
          </cell>
        </row>
        <row r="13">
          <cell r="A13" t="str">
            <v>OE</v>
          </cell>
          <cell r="B13" t="str">
            <v>Oficial eléctrico</v>
          </cell>
          <cell r="C13" t="str">
            <v>día</v>
          </cell>
          <cell r="D13">
            <v>152245</v>
          </cell>
          <cell r="E13">
            <v>2600000</v>
          </cell>
          <cell r="F13">
            <v>0.75667246153846135</v>
          </cell>
          <cell r="G13">
            <v>4567348</v>
          </cell>
        </row>
        <row r="14">
          <cell r="A14" t="str">
            <v>OP</v>
          </cell>
          <cell r="B14" t="str">
            <v>Oficial pintor</v>
          </cell>
          <cell r="C14" t="str">
            <v>día</v>
          </cell>
          <cell r="D14">
            <v>121796</v>
          </cell>
          <cell r="E14">
            <v>2080000</v>
          </cell>
          <cell r="F14">
            <v>0.75667246153846135</v>
          </cell>
          <cell r="G14">
            <v>3653879</v>
          </cell>
        </row>
        <row r="15">
          <cell r="A15" t="str">
            <v>Oper</v>
          </cell>
          <cell r="B15" t="str">
            <v>Oficial Perforación</v>
          </cell>
          <cell r="C15" t="str">
            <v>día</v>
          </cell>
          <cell r="D15">
            <v>152245</v>
          </cell>
          <cell r="E15">
            <v>2600000</v>
          </cell>
          <cell r="F15">
            <v>0.75667246153846135</v>
          </cell>
          <cell r="G15">
            <v>4567348</v>
          </cell>
        </row>
        <row r="16">
          <cell r="A16" t="str">
            <v>OL</v>
          </cell>
          <cell r="B16" t="str">
            <v>Oficial landazor de concreto</v>
          </cell>
          <cell r="C16" t="str">
            <v>dia</v>
          </cell>
          <cell r="D16">
            <v>152245</v>
          </cell>
          <cell r="E16">
            <v>2600000</v>
          </cell>
          <cell r="F16">
            <v>0.75667246153846135</v>
          </cell>
          <cell r="G16">
            <v>4567348</v>
          </cell>
        </row>
        <row r="17">
          <cell r="A17" t="str">
            <v>OM</v>
          </cell>
          <cell r="B17" t="str">
            <v>Operador de maquinaria</v>
          </cell>
          <cell r="C17" t="str">
            <v>día</v>
          </cell>
          <cell r="D17">
            <v>137020</v>
          </cell>
          <cell r="E17">
            <v>2340000</v>
          </cell>
          <cell r="F17">
            <v>0.75667246153846135</v>
          </cell>
          <cell r="G17">
            <v>4110614</v>
          </cell>
        </row>
        <row r="18">
          <cell r="A18" t="str">
            <v>SOL</v>
          </cell>
          <cell r="B18" t="str">
            <v>Soldador</v>
          </cell>
          <cell r="C18" t="str">
            <v>día</v>
          </cell>
          <cell r="D18">
            <v>137020</v>
          </cell>
          <cell r="E18">
            <v>2340000</v>
          </cell>
          <cell r="F18">
            <v>0.75667246153846135</v>
          </cell>
          <cell r="G18">
            <v>4110614</v>
          </cell>
        </row>
        <row r="19">
          <cell r="A19" t="str">
            <v>TOP</v>
          </cell>
          <cell r="B19" t="str">
            <v>Topógrafo</v>
          </cell>
          <cell r="C19" t="str">
            <v>día</v>
          </cell>
          <cell r="D19">
            <v>235713</v>
          </cell>
          <cell r="E19">
            <v>4550000</v>
          </cell>
          <cell r="F19">
            <v>0.55414999999999959</v>
          </cell>
          <cell r="G19">
            <v>7071383</v>
          </cell>
        </row>
        <row r="20">
          <cell r="A20" t="str">
            <v>PSO</v>
          </cell>
          <cell r="B20" t="str">
            <v>Profesional en salud ocupacional</v>
          </cell>
          <cell r="C20" t="str">
            <v>día</v>
          </cell>
          <cell r="D20">
            <v>188570</v>
          </cell>
          <cell r="E20">
            <v>3640000</v>
          </cell>
          <cell r="F20">
            <v>0.55414999999999959</v>
          </cell>
          <cell r="G20">
            <v>5657106</v>
          </cell>
        </row>
        <row r="21">
          <cell r="A21" t="str">
            <v>C 1O+1A</v>
          </cell>
          <cell r="B21" t="str">
            <v>Cuadrilla  A 1 Of +1 Ay  (jornal + prestaciones)</v>
          </cell>
          <cell r="C21" t="str">
            <v>día</v>
          </cell>
          <cell r="D21">
            <v>213143</v>
          </cell>
          <cell r="E21">
            <v>3640000</v>
          </cell>
          <cell r="F21">
            <v>0</v>
          </cell>
          <cell r="G21">
            <v>6394288</v>
          </cell>
        </row>
        <row r="22">
          <cell r="A22" t="str">
            <v>C 1O+2A</v>
          </cell>
          <cell r="B22" t="str">
            <v>Cuadrilla B 1 Of + 2 Ay (jornal + prestaciones)</v>
          </cell>
          <cell r="C22" t="str">
            <v>día</v>
          </cell>
          <cell r="D22">
            <v>289265</v>
          </cell>
          <cell r="E22">
            <v>4940000</v>
          </cell>
          <cell r="F22">
            <v>0</v>
          </cell>
          <cell r="G22">
            <v>8677962</v>
          </cell>
        </row>
        <row r="23">
          <cell r="A23" t="str">
            <v>C 1O+4A</v>
          </cell>
          <cell r="B23" t="str">
            <v>Cuadrilla C 1 Of + 4 Ay (jornal + prestaciones)</v>
          </cell>
          <cell r="C23" t="str">
            <v>día</v>
          </cell>
          <cell r="D23">
            <v>441510</v>
          </cell>
          <cell r="E23">
            <v>7540000</v>
          </cell>
          <cell r="F23">
            <v>0</v>
          </cell>
          <cell r="G23">
            <v>13245310</v>
          </cell>
        </row>
        <row r="24">
          <cell r="A24" t="str">
            <v>C 2O+4A</v>
          </cell>
          <cell r="B24" t="str">
            <v>Cuadrilla D 2 Of + 4 Ay (jornal + prestaciones)</v>
          </cell>
          <cell r="C24" t="str">
            <v>día</v>
          </cell>
          <cell r="D24">
            <v>578531</v>
          </cell>
          <cell r="E24">
            <v>9880000</v>
          </cell>
          <cell r="F24">
            <v>0</v>
          </cell>
          <cell r="G24">
            <v>17355924</v>
          </cell>
        </row>
        <row r="25">
          <cell r="A25" t="str">
            <v>C 4A</v>
          </cell>
          <cell r="B25" t="str">
            <v>Cuadrilla E 4 Ay (jornal + prestaciones)</v>
          </cell>
          <cell r="C25" t="str">
            <v>día</v>
          </cell>
          <cell r="D25">
            <v>304490</v>
          </cell>
          <cell r="E25">
            <v>5200000</v>
          </cell>
          <cell r="F25">
            <v>0</v>
          </cell>
          <cell r="G25">
            <v>9134696</v>
          </cell>
        </row>
        <row r="26">
          <cell r="A26" t="str">
            <v>C 1OE+1A</v>
          </cell>
          <cell r="B26" t="str">
            <v>Cuadrilla F 1 Of eléctrico+1Ay (jornal + prestaciones)</v>
          </cell>
          <cell r="C26" t="str">
            <v>día</v>
          </cell>
          <cell r="D26">
            <v>228367</v>
          </cell>
          <cell r="E26">
            <v>3900000</v>
          </cell>
          <cell r="F26">
            <v>0</v>
          </cell>
          <cell r="G26">
            <v>6851022</v>
          </cell>
        </row>
        <row r="27">
          <cell r="A27" t="str">
            <v>C 1OE+2A</v>
          </cell>
          <cell r="B27" t="str">
            <v>Cuadrilla G 1 Of eléctrico+2Ay  (jornal + prestaciones)</v>
          </cell>
          <cell r="C27" t="str">
            <v>día</v>
          </cell>
          <cell r="D27">
            <v>304490</v>
          </cell>
          <cell r="E27">
            <v>5200000</v>
          </cell>
          <cell r="F27">
            <v>0</v>
          </cell>
          <cell r="G27">
            <v>9134696</v>
          </cell>
        </row>
        <row r="28">
          <cell r="A28" t="str">
            <v>C 1SOL+1AP</v>
          </cell>
          <cell r="B28" t="str">
            <v>Cuadrilla H (1Sold.+1Ay práctico) (jornal + prestaciones)</v>
          </cell>
          <cell r="C28" t="str">
            <v>día</v>
          </cell>
          <cell r="D28">
            <v>228367</v>
          </cell>
          <cell r="E28">
            <v>3900000</v>
          </cell>
          <cell r="F28">
            <v>0</v>
          </cell>
          <cell r="G28">
            <v>6851023</v>
          </cell>
        </row>
        <row r="29">
          <cell r="A29" t="str">
            <v>C 2OL+2AP</v>
          </cell>
          <cell r="B29" t="str">
            <v>Cuadrilla K 2 Of lanzador + 2Ap ( jornal + prestaciones)</v>
          </cell>
          <cell r="C29" t="str">
            <v>dia</v>
          </cell>
          <cell r="D29">
            <v>487184</v>
          </cell>
          <cell r="E29">
            <v>8320000</v>
          </cell>
          <cell r="F29">
            <v>0</v>
          </cell>
          <cell r="G29">
            <v>14615514</v>
          </cell>
        </row>
        <row r="30">
          <cell r="A30" t="str">
            <v>PT</v>
          </cell>
          <cell r="B30" t="str">
            <v>Paletero</v>
          </cell>
          <cell r="C30" t="str">
            <v>Día</v>
          </cell>
          <cell r="D30">
            <v>76122</v>
          </cell>
          <cell r="E30">
            <v>1300000</v>
          </cell>
          <cell r="F30">
            <v>0.75667246153846135</v>
          </cell>
          <cell r="G30">
            <v>2283674</v>
          </cell>
        </row>
        <row r="31">
          <cell r="A31" t="str">
            <v>CT</v>
          </cell>
          <cell r="B31" t="str">
            <v>Controlador de Transito</v>
          </cell>
          <cell r="C31" t="str">
            <v>Día</v>
          </cell>
          <cell r="D31">
            <v>91347</v>
          </cell>
          <cell r="E31">
            <v>1560000</v>
          </cell>
          <cell r="F31">
            <v>0.75667246153846135</v>
          </cell>
          <cell r="G31">
            <v>2740409</v>
          </cell>
        </row>
        <row r="32">
          <cell r="A32" t="str">
            <v>C 2A</v>
          </cell>
          <cell r="B32" t="str">
            <v>Cuadrilla I (Dos  ayudantes) (jornal + prestaciones)</v>
          </cell>
          <cell r="C32" t="str">
            <v>Día</v>
          </cell>
          <cell r="D32">
            <v>135540</v>
          </cell>
          <cell r="E32">
            <v>2600000</v>
          </cell>
          <cell r="F32">
            <v>0</v>
          </cell>
          <cell r="G32">
            <v>4066190</v>
          </cell>
        </row>
        <row r="33">
          <cell r="A33" t="str">
            <v>C 1O+3A</v>
          </cell>
          <cell r="B33" t="str">
            <v>Cuadrilla C 1 Of + 3 Ay (jornal + prestaciones)</v>
          </cell>
          <cell r="C33" t="str">
            <v>Día</v>
          </cell>
          <cell r="D33">
            <v>365388</v>
          </cell>
          <cell r="E33">
            <v>6240000</v>
          </cell>
          <cell r="F33">
            <v>0</v>
          </cell>
          <cell r="G33">
            <v>10961636</v>
          </cell>
        </row>
        <row r="34">
          <cell r="A34" t="str">
            <v>C 1 Ofper+1AP+3A</v>
          </cell>
          <cell r="B34" t="str">
            <v>Cuadrilla J 1of per+1AP+3Ay (jornal + prestaciones)</v>
          </cell>
          <cell r="C34" t="str">
            <v>Día</v>
          </cell>
          <cell r="D34">
            <v>471959</v>
          </cell>
          <cell r="E34">
            <v>8060000</v>
          </cell>
          <cell r="F34">
            <v>0</v>
          </cell>
          <cell r="G34">
            <v>14158779</v>
          </cell>
        </row>
        <row r="36">
          <cell r="A36" t="str">
            <v>SEG PRIV</v>
          </cell>
          <cell r="B36" t="str">
            <v xml:space="preserve">Servicio de Escolta Vigilancia  Privada </v>
          </cell>
          <cell r="C36" t="str">
            <v>Día</v>
          </cell>
          <cell r="D36">
            <v>113422.22222222223</v>
          </cell>
          <cell r="E36">
            <v>10208000</v>
          </cell>
          <cell r="F36">
            <v>0</v>
          </cell>
          <cell r="G36">
            <v>0</v>
          </cell>
        </row>
      </sheetData>
      <sheetData sheetId="7"/>
      <sheetData sheetId="8">
        <row r="2">
          <cell r="A2" t="str">
            <v>I00970</v>
          </cell>
        </row>
      </sheetData>
      <sheetData sheetId="9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PUESTA ECONOMICA"/>
      <sheetName val="APU"/>
      <sheetName val="Factor Prestacional"/>
      <sheetName val="Mano de Obra"/>
      <sheetName val="Analisis de AU"/>
      <sheetName val="PROPUESTA ECONOMICA(Proponente)"/>
    </sheetNames>
    <sheetDataSet>
      <sheetData sheetId="0">
        <row r="55">
          <cell r="K55">
            <v>0.36219999999999997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CANTIDADES"/>
      <sheetName val="PRESUPUESTO NUEVO"/>
      <sheetName val="PRESUPUESTO OPTIMIZACIÓN"/>
      <sheetName val="RESUMEN"/>
      <sheetName val="APU"/>
      <sheetName val="CANTIDADES 170 mill"/>
      <sheetName val="170 mil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PRESUPUESTO NUEVO"/>
      <sheetName val="APU"/>
      <sheetName val="CANTIDADES"/>
      <sheetName val="PRESUPUESTO OPTIMIZACIÓN"/>
      <sheetName val="CANTIDADES 170 mill"/>
      <sheetName val="170 mil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sumos"/>
      <sheetName val="Analisis Mano de Obra"/>
      <sheetName val="Analisis Factor Prestacional"/>
      <sheetName val="Analisis Herramienta Menor"/>
      <sheetName val="Analisis AIU"/>
      <sheetName val="Gráfico1"/>
      <sheetName val="cantidades"/>
      <sheetName val="Gráfico2"/>
      <sheetName val="Gráfico3"/>
    </sheetNames>
    <sheetDataSet>
      <sheetData sheetId="0"/>
      <sheetData sheetId="1"/>
      <sheetData sheetId="2">
        <row r="1">
          <cell r="A1">
            <v>0</v>
          </cell>
        </row>
      </sheetData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sumos"/>
      <sheetName val="Analisis Mano de Obra"/>
      <sheetName val="Analisis Factor Prestacional"/>
      <sheetName val="Analisis Herramienta Menor"/>
      <sheetName val="Analisis AIU"/>
      <sheetName val="Gráfico1"/>
      <sheetName val="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P58"/>
  <sheetViews>
    <sheetView showGridLines="0" tabSelected="1" view="pageBreakPreview" topLeftCell="C45" zoomScale="90" zoomScaleNormal="100" zoomScaleSheetLayoutView="90" zoomScalePageLayoutView="55" workbookViewId="0">
      <selection activeCell="J43" sqref="J43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44140625" style="1" customWidth="1"/>
    <col min="5" max="5" width="16.109375" style="2" customWidth="1"/>
    <col min="6" max="6" width="17.44140625" style="1" customWidth="1"/>
    <col min="7" max="7" width="73.44140625" style="1" customWidth="1"/>
    <col min="8" max="8" width="8.5546875" style="1" customWidth="1"/>
    <col min="9" max="9" width="18.5546875" style="1" customWidth="1"/>
    <col min="10" max="10" width="23.5546875" style="1" customWidth="1"/>
    <col min="11" max="11" width="30" style="1" customWidth="1"/>
    <col min="12" max="12" width="3.44140625" style="1" customWidth="1"/>
    <col min="13" max="13" width="2.5546875" style="1" customWidth="1"/>
    <col min="14" max="14" width="16.88671875" style="1" bestFit="1" customWidth="1"/>
    <col min="15" max="15" width="14.88671875" style="1" bestFit="1" customWidth="1"/>
    <col min="16" max="16" width="15.88671875" style="1" bestFit="1" customWidth="1"/>
    <col min="17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82"/>
      <c r="D2" s="82"/>
      <c r="E2" s="83"/>
      <c r="F2" s="82"/>
      <c r="G2" s="82"/>
      <c r="H2" s="82"/>
      <c r="I2" s="82"/>
      <c r="J2" s="82"/>
      <c r="K2" s="82"/>
      <c r="L2" s="8"/>
      <c r="M2" s="5"/>
    </row>
    <row r="3" spans="1:13" ht="27" customHeight="1" x14ac:dyDescent="0.3">
      <c r="A3" s="5"/>
      <c r="B3" s="9"/>
      <c r="C3" s="129" t="s">
        <v>25</v>
      </c>
      <c r="D3" s="130"/>
      <c r="E3" s="130"/>
      <c r="F3" s="130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110"/>
      <c r="D4" s="110"/>
      <c r="E4" s="110"/>
      <c r="F4" s="110"/>
      <c r="G4" s="110"/>
      <c r="H4" s="110"/>
      <c r="I4" s="110"/>
      <c r="J4" s="110"/>
      <c r="K4" s="110"/>
      <c r="L4" s="10"/>
      <c r="M4" s="5"/>
    </row>
    <row r="5" spans="1:13" ht="16.2" thickBot="1" x14ac:dyDescent="0.35">
      <c r="A5" s="5"/>
      <c r="B5" s="9"/>
      <c r="C5" s="148" t="s">
        <v>0</v>
      </c>
      <c r="D5" s="148"/>
      <c r="E5" s="148"/>
      <c r="F5" s="148"/>
      <c r="G5" s="148"/>
      <c r="H5" s="148"/>
      <c r="I5" s="148"/>
      <c r="J5" s="148"/>
      <c r="K5" s="148"/>
      <c r="L5" s="10"/>
      <c r="M5" s="5"/>
    </row>
    <row r="6" spans="1:13" s="19" customFormat="1" ht="15.6" x14ac:dyDescent="0.3">
      <c r="A6" s="18"/>
      <c r="B6" s="80"/>
      <c r="C6" s="120"/>
      <c r="D6" s="121"/>
      <c r="E6" s="121"/>
      <c r="F6" s="121"/>
      <c r="G6" s="121"/>
      <c r="H6" s="121"/>
      <c r="I6" s="121"/>
      <c r="J6" s="121"/>
      <c r="K6" s="122"/>
      <c r="L6" s="20"/>
      <c r="M6" s="18"/>
    </row>
    <row r="7" spans="1:13" ht="43.5" customHeight="1" x14ac:dyDescent="0.3">
      <c r="A7" s="5"/>
      <c r="B7" s="81"/>
      <c r="C7" s="123"/>
      <c r="D7" s="124"/>
      <c r="E7" s="124"/>
      <c r="F7" s="124"/>
      <c r="G7" s="124"/>
      <c r="H7" s="124"/>
      <c r="I7" s="124"/>
      <c r="J7" s="124"/>
      <c r="K7" s="125"/>
      <c r="L7" s="10"/>
      <c r="M7" s="5"/>
    </row>
    <row r="8" spans="1:13" ht="34.5" customHeight="1" x14ac:dyDescent="0.3">
      <c r="A8" s="5"/>
      <c r="B8" s="81"/>
      <c r="C8" s="126"/>
      <c r="D8" s="127"/>
      <c r="E8" s="127"/>
      <c r="F8" s="127"/>
      <c r="G8" s="127"/>
      <c r="H8" s="127"/>
      <c r="I8" s="127"/>
      <c r="J8" s="127"/>
      <c r="K8" s="128"/>
      <c r="L8" s="10"/>
      <c r="M8" s="5"/>
    </row>
    <row r="9" spans="1:13" ht="30" customHeight="1" thickBot="1" x14ac:dyDescent="0.35">
      <c r="A9" s="5"/>
      <c r="B9" s="9"/>
      <c r="C9" s="131"/>
      <c r="D9" s="132"/>
      <c r="E9" s="132"/>
      <c r="F9" s="132"/>
      <c r="G9" s="132"/>
      <c r="H9" s="132"/>
      <c r="I9" s="132"/>
      <c r="J9" s="132"/>
      <c r="K9" s="133"/>
      <c r="L9" s="10"/>
      <c r="M9" s="5"/>
    </row>
    <row r="10" spans="1:13" ht="30" customHeight="1" x14ac:dyDescent="0.3">
      <c r="A10" s="5"/>
      <c r="B10" s="9"/>
      <c r="C10" s="115" t="s">
        <v>1</v>
      </c>
      <c r="D10" s="117" t="s">
        <v>2</v>
      </c>
      <c r="E10" s="119" t="s">
        <v>3</v>
      </c>
      <c r="F10" s="119"/>
      <c r="G10" s="115" t="s">
        <v>4</v>
      </c>
      <c r="H10" s="117" t="s">
        <v>5</v>
      </c>
      <c r="I10" s="117" t="s">
        <v>6</v>
      </c>
      <c r="J10" s="111" t="s">
        <v>7</v>
      </c>
      <c r="K10" s="113" t="s">
        <v>8</v>
      </c>
      <c r="L10" s="10"/>
      <c r="M10" s="5"/>
    </row>
    <row r="11" spans="1:13" ht="30" customHeight="1" thickBot="1" x14ac:dyDescent="0.35">
      <c r="A11" s="5"/>
      <c r="B11" s="9"/>
      <c r="C11" s="116"/>
      <c r="D11" s="118"/>
      <c r="E11" s="21" t="s">
        <v>9</v>
      </c>
      <c r="F11" s="21" t="s">
        <v>10</v>
      </c>
      <c r="G11" s="116"/>
      <c r="H11" s="118"/>
      <c r="I11" s="118"/>
      <c r="J11" s="112"/>
      <c r="K11" s="114"/>
      <c r="L11" s="10"/>
      <c r="M11" s="5"/>
    </row>
    <row r="12" spans="1:13" ht="30" customHeight="1" thickBot="1" x14ac:dyDescent="0.35">
      <c r="A12" s="5"/>
      <c r="B12" s="9"/>
      <c r="C12" s="107" t="s">
        <v>39</v>
      </c>
      <c r="D12" s="108"/>
      <c r="E12" s="108"/>
      <c r="F12" s="108"/>
      <c r="G12" s="108"/>
      <c r="H12" s="108"/>
      <c r="I12" s="108"/>
      <c r="J12" s="108"/>
      <c r="K12" s="109"/>
      <c r="L12" s="10"/>
      <c r="M12" s="5"/>
    </row>
    <row r="13" spans="1:13" ht="30" customHeight="1" thickBot="1" x14ac:dyDescent="0.35">
      <c r="A13" s="5"/>
      <c r="B13" s="9"/>
      <c r="C13" s="22"/>
      <c r="D13" s="89">
        <v>1</v>
      </c>
      <c r="E13" s="23"/>
      <c r="F13" s="23"/>
      <c r="G13" s="23" t="s">
        <v>26</v>
      </c>
      <c r="H13" s="23"/>
      <c r="I13" s="23"/>
      <c r="J13" s="23"/>
      <c r="K13" s="24"/>
      <c r="L13" s="10"/>
      <c r="M13" s="5"/>
    </row>
    <row r="14" spans="1:13" ht="30" customHeight="1" x14ac:dyDescent="0.3">
      <c r="A14" s="5"/>
      <c r="B14" s="9"/>
      <c r="C14" s="25"/>
      <c r="D14" s="26">
        <v>1.01</v>
      </c>
      <c r="E14" s="26"/>
      <c r="F14" s="26"/>
      <c r="G14" s="90" t="s">
        <v>27</v>
      </c>
      <c r="H14" s="92" t="s">
        <v>35</v>
      </c>
      <c r="I14" s="93">
        <v>135</v>
      </c>
      <c r="J14" s="94">
        <f>+APU!E827</f>
        <v>122716</v>
      </c>
      <c r="K14" s="29">
        <f>+J14*I14</f>
        <v>16566660</v>
      </c>
      <c r="L14" s="10"/>
      <c r="M14" s="5"/>
    </row>
    <row r="15" spans="1:13" ht="30" customHeight="1" thickBot="1" x14ac:dyDescent="0.35">
      <c r="A15" s="5"/>
      <c r="B15" s="9"/>
      <c r="C15" s="30" t="s">
        <v>11</v>
      </c>
      <c r="D15" s="31"/>
      <c r="E15" s="31"/>
      <c r="F15" s="31"/>
      <c r="G15" s="32"/>
      <c r="H15" s="31"/>
      <c r="I15" s="27"/>
      <c r="J15" s="33"/>
      <c r="K15" s="34">
        <f>+SUM(K14)</f>
        <v>16566660</v>
      </c>
      <c r="L15" s="10"/>
      <c r="M15" s="5"/>
    </row>
    <row r="16" spans="1:13" ht="30" customHeight="1" thickBot="1" x14ac:dyDescent="0.35">
      <c r="A16" s="5"/>
      <c r="B16" s="9"/>
      <c r="C16" s="22"/>
      <c r="D16" s="89">
        <v>2</v>
      </c>
      <c r="E16" s="23"/>
      <c r="F16" s="23"/>
      <c r="G16" s="23" t="s">
        <v>28</v>
      </c>
      <c r="H16" s="23"/>
      <c r="I16" s="23"/>
      <c r="J16" s="23"/>
      <c r="K16" s="24"/>
      <c r="L16" s="10"/>
      <c r="M16" s="5"/>
    </row>
    <row r="17" spans="1:16" ht="30" customHeight="1" x14ac:dyDescent="0.3">
      <c r="A17" s="5"/>
      <c r="B17" s="9"/>
      <c r="C17" s="25"/>
      <c r="D17" s="26">
        <v>2.0099999999999998</v>
      </c>
      <c r="E17" s="26"/>
      <c r="F17" s="26"/>
      <c r="G17" s="90" t="s">
        <v>29</v>
      </c>
      <c r="H17" s="26" t="s">
        <v>36</v>
      </c>
      <c r="I17" s="27">
        <v>140</v>
      </c>
      <c r="J17" s="28">
        <f>+APU!E835</f>
        <v>228821</v>
      </c>
      <c r="K17" s="35">
        <f>+J17*I17</f>
        <v>32034940</v>
      </c>
      <c r="L17" s="10"/>
      <c r="M17" s="5"/>
    </row>
    <row r="18" spans="1:16" ht="30" customHeight="1" x14ac:dyDescent="0.3">
      <c r="A18" s="5"/>
      <c r="B18" s="9"/>
      <c r="C18" s="25"/>
      <c r="D18" s="26">
        <v>2.02</v>
      </c>
      <c r="E18" s="26"/>
      <c r="F18" s="26"/>
      <c r="G18" s="91" t="s">
        <v>30</v>
      </c>
      <c r="H18" s="26" t="s">
        <v>37</v>
      </c>
      <c r="I18" s="27">
        <v>20</v>
      </c>
      <c r="J18" s="28">
        <f>+APU!E850</f>
        <v>1425622</v>
      </c>
      <c r="K18" s="35">
        <f t="shared" ref="K18:K22" si="0">+J18*I18</f>
        <v>28512440</v>
      </c>
      <c r="L18" s="10"/>
      <c r="M18" s="5"/>
    </row>
    <row r="19" spans="1:16" s="5" customFormat="1" ht="30" customHeight="1" x14ac:dyDescent="0.3">
      <c r="B19" s="9"/>
      <c r="C19" s="25"/>
      <c r="D19" s="36">
        <v>2.0299999999999998</v>
      </c>
      <c r="E19" s="36"/>
      <c r="F19" s="36"/>
      <c r="G19" s="90" t="s">
        <v>31</v>
      </c>
      <c r="H19" s="36" t="s">
        <v>36</v>
      </c>
      <c r="I19" s="27">
        <v>15</v>
      </c>
      <c r="J19" s="28">
        <f>+APU!E863</f>
        <v>396982</v>
      </c>
      <c r="K19" s="35">
        <f t="shared" si="0"/>
        <v>5954730</v>
      </c>
      <c r="L19" s="10"/>
    </row>
    <row r="20" spans="1:16" ht="30" customHeight="1" x14ac:dyDescent="0.25">
      <c r="B20" s="16"/>
      <c r="C20" s="25"/>
      <c r="D20" s="26">
        <v>2.04</v>
      </c>
      <c r="E20" s="26"/>
      <c r="F20" s="26"/>
      <c r="G20" s="90" t="s">
        <v>32</v>
      </c>
      <c r="H20" s="26" t="s">
        <v>38</v>
      </c>
      <c r="I20" s="27">
        <v>1</v>
      </c>
      <c r="J20" s="28">
        <f>+APU!E873</f>
        <v>964892</v>
      </c>
      <c r="K20" s="35">
        <f t="shared" si="0"/>
        <v>964892</v>
      </c>
      <c r="L20" s="17"/>
    </row>
    <row r="21" spans="1:16" ht="30" customHeight="1" x14ac:dyDescent="0.25">
      <c r="B21" s="16"/>
      <c r="C21" s="25"/>
      <c r="D21" s="26">
        <v>2.0499999999999998</v>
      </c>
      <c r="E21" s="26"/>
      <c r="F21" s="26"/>
      <c r="G21" s="90" t="s">
        <v>33</v>
      </c>
      <c r="H21" s="26" t="s">
        <v>38</v>
      </c>
      <c r="I21" s="27">
        <v>1</v>
      </c>
      <c r="J21" s="28">
        <f>+APU!E883</f>
        <v>1278497</v>
      </c>
      <c r="K21" s="35">
        <f t="shared" si="0"/>
        <v>1278497</v>
      </c>
      <c r="L21" s="17"/>
    </row>
    <row r="22" spans="1:16" ht="30" customHeight="1" x14ac:dyDescent="0.25">
      <c r="B22" s="16"/>
      <c r="C22" s="25"/>
      <c r="D22" s="26">
        <v>2.06</v>
      </c>
      <c r="E22" s="26"/>
      <c r="F22" s="26"/>
      <c r="G22" s="90" t="s">
        <v>34</v>
      </c>
      <c r="H22" s="26" t="s">
        <v>37</v>
      </c>
      <c r="I22" s="27">
        <v>5</v>
      </c>
      <c r="J22" s="28">
        <f>+APU!E898</f>
        <v>884097</v>
      </c>
      <c r="K22" s="35">
        <f t="shared" si="0"/>
        <v>4420485</v>
      </c>
      <c r="L22" s="17"/>
    </row>
    <row r="23" spans="1:16" ht="30" customHeight="1" thickBot="1" x14ac:dyDescent="0.35">
      <c r="A23" s="5"/>
      <c r="B23" s="9"/>
      <c r="C23" s="30" t="s">
        <v>11</v>
      </c>
      <c r="D23" s="37"/>
      <c r="E23" s="38"/>
      <c r="F23" s="37"/>
      <c r="G23" s="37"/>
      <c r="H23" s="37"/>
      <c r="I23" s="27"/>
      <c r="J23" s="37"/>
      <c r="K23" s="34">
        <f>+ROUND(SUM(K17:K22),0)</f>
        <v>73165984</v>
      </c>
      <c r="L23" s="10"/>
      <c r="M23" s="5"/>
      <c r="N23" s="104"/>
      <c r="O23" s="102"/>
      <c r="P23" s="103"/>
    </row>
    <row r="24" spans="1:16" ht="30" customHeight="1" thickBot="1" x14ac:dyDescent="0.35">
      <c r="A24" s="5"/>
      <c r="B24" s="9"/>
      <c r="C24" s="107" t="s">
        <v>40</v>
      </c>
      <c r="D24" s="108"/>
      <c r="E24" s="108"/>
      <c r="F24" s="108"/>
      <c r="G24" s="108"/>
      <c r="H24" s="108"/>
      <c r="I24" s="108"/>
      <c r="J24" s="108"/>
      <c r="K24" s="109"/>
      <c r="L24" s="10"/>
      <c r="M24" s="5"/>
    </row>
    <row r="25" spans="1:16" ht="30" customHeight="1" thickBot="1" x14ac:dyDescent="0.35">
      <c r="A25" s="5"/>
      <c r="B25" s="9"/>
      <c r="C25" s="22"/>
      <c r="D25" s="89">
        <v>3</v>
      </c>
      <c r="E25" s="23"/>
      <c r="F25" s="23"/>
      <c r="G25" s="23" t="s">
        <v>41</v>
      </c>
      <c r="H25" s="23"/>
      <c r="I25" s="23"/>
      <c r="J25" s="23"/>
      <c r="K25" s="24"/>
      <c r="L25" s="10"/>
      <c r="M25" s="5"/>
    </row>
    <row r="26" spans="1:16" ht="30" customHeight="1" x14ac:dyDescent="0.3">
      <c r="A26" s="5"/>
      <c r="B26" s="9"/>
      <c r="C26" s="25"/>
      <c r="D26" s="95">
        <v>3.01</v>
      </c>
      <c r="E26" s="39"/>
      <c r="F26" s="39"/>
      <c r="G26" s="40" t="s">
        <v>42</v>
      </c>
      <c r="H26" s="39" t="s">
        <v>37</v>
      </c>
      <c r="I26" s="27">
        <v>21.841249580770501</v>
      </c>
      <c r="J26" s="644">
        <f>+APU!E911</f>
        <v>1228444</v>
      </c>
      <c r="K26" s="35">
        <f>+J26*I26</f>
        <v>26830752.000000037</v>
      </c>
      <c r="L26" s="10"/>
      <c r="M26" s="5"/>
    </row>
    <row r="27" spans="1:16" ht="30" customHeight="1" x14ac:dyDescent="0.3">
      <c r="A27" s="5"/>
      <c r="B27" s="9"/>
      <c r="C27" s="25"/>
      <c r="D27" s="95">
        <v>3.02</v>
      </c>
      <c r="E27" s="41"/>
      <c r="F27" s="41"/>
      <c r="G27" s="40" t="s">
        <v>43</v>
      </c>
      <c r="H27" s="39" t="s">
        <v>37</v>
      </c>
      <c r="I27" s="27">
        <v>2.48000300436117</v>
      </c>
      <c r="J27" s="28">
        <f>+APU!E919</f>
        <v>733031</v>
      </c>
      <c r="K27" s="35">
        <f t="shared" ref="K27:K33" si="1">+J27*I27</f>
        <v>1817919.0822898729</v>
      </c>
      <c r="L27" s="10"/>
      <c r="M27" s="5"/>
    </row>
    <row r="28" spans="1:16" ht="30" customHeight="1" x14ac:dyDescent="0.3">
      <c r="A28" s="5"/>
      <c r="B28" s="9"/>
      <c r="C28" s="25"/>
      <c r="D28" s="95">
        <v>3.03</v>
      </c>
      <c r="E28" s="39"/>
      <c r="F28" s="39"/>
      <c r="G28" s="40" t="s">
        <v>44</v>
      </c>
      <c r="H28" s="39" t="s">
        <v>37</v>
      </c>
      <c r="I28" s="27">
        <v>3.2999999999999972</v>
      </c>
      <c r="J28" s="28">
        <f>+APU!E929</f>
        <v>142297</v>
      </c>
      <c r="K28" s="35">
        <f t="shared" si="1"/>
        <v>469580.09999999957</v>
      </c>
      <c r="L28" s="10"/>
      <c r="M28" s="5"/>
    </row>
    <row r="29" spans="1:16" s="5" customFormat="1" ht="30" customHeight="1" x14ac:dyDescent="0.3">
      <c r="B29" s="9"/>
      <c r="C29" s="25"/>
      <c r="D29" s="95">
        <v>3.04</v>
      </c>
      <c r="E29" s="36"/>
      <c r="F29" s="36"/>
      <c r="G29" s="42" t="s">
        <v>45</v>
      </c>
      <c r="H29" s="36" t="s">
        <v>36</v>
      </c>
      <c r="I29" s="27">
        <v>22</v>
      </c>
      <c r="J29" s="28">
        <f>+APU!E935</f>
        <v>62600</v>
      </c>
      <c r="K29" s="35">
        <f t="shared" si="1"/>
        <v>1377200</v>
      </c>
      <c r="L29" s="10"/>
    </row>
    <row r="30" spans="1:16" ht="30" customHeight="1" x14ac:dyDescent="0.3">
      <c r="A30" s="5"/>
      <c r="B30" s="9"/>
      <c r="C30" s="25"/>
      <c r="D30" s="95">
        <v>3.05</v>
      </c>
      <c r="E30" s="39"/>
      <c r="F30" s="39"/>
      <c r="G30" s="40" t="s">
        <v>46</v>
      </c>
      <c r="H30" s="39" t="s">
        <v>47</v>
      </c>
      <c r="I30" s="27">
        <v>3111</v>
      </c>
      <c r="J30" s="43">
        <f>+APU!E944</f>
        <v>8763</v>
      </c>
      <c r="K30" s="35">
        <f t="shared" si="1"/>
        <v>27261693</v>
      </c>
      <c r="L30" s="10"/>
      <c r="M30" s="5"/>
    </row>
    <row r="31" spans="1:16" s="5" customFormat="1" ht="30" customHeight="1" x14ac:dyDescent="0.3">
      <c r="B31" s="9"/>
      <c r="C31" s="44"/>
      <c r="D31" s="95">
        <v>3.06</v>
      </c>
      <c r="E31" s="36"/>
      <c r="F31" s="36"/>
      <c r="G31" s="42" t="s">
        <v>48</v>
      </c>
      <c r="H31" s="36" t="s">
        <v>49</v>
      </c>
      <c r="I31" s="27">
        <v>8</v>
      </c>
      <c r="J31" s="43">
        <f>+APU!E953</f>
        <v>528000</v>
      </c>
      <c r="K31" s="35">
        <f t="shared" si="1"/>
        <v>4224000</v>
      </c>
      <c r="L31" s="10"/>
    </row>
    <row r="32" spans="1:16" ht="30" customHeight="1" x14ac:dyDescent="0.3">
      <c r="A32" s="5"/>
      <c r="B32" s="9"/>
      <c r="C32" s="25"/>
      <c r="D32" s="95">
        <v>3.07</v>
      </c>
      <c r="E32" s="26"/>
      <c r="F32" s="39"/>
      <c r="G32" s="40" t="s">
        <v>50</v>
      </c>
      <c r="H32" s="39" t="s">
        <v>36</v>
      </c>
      <c r="I32" s="27">
        <v>74</v>
      </c>
      <c r="J32" s="28">
        <f>+APU!E962</f>
        <v>6200</v>
      </c>
      <c r="K32" s="35">
        <f t="shared" si="1"/>
        <v>458800</v>
      </c>
      <c r="L32" s="10"/>
      <c r="M32" s="5"/>
    </row>
    <row r="33" spans="1:15" ht="30" customHeight="1" x14ac:dyDescent="0.3">
      <c r="A33" s="5"/>
      <c r="B33" s="9"/>
      <c r="C33" s="25"/>
      <c r="D33" s="95">
        <v>3.08</v>
      </c>
      <c r="E33" s="39"/>
      <c r="F33" s="39"/>
      <c r="G33" s="40" t="s">
        <v>51</v>
      </c>
      <c r="H33" s="45" t="s">
        <v>49</v>
      </c>
      <c r="I33" s="27">
        <v>60</v>
      </c>
      <c r="J33" s="28">
        <f>+APU!E970</f>
        <v>19897</v>
      </c>
      <c r="K33" s="35">
        <f t="shared" si="1"/>
        <v>1193820</v>
      </c>
      <c r="L33" s="10"/>
      <c r="M33" s="5"/>
      <c r="O33" s="100"/>
    </row>
    <row r="34" spans="1:15" ht="30" customHeight="1" thickBot="1" x14ac:dyDescent="0.35">
      <c r="A34" s="5"/>
      <c r="B34" s="9"/>
      <c r="C34" s="46" t="s">
        <v>11</v>
      </c>
      <c r="D34" s="47"/>
      <c r="E34" s="47"/>
      <c r="F34" s="47"/>
      <c r="G34" s="48"/>
      <c r="H34" s="47"/>
      <c r="I34" s="27"/>
      <c r="J34" s="49"/>
      <c r="K34" s="34">
        <f>+ROUND(SUM(K26:K33),0)</f>
        <v>63633764</v>
      </c>
      <c r="L34" s="10"/>
      <c r="M34" s="5"/>
    </row>
    <row r="35" spans="1:15" ht="30" customHeight="1" thickBot="1" x14ac:dyDescent="0.35">
      <c r="A35" s="5"/>
      <c r="B35" s="9"/>
      <c r="C35" s="107" t="s">
        <v>52</v>
      </c>
      <c r="D35" s="108"/>
      <c r="E35" s="108"/>
      <c r="F35" s="108"/>
      <c r="G35" s="108"/>
      <c r="H35" s="108"/>
      <c r="I35" s="108"/>
      <c r="J35" s="108"/>
      <c r="K35" s="109"/>
      <c r="L35" s="10"/>
      <c r="M35" s="5"/>
    </row>
    <row r="36" spans="1:15" ht="30" customHeight="1" thickBot="1" x14ac:dyDescent="0.35">
      <c r="A36" s="5"/>
      <c r="B36" s="9"/>
      <c r="C36" s="22"/>
      <c r="D36" s="89">
        <v>4</v>
      </c>
      <c r="E36" s="23"/>
      <c r="F36" s="23"/>
      <c r="G36" s="23" t="s">
        <v>53</v>
      </c>
      <c r="H36" s="23"/>
      <c r="I36" s="23"/>
      <c r="J36" s="23"/>
      <c r="K36" s="24"/>
      <c r="L36" s="10"/>
      <c r="M36" s="5"/>
    </row>
    <row r="37" spans="1:15" ht="30" customHeight="1" x14ac:dyDescent="0.3">
      <c r="A37" s="5"/>
      <c r="B37" s="9"/>
      <c r="C37" s="25"/>
      <c r="D37" s="39">
        <v>4.01</v>
      </c>
      <c r="E37" s="39"/>
      <c r="F37" s="39"/>
      <c r="G37" s="90" t="s">
        <v>54</v>
      </c>
      <c r="H37" s="39" t="s">
        <v>37</v>
      </c>
      <c r="I37" s="27">
        <v>40</v>
      </c>
      <c r="J37" s="28">
        <f>+APU!E977</f>
        <v>657420</v>
      </c>
      <c r="K37" s="35">
        <f t="shared" ref="K37:K42" si="2">+J37*I37</f>
        <v>26296800</v>
      </c>
      <c r="L37" s="10"/>
      <c r="M37" s="5"/>
    </row>
    <row r="38" spans="1:15" ht="30" customHeight="1" x14ac:dyDescent="0.3">
      <c r="A38" s="5"/>
      <c r="B38" s="9"/>
      <c r="C38" s="25"/>
      <c r="D38" s="39">
        <v>4.0199999999999996</v>
      </c>
      <c r="E38" s="39"/>
      <c r="F38" s="39"/>
      <c r="G38" s="90" t="s">
        <v>55</v>
      </c>
      <c r="H38" s="39" t="s">
        <v>36</v>
      </c>
      <c r="I38" s="27">
        <v>77.38</v>
      </c>
      <c r="J38" s="28">
        <f>+APU!E985</f>
        <v>228821</v>
      </c>
      <c r="K38" s="35">
        <f t="shared" si="2"/>
        <v>17706168.98</v>
      </c>
      <c r="L38" s="10"/>
      <c r="M38" s="5"/>
    </row>
    <row r="39" spans="1:15" ht="30" customHeight="1" x14ac:dyDescent="0.3">
      <c r="A39" s="5"/>
      <c r="B39" s="9"/>
      <c r="C39" s="50"/>
      <c r="D39" s="39">
        <v>4.03</v>
      </c>
      <c r="E39" s="39"/>
      <c r="F39" s="39"/>
      <c r="G39" s="90" t="s">
        <v>56</v>
      </c>
      <c r="H39" s="39" t="s">
        <v>36</v>
      </c>
      <c r="I39" s="27">
        <v>144</v>
      </c>
      <c r="J39" s="642">
        <f>+APU!E994</f>
        <v>434325</v>
      </c>
      <c r="K39" s="643">
        <f t="shared" si="2"/>
        <v>62542800</v>
      </c>
      <c r="L39" s="10"/>
      <c r="M39" s="5"/>
    </row>
    <row r="40" spans="1:15" ht="30" customHeight="1" x14ac:dyDescent="0.3">
      <c r="A40" s="5"/>
      <c r="B40" s="9"/>
      <c r="C40" s="25"/>
      <c r="D40" s="39">
        <v>4.04</v>
      </c>
      <c r="E40" s="39"/>
      <c r="F40" s="39"/>
      <c r="G40" s="90" t="s">
        <v>57</v>
      </c>
      <c r="H40" s="39" t="s">
        <v>49</v>
      </c>
      <c r="I40" s="27">
        <v>67</v>
      </c>
      <c r="J40" s="28">
        <f>+APU!E1003</f>
        <v>228083</v>
      </c>
      <c r="K40" s="35">
        <f t="shared" si="2"/>
        <v>15281561</v>
      </c>
      <c r="L40" s="10"/>
      <c r="M40" s="5"/>
    </row>
    <row r="41" spans="1:15" ht="30" customHeight="1" x14ac:dyDescent="0.3">
      <c r="A41" s="5"/>
      <c r="B41" s="9"/>
      <c r="C41" s="25"/>
      <c r="D41" s="39">
        <v>4.05</v>
      </c>
      <c r="E41" s="39"/>
      <c r="F41" s="39"/>
      <c r="G41" s="90" t="s">
        <v>58</v>
      </c>
      <c r="H41" s="39" t="s">
        <v>36</v>
      </c>
      <c r="I41" s="27">
        <v>156</v>
      </c>
      <c r="J41" s="28">
        <f>+APU!E1010</f>
        <v>190147</v>
      </c>
      <c r="K41" s="35">
        <f t="shared" si="2"/>
        <v>29662932</v>
      </c>
      <c r="L41" s="10"/>
      <c r="M41" s="5"/>
    </row>
    <row r="42" spans="1:15" ht="30" customHeight="1" x14ac:dyDescent="0.3">
      <c r="A42" s="5"/>
      <c r="B42" s="9"/>
      <c r="C42" s="50"/>
      <c r="D42" s="39">
        <v>4.0599999999999996</v>
      </c>
      <c r="E42" s="39"/>
      <c r="F42" s="39"/>
      <c r="G42" s="90" t="s">
        <v>59</v>
      </c>
      <c r="H42" s="39" t="s">
        <v>36</v>
      </c>
      <c r="I42" s="27">
        <v>156</v>
      </c>
      <c r="J42" s="28">
        <f>+APU!E1018</f>
        <v>60639</v>
      </c>
      <c r="K42" s="35">
        <f t="shared" si="2"/>
        <v>9459684</v>
      </c>
      <c r="L42" s="10"/>
      <c r="M42" s="5"/>
    </row>
    <row r="43" spans="1:15" ht="30" customHeight="1" thickBot="1" x14ac:dyDescent="0.35">
      <c r="A43" s="5"/>
      <c r="B43" s="9"/>
      <c r="C43" s="30" t="s">
        <v>11</v>
      </c>
      <c r="D43" s="51"/>
      <c r="E43" s="51"/>
      <c r="F43" s="51"/>
      <c r="G43" s="52"/>
      <c r="H43" s="53"/>
      <c r="I43" s="27"/>
      <c r="J43" s="33"/>
      <c r="K43" s="34">
        <f>+ROUND(SUM(K37:K42),0)</f>
        <v>160949946</v>
      </c>
      <c r="L43" s="10"/>
      <c r="M43" s="5"/>
    </row>
    <row r="44" spans="1:15" s="3" customFormat="1" ht="30" customHeight="1" thickBot="1" x14ac:dyDescent="0.35">
      <c r="A44" s="11"/>
      <c r="B44" s="12"/>
      <c r="C44" s="134" t="s">
        <v>12</v>
      </c>
      <c r="D44" s="135"/>
      <c r="E44" s="135"/>
      <c r="F44" s="135"/>
      <c r="G44" s="135"/>
      <c r="H44" s="135"/>
      <c r="I44" s="135"/>
      <c r="J44" s="136"/>
      <c r="K44" s="105">
        <f>+ROUND(K15+K23+K34+K43,0)</f>
        <v>314316354</v>
      </c>
      <c r="L44" s="13"/>
      <c r="M44" s="11"/>
    </row>
    <row r="45" spans="1:15" s="3" customFormat="1" ht="16.2" thickBot="1" x14ac:dyDescent="0.35">
      <c r="A45" s="11"/>
      <c r="B45" s="12"/>
      <c r="C45" s="55"/>
      <c r="D45" s="55"/>
      <c r="E45" s="55"/>
      <c r="F45" s="55"/>
      <c r="G45" s="55"/>
      <c r="H45" s="55"/>
      <c r="I45" s="55"/>
      <c r="J45" s="55"/>
      <c r="K45" s="56"/>
      <c r="L45" s="13"/>
      <c r="M45" s="11"/>
    </row>
    <row r="46" spans="1:15" s="3" customFormat="1" ht="30" customHeight="1" thickBot="1" x14ac:dyDescent="0.35">
      <c r="A46" s="11"/>
      <c r="B46" s="12"/>
      <c r="C46" s="57"/>
      <c r="D46" s="58"/>
      <c r="E46" s="57"/>
      <c r="F46" s="57"/>
      <c r="G46" s="149" t="s">
        <v>24</v>
      </c>
      <c r="H46" s="150"/>
      <c r="I46" s="151"/>
      <c r="J46" s="106">
        <f>+K52</f>
        <v>0.31219999999999998</v>
      </c>
      <c r="K46" s="99">
        <f>+ROUNDDOWN(J46*K44,0)</f>
        <v>98129565</v>
      </c>
      <c r="L46" s="13"/>
      <c r="M46" s="11"/>
      <c r="N46" s="101"/>
    </row>
    <row r="47" spans="1:15" s="3" customFormat="1" ht="30" customHeight="1" thickBot="1" x14ac:dyDescent="0.35">
      <c r="A47" s="11"/>
      <c r="B47" s="12"/>
      <c r="C47" s="57"/>
      <c r="D47" s="58"/>
      <c r="E47" s="57"/>
      <c r="F47" s="57"/>
      <c r="G47" s="60" t="s">
        <v>61</v>
      </c>
      <c r="H47" s="97"/>
      <c r="I47" s="59"/>
      <c r="J47" s="98">
        <f>+K54</f>
        <v>0.05</v>
      </c>
      <c r="K47" s="99">
        <f>+ROUNDDOWN(J47*K44,0)</f>
        <v>15715817</v>
      </c>
      <c r="L47" s="13"/>
      <c r="M47" s="11"/>
    </row>
    <row r="48" spans="1:15" s="3" customFormat="1" ht="30" customHeight="1" thickBot="1" x14ac:dyDescent="0.35">
      <c r="A48" s="11"/>
      <c r="B48" s="12"/>
      <c r="C48" s="57"/>
      <c r="D48" s="58"/>
      <c r="E48" s="57"/>
      <c r="F48" s="57"/>
      <c r="G48" s="61" t="s">
        <v>60</v>
      </c>
      <c r="H48" s="62"/>
      <c r="I48" s="63"/>
      <c r="J48" s="64"/>
      <c r="K48" s="54">
        <f>+K44+K46+K47</f>
        <v>428161736</v>
      </c>
      <c r="L48" s="13"/>
      <c r="M48" s="11"/>
    </row>
    <row r="49" spans="1:13" s="3" customFormat="1" ht="16.2" thickBot="1" x14ac:dyDescent="0.35">
      <c r="A49" s="11"/>
      <c r="B49" s="12"/>
      <c r="C49" s="57"/>
      <c r="D49" s="58"/>
      <c r="E49" s="58"/>
      <c r="F49" s="58"/>
      <c r="G49" s="57"/>
      <c r="H49" s="57"/>
      <c r="I49" s="65"/>
      <c r="J49" s="66"/>
      <c r="K49" s="67"/>
      <c r="L49" s="13"/>
      <c r="M49" s="11"/>
    </row>
    <row r="50" spans="1:13" s="3" customFormat="1" ht="15.6" x14ac:dyDescent="0.3">
      <c r="A50" s="11"/>
      <c r="B50" s="12"/>
      <c r="C50" s="68"/>
      <c r="D50" s="146"/>
      <c r="E50" s="146"/>
      <c r="F50" s="146"/>
      <c r="G50" s="146"/>
      <c r="H50" s="146"/>
      <c r="I50" s="146"/>
      <c r="J50" s="146"/>
      <c r="K50" s="147"/>
      <c r="L50" s="14"/>
      <c r="M50" s="11"/>
    </row>
    <row r="51" spans="1:13" s="3" customFormat="1" ht="46.5" customHeight="1" x14ac:dyDescent="0.3">
      <c r="A51" s="11"/>
      <c r="B51" s="12"/>
      <c r="C51" s="139" t="s">
        <v>17</v>
      </c>
      <c r="D51" s="140"/>
      <c r="E51" s="140"/>
      <c r="F51" s="140"/>
      <c r="G51" s="140"/>
      <c r="H51" s="145" t="s">
        <v>13</v>
      </c>
      <c r="I51" s="145"/>
      <c r="J51" s="145"/>
      <c r="K51" s="69" t="s">
        <v>14</v>
      </c>
      <c r="L51" s="15"/>
      <c r="M51" s="11"/>
    </row>
    <row r="52" spans="1:13" s="3" customFormat="1" ht="32.25" customHeight="1" x14ac:dyDescent="0.3">
      <c r="A52" s="11"/>
      <c r="B52" s="12"/>
      <c r="C52" s="71"/>
      <c r="D52" s="4"/>
      <c r="E52" s="72"/>
      <c r="F52" s="72"/>
      <c r="G52" s="73"/>
      <c r="H52" s="144" t="s">
        <v>15</v>
      </c>
      <c r="I52" s="144"/>
      <c r="J52" s="70" t="s">
        <v>16</v>
      </c>
      <c r="K52" s="96">
        <v>0.31219999999999998</v>
      </c>
      <c r="L52" s="15"/>
      <c r="M52" s="11"/>
    </row>
    <row r="53" spans="1:13" s="3" customFormat="1" ht="30" customHeight="1" x14ac:dyDescent="0.3">
      <c r="A53" s="11"/>
      <c r="B53" s="12"/>
      <c r="C53" s="74"/>
      <c r="D53" s="75"/>
      <c r="E53" s="75"/>
      <c r="F53" s="75"/>
      <c r="G53" s="76"/>
      <c r="H53" s="141" t="s">
        <v>18</v>
      </c>
      <c r="I53" s="142"/>
      <c r="J53" s="70" t="s">
        <v>19</v>
      </c>
      <c r="K53" s="96"/>
      <c r="L53" s="15"/>
      <c r="M53" s="11"/>
    </row>
    <row r="54" spans="1:13" s="4" customFormat="1" ht="58.5" customHeight="1" thickBot="1" x14ac:dyDescent="0.35">
      <c r="A54" s="11"/>
      <c r="B54" s="12"/>
      <c r="C54" s="79"/>
      <c r="D54" s="77"/>
      <c r="E54" s="77"/>
      <c r="F54" s="77"/>
      <c r="G54" s="78"/>
      <c r="H54" s="143" t="s">
        <v>20</v>
      </c>
      <c r="I54" s="144"/>
      <c r="J54" s="70" t="s">
        <v>21</v>
      </c>
      <c r="K54" s="96">
        <v>0.05</v>
      </c>
      <c r="L54" s="13"/>
      <c r="M54" s="11"/>
    </row>
    <row r="55" spans="1:13" ht="57" customHeight="1" thickBot="1" x14ac:dyDescent="0.35">
      <c r="A55" s="5"/>
      <c r="B55" s="9"/>
      <c r="C55" s="85"/>
      <c r="D55" s="85"/>
      <c r="E55" s="86"/>
      <c r="F55" s="85"/>
      <c r="G55" s="87"/>
      <c r="H55" s="144" t="s">
        <v>22</v>
      </c>
      <c r="I55" s="144"/>
      <c r="J55" s="70" t="s">
        <v>23</v>
      </c>
      <c r="K55" s="96">
        <f>+K54+K52++K53</f>
        <v>0.36219999999999997</v>
      </c>
      <c r="L55" s="10"/>
      <c r="M55" s="5"/>
    </row>
    <row r="56" spans="1:13" ht="16.8" thickTop="1" thickBot="1" x14ac:dyDescent="0.35">
      <c r="A56" s="5"/>
      <c r="B56" s="9"/>
      <c r="C56" s="5"/>
      <c r="D56" s="5"/>
      <c r="E56" s="6"/>
      <c r="F56" s="5"/>
      <c r="G56" s="5"/>
      <c r="H56" s="137"/>
      <c r="I56" s="137"/>
      <c r="J56" s="137"/>
      <c r="K56" s="138"/>
      <c r="L56" s="10"/>
      <c r="M56" s="5"/>
    </row>
    <row r="57" spans="1:13" ht="16.2" thickBot="1" x14ac:dyDescent="0.35">
      <c r="A57" s="5"/>
      <c r="B57" s="84"/>
      <c r="H57" s="85"/>
      <c r="I57" s="85"/>
      <c r="J57" s="85"/>
      <c r="K57" s="85"/>
      <c r="L57" s="88"/>
      <c r="M57" s="5"/>
    </row>
    <row r="58" spans="1:13" ht="16.2" thickTop="1" x14ac:dyDescent="0.3">
      <c r="A58" s="5"/>
      <c r="B58" s="5"/>
      <c r="H58" s="5"/>
      <c r="I58" s="5"/>
      <c r="J58" s="5"/>
      <c r="K58" s="5"/>
      <c r="L58" s="5"/>
      <c r="M58" s="5"/>
    </row>
  </sheetData>
  <mergeCells count="27">
    <mergeCell ref="C3:F3"/>
    <mergeCell ref="C9:K9"/>
    <mergeCell ref="C44:J44"/>
    <mergeCell ref="H56:K56"/>
    <mergeCell ref="C51:G51"/>
    <mergeCell ref="H53:I53"/>
    <mergeCell ref="H54:I54"/>
    <mergeCell ref="H55:I55"/>
    <mergeCell ref="H51:J51"/>
    <mergeCell ref="H52:I52"/>
    <mergeCell ref="D50:K50"/>
    <mergeCell ref="C5:K5"/>
    <mergeCell ref="G46:I46"/>
    <mergeCell ref="I10:I11"/>
    <mergeCell ref="C12:K12"/>
    <mergeCell ref="C24:K24"/>
    <mergeCell ref="C35:K35"/>
    <mergeCell ref="C4:K4"/>
    <mergeCell ref="J10:J11"/>
    <mergeCell ref="K10:K11"/>
    <mergeCell ref="C10:C11"/>
    <mergeCell ref="D10:D11"/>
    <mergeCell ref="G10:G11"/>
    <mergeCell ref="H10:H11"/>
    <mergeCell ref="E10:F10"/>
    <mergeCell ref="C6:K7"/>
    <mergeCell ref="C8:K8"/>
  </mergeCells>
  <pageMargins left="0.11811023622047245" right="0.11811023622047245" top="0.15748031496062992" bottom="0.15748031496062992" header="0.31496062992125984" footer="0.31496062992125984"/>
  <pageSetup scale="3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A8AB-9526-4BE0-9BDD-A53EB1B74049}">
  <dimension ref="A1:P58"/>
  <sheetViews>
    <sheetView showGridLines="0" view="pageBreakPreview" topLeftCell="A36" zoomScale="80" zoomScaleNormal="100" zoomScaleSheetLayoutView="80" zoomScalePageLayoutView="55" workbookViewId="0">
      <selection activeCell="J37" sqref="J37:J42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44140625" style="1" customWidth="1"/>
    <col min="5" max="5" width="16.109375" style="2" customWidth="1"/>
    <col min="6" max="6" width="17.44140625" style="1" customWidth="1"/>
    <col min="7" max="7" width="73.44140625" style="1" customWidth="1"/>
    <col min="8" max="8" width="8.5546875" style="1" customWidth="1"/>
    <col min="9" max="9" width="18.5546875" style="1" customWidth="1"/>
    <col min="10" max="10" width="23.5546875" style="1" customWidth="1"/>
    <col min="11" max="11" width="30" style="1" customWidth="1"/>
    <col min="12" max="12" width="3.44140625" style="1" customWidth="1"/>
    <col min="13" max="13" width="2.5546875" style="1" customWidth="1"/>
    <col min="14" max="14" width="16.88671875" style="1" bestFit="1" customWidth="1"/>
    <col min="15" max="15" width="14.88671875" style="1" bestFit="1" customWidth="1"/>
    <col min="16" max="16" width="15.88671875" style="1" bestFit="1" customWidth="1"/>
    <col min="17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82"/>
      <c r="D2" s="82"/>
      <c r="E2" s="83"/>
      <c r="F2" s="82"/>
      <c r="G2" s="82"/>
      <c r="H2" s="82"/>
      <c r="I2" s="82"/>
      <c r="J2" s="82"/>
      <c r="K2" s="82"/>
      <c r="L2" s="8"/>
      <c r="M2" s="5"/>
    </row>
    <row r="3" spans="1:13" ht="27" customHeight="1" x14ac:dyDescent="0.3">
      <c r="A3" s="5"/>
      <c r="B3" s="9"/>
      <c r="C3" s="129" t="s">
        <v>25</v>
      </c>
      <c r="D3" s="130"/>
      <c r="E3" s="130"/>
      <c r="F3" s="130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110"/>
      <c r="D4" s="110"/>
      <c r="E4" s="110"/>
      <c r="F4" s="110"/>
      <c r="G4" s="110"/>
      <c r="H4" s="110"/>
      <c r="I4" s="110"/>
      <c r="J4" s="110"/>
      <c r="K4" s="110"/>
      <c r="L4" s="10"/>
      <c r="M4" s="5"/>
    </row>
    <row r="5" spans="1:13" ht="16.2" thickBot="1" x14ac:dyDescent="0.35">
      <c r="A5" s="5"/>
      <c r="B5" s="9"/>
      <c r="C5" s="148" t="s">
        <v>0</v>
      </c>
      <c r="D5" s="148"/>
      <c r="E5" s="148"/>
      <c r="F5" s="148"/>
      <c r="G5" s="148"/>
      <c r="H5" s="148"/>
      <c r="I5" s="148"/>
      <c r="J5" s="148"/>
      <c r="K5" s="148"/>
      <c r="L5" s="10"/>
      <c r="M5" s="5"/>
    </row>
    <row r="6" spans="1:13" s="19" customFormat="1" ht="15.6" x14ac:dyDescent="0.3">
      <c r="A6" s="18"/>
      <c r="B6" s="80"/>
      <c r="C6" s="120"/>
      <c r="D6" s="121"/>
      <c r="E6" s="121"/>
      <c r="F6" s="121"/>
      <c r="G6" s="121"/>
      <c r="H6" s="121"/>
      <c r="I6" s="121"/>
      <c r="J6" s="121"/>
      <c r="K6" s="122"/>
      <c r="L6" s="20"/>
      <c r="M6" s="18"/>
    </row>
    <row r="7" spans="1:13" ht="43.5" customHeight="1" x14ac:dyDescent="0.3">
      <c r="A7" s="5"/>
      <c r="B7" s="81"/>
      <c r="C7" s="123"/>
      <c r="D7" s="124"/>
      <c r="E7" s="124"/>
      <c r="F7" s="124"/>
      <c r="G7" s="124"/>
      <c r="H7" s="124"/>
      <c r="I7" s="124"/>
      <c r="J7" s="124"/>
      <c r="K7" s="125"/>
      <c r="L7" s="10"/>
      <c r="M7" s="5"/>
    </row>
    <row r="8" spans="1:13" ht="34.5" customHeight="1" x14ac:dyDescent="0.3">
      <c r="A8" s="5"/>
      <c r="B8" s="81"/>
      <c r="C8" s="126"/>
      <c r="D8" s="127"/>
      <c r="E8" s="127"/>
      <c r="F8" s="127"/>
      <c r="G8" s="127"/>
      <c r="H8" s="127"/>
      <c r="I8" s="127"/>
      <c r="J8" s="127"/>
      <c r="K8" s="128"/>
      <c r="L8" s="10"/>
      <c r="M8" s="5"/>
    </row>
    <row r="9" spans="1:13" ht="30" customHeight="1" thickBot="1" x14ac:dyDescent="0.35">
      <c r="A9" s="5"/>
      <c r="B9" s="9"/>
      <c r="C9" s="131"/>
      <c r="D9" s="132"/>
      <c r="E9" s="132"/>
      <c r="F9" s="132"/>
      <c r="G9" s="132"/>
      <c r="H9" s="132"/>
      <c r="I9" s="132"/>
      <c r="J9" s="132"/>
      <c r="K9" s="133"/>
      <c r="L9" s="10"/>
      <c r="M9" s="5"/>
    </row>
    <row r="10" spans="1:13" ht="30" customHeight="1" x14ac:dyDescent="0.3">
      <c r="A10" s="5"/>
      <c r="B10" s="9"/>
      <c r="C10" s="115" t="s">
        <v>1</v>
      </c>
      <c r="D10" s="117" t="s">
        <v>2</v>
      </c>
      <c r="E10" s="119" t="s">
        <v>3</v>
      </c>
      <c r="F10" s="119"/>
      <c r="G10" s="115" t="s">
        <v>4</v>
      </c>
      <c r="H10" s="117" t="s">
        <v>5</v>
      </c>
      <c r="I10" s="117" t="s">
        <v>6</v>
      </c>
      <c r="J10" s="111" t="s">
        <v>7</v>
      </c>
      <c r="K10" s="113" t="s">
        <v>8</v>
      </c>
      <c r="L10" s="10"/>
      <c r="M10" s="5"/>
    </row>
    <row r="11" spans="1:13" ht="30" customHeight="1" thickBot="1" x14ac:dyDescent="0.35">
      <c r="A11" s="5"/>
      <c r="B11" s="9"/>
      <c r="C11" s="116"/>
      <c r="D11" s="118"/>
      <c r="E11" s="21" t="s">
        <v>9</v>
      </c>
      <c r="F11" s="21" t="s">
        <v>10</v>
      </c>
      <c r="G11" s="116"/>
      <c r="H11" s="118"/>
      <c r="I11" s="118"/>
      <c r="J11" s="112"/>
      <c r="K11" s="114"/>
      <c r="L11" s="10"/>
      <c r="M11" s="5"/>
    </row>
    <row r="12" spans="1:13" ht="30" customHeight="1" thickBot="1" x14ac:dyDescent="0.35">
      <c r="A12" s="5"/>
      <c r="B12" s="9"/>
      <c r="C12" s="107" t="s">
        <v>39</v>
      </c>
      <c r="D12" s="108"/>
      <c r="E12" s="108"/>
      <c r="F12" s="108"/>
      <c r="G12" s="108"/>
      <c r="H12" s="108"/>
      <c r="I12" s="108"/>
      <c r="J12" s="108"/>
      <c r="K12" s="109"/>
      <c r="L12" s="10"/>
      <c r="M12" s="5"/>
    </row>
    <row r="13" spans="1:13" ht="30" customHeight="1" thickBot="1" x14ac:dyDescent="0.35">
      <c r="A13" s="5"/>
      <c r="B13" s="9"/>
      <c r="C13" s="22"/>
      <c r="D13" s="89">
        <v>1</v>
      </c>
      <c r="E13" s="23"/>
      <c r="F13" s="23"/>
      <c r="G13" s="23" t="s">
        <v>26</v>
      </c>
      <c r="H13" s="23"/>
      <c r="I13" s="23"/>
      <c r="J13" s="23"/>
      <c r="K13" s="24"/>
      <c r="L13" s="10"/>
      <c r="M13" s="5"/>
    </row>
    <row r="14" spans="1:13" ht="30" customHeight="1" x14ac:dyDescent="0.3">
      <c r="A14" s="5"/>
      <c r="B14" s="9"/>
      <c r="C14" s="25"/>
      <c r="D14" s="26">
        <v>1.01</v>
      </c>
      <c r="E14" s="26"/>
      <c r="F14" s="26"/>
      <c r="G14" s="90" t="s">
        <v>27</v>
      </c>
      <c r="H14" s="92" t="s">
        <v>35</v>
      </c>
      <c r="I14" s="93">
        <v>135</v>
      </c>
      <c r="J14" s="94" t="s">
        <v>62</v>
      </c>
      <c r="K14" s="29" t="e">
        <f>+J14*I14</f>
        <v>#VALUE!</v>
      </c>
      <c r="L14" s="10"/>
      <c r="M14" s="5"/>
    </row>
    <row r="15" spans="1:13" ht="30" customHeight="1" thickBot="1" x14ac:dyDescent="0.35">
      <c r="A15" s="5"/>
      <c r="B15" s="9"/>
      <c r="C15" s="30" t="s">
        <v>11</v>
      </c>
      <c r="D15" s="31"/>
      <c r="E15" s="31"/>
      <c r="F15" s="31"/>
      <c r="G15" s="32"/>
      <c r="H15" s="31"/>
      <c r="I15" s="27"/>
      <c r="J15" s="33"/>
      <c r="K15" s="34" t="e">
        <f>+SUM(K14)</f>
        <v>#VALUE!</v>
      </c>
      <c r="L15" s="10"/>
      <c r="M15" s="5"/>
    </row>
    <row r="16" spans="1:13" ht="30" customHeight="1" thickBot="1" x14ac:dyDescent="0.35">
      <c r="A16" s="5"/>
      <c r="B16" s="9"/>
      <c r="C16" s="22"/>
      <c r="D16" s="89">
        <v>2</v>
      </c>
      <c r="E16" s="23"/>
      <c r="F16" s="23"/>
      <c r="G16" s="23" t="s">
        <v>28</v>
      </c>
      <c r="H16" s="23"/>
      <c r="I16" s="23"/>
      <c r="J16" s="23"/>
      <c r="K16" s="24"/>
      <c r="L16" s="10"/>
      <c r="M16" s="5"/>
    </row>
    <row r="17" spans="1:16" ht="30" customHeight="1" x14ac:dyDescent="0.3">
      <c r="A17" s="5"/>
      <c r="B17" s="9"/>
      <c r="C17" s="25"/>
      <c r="D17" s="26">
        <v>2.0099999999999998</v>
      </c>
      <c r="E17" s="26"/>
      <c r="F17" s="26"/>
      <c r="G17" s="90" t="s">
        <v>29</v>
      </c>
      <c r="H17" s="26" t="s">
        <v>36</v>
      </c>
      <c r="I17" s="27">
        <v>140</v>
      </c>
      <c r="J17" s="94" t="s">
        <v>62</v>
      </c>
      <c r="K17" s="35" t="e">
        <f>+J17*I17</f>
        <v>#VALUE!</v>
      </c>
      <c r="L17" s="10"/>
      <c r="M17" s="5"/>
    </row>
    <row r="18" spans="1:16" ht="30" customHeight="1" x14ac:dyDescent="0.3">
      <c r="A18" s="5"/>
      <c r="B18" s="9"/>
      <c r="C18" s="25"/>
      <c r="D18" s="26">
        <v>2.02</v>
      </c>
      <c r="E18" s="26"/>
      <c r="F18" s="26"/>
      <c r="G18" s="91" t="s">
        <v>30</v>
      </c>
      <c r="H18" s="26" t="s">
        <v>37</v>
      </c>
      <c r="I18" s="27">
        <v>20</v>
      </c>
      <c r="J18" s="94" t="s">
        <v>62</v>
      </c>
      <c r="K18" s="35" t="e">
        <f t="shared" ref="K18:K22" si="0">+J18*I18</f>
        <v>#VALUE!</v>
      </c>
      <c r="L18" s="10"/>
      <c r="M18" s="5"/>
    </row>
    <row r="19" spans="1:16" s="5" customFormat="1" ht="30" customHeight="1" x14ac:dyDescent="0.3">
      <c r="B19" s="9"/>
      <c r="C19" s="25"/>
      <c r="D19" s="36">
        <v>2.0299999999999998</v>
      </c>
      <c r="E19" s="36"/>
      <c r="F19" s="36"/>
      <c r="G19" s="90" t="s">
        <v>31</v>
      </c>
      <c r="H19" s="36" t="s">
        <v>36</v>
      </c>
      <c r="I19" s="27">
        <v>15</v>
      </c>
      <c r="J19" s="94" t="s">
        <v>62</v>
      </c>
      <c r="K19" s="35" t="e">
        <f t="shared" si="0"/>
        <v>#VALUE!</v>
      </c>
      <c r="L19" s="10"/>
    </row>
    <row r="20" spans="1:16" ht="30" customHeight="1" x14ac:dyDescent="0.25">
      <c r="B20" s="16"/>
      <c r="C20" s="25"/>
      <c r="D20" s="26">
        <v>2.04</v>
      </c>
      <c r="E20" s="26"/>
      <c r="F20" s="26"/>
      <c r="G20" s="90" t="s">
        <v>32</v>
      </c>
      <c r="H20" s="26" t="s">
        <v>38</v>
      </c>
      <c r="I20" s="27">
        <v>1</v>
      </c>
      <c r="J20" s="94" t="s">
        <v>62</v>
      </c>
      <c r="K20" s="35" t="e">
        <f t="shared" si="0"/>
        <v>#VALUE!</v>
      </c>
      <c r="L20" s="17"/>
    </row>
    <row r="21" spans="1:16" ht="30" customHeight="1" x14ac:dyDescent="0.25">
      <c r="B21" s="16"/>
      <c r="C21" s="25"/>
      <c r="D21" s="26">
        <v>2.0499999999999998</v>
      </c>
      <c r="E21" s="26"/>
      <c r="F21" s="26"/>
      <c r="G21" s="90" t="s">
        <v>33</v>
      </c>
      <c r="H21" s="26" t="s">
        <v>38</v>
      </c>
      <c r="I21" s="27">
        <v>1</v>
      </c>
      <c r="J21" s="94" t="s">
        <v>62</v>
      </c>
      <c r="K21" s="35" t="e">
        <f t="shared" si="0"/>
        <v>#VALUE!</v>
      </c>
      <c r="L21" s="17"/>
    </row>
    <row r="22" spans="1:16" ht="30" customHeight="1" x14ac:dyDescent="0.25">
      <c r="B22" s="16"/>
      <c r="C22" s="25"/>
      <c r="D22" s="26">
        <v>2.06</v>
      </c>
      <c r="E22" s="26"/>
      <c r="F22" s="26"/>
      <c r="G22" s="90" t="s">
        <v>34</v>
      </c>
      <c r="H22" s="26" t="s">
        <v>37</v>
      </c>
      <c r="I22" s="27">
        <v>5</v>
      </c>
      <c r="J22" s="94" t="s">
        <v>62</v>
      </c>
      <c r="K22" s="35" t="e">
        <f t="shared" si="0"/>
        <v>#VALUE!</v>
      </c>
      <c r="L22" s="17"/>
    </row>
    <row r="23" spans="1:16" ht="30" customHeight="1" thickBot="1" x14ac:dyDescent="0.35">
      <c r="A23" s="5"/>
      <c r="B23" s="9"/>
      <c r="C23" s="30" t="s">
        <v>11</v>
      </c>
      <c r="D23" s="37"/>
      <c r="E23" s="38"/>
      <c r="F23" s="37"/>
      <c r="G23" s="37"/>
      <c r="H23" s="37"/>
      <c r="I23" s="27"/>
      <c r="J23" s="37"/>
      <c r="K23" s="34" t="e">
        <f>+ROUND(SUM(K17:K22),0)</f>
        <v>#VALUE!</v>
      </c>
      <c r="L23" s="10"/>
      <c r="M23" s="5"/>
      <c r="N23" s="104"/>
      <c r="O23" s="102"/>
      <c r="P23" s="103"/>
    </row>
    <row r="24" spans="1:16" ht="30" customHeight="1" thickBot="1" x14ac:dyDescent="0.35">
      <c r="A24" s="5"/>
      <c r="B24" s="9"/>
      <c r="C24" s="107" t="s">
        <v>40</v>
      </c>
      <c r="D24" s="108"/>
      <c r="E24" s="108"/>
      <c r="F24" s="108"/>
      <c r="G24" s="108"/>
      <c r="H24" s="108"/>
      <c r="I24" s="108"/>
      <c r="J24" s="108"/>
      <c r="K24" s="109"/>
      <c r="L24" s="10"/>
      <c r="M24" s="5"/>
    </row>
    <row r="25" spans="1:16" ht="30" customHeight="1" thickBot="1" x14ac:dyDescent="0.35">
      <c r="A25" s="5"/>
      <c r="B25" s="9"/>
      <c r="C25" s="22"/>
      <c r="D25" s="89">
        <v>3</v>
      </c>
      <c r="E25" s="23"/>
      <c r="F25" s="23"/>
      <c r="G25" s="23" t="s">
        <v>41</v>
      </c>
      <c r="H25" s="23"/>
      <c r="I25" s="23"/>
      <c r="J25" s="23"/>
      <c r="K25" s="24"/>
      <c r="L25" s="10"/>
      <c r="M25" s="5"/>
    </row>
    <row r="26" spans="1:16" ht="30" customHeight="1" x14ac:dyDescent="0.3">
      <c r="A26" s="5"/>
      <c r="B26" s="9"/>
      <c r="C26" s="25"/>
      <c r="D26" s="95">
        <v>3.01</v>
      </c>
      <c r="E26" s="39"/>
      <c r="F26" s="39"/>
      <c r="G26" s="40" t="s">
        <v>42</v>
      </c>
      <c r="H26" s="39" t="s">
        <v>37</v>
      </c>
      <c r="I26" s="27">
        <v>21.841249580770501</v>
      </c>
      <c r="J26" s="94" t="s">
        <v>62</v>
      </c>
      <c r="K26" s="35" t="e">
        <f>+J26*I26</f>
        <v>#VALUE!</v>
      </c>
      <c r="L26" s="10"/>
      <c r="M26" s="5"/>
    </row>
    <row r="27" spans="1:16" ht="30" customHeight="1" x14ac:dyDescent="0.3">
      <c r="A27" s="5"/>
      <c r="B27" s="9"/>
      <c r="C27" s="25"/>
      <c r="D27" s="95">
        <v>3.02</v>
      </c>
      <c r="E27" s="41"/>
      <c r="F27" s="41"/>
      <c r="G27" s="40" t="s">
        <v>43</v>
      </c>
      <c r="H27" s="39" t="s">
        <v>37</v>
      </c>
      <c r="I27" s="27">
        <v>2.48000300436117</v>
      </c>
      <c r="J27" s="94" t="s">
        <v>62</v>
      </c>
      <c r="K27" s="35" t="e">
        <f t="shared" ref="K27:K33" si="1">+J27*I27</f>
        <v>#VALUE!</v>
      </c>
      <c r="L27" s="10"/>
      <c r="M27" s="5"/>
    </row>
    <row r="28" spans="1:16" ht="30" customHeight="1" x14ac:dyDescent="0.3">
      <c r="A28" s="5"/>
      <c r="B28" s="9"/>
      <c r="C28" s="25"/>
      <c r="D28" s="95">
        <v>3.03</v>
      </c>
      <c r="E28" s="39"/>
      <c r="F28" s="39"/>
      <c r="G28" s="40" t="s">
        <v>44</v>
      </c>
      <c r="H28" s="39" t="s">
        <v>37</v>
      </c>
      <c r="I28" s="27">
        <v>3.2999999999999972</v>
      </c>
      <c r="J28" s="94" t="s">
        <v>62</v>
      </c>
      <c r="K28" s="35" t="e">
        <f t="shared" si="1"/>
        <v>#VALUE!</v>
      </c>
      <c r="L28" s="10"/>
      <c r="M28" s="5"/>
    </row>
    <row r="29" spans="1:16" s="5" customFormat="1" ht="30" customHeight="1" x14ac:dyDescent="0.3">
      <c r="B29" s="9"/>
      <c r="C29" s="25"/>
      <c r="D29" s="95">
        <v>3.04</v>
      </c>
      <c r="E29" s="36"/>
      <c r="F29" s="36"/>
      <c r="G29" s="42" t="s">
        <v>45</v>
      </c>
      <c r="H29" s="36" t="s">
        <v>36</v>
      </c>
      <c r="I29" s="27">
        <v>22</v>
      </c>
      <c r="J29" s="94" t="s">
        <v>62</v>
      </c>
      <c r="K29" s="35" t="e">
        <f t="shared" si="1"/>
        <v>#VALUE!</v>
      </c>
      <c r="L29" s="10"/>
    </row>
    <row r="30" spans="1:16" ht="30" customHeight="1" x14ac:dyDescent="0.3">
      <c r="A30" s="5"/>
      <c r="B30" s="9"/>
      <c r="C30" s="25"/>
      <c r="D30" s="95">
        <v>3.05</v>
      </c>
      <c r="E30" s="39"/>
      <c r="F30" s="39"/>
      <c r="G30" s="40" t="s">
        <v>46</v>
      </c>
      <c r="H30" s="39" t="s">
        <v>47</v>
      </c>
      <c r="I30" s="27">
        <v>3111</v>
      </c>
      <c r="J30" s="94" t="s">
        <v>62</v>
      </c>
      <c r="K30" s="35" t="e">
        <f t="shared" si="1"/>
        <v>#VALUE!</v>
      </c>
      <c r="L30" s="10"/>
      <c r="M30" s="5"/>
    </row>
    <row r="31" spans="1:16" s="5" customFormat="1" ht="30" customHeight="1" x14ac:dyDescent="0.3">
      <c r="B31" s="9"/>
      <c r="C31" s="44"/>
      <c r="D31" s="95">
        <v>3.06</v>
      </c>
      <c r="E31" s="36"/>
      <c r="F31" s="36"/>
      <c r="G31" s="42" t="s">
        <v>48</v>
      </c>
      <c r="H31" s="36" t="s">
        <v>49</v>
      </c>
      <c r="I31" s="27">
        <v>8</v>
      </c>
      <c r="J31" s="94" t="s">
        <v>62</v>
      </c>
      <c r="K31" s="35" t="e">
        <f t="shared" si="1"/>
        <v>#VALUE!</v>
      </c>
      <c r="L31" s="10"/>
    </row>
    <row r="32" spans="1:16" ht="30" customHeight="1" x14ac:dyDescent="0.3">
      <c r="A32" s="5"/>
      <c r="B32" s="9"/>
      <c r="C32" s="25"/>
      <c r="D32" s="95">
        <v>3.07</v>
      </c>
      <c r="E32" s="26"/>
      <c r="F32" s="39"/>
      <c r="G32" s="40" t="s">
        <v>50</v>
      </c>
      <c r="H32" s="39" t="s">
        <v>36</v>
      </c>
      <c r="I32" s="27">
        <v>74</v>
      </c>
      <c r="J32" s="94" t="s">
        <v>62</v>
      </c>
      <c r="K32" s="35" t="e">
        <f t="shared" si="1"/>
        <v>#VALUE!</v>
      </c>
      <c r="L32" s="10"/>
      <c r="M32" s="5"/>
    </row>
    <row r="33" spans="1:15" ht="30" customHeight="1" x14ac:dyDescent="0.3">
      <c r="A33" s="5"/>
      <c r="B33" s="9"/>
      <c r="C33" s="25"/>
      <c r="D33" s="95">
        <v>3.08</v>
      </c>
      <c r="E33" s="39"/>
      <c r="F33" s="39"/>
      <c r="G33" s="40" t="s">
        <v>51</v>
      </c>
      <c r="H33" s="45" t="s">
        <v>49</v>
      </c>
      <c r="I33" s="27">
        <v>60</v>
      </c>
      <c r="J33" s="94" t="s">
        <v>62</v>
      </c>
      <c r="K33" s="35" t="e">
        <f t="shared" si="1"/>
        <v>#VALUE!</v>
      </c>
      <c r="L33" s="10"/>
      <c r="M33" s="5"/>
      <c r="O33" s="100"/>
    </row>
    <row r="34" spans="1:15" ht="30" customHeight="1" thickBot="1" x14ac:dyDescent="0.35">
      <c r="A34" s="5"/>
      <c r="B34" s="9"/>
      <c r="C34" s="46" t="s">
        <v>11</v>
      </c>
      <c r="D34" s="47"/>
      <c r="E34" s="47"/>
      <c r="F34" s="47"/>
      <c r="G34" s="48"/>
      <c r="H34" s="47"/>
      <c r="I34" s="27"/>
      <c r="J34" s="49"/>
      <c r="K34" s="34" t="e">
        <f>+ROUND(SUM(K26:K33),0)</f>
        <v>#VALUE!</v>
      </c>
      <c r="L34" s="10"/>
      <c r="M34" s="5"/>
    </row>
    <row r="35" spans="1:15" ht="30" customHeight="1" thickBot="1" x14ac:dyDescent="0.35">
      <c r="A35" s="5"/>
      <c r="B35" s="9"/>
      <c r="C35" s="107" t="s">
        <v>52</v>
      </c>
      <c r="D35" s="108"/>
      <c r="E35" s="108"/>
      <c r="F35" s="108"/>
      <c r="G35" s="108"/>
      <c r="H35" s="108"/>
      <c r="I35" s="108"/>
      <c r="J35" s="108"/>
      <c r="K35" s="109"/>
      <c r="L35" s="10"/>
      <c r="M35" s="5"/>
    </row>
    <row r="36" spans="1:15" ht="30" customHeight="1" thickBot="1" x14ac:dyDescent="0.35">
      <c r="A36" s="5"/>
      <c r="B36" s="9"/>
      <c r="C36" s="22"/>
      <c r="D36" s="89">
        <v>4</v>
      </c>
      <c r="E36" s="23"/>
      <c r="F36" s="23"/>
      <c r="G36" s="23" t="s">
        <v>53</v>
      </c>
      <c r="H36" s="23"/>
      <c r="I36" s="23"/>
      <c r="J36" s="23"/>
      <c r="K36" s="24"/>
      <c r="L36" s="10"/>
      <c r="M36" s="5"/>
    </row>
    <row r="37" spans="1:15" ht="30" customHeight="1" x14ac:dyDescent="0.3">
      <c r="A37" s="5"/>
      <c r="B37" s="9"/>
      <c r="C37" s="25"/>
      <c r="D37" s="39">
        <v>4.01</v>
      </c>
      <c r="E37" s="39"/>
      <c r="F37" s="39"/>
      <c r="G37" s="90" t="s">
        <v>54</v>
      </c>
      <c r="H37" s="39" t="s">
        <v>37</v>
      </c>
      <c r="I37" s="27">
        <v>40</v>
      </c>
      <c r="J37" s="94" t="s">
        <v>62</v>
      </c>
      <c r="K37" s="35" t="e">
        <f t="shared" ref="K37:K42" si="2">+J37*I37</f>
        <v>#VALUE!</v>
      </c>
      <c r="L37" s="10"/>
      <c r="M37" s="5"/>
    </row>
    <row r="38" spans="1:15" ht="30" customHeight="1" x14ac:dyDescent="0.3">
      <c r="A38" s="5"/>
      <c r="B38" s="9"/>
      <c r="C38" s="25"/>
      <c r="D38" s="39">
        <v>4.0199999999999996</v>
      </c>
      <c r="E38" s="39"/>
      <c r="F38" s="39"/>
      <c r="G38" s="90" t="s">
        <v>55</v>
      </c>
      <c r="H38" s="39" t="s">
        <v>36</v>
      </c>
      <c r="I38" s="27">
        <v>77.38</v>
      </c>
      <c r="J38" s="94" t="s">
        <v>62</v>
      </c>
      <c r="K38" s="35" t="e">
        <f t="shared" si="2"/>
        <v>#VALUE!</v>
      </c>
      <c r="L38" s="10"/>
      <c r="M38" s="5"/>
    </row>
    <row r="39" spans="1:15" ht="30" customHeight="1" x14ac:dyDescent="0.3">
      <c r="A39" s="5"/>
      <c r="B39" s="9"/>
      <c r="C39" s="50"/>
      <c r="D39" s="39">
        <v>4.03</v>
      </c>
      <c r="E39" s="39"/>
      <c r="F39" s="39"/>
      <c r="G39" s="90" t="s">
        <v>56</v>
      </c>
      <c r="H39" s="39" t="s">
        <v>36</v>
      </c>
      <c r="I39" s="27">
        <v>144</v>
      </c>
      <c r="J39" s="94" t="s">
        <v>62</v>
      </c>
      <c r="K39" s="35" t="e">
        <f t="shared" si="2"/>
        <v>#VALUE!</v>
      </c>
      <c r="L39" s="10"/>
      <c r="M39" s="5"/>
    </row>
    <row r="40" spans="1:15" ht="30" customHeight="1" x14ac:dyDescent="0.3">
      <c r="A40" s="5"/>
      <c r="B40" s="9"/>
      <c r="C40" s="25"/>
      <c r="D40" s="39">
        <v>4.04</v>
      </c>
      <c r="E40" s="39"/>
      <c r="F40" s="39"/>
      <c r="G40" s="90" t="s">
        <v>57</v>
      </c>
      <c r="H40" s="39" t="s">
        <v>49</v>
      </c>
      <c r="I40" s="27">
        <v>67</v>
      </c>
      <c r="J40" s="94" t="s">
        <v>62</v>
      </c>
      <c r="K40" s="35" t="e">
        <f t="shared" si="2"/>
        <v>#VALUE!</v>
      </c>
      <c r="L40" s="10"/>
      <c r="M40" s="5"/>
    </row>
    <row r="41" spans="1:15" ht="30" customHeight="1" x14ac:dyDescent="0.3">
      <c r="A41" s="5"/>
      <c r="B41" s="9"/>
      <c r="C41" s="25"/>
      <c r="D41" s="39">
        <v>4.05</v>
      </c>
      <c r="E41" s="39"/>
      <c r="F41" s="39"/>
      <c r="G41" s="90" t="s">
        <v>58</v>
      </c>
      <c r="H41" s="39" t="s">
        <v>36</v>
      </c>
      <c r="I41" s="27">
        <v>156</v>
      </c>
      <c r="J41" s="94" t="s">
        <v>62</v>
      </c>
      <c r="K41" s="35" t="e">
        <f t="shared" si="2"/>
        <v>#VALUE!</v>
      </c>
      <c r="L41" s="10"/>
      <c r="M41" s="5"/>
    </row>
    <row r="42" spans="1:15" ht="30" customHeight="1" x14ac:dyDescent="0.3">
      <c r="A42" s="5"/>
      <c r="B42" s="9"/>
      <c r="C42" s="50"/>
      <c r="D42" s="39">
        <v>4.0599999999999996</v>
      </c>
      <c r="E42" s="39"/>
      <c r="F42" s="39"/>
      <c r="G42" s="90" t="s">
        <v>59</v>
      </c>
      <c r="H42" s="39" t="s">
        <v>36</v>
      </c>
      <c r="I42" s="27">
        <v>156</v>
      </c>
      <c r="J42" s="94" t="s">
        <v>62</v>
      </c>
      <c r="K42" s="35" t="e">
        <f t="shared" si="2"/>
        <v>#VALUE!</v>
      </c>
      <c r="L42" s="10"/>
      <c r="M42" s="5"/>
    </row>
    <row r="43" spans="1:15" ht="30" customHeight="1" thickBot="1" x14ac:dyDescent="0.35">
      <c r="A43" s="5"/>
      <c r="B43" s="9"/>
      <c r="C43" s="30" t="s">
        <v>11</v>
      </c>
      <c r="D43" s="51"/>
      <c r="E43" s="51"/>
      <c r="F43" s="51"/>
      <c r="G43" s="52"/>
      <c r="H43" s="53"/>
      <c r="I43" s="27"/>
      <c r="J43" s="33"/>
      <c r="K43" s="34" t="e">
        <f>+ROUND(SUM(K37:K42),0)</f>
        <v>#VALUE!</v>
      </c>
      <c r="L43" s="10"/>
      <c r="M43" s="5"/>
    </row>
    <row r="44" spans="1:15" s="3" customFormat="1" ht="30" customHeight="1" thickBot="1" x14ac:dyDescent="0.35">
      <c r="A44" s="11"/>
      <c r="B44" s="12"/>
      <c r="C44" s="134" t="s">
        <v>12</v>
      </c>
      <c r="D44" s="135"/>
      <c r="E44" s="135"/>
      <c r="F44" s="135"/>
      <c r="G44" s="135"/>
      <c r="H44" s="135"/>
      <c r="I44" s="135"/>
      <c r="J44" s="136"/>
      <c r="K44" s="105" t="e">
        <f>+ROUND(K15+K23+K34+K43,0)</f>
        <v>#VALUE!</v>
      </c>
      <c r="L44" s="13"/>
      <c r="M44" s="11"/>
    </row>
    <row r="45" spans="1:15" s="3" customFormat="1" ht="16.2" thickBot="1" x14ac:dyDescent="0.35">
      <c r="A45" s="11"/>
      <c r="B45" s="12"/>
      <c r="C45" s="55"/>
      <c r="D45" s="55"/>
      <c r="E45" s="55"/>
      <c r="F45" s="55"/>
      <c r="G45" s="55"/>
      <c r="H45" s="55"/>
      <c r="I45" s="55"/>
      <c r="J45" s="55"/>
      <c r="K45" s="56"/>
      <c r="L45" s="13"/>
      <c r="M45" s="11"/>
    </row>
    <row r="46" spans="1:15" s="3" customFormat="1" ht="30" customHeight="1" thickBot="1" x14ac:dyDescent="0.35">
      <c r="A46" s="11"/>
      <c r="B46" s="12"/>
      <c r="C46" s="57"/>
      <c r="D46" s="58"/>
      <c r="E46" s="57"/>
      <c r="F46" s="57"/>
      <c r="G46" s="149" t="s">
        <v>24</v>
      </c>
      <c r="H46" s="150"/>
      <c r="I46" s="151"/>
      <c r="J46" s="106">
        <f>+K52</f>
        <v>0.31219999999999998</v>
      </c>
      <c r="K46" s="99" t="e">
        <f>+ROUNDDOWN(J46*K44,0)</f>
        <v>#VALUE!</v>
      </c>
      <c r="L46" s="13"/>
      <c r="M46" s="11"/>
      <c r="N46" s="101"/>
    </row>
    <row r="47" spans="1:15" s="3" customFormat="1" ht="30" customHeight="1" thickBot="1" x14ac:dyDescent="0.35">
      <c r="A47" s="11"/>
      <c r="B47" s="12"/>
      <c r="C47" s="57"/>
      <c r="D47" s="58"/>
      <c r="E47" s="57"/>
      <c r="F47" s="57"/>
      <c r="G47" s="60" t="s">
        <v>61</v>
      </c>
      <c r="H47" s="97"/>
      <c r="I47" s="59"/>
      <c r="J47" s="98">
        <f>+K54</f>
        <v>0.05</v>
      </c>
      <c r="K47" s="99" t="e">
        <f>+ROUNDDOWN(J47*K44,0)</f>
        <v>#VALUE!</v>
      </c>
      <c r="L47" s="13"/>
      <c r="M47" s="11"/>
    </row>
    <row r="48" spans="1:15" s="3" customFormat="1" ht="30" customHeight="1" thickBot="1" x14ac:dyDescent="0.35">
      <c r="A48" s="11"/>
      <c r="B48" s="12"/>
      <c r="C48" s="57"/>
      <c r="D48" s="58"/>
      <c r="E48" s="57"/>
      <c r="F48" s="57"/>
      <c r="G48" s="61" t="s">
        <v>60</v>
      </c>
      <c r="H48" s="62"/>
      <c r="I48" s="63"/>
      <c r="J48" s="64"/>
      <c r="K48" s="54" t="e">
        <f>+K44+K46+K47</f>
        <v>#VALUE!</v>
      </c>
      <c r="L48" s="13"/>
      <c r="M48" s="11"/>
    </row>
    <row r="49" spans="1:13" s="3" customFormat="1" ht="16.2" thickBot="1" x14ac:dyDescent="0.35">
      <c r="A49" s="11"/>
      <c r="B49" s="12"/>
      <c r="C49" s="57"/>
      <c r="D49" s="58"/>
      <c r="E49" s="58"/>
      <c r="F49" s="58"/>
      <c r="G49" s="57"/>
      <c r="H49" s="57"/>
      <c r="I49" s="65"/>
      <c r="J49" s="66"/>
      <c r="K49" s="67"/>
      <c r="L49" s="13"/>
      <c r="M49" s="11"/>
    </row>
    <row r="50" spans="1:13" s="3" customFormat="1" ht="15.6" x14ac:dyDescent="0.3">
      <c r="A50" s="11"/>
      <c r="B50" s="12"/>
      <c r="C50" s="68"/>
      <c r="D50" s="146"/>
      <c r="E50" s="146"/>
      <c r="F50" s="146"/>
      <c r="G50" s="146"/>
      <c r="H50" s="146"/>
      <c r="I50" s="146"/>
      <c r="J50" s="146"/>
      <c r="K50" s="147"/>
      <c r="L50" s="14"/>
      <c r="M50" s="11"/>
    </row>
    <row r="51" spans="1:13" s="3" customFormat="1" ht="46.5" customHeight="1" x14ac:dyDescent="0.3">
      <c r="A51" s="11"/>
      <c r="B51" s="12"/>
      <c r="C51" s="139" t="s">
        <v>17</v>
      </c>
      <c r="D51" s="140"/>
      <c r="E51" s="140"/>
      <c r="F51" s="140"/>
      <c r="G51" s="140"/>
      <c r="H51" s="145" t="s">
        <v>13</v>
      </c>
      <c r="I51" s="145"/>
      <c r="J51" s="145"/>
      <c r="K51" s="69" t="s">
        <v>14</v>
      </c>
      <c r="L51" s="15"/>
      <c r="M51" s="11"/>
    </row>
    <row r="52" spans="1:13" s="3" customFormat="1" ht="32.25" customHeight="1" x14ac:dyDescent="0.3">
      <c r="A52" s="11"/>
      <c r="B52" s="12"/>
      <c r="C52" s="71"/>
      <c r="D52" s="4"/>
      <c r="E52" s="72"/>
      <c r="F52" s="72"/>
      <c r="G52" s="73"/>
      <c r="H52" s="144" t="s">
        <v>15</v>
      </c>
      <c r="I52" s="144"/>
      <c r="J52" s="70" t="s">
        <v>16</v>
      </c>
      <c r="K52" s="96">
        <v>0.31219999999999998</v>
      </c>
      <c r="L52" s="15"/>
      <c r="M52" s="11"/>
    </row>
    <row r="53" spans="1:13" s="3" customFormat="1" ht="30" customHeight="1" x14ac:dyDescent="0.3">
      <c r="A53" s="11"/>
      <c r="B53" s="12"/>
      <c r="C53" s="74"/>
      <c r="D53" s="75"/>
      <c r="E53" s="75"/>
      <c r="F53" s="75"/>
      <c r="G53" s="76"/>
      <c r="H53" s="141" t="s">
        <v>18</v>
      </c>
      <c r="I53" s="142"/>
      <c r="J53" s="70" t="s">
        <v>19</v>
      </c>
      <c r="K53" s="96"/>
      <c r="L53" s="15"/>
      <c r="M53" s="11"/>
    </row>
    <row r="54" spans="1:13" s="4" customFormat="1" ht="58.5" customHeight="1" thickBot="1" x14ac:dyDescent="0.35">
      <c r="A54" s="11"/>
      <c r="B54" s="12"/>
      <c r="C54" s="79"/>
      <c r="D54" s="77"/>
      <c r="E54" s="77"/>
      <c r="F54" s="77"/>
      <c r="G54" s="78"/>
      <c r="H54" s="143" t="s">
        <v>20</v>
      </c>
      <c r="I54" s="144"/>
      <c r="J54" s="70" t="s">
        <v>21</v>
      </c>
      <c r="K54" s="96">
        <v>0.05</v>
      </c>
      <c r="L54" s="13"/>
      <c r="M54" s="11"/>
    </row>
    <row r="55" spans="1:13" ht="57" customHeight="1" thickBot="1" x14ac:dyDescent="0.35">
      <c r="A55" s="5"/>
      <c r="B55" s="9"/>
      <c r="C55" s="85"/>
      <c r="D55" s="85"/>
      <c r="E55" s="86"/>
      <c r="F55" s="85"/>
      <c r="G55" s="87"/>
      <c r="H55" s="144" t="s">
        <v>22</v>
      </c>
      <c r="I55" s="144"/>
      <c r="J55" s="70" t="s">
        <v>23</v>
      </c>
      <c r="K55" s="96">
        <f>+K54+K52++K53</f>
        <v>0.36219999999999997</v>
      </c>
      <c r="L55" s="10"/>
      <c r="M55" s="5"/>
    </row>
    <row r="56" spans="1:13" ht="16.8" thickTop="1" thickBot="1" x14ac:dyDescent="0.35">
      <c r="A56" s="5"/>
      <c r="B56" s="9"/>
      <c r="C56" s="5"/>
      <c r="D56" s="5"/>
      <c r="E56" s="6"/>
      <c r="F56" s="5"/>
      <c r="G56" s="5"/>
      <c r="H56" s="137"/>
      <c r="I56" s="137"/>
      <c r="J56" s="137"/>
      <c r="K56" s="138"/>
      <c r="L56" s="10"/>
      <c r="M56" s="5"/>
    </row>
    <row r="57" spans="1:13" ht="16.2" thickBot="1" x14ac:dyDescent="0.35">
      <c r="A57" s="5"/>
      <c r="B57" s="84"/>
      <c r="H57" s="85"/>
      <c r="I57" s="85"/>
      <c r="J57" s="85"/>
      <c r="K57" s="85"/>
      <c r="L57" s="88"/>
      <c r="M57" s="5"/>
    </row>
    <row r="58" spans="1:13" ht="16.2" thickTop="1" x14ac:dyDescent="0.3">
      <c r="A58" s="5"/>
      <c r="B58" s="5"/>
      <c r="H58" s="5"/>
      <c r="I58" s="5"/>
      <c r="J58" s="5"/>
      <c r="K58" s="5"/>
      <c r="L58" s="5"/>
      <c r="M58" s="5"/>
    </row>
  </sheetData>
  <mergeCells count="27">
    <mergeCell ref="C9:K9"/>
    <mergeCell ref="C3:F3"/>
    <mergeCell ref="C4:K4"/>
    <mergeCell ref="C5:K5"/>
    <mergeCell ref="C6:K7"/>
    <mergeCell ref="C8:K8"/>
    <mergeCell ref="C44:J44"/>
    <mergeCell ref="C10:C11"/>
    <mergeCell ref="D10:D11"/>
    <mergeCell ref="E10:F10"/>
    <mergeCell ref="G10:G11"/>
    <mergeCell ref="H10:H11"/>
    <mergeCell ref="I10:I11"/>
    <mergeCell ref="J10:J11"/>
    <mergeCell ref="K10:K11"/>
    <mergeCell ref="C12:K12"/>
    <mergeCell ref="C24:K24"/>
    <mergeCell ref="C35:K35"/>
    <mergeCell ref="H54:I54"/>
    <mergeCell ref="H55:I55"/>
    <mergeCell ref="H56:K56"/>
    <mergeCell ref="G46:I46"/>
    <mergeCell ref="D50:K50"/>
    <mergeCell ref="C51:G51"/>
    <mergeCell ref="H51:J51"/>
    <mergeCell ref="H52:I52"/>
    <mergeCell ref="H53:I53"/>
  </mergeCells>
  <conditionalFormatting sqref="J14">
    <cfRule type="containsText" dxfId="3" priority="4" operator="containsText" text="DIGITAR">
      <formula>NOT(ISERROR(SEARCH("DIGITAR",J14)))</formula>
    </cfRule>
  </conditionalFormatting>
  <conditionalFormatting sqref="J17:J22">
    <cfRule type="containsText" dxfId="2" priority="3" operator="containsText" text="DIGITAR">
      <formula>NOT(ISERROR(SEARCH("DIGITAR",J17)))</formula>
    </cfRule>
  </conditionalFormatting>
  <conditionalFormatting sqref="J26:J33">
    <cfRule type="containsText" dxfId="1" priority="2" operator="containsText" text="DIGITAR">
      <formula>NOT(ISERROR(SEARCH("DIGITAR",J26)))</formula>
    </cfRule>
  </conditionalFormatting>
  <conditionalFormatting sqref="J37:J42">
    <cfRule type="containsText" dxfId="0" priority="1" operator="containsText" text="DIGITAR">
      <formula>NOT(ISERROR(SEARCH("DIGITAR",J37)))</formula>
    </cfRule>
  </conditionalFormatting>
  <pageMargins left="0.11811023622047245" right="0.11811023622047245" top="0.15748031496062992" bottom="0.15748031496062992" header="0.31496062992125984" footer="0.31496062992125984"/>
  <pageSetup scale="3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AE765-6ADD-40AB-A689-A650C050D106}">
  <sheetPr codeName="Hoja1">
    <tabColor theme="7"/>
    <pageSetUpPr fitToPage="1"/>
  </sheetPr>
  <dimension ref="A1:I76"/>
  <sheetViews>
    <sheetView view="pageBreakPreview" topLeftCell="A46" zoomScaleNormal="90" zoomScaleSheetLayoutView="100" workbookViewId="0">
      <selection activeCell="D7" sqref="D7"/>
    </sheetView>
  </sheetViews>
  <sheetFormatPr baseColWidth="10" defaultColWidth="9.109375" defaultRowHeight="13.2" x14ac:dyDescent="0.25"/>
  <cols>
    <col min="1" max="1" width="40.44140625" style="557" customWidth="1"/>
    <col min="2" max="2" width="18" style="557" bestFit="1" customWidth="1"/>
    <col min="3" max="3" width="8.6640625" style="557" customWidth="1"/>
    <col min="4" max="4" width="17.6640625" style="560" customWidth="1"/>
    <col min="5" max="5" width="15.6640625" style="565" customWidth="1"/>
    <col min="6" max="6" width="24.5546875" style="565" customWidth="1"/>
    <col min="7" max="7" width="23" style="557" customWidth="1"/>
    <col min="8" max="8" width="20" style="566" customWidth="1"/>
    <col min="9" max="13" width="16.33203125" style="557" customWidth="1"/>
    <col min="14" max="14" width="12.44140625" style="557" customWidth="1"/>
    <col min="15" max="15" width="14" style="557" customWidth="1"/>
    <col min="16" max="256" width="9.109375" style="557"/>
    <col min="257" max="257" width="40.44140625" style="557" customWidth="1"/>
    <col min="258" max="258" width="18" style="557" bestFit="1" customWidth="1"/>
    <col min="259" max="259" width="17.6640625" style="557" customWidth="1"/>
    <col min="260" max="260" width="16" style="557" customWidth="1"/>
    <col min="261" max="261" width="24.5546875" style="557" customWidth="1"/>
    <col min="262" max="262" width="4" style="557" customWidth="1"/>
    <col min="263" max="263" width="16.5546875" style="557" bestFit="1" customWidth="1"/>
    <col min="264" max="269" width="16.33203125" style="557" customWidth="1"/>
    <col min="270" max="270" width="12.44140625" style="557" customWidth="1"/>
    <col min="271" max="271" width="14" style="557" customWidth="1"/>
    <col min="272" max="512" width="9.109375" style="557"/>
    <col min="513" max="513" width="40.44140625" style="557" customWidth="1"/>
    <col min="514" max="514" width="18" style="557" bestFit="1" customWidth="1"/>
    <col min="515" max="515" width="17.6640625" style="557" customWidth="1"/>
    <col min="516" max="516" width="16" style="557" customWidth="1"/>
    <col min="517" max="517" width="24.5546875" style="557" customWidth="1"/>
    <col min="518" max="518" width="4" style="557" customWidth="1"/>
    <col min="519" max="519" width="16.5546875" style="557" bestFit="1" customWidth="1"/>
    <col min="520" max="525" width="16.33203125" style="557" customWidth="1"/>
    <col min="526" max="526" width="12.44140625" style="557" customWidth="1"/>
    <col min="527" max="527" width="14" style="557" customWidth="1"/>
    <col min="528" max="768" width="9.109375" style="557"/>
    <col min="769" max="769" width="40.44140625" style="557" customWidth="1"/>
    <col min="770" max="770" width="18" style="557" bestFit="1" customWidth="1"/>
    <col min="771" max="771" width="17.6640625" style="557" customWidth="1"/>
    <col min="772" max="772" width="16" style="557" customWidth="1"/>
    <col min="773" max="773" width="24.5546875" style="557" customWidth="1"/>
    <col min="774" max="774" width="4" style="557" customWidth="1"/>
    <col min="775" max="775" width="16.5546875" style="557" bestFit="1" customWidth="1"/>
    <col min="776" max="781" width="16.33203125" style="557" customWidth="1"/>
    <col min="782" max="782" width="12.44140625" style="557" customWidth="1"/>
    <col min="783" max="783" width="14" style="557" customWidth="1"/>
    <col min="784" max="1024" width="9.109375" style="557"/>
    <col min="1025" max="1025" width="40.44140625" style="557" customWidth="1"/>
    <col min="1026" max="1026" width="18" style="557" bestFit="1" customWidth="1"/>
    <col min="1027" max="1027" width="17.6640625" style="557" customWidth="1"/>
    <col min="1028" max="1028" width="16" style="557" customWidth="1"/>
    <col min="1029" max="1029" width="24.5546875" style="557" customWidth="1"/>
    <col min="1030" max="1030" width="4" style="557" customWidth="1"/>
    <col min="1031" max="1031" width="16.5546875" style="557" bestFit="1" customWidth="1"/>
    <col min="1032" max="1037" width="16.33203125" style="557" customWidth="1"/>
    <col min="1038" max="1038" width="12.44140625" style="557" customWidth="1"/>
    <col min="1039" max="1039" width="14" style="557" customWidth="1"/>
    <col min="1040" max="1280" width="9.109375" style="557"/>
    <col min="1281" max="1281" width="40.44140625" style="557" customWidth="1"/>
    <col min="1282" max="1282" width="18" style="557" bestFit="1" customWidth="1"/>
    <col min="1283" max="1283" width="17.6640625" style="557" customWidth="1"/>
    <col min="1284" max="1284" width="16" style="557" customWidth="1"/>
    <col min="1285" max="1285" width="24.5546875" style="557" customWidth="1"/>
    <col min="1286" max="1286" width="4" style="557" customWidth="1"/>
    <col min="1287" max="1287" width="16.5546875" style="557" bestFit="1" customWidth="1"/>
    <col min="1288" max="1293" width="16.33203125" style="557" customWidth="1"/>
    <col min="1294" max="1294" width="12.44140625" style="557" customWidth="1"/>
    <col min="1295" max="1295" width="14" style="557" customWidth="1"/>
    <col min="1296" max="1536" width="9.109375" style="557"/>
    <col min="1537" max="1537" width="40.44140625" style="557" customWidth="1"/>
    <col min="1538" max="1538" width="18" style="557" bestFit="1" customWidth="1"/>
    <col min="1539" max="1539" width="17.6640625" style="557" customWidth="1"/>
    <col min="1540" max="1540" width="16" style="557" customWidth="1"/>
    <col min="1541" max="1541" width="24.5546875" style="557" customWidth="1"/>
    <col min="1542" max="1542" width="4" style="557" customWidth="1"/>
    <col min="1543" max="1543" width="16.5546875" style="557" bestFit="1" customWidth="1"/>
    <col min="1544" max="1549" width="16.33203125" style="557" customWidth="1"/>
    <col min="1550" max="1550" width="12.44140625" style="557" customWidth="1"/>
    <col min="1551" max="1551" width="14" style="557" customWidth="1"/>
    <col min="1552" max="1792" width="9.109375" style="557"/>
    <col min="1793" max="1793" width="40.44140625" style="557" customWidth="1"/>
    <col min="1794" max="1794" width="18" style="557" bestFit="1" customWidth="1"/>
    <col min="1795" max="1795" width="17.6640625" style="557" customWidth="1"/>
    <col min="1796" max="1796" width="16" style="557" customWidth="1"/>
    <col min="1797" max="1797" width="24.5546875" style="557" customWidth="1"/>
    <col min="1798" max="1798" width="4" style="557" customWidth="1"/>
    <col min="1799" max="1799" width="16.5546875" style="557" bestFit="1" customWidth="1"/>
    <col min="1800" max="1805" width="16.33203125" style="557" customWidth="1"/>
    <col min="1806" max="1806" width="12.44140625" style="557" customWidth="1"/>
    <col min="1807" max="1807" width="14" style="557" customWidth="1"/>
    <col min="1808" max="2048" width="9.109375" style="557"/>
    <col min="2049" max="2049" width="40.44140625" style="557" customWidth="1"/>
    <col min="2050" max="2050" width="18" style="557" bestFit="1" customWidth="1"/>
    <col min="2051" max="2051" width="17.6640625" style="557" customWidth="1"/>
    <col min="2052" max="2052" width="16" style="557" customWidth="1"/>
    <col min="2053" max="2053" width="24.5546875" style="557" customWidth="1"/>
    <col min="2054" max="2054" width="4" style="557" customWidth="1"/>
    <col min="2055" max="2055" width="16.5546875" style="557" bestFit="1" customWidth="1"/>
    <col min="2056" max="2061" width="16.33203125" style="557" customWidth="1"/>
    <col min="2062" max="2062" width="12.44140625" style="557" customWidth="1"/>
    <col min="2063" max="2063" width="14" style="557" customWidth="1"/>
    <col min="2064" max="2304" width="9.109375" style="557"/>
    <col min="2305" max="2305" width="40.44140625" style="557" customWidth="1"/>
    <col min="2306" max="2306" width="18" style="557" bestFit="1" customWidth="1"/>
    <col min="2307" max="2307" width="17.6640625" style="557" customWidth="1"/>
    <col min="2308" max="2308" width="16" style="557" customWidth="1"/>
    <col min="2309" max="2309" width="24.5546875" style="557" customWidth="1"/>
    <col min="2310" max="2310" width="4" style="557" customWidth="1"/>
    <col min="2311" max="2311" width="16.5546875" style="557" bestFit="1" customWidth="1"/>
    <col min="2312" max="2317" width="16.33203125" style="557" customWidth="1"/>
    <col min="2318" max="2318" width="12.44140625" style="557" customWidth="1"/>
    <col min="2319" max="2319" width="14" style="557" customWidth="1"/>
    <col min="2320" max="2560" width="9.109375" style="557"/>
    <col min="2561" max="2561" width="40.44140625" style="557" customWidth="1"/>
    <col min="2562" max="2562" width="18" style="557" bestFit="1" customWidth="1"/>
    <col min="2563" max="2563" width="17.6640625" style="557" customWidth="1"/>
    <col min="2564" max="2564" width="16" style="557" customWidth="1"/>
    <col min="2565" max="2565" width="24.5546875" style="557" customWidth="1"/>
    <col min="2566" max="2566" width="4" style="557" customWidth="1"/>
    <col min="2567" max="2567" width="16.5546875" style="557" bestFit="1" customWidth="1"/>
    <col min="2568" max="2573" width="16.33203125" style="557" customWidth="1"/>
    <col min="2574" max="2574" width="12.44140625" style="557" customWidth="1"/>
    <col min="2575" max="2575" width="14" style="557" customWidth="1"/>
    <col min="2576" max="2816" width="9.109375" style="557"/>
    <col min="2817" max="2817" width="40.44140625" style="557" customWidth="1"/>
    <col min="2818" max="2818" width="18" style="557" bestFit="1" customWidth="1"/>
    <col min="2819" max="2819" width="17.6640625" style="557" customWidth="1"/>
    <col min="2820" max="2820" width="16" style="557" customWidth="1"/>
    <col min="2821" max="2821" width="24.5546875" style="557" customWidth="1"/>
    <col min="2822" max="2822" width="4" style="557" customWidth="1"/>
    <col min="2823" max="2823" width="16.5546875" style="557" bestFit="1" customWidth="1"/>
    <col min="2824" max="2829" width="16.33203125" style="557" customWidth="1"/>
    <col min="2830" max="2830" width="12.44140625" style="557" customWidth="1"/>
    <col min="2831" max="2831" width="14" style="557" customWidth="1"/>
    <col min="2832" max="3072" width="9.109375" style="557"/>
    <col min="3073" max="3073" width="40.44140625" style="557" customWidth="1"/>
    <col min="3074" max="3074" width="18" style="557" bestFit="1" customWidth="1"/>
    <col min="3075" max="3075" width="17.6640625" style="557" customWidth="1"/>
    <col min="3076" max="3076" width="16" style="557" customWidth="1"/>
    <col min="3077" max="3077" width="24.5546875" style="557" customWidth="1"/>
    <col min="3078" max="3078" width="4" style="557" customWidth="1"/>
    <col min="3079" max="3079" width="16.5546875" style="557" bestFit="1" customWidth="1"/>
    <col min="3080" max="3085" width="16.33203125" style="557" customWidth="1"/>
    <col min="3086" max="3086" width="12.44140625" style="557" customWidth="1"/>
    <col min="3087" max="3087" width="14" style="557" customWidth="1"/>
    <col min="3088" max="3328" width="9.109375" style="557"/>
    <col min="3329" max="3329" width="40.44140625" style="557" customWidth="1"/>
    <col min="3330" max="3330" width="18" style="557" bestFit="1" customWidth="1"/>
    <col min="3331" max="3331" width="17.6640625" style="557" customWidth="1"/>
    <col min="3332" max="3332" width="16" style="557" customWidth="1"/>
    <col min="3333" max="3333" width="24.5546875" style="557" customWidth="1"/>
    <col min="3334" max="3334" width="4" style="557" customWidth="1"/>
    <col min="3335" max="3335" width="16.5546875" style="557" bestFit="1" customWidth="1"/>
    <col min="3336" max="3341" width="16.33203125" style="557" customWidth="1"/>
    <col min="3342" max="3342" width="12.44140625" style="557" customWidth="1"/>
    <col min="3343" max="3343" width="14" style="557" customWidth="1"/>
    <col min="3344" max="3584" width="9.109375" style="557"/>
    <col min="3585" max="3585" width="40.44140625" style="557" customWidth="1"/>
    <col min="3586" max="3586" width="18" style="557" bestFit="1" customWidth="1"/>
    <col min="3587" max="3587" width="17.6640625" style="557" customWidth="1"/>
    <col min="3588" max="3588" width="16" style="557" customWidth="1"/>
    <col min="3589" max="3589" width="24.5546875" style="557" customWidth="1"/>
    <col min="3590" max="3590" width="4" style="557" customWidth="1"/>
    <col min="3591" max="3591" width="16.5546875" style="557" bestFit="1" customWidth="1"/>
    <col min="3592" max="3597" width="16.33203125" style="557" customWidth="1"/>
    <col min="3598" max="3598" width="12.44140625" style="557" customWidth="1"/>
    <col min="3599" max="3599" width="14" style="557" customWidth="1"/>
    <col min="3600" max="3840" width="9.109375" style="557"/>
    <col min="3841" max="3841" width="40.44140625" style="557" customWidth="1"/>
    <col min="3842" max="3842" width="18" style="557" bestFit="1" customWidth="1"/>
    <col min="3843" max="3843" width="17.6640625" style="557" customWidth="1"/>
    <col min="3844" max="3844" width="16" style="557" customWidth="1"/>
    <col min="3845" max="3845" width="24.5546875" style="557" customWidth="1"/>
    <col min="3846" max="3846" width="4" style="557" customWidth="1"/>
    <col min="3847" max="3847" width="16.5546875" style="557" bestFit="1" customWidth="1"/>
    <col min="3848" max="3853" width="16.33203125" style="557" customWidth="1"/>
    <col min="3854" max="3854" width="12.44140625" style="557" customWidth="1"/>
    <col min="3855" max="3855" width="14" style="557" customWidth="1"/>
    <col min="3856" max="4096" width="9.109375" style="557"/>
    <col min="4097" max="4097" width="40.44140625" style="557" customWidth="1"/>
    <col min="4098" max="4098" width="18" style="557" bestFit="1" customWidth="1"/>
    <col min="4099" max="4099" width="17.6640625" style="557" customWidth="1"/>
    <col min="4100" max="4100" width="16" style="557" customWidth="1"/>
    <col min="4101" max="4101" width="24.5546875" style="557" customWidth="1"/>
    <col min="4102" max="4102" width="4" style="557" customWidth="1"/>
    <col min="4103" max="4103" width="16.5546875" style="557" bestFit="1" customWidth="1"/>
    <col min="4104" max="4109" width="16.33203125" style="557" customWidth="1"/>
    <col min="4110" max="4110" width="12.44140625" style="557" customWidth="1"/>
    <col min="4111" max="4111" width="14" style="557" customWidth="1"/>
    <col min="4112" max="4352" width="9.109375" style="557"/>
    <col min="4353" max="4353" width="40.44140625" style="557" customWidth="1"/>
    <col min="4354" max="4354" width="18" style="557" bestFit="1" customWidth="1"/>
    <col min="4355" max="4355" width="17.6640625" style="557" customWidth="1"/>
    <col min="4356" max="4356" width="16" style="557" customWidth="1"/>
    <col min="4357" max="4357" width="24.5546875" style="557" customWidth="1"/>
    <col min="4358" max="4358" width="4" style="557" customWidth="1"/>
    <col min="4359" max="4359" width="16.5546875" style="557" bestFit="1" customWidth="1"/>
    <col min="4360" max="4365" width="16.33203125" style="557" customWidth="1"/>
    <col min="4366" max="4366" width="12.44140625" style="557" customWidth="1"/>
    <col min="4367" max="4367" width="14" style="557" customWidth="1"/>
    <col min="4368" max="4608" width="9.109375" style="557"/>
    <col min="4609" max="4609" width="40.44140625" style="557" customWidth="1"/>
    <col min="4610" max="4610" width="18" style="557" bestFit="1" customWidth="1"/>
    <col min="4611" max="4611" width="17.6640625" style="557" customWidth="1"/>
    <col min="4612" max="4612" width="16" style="557" customWidth="1"/>
    <col min="4613" max="4613" width="24.5546875" style="557" customWidth="1"/>
    <col min="4614" max="4614" width="4" style="557" customWidth="1"/>
    <col min="4615" max="4615" width="16.5546875" style="557" bestFit="1" customWidth="1"/>
    <col min="4616" max="4621" width="16.33203125" style="557" customWidth="1"/>
    <col min="4622" max="4622" width="12.44140625" style="557" customWidth="1"/>
    <col min="4623" max="4623" width="14" style="557" customWidth="1"/>
    <col min="4624" max="4864" width="9.109375" style="557"/>
    <col min="4865" max="4865" width="40.44140625" style="557" customWidth="1"/>
    <col min="4866" max="4866" width="18" style="557" bestFit="1" customWidth="1"/>
    <col min="4867" max="4867" width="17.6640625" style="557" customWidth="1"/>
    <col min="4868" max="4868" width="16" style="557" customWidth="1"/>
    <col min="4869" max="4869" width="24.5546875" style="557" customWidth="1"/>
    <col min="4870" max="4870" width="4" style="557" customWidth="1"/>
    <col min="4871" max="4871" width="16.5546875" style="557" bestFit="1" customWidth="1"/>
    <col min="4872" max="4877" width="16.33203125" style="557" customWidth="1"/>
    <col min="4878" max="4878" width="12.44140625" style="557" customWidth="1"/>
    <col min="4879" max="4879" width="14" style="557" customWidth="1"/>
    <col min="4880" max="5120" width="9.109375" style="557"/>
    <col min="5121" max="5121" width="40.44140625" style="557" customWidth="1"/>
    <col min="5122" max="5122" width="18" style="557" bestFit="1" customWidth="1"/>
    <col min="5123" max="5123" width="17.6640625" style="557" customWidth="1"/>
    <col min="5124" max="5124" width="16" style="557" customWidth="1"/>
    <col min="5125" max="5125" width="24.5546875" style="557" customWidth="1"/>
    <col min="5126" max="5126" width="4" style="557" customWidth="1"/>
    <col min="5127" max="5127" width="16.5546875" style="557" bestFit="1" customWidth="1"/>
    <col min="5128" max="5133" width="16.33203125" style="557" customWidth="1"/>
    <col min="5134" max="5134" width="12.44140625" style="557" customWidth="1"/>
    <col min="5135" max="5135" width="14" style="557" customWidth="1"/>
    <col min="5136" max="5376" width="9.109375" style="557"/>
    <col min="5377" max="5377" width="40.44140625" style="557" customWidth="1"/>
    <col min="5378" max="5378" width="18" style="557" bestFit="1" customWidth="1"/>
    <col min="5379" max="5379" width="17.6640625" style="557" customWidth="1"/>
    <col min="5380" max="5380" width="16" style="557" customWidth="1"/>
    <col min="5381" max="5381" width="24.5546875" style="557" customWidth="1"/>
    <col min="5382" max="5382" width="4" style="557" customWidth="1"/>
    <col min="5383" max="5383" width="16.5546875" style="557" bestFit="1" customWidth="1"/>
    <col min="5384" max="5389" width="16.33203125" style="557" customWidth="1"/>
    <col min="5390" max="5390" width="12.44140625" style="557" customWidth="1"/>
    <col min="5391" max="5391" width="14" style="557" customWidth="1"/>
    <col min="5392" max="5632" width="9.109375" style="557"/>
    <col min="5633" max="5633" width="40.44140625" style="557" customWidth="1"/>
    <col min="5634" max="5634" width="18" style="557" bestFit="1" customWidth="1"/>
    <col min="5635" max="5635" width="17.6640625" style="557" customWidth="1"/>
    <col min="5636" max="5636" width="16" style="557" customWidth="1"/>
    <col min="5637" max="5637" width="24.5546875" style="557" customWidth="1"/>
    <col min="5638" max="5638" width="4" style="557" customWidth="1"/>
    <col min="5639" max="5639" width="16.5546875" style="557" bestFit="1" customWidth="1"/>
    <col min="5640" max="5645" width="16.33203125" style="557" customWidth="1"/>
    <col min="5646" max="5646" width="12.44140625" style="557" customWidth="1"/>
    <col min="5647" max="5647" width="14" style="557" customWidth="1"/>
    <col min="5648" max="5888" width="9.109375" style="557"/>
    <col min="5889" max="5889" width="40.44140625" style="557" customWidth="1"/>
    <col min="5890" max="5890" width="18" style="557" bestFit="1" customWidth="1"/>
    <col min="5891" max="5891" width="17.6640625" style="557" customWidth="1"/>
    <col min="5892" max="5892" width="16" style="557" customWidth="1"/>
    <col min="5893" max="5893" width="24.5546875" style="557" customWidth="1"/>
    <col min="5894" max="5894" width="4" style="557" customWidth="1"/>
    <col min="5895" max="5895" width="16.5546875" style="557" bestFit="1" customWidth="1"/>
    <col min="5896" max="5901" width="16.33203125" style="557" customWidth="1"/>
    <col min="5902" max="5902" width="12.44140625" style="557" customWidth="1"/>
    <col min="5903" max="5903" width="14" style="557" customWidth="1"/>
    <col min="5904" max="6144" width="9.109375" style="557"/>
    <col min="6145" max="6145" width="40.44140625" style="557" customWidth="1"/>
    <col min="6146" max="6146" width="18" style="557" bestFit="1" customWidth="1"/>
    <col min="6147" max="6147" width="17.6640625" style="557" customWidth="1"/>
    <col min="6148" max="6148" width="16" style="557" customWidth="1"/>
    <col min="6149" max="6149" width="24.5546875" style="557" customWidth="1"/>
    <col min="6150" max="6150" width="4" style="557" customWidth="1"/>
    <col min="6151" max="6151" width="16.5546875" style="557" bestFit="1" customWidth="1"/>
    <col min="6152" max="6157" width="16.33203125" style="557" customWidth="1"/>
    <col min="6158" max="6158" width="12.44140625" style="557" customWidth="1"/>
    <col min="6159" max="6159" width="14" style="557" customWidth="1"/>
    <col min="6160" max="6400" width="9.109375" style="557"/>
    <col min="6401" max="6401" width="40.44140625" style="557" customWidth="1"/>
    <col min="6402" max="6402" width="18" style="557" bestFit="1" customWidth="1"/>
    <col min="6403" max="6403" width="17.6640625" style="557" customWidth="1"/>
    <col min="6404" max="6404" width="16" style="557" customWidth="1"/>
    <col min="6405" max="6405" width="24.5546875" style="557" customWidth="1"/>
    <col min="6406" max="6406" width="4" style="557" customWidth="1"/>
    <col min="6407" max="6407" width="16.5546875" style="557" bestFit="1" customWidth="1"/>
    <col min="6408" max="6413" width="16.33203125" style="557" customWidth="1"/>
    <col min="6414" max="6414" width="12.44140625" style="557" customWidth="1"/>
    <col min="6415" max="6415" width="14" style="557" customWidth="1"/>
    <col min="6416" max="6656" width="9.109375" style="557"/>
    <col min="6657" max="6657" width="40.44140625" style="557" customWidth="1"/>
    <col min="6658" max="6658" width="18" style="557" bestFit="1" customWidth="1"/>
    <col min="6659" max="6659" width="17.6640625" style="557" customWidth="1"/>
    <col min="6660" max="6660" width="16" style="557" customWidth="1"/>
    <col min="6661" max="6661" width="24.5546875" style="557" customWidth="1"/>
    <col min="6662" max="6662" width="4" style="557" customWidth="1"/>
    <col min="6663" max="6663" width="16.5546875" style="557" bestFit="1" customWidth="1"/>
    <col min="6664" max="6669" width="16.33203125" style="557" customWidth="1"/>
    <col min="6670" max="6670" width="12.44140625" style="557" customWidth="1"/>
    <col min="6671" max="6671" width="14" style="557" customWidth="1"/>
    <col min="6672" max="6912" width="9.109375" style="557"/>
    <col min="6913" max="6913" width="40.44140625" style="557" customWidth="1"/>
    <col min="6914" max="6914" width="18" style="557" bestFit="1" customWidth="1"/>
    <col min="6915" max="6915" width="17.6640625" style="557" customWidth="1"/>
    <col min="6916" max="6916" width="16" style="557" customWidth="1"/>
    <col min="6917" max="6917" width="24.5546875" style="557" customWidth="1"/>
    <col min="6918" max="6918" width="4" style="557" customWidth="1"/>
    <col min="6919" max="6919" width="16.5546875" style="557" bestFit="1" customWidth="1"/>
    <col min="6920" max="6925" width="16.33203125" style="557" customWidth="1"/>
    <col min="6926" max="6926" width="12.44140625" style="557" customWidth="1"/>
    <col min="6927" max="6927" width="14" style="557" customWidth="1"/>
    <col min="6928" max="7168" width="9.109375" style="557"/>
    <col min="7169" max="7169" width="40.44140625" style="557" customWidth="1"/>
    <col min="7170" max="7170" width="18" style="557" bestFit="1" customWidth="1"/>
    <col min="7171" max="7171" width="17.6640625" style="557" customWidth="1"/>
    <col min="7172" max="7172" width="16" style="557" customWidth="1"/>
    <col min="7173" max="7173" width="24.5546875" style="557" customWidth="1"/>
    <col min="7174" max="7174" width="4" style="557" customWidth="1"/>
    <col min="7175" max="7175" width="16.5546875" style="557" bestFit="1" customWidth="1"/>
    <col min="7176" max="7181" width="16.33203125" style="557" customWidth="1"/>
    <col min="7182" max="7182" width="12.44140625" style="557" customWidth="1"/>
    <col min="7183" max="7183" width="14" style="557" customWidth="1"/>
    <col min="7184" max="7424" width="9.109375" style="557"/>
    <col min="7425" max="7425" width="40.44140625" style="557" customWidth="1"/>
    <col min="7426" max="7426" width="18" style="557" bestFit="1" customWidth="1"/>
    <col min="7427" max="7427" width="17.6640625" style="557" customWidth="1"/>
    <col min="7428" max="7428" width="16" style="557" customWidth="1"/>
    <col min="7429" max="7429" width="24.5546875" style="557" customWidth="1"/>
    <col min="7430" max="7430" width="4" style="557" customWidth="1"/>
    <col min="7431" max="7431" width="16.5546875" style="557" bestFit="1" customWidth="1"/>
    <col min="7432" max="7437" width="16.33203125" style="557" customWidth="1"/>
    <col min="7438" max="7438" width="12.44140625" style="557" customWidth="1"/>
    <col min="7439" max="7439" width="14" style="557" customWidth="1"/>
    <col min="7440" max="7680" width="9.109375" style="557"/>
    <col min="7681" max="7681" width="40.44140625" style="557" customWidth="1"/>
    <col min="7682" max="7682" width="18" style="557" bestFit="1" customWidth="1"/>
    <col min="7683" max="7683" width="17.6640625" style="557" customWidth="1"/>
    <col min="7684" max="7684" width="16" style="557" customWidth="1"/>
    <col min="7685" max="7685" width="24.5546875" style="557" customWidth="1"/>
    <col min="7686" max="7686" width="4" style="557" customWidth="1"/>
    <col min="7687" max="7687" width="16.5546875" style="557" bestFit="1" customWidth="1"/>
    <col min="7688" max="7693" width="16.33203125" style="557" customWidth="1"/>
    <col min="7694" max="7694" width="12.44140625" style="557" customWidth="1"/>
    <col min="7695" max="7695" width="14" style="557" customWidth="1"/>
    <col min="7696" max="7936" width="9.109375" style="557"/>
    <col min="7937" max="7937" width="40.44140625" style="557" customWidth="1"/>
    <col min="7938" max="7938" width="18" style="557" bestFit="1" customWidth="1"/>
    <col min="7939" max="7939" width="17.6640625" style="557" customWidth="1"/>
    <col min="7940" max="7940" width="16" style="557" customWidth="1"/>
    <col min="7941" max="7941" width="24.5546875" style="557" customWidth="1"/>
    <col min="7942" max="7942" width="4" style="557" customWidth="1"/>
    <col min="7943" max="7943" width="16.5546875" style="557" bestFit="1" customWidth="1"/>
    <col min="7944" max="7949" width="16.33203125" style="557" customWidth="1"/>
    <col min="7950" max="7950" width="12.44140625" style="557" customWidth="1"/>
    <col min="7951" max="7951" width="14" style="557" customWidth="1"/>
    <col min="7952" max="8192" width="9.109375" style="557"/>
    <col min="8193" max="8193" width="40.44140625" style="557" customWidth="1"/>
    <col min="8194" max="8194" width="18" style="557" bestFit="1" customWidth="1"/>
    <col min="8195" max="8195" width="17.6640625" style="557" customWidth="1"/>
    <col min="8196" max="8196" width="16" style="557" customWidth="1"/>
    <col min="8197" max="8197" width="24.5546875" style="557" customWidth="1"/>
    <col min="8198" max="8198" width="4" style="557" customWidth="1"/>
    <col min="8199" max="8199" width="16.5546875" style="557" bestFit="1" customWidth="1"/>
    <col min="8200" max="8205" width="16.33203125" style="557" customWidth="1"/>
    <col min="8206" max="8206" width="12.44140625" style="557" customWidth="1"/>
    <col min="8207" max="8207" width="14" style="557" customWidth="1"/>
    <col min="8208" max="8448" width="9.109375" style="557"/>
    <col min="8449" max="8449" width="40.44140625" style="557" customWidth="1"/>
    <col min="8450" max="8450" width="18" style="557" bestFit="1" customWidth="1"/>
    <col min="8451" max="8451" width="17.6640625" style="557" customWidth="1"/>
    <col min="8452" max="8452" width="16" style="557" customWidth="1"/>
    <col min="8453" max="8453" width="24.5546875" style="557" customWidth="1"/>
    <col min="8454" max="8454" width="4" style="557" customWidth="1"/>
    <col min="8455" max="8455" width="16.5546875" style="557" bestFit="1" customWidth="1"/>
    <col min="8456" max="8461" width="16.33203125" style="557" customWidth="1"/>
    <col min="8462" max="8462" width="12.44140625" style="557" customWidth="1"/>
    <col min="8463" max="8463" width="14" style="557" customWidth="1"/>
    <col min="8464" max="8704" width="9.109375" style="557"/>
    <col min="8705" max="8705" width="40.44140625" style="557" customWidth="1"/>
    <col min="8706" max="8706" width="18" style="557" bestFit="1" customWidth="1"/>
    <col min="8707" max="8707" width="17.6640625" style="557" customWidth="1"/>
    <col min="8708" max="8708" width="16" style="557" customWidth="1"/>
    <col min="8709" max="8709" width="24.5546875" style="557" customWidth="1"/>
    <col min="8710" max="8710" width="4" style="557" customWidth="1"/>
    <col min="8711" max="8711" width="16.5546875" style="557" bestFit="1" customWidth="1"/>
    <col min="8712" max="8717" width="16.33203125" style="557" customWidth="1"/>
    <col min="8718" max="8718" width="12.44140625" style="557" customWidth="1"/>
    <col min="8719" max="8719" width="14" style="557" customWidth="1"/>
    <col min="8720" max="8960" width="9.109375" style="557"/>
    <col min="8961" max="8961" width="40.44140625" style="557" customWidth="1"/>
    <col min="8962" max="8962" width="18" style="557" bestFit="1" customWidth="1"/>
    <col min="8963" max="8963" width="17.6640625" style="557" customWidth="1"/>
    <col min="8964" max="8964" width="16" style="557" customWidth="1"/>
    <col min="8965" max="8965" width="24.5546875" style="557" customWidth="1"/>
    <col min="8966" max="8966" width="4" style="557" customWidth="1"/>
    <col min="8967" max="8967" width="16.5546875" style="557" bestFit="1" customWidth="1"/>
    <col min="8968" max="8973" width="16.33203125" style="557" customWidth="1"/>
    <col min="8974" max="8974" width="12.44140625" style="557" customWidth="1"/>
    <col min="8975" max="8975" width="14" style="557" customWidth="1"/>
    <col min="8976" max="9216" width="9.109375" style="557"/>
    <col min="9217" max="9217" width="40.44140625" style="557" customWidth="1"/>
    <col min="9218" max="9218" width="18" style="557" bestFit="1" customWidth="1"/>
    <col min="9219" max="9219" width="17.6640625" style="557" customWidth="1"/>
    <col min="9220" max="9220" width="16" style="557" customWidth="1"/>
    <col min="9221" max="9221" width="24.5546875" style="557" customWidth="1"/>
    <col min="9222" max="9222" width="4" style="557" customWidth="1"/>
    <col min="9223" max="9223" width="16.5546875" style="557" bestFit="1" customWidth="1"/>
    <col min="9224" max="9229" width="16.33203125" style="557" customWidth="1"/>
    <col min="9230" max="9230" width="12.44140625" style="557" customWidth="1"/>
    <col min="9231" max="9231" width="14" style="557" customWidth="1"/>
    <col min="9232" max="9472" width="9.109375" style="557"/>
    <col min="9473" max="9473" width="40.44140625" style="557" customWidth="1"/>
    <col min="9474" max="9474" width="18" style="557" bestFit="1" customWidth="1"/>
    <col min="9475" max="9475" width="17.6640625" style="557" customWidth="1"/>
    <col min="9476" max="9476" width="16" style="557" customWidth="1"/>
    <col min="9477" max="9477" width="24.5546875" style="557" customWidth="1"/>
    <col min="9478" max="9478" width="4" style="557" customWidth="1"/>
    <col min="9479" max="9479" width="16.5546875" style="557" bestFit="1" customWidth="1"/>
    <col min="9480" max="9485" width="16.33203125" style="557" customWidth="1"/>
    <col min="9486" max="9486" width="12.44140625" style="557" customWidth="1"/>
    <col min="9487" max="9487" width="14" style="557" customWidth="1"/>
    <col min="9488" max="9728" width="9.109375" style="557"/>
    <col min="9729" max="9729" width="40.44140625" style="557" customWidth="1"/>
    <col min="9730" max="9730" width="18" style="557" bestFit="1" customWidth="1"/>
    <col min="9731" max="9731" width="17.6640625" style="557" customWidth="1"/>
    <col min="9732" max="9732" width="16" style="557" customWidth="1"/>
    <col min="9733" max="9733" width="24.5546875" style="557" customWidth="1"/>
    <col min="9734" max="9734" width="4" style="557" customWidth="1"/>
    <col min="9735" max="9735" width="16.5546875" style="557" bestFit="1" customWidth="1"/>
    <col min="9736" max="9741" width="16.33203125" style="557" customWidth="1"/>
    <col min="9742" max="9742" width="12.44140625" style="557" customWidth="1"/>
    <col min="9743" max="9743" width="14" style="557" customWidth="1"/>
    <col min="9744" max="9984" width="9.109375" style="557"/>
    <col min="9985" max="9985" width="40.44140625" style="557" customWidth="1"/>
    <col min="9986" max="9986" width="18" style="557" bestFit="1" customWidth="1"/>
    <col min="9987" max="9987" width="17.6640625" style="557" customWidth="1"/>
    <col min="9988" max="9988" width="16" style="557" customWidth="1"/>
    <col min="9989" max="9989" width="24.5546875" style="557" customWidth="1"/>
    <col min="9990" max="9990" width="4" style="557" customWidth="1"/>
    <col min="9991" max="9991" width="16.5546875" style="557" bestFit="1" customWidth="1"/>
    <col min="9992" max="9997" width="16.33203125" style="557" customWidth="1"/>
    <col min="9998" max="9998" width="12.44140625" style="557" customWidth="1"/>
    <col min="9999" max="9999" width="14" style="557" customWidth="1"/>
    <col min="10000" max="10240" width="9.109375" style="557"/>
    <col min="10241" max="10241" width="40.44140625" style="557" customWidth="1"/>
    <col min="10242" max="10242" width="18" style="557" bestFit="1" customWidth="1"/>
    <col min="10243" max="10243" width="17.6640625" style="557" customWidth="1"/>
    <col min="10244" max="10244" width="16" style="557" customWidth="1"/>
    <col min="10245" max="10245" width="24.5546875" style="557" customWidth="1"/>
    <col min="10246" max="10246" width="4" style="557" customWidth="1"/>
    <col min="10247" max="10247" width="16.5546875" style="557" bestFit="1" customWidth="1"/>
    <col min="10248" max="10253" width="16.33203125" style="557" customWidth="1"/>
    <col min="10254" max="10254" width="12.44140625" style="557" customWidth="1"/>
    <col min="10255" max="10255" width="14" style="557" customWidth="1"/>
    <col min="10256" max="10496" width="9.109375" style="557"/>
    <col min="10497" max="10497" width="40.44140625" style="557" customWidth="1"/>
    <col min="10498" max="10498" width="18" style="557" bestFit="1" customWidth="1"/>
    <col min="10499" max="10499" width="17.6640625" style="557" customWidth="1"/>
    <col min="10500" max="10500" width="16" style="557" customWidth="1"/>
    <col min="10501" max="10501" width="24.5546875" style="557" customWidth="1"/>
    <col min="10502" max="10502" width="4" style="557" customWidth="1"/>
    <col min="10503" max="10503" width="16.5546875" style="557" bestFit="1" customWidth="1"/>
    <col min="10504" max="10509" width="16.33203125" style="557" customWidth="1"/>
    <col min="10510" max="10510" width="12.44140625" style="557" customWidth="1"/>
    <col min="10511" max="10511" width="14" style="557" customWidth="1"/>
    <col min="10512" max="10752" width="9.109375" style="557"/>
    <col min="10753" max="10753" width="40.44140625" style="557" customWidth="1"/>
    <col min="10754" max="10754" width="18" style="557" bestFit="1" customWidth="1"/>
    <col min="10755" max="10755" width="17.6640625" style="557" customWidth="1"/>
    <col min="10756" max="10756" width="16" style="557" customWidth="1"/>
    <col min="10757" max="10757" width="24.5546875" style="557" customWidth="1"/>
    <col min="10758" max="10758" width="4" style="557" customWidth="1"/>
    <col min="10759" max="10759" width="16.5546875" style="557" bestFit="1" customWidth="1"/>
    <col min="10760" max="10765" width="16.33203125" style="557" customWidth="1"/>
    <col min="10766" max="10766" width="12.44140625" style="557" customWidth="1"/>
    <col min="10767" max="10767" width="14" style="557" customWidth="1"/>
    <col min="10768" max="11008" width="9.109375" style="557"/>
    <col min="11009" max="11009" width="40.44140625" style="557" customWidth="1"/>
    <col min="11010" max="11010" width="18" style="557" bestFit="1" customWidth="1"/>
    <col min="11011" max="11011" width="17.6640625" style="557" customWidth="1"/>
    <col min="11012" max="11012" width="16" style="557" customWidth="1"/>
    <col min="11013" max="11013" width="24.5546875" style="557" customWidth="1"/>
    <col min="11014" max="11014" width="4" style="557" customWidth="1"/>
    <col min="11015" max="11015" width="16.5546875" style="557" bestFit="1" customWidth="1"/>
    <col min="11016" max="11021" width="16.33203125" style="557" customWidth="1"/>
    <col min="11022" max="11022" width="12.44140625" style="557" customWidth="1"/>
    <col min="11023" max="11023" width="14" style="557" customWidth="1"/>
    <col min="11024" max="11264" width="9.109375" style="557"/>
    <col min="11265" max="11265" width="40.44140625" style="557" customWidth="1"/>
    <col min="11266" max="11266" width="18" style="557" bestFit="1" customWidth="1"/>
    <col min="11267" max="11267" width="17.6640625" style="557" customWidth="1"/>
    <col min="11268" max="11268" width="16" style="557" customWidth="1"/>
    <col min="11269" max="11269" width="24.5546875" style="557" customWidth="1"/>
    <col min="11270" max="11270" width="4" style="557" customWidth="1"/>
    <col min="11271" max="11271" width="16.5546875" style="557" bestFit="1" customWidth="1"/>
    <col min="11272" max="11277" width="16.33203125" style="557" customWidth="1"/>
    <col min="11278" max="11278" width="12.44140625" style="557" customWidth="1"/>
    <col min="11279" max="11279" width="14" style="557" customWidth="1"/>
    <col min="11280" max="11520" width="9.109375" style="557"/>
    <col min="11521" max="11521" width="40.44140625" style="557" customWidth="1"/>
    <col min="11522" max="11522" width="18" style="557" bestFit="1" customWidth="1"/>
    <col min="11523" max="11523" width="17.6640625" style="557" customWidth="1"/>
    <col min="11524" max="11524" width="16" style="557" customWidth="1"/>
    <col min="11525" max="11525" width="24.5546875" style="557" customWidth="1"/>
    <col min="11526" max="11526" width="4" style="557" customWidth="1"/>
    <col min="11527" max="11527" width="16.5546875" style="557" bestFit="1" customWidth="1"/>
    <col min="11528" max="11533" width="16.33203125" style="557" customWidth="1"/>
    <col min="11534" max="11534" width="12.44140625" style="557" customWidth="1"/>
    <col min="11535" max="11535" width="14" style="557" customWidth="1"/>
    <col min="11536" max="11776" width="9.109375" style="557"/>
    <col min="11777" max="11777" width="40.44140625" style="557" customWidth="1"/>
    <col min="11778" max="11778" width="18" style="557" bestFit="1" customWidth="1"/>
    <col min="11779" max="11779" width="17.6640625" style="557" customWidth="1"/>
    <col min="11780" max="11780" width="16" style="557" customWidth="1"/>
    <col min="11781" max="11781" width="24.5546875" style="557" customWidth="1"/>
    <col min="11782" max="11782" width="4" style="557" customWidth="1"/>
    <col min="11783" max="11783" width="16.5546875" style="557" bestFit="1" customWidth="1"/>
    <col min="11784" max="11789" width="16.33203125" style="557" customWidth="1"/>
    <col min="11790" max="11790" width="12.44140625" style="557" customWidth="1"/>
    <col min="11791" max="11791" width="14" style="557" customWidth="1"/>
    <col min="11792" max="12032" width="9.109375" style="557"/>
    <col min="12033" max="12033" width="40.44140625" style="557" customWidth="1"/>
    <col min="12034" max="12034" width="18" style="557" bestFit="1" customWidth="1"/>
    <col min="12035" max="12035" width="17.6640625" style="557" customWidth="1"/>
    <col min="12036" max="12036" width="16" style="557" customWidth="1"/>
    <col min="12037" max="12037" width="24.5546875" style="557" customWidth="1"/>
    <col min="12038" max="12038" width="4" style="557" customWidth="1"/>
    <col min="12039" max="12039" width="16.5546875" style="557" bestFit="1" customWidth="1"/>
    <col min="12040" max="12045" width="16.33203125" style="557" customWidth="1"/>
    <col min="12046" max="12046" width="12.44140625" style="557" customWidth="1"/>
    <col min="12047" max="12047" width="14" style="557" customWidth="1"/>
    <col min="12048" max="12288" width="9.109375" style="557"/>
    <col min="12289" max="12289" width="40.44140625" style="557" customWidth="1"/>
    <col min="12290" max="12290" width="18" style="557" bestFit="1" customWidth="1"/>
    <col min="12291" max="12291" width="17.6640625" style="557" customWidth="1"/>
    <col min="12292" max="12292" width="16" style="557" customWidth="1"/>
    <col min="12293" max="12293" width="24.5546875" style="557" customWidth="1"/>
    <col min="12294" max="12294" width="4" style="557" customWidth="1"/>
    <col min="12295" max="12295" width="16.5546875" style="557" bestFit="1" customWidth="1"/>
    <col min="12296" max="12301" width="16.33203125" style="557" customWidth="1"/>
    <col min="12302" max="12302" width="12.44140625" style="557" customWidth="1"/>
    <col min="12303" max="12303" width="14" style="557" customWidth="1"/>
    <col min="12304" max="12544" width="9.109375" style="557"/>
    <col min="12545" max="12545" width="40.44140625" style="557" customWidth="1"/>
    <col min="12546" max="12546" width="18" style="557" bestFit="1" customWidth="1"/>
    <col min="12547" max="12547" width="17.6640625" style="557" customWidth="1"/>
    <col min="12548" max="12548" width="16" style="557" customWidth="1"/>
    <col min="12549" max="12549" width="24.5546875" style="557" customWidth="1"/>
    <col min="12550" max="12550" width="4" style="557" customWidth="1"/>
    <col min="12551" max="12551" width="16.5546875" style="557" bestFit="1" customWidth="1"/>
    <col min="12552" max="12557" width="16.33203125" style="557" customWidth="1"/>
    <col min="12558" max="12558" width="12.44140625" style="557" customWidth="1"/>
    <col min="12559" max="12559" width="14" style="557" customWidth="1"/>
    <col min="12560" max="12800" width="9.109375" style="557"/>
    <col min="12801" max="12801" width="40.44140625" style="557" customWidth="1"/>
    <col min="12802" max="12802" width="18" style="557" bestFit="1" customWidth="1"/>
    <col min="12803" max="12803" width="17.6640625" style="557" customWidth="1"/>
    <col min="12804" max="12804" width="16" style="557" customWidth="1"/>
    <col min="12805" max="12805" width="24.5546875" style="557" customWidth="1"/>
    <col min="12806" max="12806" width="4" style="557" customWidth="1"/>
    <col min="12807" max="12807" width="16.5546875" style="557" bestFit="1" customWidth="1"/>
    <col min="12808" max="12813" width="16.33203125" style="557" customWidth="1"/>
    <col min="12814" max="12814" width="12.44140625" style="557" customWidth="1"/>
    <col min="12815" max="12815" width="14" style="557" customWidth="1"/>
    <col min="12816" max="13056" width="9.109375" style="557"/>
    <col min="13057" max="13057" width="40.44140625" style="557" customWidth="1"/>
    <col min="13058" max="13058" width="18" style="557" bestFit="1" customWidth="1"/>
    <col min="13059" max="13059" width="17.6640625" style="557" customWidth="1"/>
    <col min="13060" max="13060" width="16" style="557" customWidth="1"/>
    <col min="13061" max="13061" width="24.5546875" style="557" customWidth="1"/>
    <col min="13062" max="13062" width="4" style="557" customWidth="1"/>
    <col min="13063" max="13063" width="16.5546875" style="557" bestFit="1" customWidth="1"/>
    <col min="13064" max="13069" width="16.33203125" style="557" customWidth="1"/>
    <col min="13070" max="13070" width="12.44140625" style="557" customWidth="1"/>
    <col min="13071" max="13071" width="14" style="557" customWidth="1"/>
    <col min="13072" max="13312" width="9.109375" style="557"/>
    <col min="13313" max="13313" width="40.44140625" style="557" customWidth="1"/>
    <col min="13314" max="13314" width="18" style="557" bestFit="1" customWidth="1"/>
    <col min="13315" max="13315" width="17.6640625" style="557" customWidth="1"/>
    <col min="13316" max="13316" width="16" style="557" customWidth="1"/>
    <col min="13317" max="13317" width="24.5546875" style="557" customWidth="1"/>
    <col min="13318" max="13318" width="4" style="557" customWidth="1"/>
    <col min="13319" max="13319" width="16.5546875" style="557" bestFit="1" customWidth="1"/>
    <col min="13320" max="13325" width="16.33203125" style="557" customWidth="1"/>
    <col min="13326" max="13326" width="12.44140625" style="557" customWidth="1"/>
    <col min="13327" max="13327" width="14" style="557" customWidth="1"/>
    <col min="13328" max="13568" width="9.109375" style="557"/>
    <col min="13569" max="13569" width="40.44140625" style="557" customWidth="1"/>
    <col min="13570" max="13570" width="18" style="557" bestFit="1" customWidth="1"/>
    <col min="13571" max="13571" width="17.6640625" style="557" customWidth="1"/>
    <col min="13572" max="13572" width="16" style="557" customWidth="1"/>
    <col min="13573" max="13573" width="24.5546875" style="557" customWidth="1"/>
    <col min="13574" max="13574" width="4" style="557" customWidth="1"/>
    <col min="13575" max="13575" width="16.5546875" style="557" bestFit="1" customWidth="1"/>
    <col min="13576" max="13581" width="16.33203125" style="557" customWidth="1"/>
    <col min="13582" max="13582" width="12.44140625" style="557" customWidth="1"/>
    <col min="13583" max="13583" width="14" style="557" customWidth="1"/>
    <col min="13584" max="13824" width="9.109375" style="557"/>
    <col min="13825" max="13825" width="40.44140625" style="557" customWidth="1"/>
    <col min="13826" max="13826" width="18" style="557" bestFit="1" customWidth="1"/>
    <col min="13827" max="13827" width="17.6640625" style="557" customWidth="1"/>
    <col min="13828" max="13828" width="16" style="557" customWidth="1"/>
    <col min="13829" max="13829" width="24.5546875" style="557" customWidth="1"/>
    <col min="13830" max="13830" width="4" style="557" customWidth="1"/>
    <col min="13831" max="13831" width="16.5546875" style="557" bestFit="1" customWidth="1"/>
    <col min="13832" max="13837" width="16.33203125" style="557" customWidth="1"/>
    <col min="13838" max="13838" width="12.44140625" style="557" customWidth="1"/>
    <col min="13839" max="13839" width="14" style="557" customWidth="1"/>
    <col min="13840" max="14080" width="9.109375" style="557"/>
    <col min="14081" max="14081" width="40.44140625" style="557" customWidth="1"/>
    <col min="14082" max="14082" width="18" style="557" bestFit="1" customWidth="1"/>
    <col min="14083" max="14083" width="17.6640625" style="557" customWidth="1"/>
    <col min="14084" max="14084" width="16" style="557" customWidth="1"/>
    <col min="14085" max="14085" width="24.5546875" style="557" customWidth="1"/>
    <col min="14086" max="14086" width="4" style="557" customWidth="1"/>
    <col min="14087" max="14087" width="16.5546875" style="557" bestFit="1" customWidth="1"/>
    <col min="14088" max="14093" width="16.33203125" style="557" customWidth="1"/>
    <col min="14094" max="14094" width="12.44140625" style="557" customWidth="1"/>
    <col min="14095" max="14095" width="14" style="557" customWidth="1"/>
    <col min="14096" max="14336" width="9.109375" style="557"/>
    <col min="14337" max="14337" width="40.44140625" style="557" customWidth="1"/>
    <col min="14338" max="14338" width="18" style="557" bestFit="1" customWidth="1"/>
    <col min="14339" max="14339" width="17.6640625" style="557" customWidth="1"/>
    <col min="14340" max="14340" width="16" style="557" customWidth="1"/>
    <col min="14341" max="14341" width="24.5546875" style="557" customWidth="1"/>
    <col min="14342" max="14342" width="4" style="557" customWidth="1"/>
    <col min="14343" max="14343" width="16.5546875" style="557" bestFit="1" customWidth="1"/>
    <col min="14344" max="14349" width="16.33203125" style="557" customWidth="1"/>
    <col min="14350" max="14350" width="12.44140625" style="557" customWidth="1"/>
    <col min="14351" max="14351" width="14" style="557" customWidth="1"/>
    <col min="14352" max="14592" width="9.109375" style="557"/>
    <col min="14593" max="14593" width="40.44140625" style="557" customWidth="1"/>
    <col min="14594" max="14594" width="18" style="557" bestFit="1" customWidth="1"/>
    <col min="14595" max="14595" width="17.6640625" style="557" customWidth="1"/>
    <col min="14596" max="14596" width="16" style="557" customWidth="1"/>
    <col min="14597" max="14597" width="24.5546875" style="557" customWidth="1"/>
    <col min="14598" max="14598" width="4" style="557" customWidth="1"/>
    <col min="14599" max="14599" width="16.5546875" style="557" bestFit="1" customWidth="1"/>
    <col min="14600" max="14605" width="16.33203125" style="557" customWidth="1"/>
    <col min="14606" max="14606" width="12.44140625" style="557" customWidth="1"/>
    <col min="14607" max="14607" width="14" style="557" customWidth="1"/>
    <col min="14608" max="14848" width="9.109375" style="557"/>
    <col min="14849" max="14849" width="40.44140625" style="557" customWidth="1"/>
    <col min="14850" max="14850" width="18" style="557" bestFit="1" customWidth="1"/>
    <col min="14851" max="14851" width="17.6640625" style="557" customWidth="1"/>
    <col min="14852" max="14852" width="16" style="557" customWidth="1"/>
    <col min="14853" max="14853" width="24.5546875" style="557" customWidth="1"/>
    <col min="14854" max="14854" width="4" style="557" customWidth="1"/>
    <col min="14855" max="14855" width="16.5546875" style="557" bestFit="1" customWidth="1"/>
    <col min="14856" max="14861" width="16.33203125" style="557" customWidth="1"/>
    <col min="14862" max="14862" width="12.44140625" style="557" customWidth="1"/>
    <col min="14863" max="14863" width="14" style="557" customWidth="1"/>
    <col min="14864" max="15104" width="9.109375" style="557"/>
    <col min="15105" max="15105" width="40.44140625" style="557" customWidth="1"/>
    <col min="15106" max="15106" width="18" style="557" bestFit="1" customWidth="1"/>
    <col min="15107" max="15107" width="17.6640625" style="557" customWidth="1"/>
    <col min="15108" max="15108" width="16" style="557" customWidth="1"/>
    <col min="15109" max="15109" width="24.5546875" style="557" customWidth="1"/>
    <col min="15110" max="15110" width="4" style="557" customWidth="1"/>
    <col min="15111" max="15111" width="16.5546875" style="557" bestFit="1" customWidth="1"/>
    <col min="15112" max="15117" width="16.33203125" style="557" customWidth="1"/>
    <col min="15118" max="15118" width="12.44140625" style="557" customWidth="1"/>
    <col min="15119" max="15119" width="14" style="557" customWidth="1"/>
    <col min="15120" max="15360" width="9.109375" style="557"/>
    <col min="15361" max="15361" width="40.44140625" style="557" customWidth="1"/>
    <col min="15362" max="15362" width="18" style="557" bestFit="1" customWidth="1"/>
    <col min="15363" max="15363" width="17.6640625" style="557" customWidth="1"/>
    <col min="15364" max="15364" width="16" style="557" customWidth="1"/>
    <col min="15365" max="15365" width="24.5546875" style="557" customWidth="1"/>
    <col min="15366" max="15366" width="4" style="557" customWidth="1"/>
    <col min="15367" max="15367" width="16.5546875" style="557" bestFit="1" customWidth="1"/>
    <col min="15368" max="15373" width="16.33203125" style="557" customWidth="1"/>
    <col min="15374" max="15374" width="12.44140625" style="557" customWidth="1"/>
    <col min="15375" max="15375" width="14" style="557" customWidth="1"/>
    <col min="15376" max="15616" width="9.109375" style="557"/>
    <col min="15617" max="15617" width="40.44140625" style="557" customWidth="1"/>
    <col min="15618" max="15618" width="18" style="557" bestFit="1" customWidth="1"/>
    <col min="15619" max="15619" width="17.6640625" style="557" customWidth="1"/>
    <col min="15620" max="15620" width="16" style="557" customWidth="1"/>
    <col min="15621" max="15621" width="24.5546875" style="557" customWidth="1"/>
    <col min="15622" max="15622" width="4" style="557" customWidth="1"/>
    <col min="15623" max="15623" width="16.5546875" style="557" bestFit="1" customWidth="1"/>
    <col min="15624" max="15629" width="16.33203125" style="557" customWidth="1"/>
    <col min="15630" max="15630" width="12.44140625" style="557" customWidth="1"/>
    <col min="15631" max="15631" width="14" style="557" customWidth="1"/>
    <col min="15632" max="15872" width="9.109375" style="557"/>
    <col min="15873" max="15873" width="40.44140625" style="557" customWidth="1"/>
    <col min="15874" max="15874" width="18" style="557" bestFit="1" customWidth="1"/>
    <col min="15875" max="15875" width="17.6640625" style="557" customWidth="1"/>
    <col min="15876" max="15876" width="16" style="557" customWidth="1"/>
    <col min="15877" max="15877" width="24.5546875" style="557" customWidth="1"/>
    <col min="15878" max="15878" width="4" style="557" customWidth="1"/>
    <col min="15879" max="15879" width="16.5546875" style="557" bestFit="1" customWidth="1"/>
    <col min="15880" max="15885" width="16.33203125" style="557" customWidth="1"/>
    <col min="15886" max="15886" width="12.44140625" style="557" customWidth="1"/>
    <col min="15887" max="15887" width="14" style="557" customWidth="1"/>
    <col min="15888" max="16128" width="9.109375" style="557"/>
    <col min="16129" max="16129" width="40.44140625" style="557" customWidth="1"/>
    <col min="16130" max="16130" width="18" style="557" bestFit="1" customWidth="1"/>
    <col min="16131" max="16131" width="17.6640625" style="557" customWidth="1"/>
    <col min="16132" max="16132" width="16" style="557" customWidth="1"/>
    <col min="16133" max="16133" width="24.5546875" style="557" customWidth="1"/>
    <col min="16134" max="16134" width="4" style="557" customWidth="1"/>
    <col min="16135" max="16135" width="16.5546875" style="557" bestFit="1" customWidth="1"/>
    <col min="16136" max="16141" width="16.33203125" style="557" customWidth="1"/>
    <col min="16142" max="16142" width="12.44140625" style="557" customWidth="1"/>
    <col min="16143" max="16143" width="14" style="557" customWidth="1"/>
    <col min="16144" max="16384" width="9.109375" style="557"/>
  </cols>
  <sheetData>
    <row r="1" spans="1:9" ht="14.4" x14ac:dyDescent="0.3">
      <c r="A1" s="552" t="s">
        <v>612</v>
      </c>
      <c r="B1" s="553"/>
      <c r="C1" s="553"/>
      <c r="D1" s="554"/>
      <c r="E1" s="555" t="s">
        <v>613</v>
      </c>
      <c r="F1" s="556"/>
      <c r="H1" s="558" t="s">
        <v>614</v>
      </c>
    </row>
    <row r="2" spans="1:9" ht="14.4" x14ac:dyDescent="0.3">
      <c r="A2" s="559" t="s">
        <v>615</v>
      </c>
      <c r="E2" s="561" t="s">
        <v>616</v>
      </c>
      <c r="F2" s="562"/>
      <c r="H2" s="563">
        <f>+'[118]PROPUESTA ECONOMICA'!K55</f>
        <v>0.36219999999999997</v>
      </c>
    </row>
    <row r="3" spans="1:9" ht="14.4" x14ac:dyDescent="0.3">
      <c r="A3" s="564" t="s">
        <v>617</v>
      </c>
      <c r="F3" s="562"/>
    </row>
    <row r="4" spans="1:9" x14ac:dyDescent="0.25">
      <c r="A4" s="567"/>
      <c r="F4" s="562"/>
    </row>
    <row r="5" spans="1:9" ht="14.4" x14ac:dyDescent="0.3">
      <c r="A5" s="568" t="s">
        <v>618</v>
      </c>
      <c r="B5" s="561"/>
      <c r="C5" s="561" t="s">
        <v>619</v>
      </c>
      <c r="D5" s="569">
        <f>E54</f>
        <v>0.36220000000000002</v>
      </c>
      <c r="E5" s="561" t="s">
        <v>620</v>
      </c>
      <c r="F5" s="570">
        <v>1.5</v>
      </c>
    </row>
    <row r="6" spans="1:9" ht="15" thickBot="1" x14ac:dyDescent="0.35">
      <c r="A6" s="571"/>
      <c r="B6" s="561"/>
      <c r="C6" s="561" t="s">
        <v>621</v>
      </c>
      <c r="D6" s="572">
        <v>314316354</v>
      </c>
      <c r="E6" s="561" t="s">
        <v>622</v>
      </c>
      <c r="F6" s="573">
        <v>0</v>
      </c>
    </row>
    <row r="7" spans="1:9" ht="14.4" thickBot="1" x14ac:dyDescent="0.3">
      <c r="A7" s="571"/>
      <c r="B7" s="561"/>
      <c r="C7" s="561" t="s">
        <v>623</v>
      </c>
      <c r="D7" s="640">
        <v>428161736</v>
      </c>
      <c r="E7" s="561" t="s">
        <v>624</v>
      </c>
      <c r="F7" s="574">
        <f>+'Factor Prestacional'!C7</f>
        <v>1300000</v>
      </c>
    </row>
    <row r="8" spans="1:9" ht="96.75" customHeight="1" x14ac:dyDescent="0.3">
      <c r="A8" s="575"/>
      <c r="E8" s="557"/>
      <c r="F8" s="576"/>
      <c r="I8" s="577"/>
    </row>
    <row r="9" spans="1:9" x14ac:dyDescent="0.25">
      <c r="A9" s="567"/>
      <c r="D9" s="557"/>
      <c r="F9" s="576"/>
    </row>
    <row r="10" spans="1:9" ht="43.2" x14ac:dyDescent="0.25">
      <c r="A10" s="578" t="s">
        <v>625</v>
      </c>
      <c r="B10" s="579" t="s">
        <v>626</v>
      </c>
      <c r="C10" s="579" t="s">
        <v>6</v>
      </c>
      <c r="D10" s="579" t="s">
        <v>627</v>
      </c>
      <c r="E10" s="580" t="s">
        <v>628</v>
      </c>
      <c r="F10" s="581" t="s">
        <v>629</v>
      </c>
    </row>
    <row r="11" spans="1:9" ht="14.4" x14ac:dyDescent="0.3">
      <c r="A11" s="582" t="s">
        <v>630</v>
      </c>
      <c r="B11" s="583">
        <v>6500000</v>
      </c>
      <c r="C11" s="584">
        <v>1</v>
      </c>
      <c r="D11" s="585">
        <v>0.2</v>
      </c>
      <c r="E11" s="586">
        <f>$F$5</f>
        <v>1.5</v>
      </c>
      <c r="F11" s="587">
        <f>+IF(B11&gt;2*$F$7,E11*C11*D11*B11*(1+'Factor Prestacional'!$G$27),E11*D11*B11*(1+'Factor Prestacional'!$B$27))</f>
        <v>3030592.4999999995</v>
      </c>
      <c r="G11" s="588"/>
    </row>
    <row r="12" spans="1:9" s="590" customFormat="1" ht="14.4" x14ac:dyDescent="0.25">
      <c r="A12" s="589" t="s">
        <v>631</v>
      </c>
      <c r="B12" s="583">
        <v>5000000</v>
      </c>
      <c r="C12" s="584">
        <v>1</v>
      </c>
      <c r="D12" s="585">
        <v>1</v>
      </c>
      <c r="E12" s="586">
        <f>$F$5</f>
        <v>1.5</v>
      </c>
      <c r="F12" s="587">
        <f>+IF(B12&gt;2*$F$7,E12*C12*D12*B12*(1+'Factor Prestacional'!$G$27),E12*D12*B12*(1+'Factor Prestacional'!$B$27))</f>
        <v>11656124.999999996</v>
      </c>
      <c r="G12" s="588"/>
      <c r="H12" s="566"/>
    </row>
    <row r="13" spans="1:9" ht="14.4" x14ac:dyDescent="0.3">
      <c r="A13" s="582" t="s">
        <v>632</v>
      </c>
      <c r="B13" s="583">
        <v>2500000</v>
      </c>
      <c r="C13" s="584">
        <v>1</v>
      </c>
      <c r="D13" s="585">
        <v>1</v>
      </c>
      <c r="E13" s="586">
        <f>$F$5</f>
        <v>1.5</v>
      </c>
      <c r="F13" s="587">
        <f>+IF(B13&gt;2*$F$7,E13*C13*D13*B13*(1+'Factor Prestacional'!$G$27),E13*D13*B13*C13*(1+'Factor Prestacional'!$B$27))</f>
        <v>6587521.7307692301</v>
      </c>
      <c r="G13" s="588"/>
    </row>
    <row r="14" spans="1:9" ht="14.4" x14ac:dyDescent="0.3">
      <c r="A14" s="591" t="s">
        <v>633</v>
      </c>
      <c r="B14" s="592"/>
      <c r="C14" s="592"/>
      <c r="D14" s="593"/>
      <c r="E14" s="594"/>
      <c r="F14" s="595">
        <f>SUM(F11:F13)</f>
        <v>21274239.230769224</v>
      </c>
      <c r="G14" s="588"/>
    </row>
    <row r="15" spans="1:9" ht="14.4" x14ac:dyDescent="0.3">
      <c r="A15" s="596" t="s">
        <v>634</v>
      </c>
      <c r="B15" s="592"/>
      <c r="C15" s="592"/>
      <c r="D15" s="593"/>
      <c r="E15" s="594"/>
      <c r="F15" s="595">
        <f>+F14</f>
        <v>21274239.230769224</v>
      </c>
    </row>
    <row r="16" spans="1:9" ht="12" customHeight="1" x14ac:dyDescent="0.3">
      <c r="A16" s="597"/>
      <c r="B16" s="598"/>
      <c r="C16" s="598"/>
      <c r="D16" s="599"/>
      <c r="E16" s="600"/>
      <c r="F16" s="601"/>
    </row>
    <row r="17" spans="1:7" ht="43.2" x14ac:dyDescent="0.25">
      <c r="A17" s="578" t="s">
        <v>635</v>
      </c>
      <c r="B17" s="579" t="s">
        <v>636</v>
      </c>
      <c r="C17" s="579" t="s">
        <v>6</v>
      </c>
      <c r="D17" s="579" t="s">
        <v>627</v>
      </c>
      <c r="E17" s="580" t="s">
        <v>628</v>
      </c>
      <c r="F17" s="581" t="s">
        <v>629</v>
      </c>
    </row>
    <row r="18" spans="1:7" ht="14.4" x14ac:dyDescent="0.3">
      <c r="A18" s="602" t="s">
        <v>637</v>
      </c>
      <c r="B18" s="583">
        <v>4499999.9846099988</v>
      </c>
      <c r="C18" s="584">
        <v>1</v>
      </c>
      <c r="D18" s="585">
        <v>0.5</v>
      </c>
      <c r="E18" s="586">
        <f>$F$5</f>
        <v>1.5</v>
      </c>
      <c r="F18" s="587">
        <f>B18*D18*E18*C18</f>
        <v>3374999.9884574991</v>
      </c>
      <c r="G18" s="603"/>
    </row>
    <row r="19" spans="1:7" ht="14.4" x14ac:dyDescent="0.3">
      <c r="A19" s="582" t="s">
        <v>638</v>
      </c>
      <c r="B19" s="583">
        <v>4499999.9846099988</v>
      </c>
      <c r="C19" s="584">
        <v>1</v>
      </c>
      <c r="D19" s="585">
        <v>0.2</v>
      </c>
      <c r="E19" s="604">
        <f>$F$5</f>
        <v>1.5</v>
      </c>
      <c r="F19" s="587">
        <f t="shared" ref="F19:F24" si="0">B19*D19*E19*C19</f>
        <v>1349999.9953829998</v>
      </c>
      <c r="G19" s="603"/>
    </row>
    <row r="20" spans="1:7" ht="14.4" x14ac:dyDescent="0.3">
      <c r="A20" s="605" t="s">
        <v>639</v>
      </c>
      <c r="B20" s="583">
        <v>2635008.692307692</v>
      </c>
      <c r="C20" s="584">
        <v>1</v>
      </c>
      <c r="D20" s="585">
        <v>0.2</v>
      </c>
      <c r="E20" s="604">
        <f t="shared" ref="E20:E24" si="1">$F$5</f>
        <v>1.5</v>
      </c>
      <c r="F20" s="587">
        <f t="shared" si="0"/>
        <v>790502.60769230768</v>
      </c>
      <c r="G20" s="603"/>
    </row>
    <row r="21" spans="1:7" ht="14.4" x14ac:dyDescent="0.3">
      <c r="A21" s="605" t="s">
        <v>640</v>
      </c>
      <c r="B21" s="606">
        <v>2635008.692307692</v>
      </c>
      <c r="C21" s="607">
        <v>1</v>
      </c>
      <c r="D21" s="585">
        <v>1</v>
      </c>
      <c r="E21" s="604">
        <f t="shared" si="1"/>
        <v>1.5</v>
      </c>
      <c r="F21" s="587">
        <f t="shared" si="0"/>
        <v>3952513.038461538</v>
      </c>
      <c r="G21" s="603"/>
    </row>
    <row r="22" spans="1:7" ht="14.4" x14ac:dyDescent="0.3">
      <c r="A22" s="605" t="s">
        <v>641</v>
      </c>
      <c r="B22" s="606">
        <v>2635008.692307692</v>
      </c>
      <c r="C22" s="607">
        <v>1</v>
      </c>
      <c r="D22" s="585">
        <v>0.2</v>
      </c>
      <c r="E22" s="604">
        <f t="shared" si="1"/>
        <v>1.5</v>
      </c>
      <c r="F22" s="587">
        <f t="shared" si="0"/>
        <v>790502.60769230768</v>
      </c>
      <c r="G22" s="603"/>
    </row>
    <row r="23" spans="1:7" ht="14.4" x14ac:dyDescent="0.3">
      <c r="A23" s="605" t="s">
        <v>642</v>
      </c>
      <c r="B23" s="606">
        <v>2635008.692307692</v>
      </c>
      <c r="C23" s="607">
        <v>1</v>
      </c>
      <c r="D23" s="585">
        <v>1</v>
      </c>
      <c r="E23" s="604">
        <f t="shared" si="1"/>
        <v>1.5</v>
      </c>
      <c r="F23" s="587">
        <f t="shared" si="0"/>
        <v>3952513.038461538</v>
      </c>
      <c r="G23" s="603"/>
    </row>
    <row r="24" spans="1:7" ht="14.4" x14ac:dyDescent="0.3">
      <c r="A24" s="605" t="s">
        <v>643</v>
      </c>
      <c r="B24" s="606">
        <v>2283674.1999999997</v>
      </c>
      <c r="C24" s="607">
        <v>1</v>
      </c>
      <c r="D24" s="585">
        <v>0.3</v>
      </c>
      <c r="E24" s="604">
        <f t="shared" si="1"/>
        <v>1.5</v>
      </c>
      <c r="F24" s="587">
        <f t="shared" si="0"/>
        <v>1027653.3899999999</v>
      </c>
      <c r="G24" s="603"/>
    </row>
    <row r="25" spans="1:7" ht="14.4" x14ac:dyDescent="0.3">
      <c r="A25" s="592"/>
      <c r="B25" s="608"/>
      <c r="C25" s="609"/>
      <c r="D25" s="610"/>
      <c r="E25" s="594"/>
      <c r="F25" s="611"/>
    </row>
    <row r="26" spans="1:7" ht="14.4" x14ac:dyDescent="0.3">
      <c r="A26" s="596" t="s">
        <v>644</v>
      </c>
      <c r="B26" s="592"/>
      <c r="C26" s="592"/>
      <c r="D26" s="593"/>
      <c r="E26" s="612"/>
      <c r="F26" s="595">
        <f>SUM(F18:F24)</f>
        <v>15238684.666148189</v>
      </c>
    </row>
    <row r="27" spans="1:7" ht="14.4" x14ac:dyDescent="0.3">
      <c r="A27" s="613"/>
      <c r="B27" s="598"/>
      <c r="C27" s="598"/>
      <c r="D27" s="599"/>
      <c r="E27" s="614"/>
      <c r="F27" s="615"/>
    </row>
    <row r="28" spans="1:7" ht="14.4" x14ac:dyDescent="0.25">
      <c r="A28" s="578" t="s">
        <v>645</v>
      </c>
      <c r="B28" s="579" t="s">
        <v>636</v>
      </c>
      <c r="C28" s="579"/>
      <c r="D28" s="579" t="s">
        <v>6</v>
      </c>
      <c r="E28" s="580"/>
      <c r="F28" s="581" t="s">
        <v>629</v>
      </c>
    </row>
    <row r="29" spans="1:7" s="356" customFormat="1" ht="14.4" x14ac:dyDescent="0.3">
      <c r="A29" s="605" t="s">
        <v>646</v>
      </c>
      <c r="B29" s="616">
        <f>+D7</f>
        <v>428161736</v>
      </c>
      <c r="C29" s="616"/>
      <c r="D29" s="617">
        <v>8.0000000000000002E-3</v>
      </c>
      <c r="E29" s="604"/>
      <c r="F29" s="618">
        <f>ROUND((B29*D29),2)</f>
        <v>3425293.89</v>
      </c>
    </row>
    <row r="30" spans="1:7" s="356" customFormat="1" ht="14.4" x14ac:dyDescent="0.3">
      <c r="A30" s="596" t="s">
        <v>647</v>
      </c>
      <c r="B30" s="592"/>
      <c r="C30" s="592"/>
      <c r="D30" s="593"/>
      <c r="E30" s="612"/>
      <c r="F30" s="595">
        <f>SUM(F29)</f>
        <v>3425293.89</v>
      </c>
    </row>
    <row r="31" spans="1:7" ht="14.4" x14ac:dyDescent="0.3">
      <c r="A31" s="597"/>
      <c r="B31" s="598"/>
      <c r="C31" s="598"/>
      <c r="D31" s="599"/>
      <c r="E31" s="600"/>
      <c r="F31" s="601"/>
    </row>
    <row r="32" spans="1:7" ht="14.4" x14ac:dyDescent="0.25">
      <c r="A32" s="578" t="s">
        <v>648</v>
      </c>
      <c r="B32" s="579" t="s">
        <v>636</v>
      </c>
      <c r="C32" s="579"/>
      <c r="D32" s="579" t="s">
        <v>6</v>
      </c>
      <c r="E32" s="580"/>
      <c r="F32" s="581" t="s">
        <v>629</v>
      </c>
    </row>
    <row r="33" spans="1:7" ht="14.4" x14ac:dyDescent="0.3">
      <c r="A33" s="605" t="s">
        <v>649</v>
      </c>
      <c r="B33" s="619">
        <f>IF($D$7&gt;15*$F$7,$D$7,0)</f>
        <v>428161736</v>
      </c>
      <c r="C33" s="616"/>
      <c r="D33" s="617">
        <v>1.4999999999999999E-2</v>
      </c>
      <c r="E33" s="604"/>
      <c r="F33" s="618">
        <f t="shared" ref="F33:F38" si="2">ROUND((B33*D33),2)</f>
        <v>6422426.04</v>
      </c>
    </row>
    <row r="34" spans="1:7" ht="14.4" x14ac:dyDescent="0.3">
      <c r="A34" s="605" t="s">
        <v>650</v>
      </c>
      <c r="B34" s="619">
        <f>IF($D$7&gt;30*$F$7,$D$7,0)</f>
        <v>428161736</v>
      </c>
      <c r="C34" s="616"/>
      <c r="D34" s="617">
        <v>0.02</v>
      </c>
      <c r="E34" s="604"/>
      <c r="F34" s="618">
        <f t="shared" si="2"/>
        <v>8563234.7200000007</v>
      </c>
    </row>
    <row r="35" spans="1:7" ht="14.4" x14ac:dyDescent="0.3">
      <c r="A35" s="605" t="s">
        <v>651</v>
      </c>
      <c r="B35" s="619">
        <f>$D$7</f>
        <v>428161736</v>
      </c>
      <c r="C35" s="616"/>
      <c r="D35" s="617">
        <v>7.0000000000000001E-3</v>
      </c>
      <c r="E35" s="604"/>
      <c r="F35" s="618">
        <f t="shared" si="2"/>
        <v>2997132.15</v>
      </c>
    </row>
    <row r="36" spans="1:7" ht="14.4" x14ac:dyDescent="0.3">
      <c r="A36" s="605" t="s">
        <v>652</v>
      </c>
      <c r="B36" s="619">
        <f>$D$7</f>
        <v>428161736</v>
      </c>
      <c r="C36" s="616"/>
      <c r="D36" s="617">
        <v>0.05</v>
      </c>
      <c r="E36" s="604"/>
      <c r="F36" s="618">
        <f t="shared" si="2"/>
        <v>21408086.800000001</v>
      </c>
    </row>
    <row r="37" spans="1:7" ht="14.4" x14ac:dyDescent="0.3">
      <c r="A37" s="605" t="s">
        <v>653</v>
      </c>
      <c r="B37" s="619">
        <f>$D$7</f>
        <v>428161736</v>
      </c>
      <c r="C37" s="616"/>
      <c r="D37" s="617">
        <v>0.01</v>
      </c>
      <c r="E37" s="604"/>
      <c r="F37" s="618">
        <f t="shared" si="2"/>
        <v>4281617.3600000003</v>
      </c>
    </row>
    <row r="38" spans="1:7" ht="14.4" x14ac:dyDescent="0.3">
      <c r="A38" s="605" t="s">
        <v>654</v>
      </c>
      <c r="B38" s="619">
        <f>$D$7</f>
        <v>428161736</v>
      </c>
      <c r="C38" s="616"/>
      <c r="D38" s="617">
        <v>0.02</v>
      </c>
      <c r="E38" s="604"/>
      <c r="F38" s="618">
        <f t="shared" si="2"/>
        <v>8563234.7200000007</v>
      </c>
    </row>
    <row r="39" spans="1:7" ht="14.4" x14ac:dyDescent="0.3">
      <c r="A39" s="596" t="s">
        <v>655</v>
      </c>
      <c r="B39" s="620"/>
      <c r="C39" s="592"/>
      <c r="D39" s="593"/>
      <c r="E39" s="594"/>
      <c r="F39" s="621">
        <f>SUM(F33:F38)</f>
        <v>52235731.789999999</v>
      </c>
    </row>
    <row r="40" spans="1:7" ht="14.4" x14ac:dyDescent="0.3">
      <c r="A40" s="613"/>
      <c r="B40" s="598"/>
      <c r="C40" s="598"/>
      <c r="D40" s="599"/>
      <c r="E40" s="600"/>
      <c r="F40" s="622"/>
    </row>
    <row r="41" spans="1:7" ht="14.4" x14ac:dyDescent="0.25">
      <c r="A41" s="578" t="s">
        <v>656</v>
      </c>
      <c r="B41" s="579" t="s">
        <v>636</v>
      </c>
      <c r="C41" s="579"/>
      <c r="D41" s="579" t="s">
        <v>6</v>
      </c>
      <c r="E41" s="580"/>
      <c r="F41" s="581" t="s">
        <v>629</v>
      </c>
    </row>
    <row r="42" spans="1:7" ht="14.4" x14ac:dyDescent="0.3">
      <c r="A42" s="605" t="s">
        <v>657</v>
      </c>
      <c r="B42" s="616">
        <v>350000</v>
      </c>
      <c r="C42" s="616"/>
      <c r="D42" s="623">
        <v>1.6459613011096772</v>
      </c>
      <c r="E42" s="604">
        <f t="shared" ref="E42:E46" si="3">$F$5</f>
        <v>1.5</v>
      </c>
      <c r="F42" s="618">
        <f>(B42*D42*E42)</f>
        <v>864129.68308258045</v>
      </c>
      <c r="G42" s="624"/>
    </row>
    <row r="43" spans="1:7" ht="14.4" x14ac:dyDescent="0.3">
      <c r="A43" s="605" t="s">
        <v>658</v>
      </c>
      <c r="B43" s="616">
        <v>685000</v>
      </c>
      <c r="C43" s="616"/>
      <c r="D43" s="625">
        <v>1</v>
      </c>
      <c r="E43" s="604">
        <f t="shared" si="3"/>
        <v>1.5</v>
      </c>
      <c r="F43" s="618">
        <f t="shared" ref="F43:F46" si="4">ROUND((B43*D43*E43),2)</f>
        <v>1027500</v>
      </c>
      <c r="G43" s="624"/>
    </row>
    <row r="44" spans="1:7" ht="14.4" x14ac:dyDescent="0.3">
      <c r="A44" s="605" t="s">
        <v>659</v>
      </c>
      <c r="B44" s="616">
        <v>1600000</v>
      </c>
      <c r="C44" s="616"/>
      <c r="D44" s="625">
        <v>0.3</v>
      </c>
      <c r="E44" s="604">
        <f t="shared" si="3"/>
        <v>1.5</v>
      </c>
      <c r="F44" s="618">
        <f t="shared" si="4"/>
        <v>720000</v>
      </c>
      <c r="G44" s="624"/>
    </row>
    <row r="45" spans="1:7" ht="14.4" x14ac:dyDescent="0.3">
      <c r="A45" s="605" t="s">
        <v>660</v>
      </c>
      <c r="B45" s="616">
        <v>565000</v>
      </c>
      <c r="C45" s="616"/>
      <c r="D45" s="625">
        <v>0.6</v>
      </c>
      <c r="E45" s="604">
        <f t="shared" si="3"/>
        <v>1.5</v>
      </c>
      <c r="F45" s="618">
        <f t="shared" si="4"/>
        <v>508500</v>
      </c>
      <c r="G45" s="624"/>
    </row>
    <row r="46" spans="1:7" ht="14.4" x14ac:dyDescent="0.3">
      <c r="A46" s="605" t="s">
        <v>661</v>
      </c>
      <c r="B46" s="616">
        <v>3150000</v>
      </c>
      <c r="C46" s="616"/>
      <c r="D46" s="625">
        <v>0.6</v>
      </c>
      <c r="E46" s="604">
        <f t="shared" si="3"/>
        <v>1.5</v>
      </c>
      <c r="F46" s="618">
        <f t="shared" si="4"/>
        <v>2835000</v>
      </c>
      <c r="G46" s="624"/>
    </row>
    <row r="47" spans="1:7" ht="14.4" x14ac:dyDescent="0.3">
      <c r="A47" s="596" t="s">
        <v>662</v>
      </c>
      <c r="B47" s="592"/>
      <c r="C47" s="592"/>
      <c r="D47" s="593"/>
      <c r="E47" s="594"/>
      <c r="F47" s="621">
        <f>SUM(F42:F46)</f>
        <v>5955129.6830825806</v>
      </c>
    </row>
    <row r="48" spans="1:7" ht="14.4" x14ac:dyDescent="0.3">
      <c r="A48" s="613"/>
      <c r="B48" s="598"/>
      <c r="C48" s="598"/>
      <c r="D48" s="599"/>
      <c r="E48" s="600"/>
      <c r="F48" s="622"/>
    </row>
    <row r="49" spans="1:8" ht="14.4" x14ac:dyDescent="0.3">
      <c r="A49" s="597"/>
      <c r="B49" s="598"/>
      <c r="C49" s="598"/>
      <c r="D49" s="599"/>
      <c r="E49" s="600"/>
      <c r="F49" s="626"/>
    </row>
    <row r="50" spans="1:8" ht="14.4" x14ac:dyDescent="0.3">
      <c r="A50" s="596" t="s">
        <v>663</v>
      </c>
      <c r="B50" s="592"/>
      <c r="C50" s="592"/>
      <c r="D50" s="593"/>
      <c r="E50" s="627">
        <f>ROUND(F50/$D$6,4)</f>
        <v>0.31219999999999998</v>
      </c>
      <c r="F50" s="628">
        <f>F15+F26+F30+F39+F47</f>
        <v>98129079.25999999</v>
      </c>
    </row>
    <row r="51" spans="1:8" ht="14.4" x14ac:dyDescent="0.3">
      <c r="A51" s="597"/>
      <c r="B51" s="598"/>
      <c r="C51" s="598"/>
      <c r="D51" s="599"/>
      <c r="E51" s="629"/>
      <c r="F51" s="601"/>
    </row>
    <row r="52" spans="1:8" ht="14.4" x14ac:dyDescent="0.3">
      <c r="A52" s="596" t="s">
        <v>664</v>
      </c>
      <c r="B52" s="592"/>
      <c r="C52" s="592"/>
      <c r="D52" s="593"/>
      <c r="E52" s="627">
        <v>0.05</v>
      </c>
      <c r="F52" s="630">
        <f>E52*$D$6</f>
        <v>15715817.700000001</v>
      </c>
    </row>
    <row r="53" spans="1:8" ht="14.4" x14ac:dyDescent="0.3">
      <c r="A53" s="597"/>
      <c r="B53" s="598"/>
      <c r="C53" s="598"/>
      <c r="D53" s="599"/>
      <c r="E53" s="629"/>
      <c r="F53" s="601"/>
    </row>
    <row r="54" spans="1:8" ht="14.4" x14ac:dyDescent="0.3">
      <c r="A54" s="596" t="s">
        <v>665</v>
      </c>
      <c r="B54" s="592"/>
      <c r="C54" s="592"/>
      <c r="D54" s="593"/>
      <c r="E54" s="631">
        <f>ROUND(E50+E52,4)</f>
        <v>0.36220000000000002</v>
      </c>
      <c r="F54" s="632"/>
      <c r="H54" s="633"/>
    </row>
    <row r="55" spans="1:8" ht="14.4" x14ac:dyDescent="0.3">
      <c r="A55" s="613"/>
      <c r="B55" s="598"/>
      <c r="C55" s="598"/>
      <c r="D55" s="599"/>
      <c r="F55" s="601"/>
    </row>
    <row r="56" spans="1:8" ht="14.4" x14ac:dyDescent="0.3">
      <c r="A56" s="613"/>
      <c r="B56" s="598"/>
      <c r="C56" s="598"/>
      <c r="D56" s="599"/>
      <c r="F56" s="601"/>
    </row>
    <row r="57" spans="1:8" ht="15" thickBot="1" x14ac:dyDescent="0.35">
      <c r="A57" s="634"/>
      <c r="B57" s="635"/>
      <c r="C57" s="635"/>
      <c r="D57" s="636"/>
      <c r="E57" s="637"/>
      <c r="F57" s="638"/>
    </row>
    <row r="58" spans="1:8" ht="14.4" x14ac:dyDescent="0.3">
      <c r="A58" s="639"/>
      <c r="B58" s="598"/>
      <c r="C58" s="598"/>
      <c r="D58" s="599"/>
      <c r="F58" s="639"/>
    </row>
    <row r="59" spans="1:8" ht="14.4" x14ac:dyDescent="0.3">
      <c r="A59" s="639"/>
      <c r="B59" s="598"/>
      <c r="C59" s="598"/>
      <c r="D59" s="599"/>
      <c r="F59" s="639"/>
    </row>
    <row r="60" spans="1:8" ht="14.4" x14ac:dyDescent="0.3">
      <c r="A60" s="639"/>
      <c r="B60" s="598"/>
      <c r="C60" s="598"/>
      <c r="D60" s="599"/>
      <c r="F60" s="639"/>
    </row>
    <row r="61" spans="1:8" ht="14.4" x14ac:dyDescent="0.3">
      <c r="A61" s="639"/>
      <c r="B61" s="598"/>
      <c r="C61" s="598"/>
      <c r="D61" s="599"/>
      <c r="F61" s="639"/>
    </row>
    <row r="62" spans="1:8" ht="14.4" x14ac:dyDescent="0.3">
      <c r="A62" s="639"/>
      <c r="B62" s="598"/>
      <c r="C62" s="598"/>
      <c r="D62" s="599"/>
      <c r="F62" s="639"/>
    </row>
    <row r="63" spans="1:8" ht="14.4" x14ac:dyDescent="0.3">
      <c r="A63" s="639"/>
      <c r="B63" s="598"/>
      <c r="C63" s="598"/>
      <c r="D63" s="599"/>
      <c r="F63" s="639"/>
    </row>
    <row r="64" spans="1:8" ht="14.4" x14ac:dyDescent="0.3">
      <c r="A64" s="639"/>
      <c r="B64" s="598"/>
      <c r="C64" s="598"/>
      <c r="D64" s="599"/>
      <c r="F64" s="639"/>
    </row>
    <row r="65" spans="1:8" ht="14.4" x14ac:dyDescent="0.3">
      <c r="A65" s="639"/>
      <c r="B65" s="598"/>
      <c r="C65" s="598"/>
      <c r="D65" s="599"/>
      <c r="F65" s="639"/>
    </row>
    <row r="66" spans="1:8" ht="14.4" x14ac:dyDescent="0.3">
      <c r="A66" s="639"/>
      <c r="B66" s="598"/>
      <c r="C66" s="598"/>
      <c r="D66" s="599"/>
      <c r="F66" s="639"/>
    </row>
    <row r="67" spans="1:8" ht="14.4" x14ac:dyDescent="0.3">
      <c r="A67" s="639"/>
      <c r="B67" s="598"/>
      <c r="C67" s="598"/>
      <c r="D67" s="599"/>
      <c r="F67" s="639"/>
    </row>
    <row r="69" spans="1:8" x14ac:dyDescent="0.25">
      <c r="E69" s="557"/>
      <c r="F69" s="557"/>
      <c r="H69" s="558"/>
    </row>
    <row r="70" spans="1:8" x14ac:dyDescent="0.25">
      <c r="E70" s="557"/>
      <c r="F70" s="557"/>
      <c r="H70" s="558"/>
    </row>
    <row r="71" spans="1:8" x14ac:dyDescent="0.25">
      <c r="E71" s="557"/>
      <c r="F71" s="557"/>
      <c r="H71" s="558"/>
    </row>
    <row r="72" spans="1:8" x14ac:dyDescent="0.25">
      <c r="E72" s="557"/>
      <c r="F72" s="557"/>
      <c r="H72" s="558"/>
    </row>
    <row r="73" spans="1:8" x14ac:dyDescent="0.25">
      <c r="E73" s="557"/>
      <c r="F73" s="557"/>
      <c r="H73" s="558"/>
    </row>
    <row r="74" spans="1:8" x14ac:dyDescent="0.25">
      <c r="E74" s="557"/>
      <c r="F74" s="557"/>
      <c r="H74" s="558"/>
    </row>
    <row r="75" spans="1:8" x14ac:dyDescent="0.25">
      <c r="E75" s="557"/>
      <c r="F75" s="557"/>
    </row>
    <row r="76" spans="1:8" x14ac:dyDescent="0.25">
      <c r="E76" s="557"/>
      <c r="F76" s="557"/>
    </row>
  </sheetData>
  <mergeCells count="1">
    <mergeCell ref="A5:A8"/>
  </mergeCells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ajustar_au">
          <controlPr defaultSize="0" autoLine="0" r:id="rId5">
            <anchor moveWithCells="1">
              <from>
                <xdr:col>7</xdr:col>
                <xdr:colOff>7620</xdr:colOff>
                <xdr:row>2</xdr:row>
                <xdr:rowOff>68580</xdr:rowOff>
              </from>
              <to>
                <xdr:col>7</xdr:col>
                <xdr:colOff>1089660</xdr:colOff>
                <xdr:row>4</xdr:row>
                <xdr:rowOff>106680</xdr:rowOff>
              </to>
            </anchor>
          </controlPr>
        </control>
      </mc:Choice>
      <mc:Fallback>
        <control shapeId="4097" r:id="rId4" name="ajustar_au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DB57-48D7-45E9-B7BE-1651268EA522}">
  <sheetPr>
    <tabColor theme="9" tint="-0.249977111117893"/>
    <pageSetUpPr fitToPage="1"/>
  </sheetPr>
  <dimension ref="A1:BB1048"/>
  <sheetViews>
    <sheetView view="pageBreakPreview" topLeftCell="B818" zoomScale="80" zoomScaleNormal="80" zoomScaleSheetLayoutView="80" workbookViewId="0">
      <pane ySplit="1" topLeftCell="A1002" activePane="bottomLeft" state="frozen"/>
      <selection activeCell="D819" sqref="D819"/>
      <selection pane="bottomLeft" activeCell="B913" sqref="A913:XFD920"/>
    </sheetView>
  </sheetViews>
  <sheetFormatPr baseColWidth="10" defaultColWidth="11.44140625" defaultRowHeight="14.4" x14ac:dyDescent="0.25"/>
  <cols>
    <col min="1" max="1" width="0" style="158" hidden="1" customWidth="1"/>
    <col min="2" max="2" width="12.33203125" style="190" customWidth="1"/>
    <col min="3" max="3" width="22" style="158" bestFit="1" customWidth="1"/>
    <col min="4" max="4" width="60.33203125" style="158" customWidth="1"/>
    <col min="5" max="5" width="19.44140625" style="190" customWidth="1"/>
    <col min="6" max="6" width="19.44140625" style="158" customWidth="1"/>
    <col min="7" max="7" width="18.6640625" style="191" bestFit="1" customWidth="1"/>
    <col min="8" max="8" width="11.5546875" style="158" bestFit="1" customWidth="1"/>
    <col min="9" max="9" width="18.88671875" style="158" bestFit="1" customWidth="1"/>
    <col min="10" max="10" width="18.6640625" style="158" customWidth="1"/>
    <col min="11" max="11" width="19.109375" style="158" bestFit="1" customWidth="1"/>
    <col min="12" max="12" width="17.33203125" style="157" bestFit="1" customWidth="1"/>
    <col min="13" max="15" width="13.88671875" style="158" customWidth="1"/>
    <col min="16" max="16384" width="11.44140625" style="158"/>
  </cols>
  <sheetData>
    <row r="1" spans="2:15" ht="15.6" hidden="1" x14ac:dyDescent="0.25">
      <c r="B1" s="152" t="s">
        <v>63</v>
      </c>
      <c r="C1" s="152" t="s">
        <v>64</v>
      </c>
      <c r="D1" s="152" t="s">
        <v>4</v>
      </c>
      <c r="E1" s="152" t="s">
        <v>65</v>
      </c>
      <c r="F1" s="153" t="s">
        <v>66</v>
      </c>
      <c r="G1" s="154" t="s">
        <v>67</v>
      </c>
      <c r="H1" s="155" t="s">
        <v>68</v>
      </c>
      <c r="I1" s="156" t="s">
        <v>69</v>
      </c>
      <c r="J1" s="156" t="s">
        <v>70</v>
      </c>
      <c r="K1" s="156" t="s">
        <v>71</v>
      </c>
    </row>
    <row r="2" spans="2:15" ht="15.6" hidden="1" x14ac:dyDescent="0.25">
      <c r="B2" s="159">
        <v>5.0010000000000003</v>
      </c>
      <c r="C2" s="160"/>
      <c r="D2" s="161" t="s">
        <v>72</v>
      </c>
      <c r="E2" s="162"/>
      <c r="F2" s="163"/>
      <c r="G2" s="164"/>
      <c r="H2" s="165"/>
      <c r="I2" s="165"/>
      <c r="J2" s="165"/>
      <c r="K2" s="165"/>
      <c r="L2" s="166">
        <f>+E12</f>
        <v>475645</v>
      </c>
      <c r="M2" s="167"/>
      <c r="N2" s="167"/>
      <c r="O2" s="167"/>
    </row>
    <row r="3" spans="2:15" ht="15" hidden="1" x14ac:dyDescent="0.25">
      <c r="B3" s="168"/>
      <c r="C3" s="168" t="s">
        <v>73</v>
      </c>
      <c r="D3" s="169" t="s">
        <v>74</v>
      </c>
      <c r="E3" s="170" t="s">
        <v>37</v>
      </c>
      <c r="F3" s="170">
        <v>0.33600000000000002</v>
      </c>
      <c r="G3" s="171">
        <f>+VLOOKUP(C3,'[112]Insumos-Equipo M_L'!$A$2:$D$166,4,FALSE)</f>
        <v>86000</v>
      </c>
      <c r="H3" s="172">
        <v>0.03</v>
      </c>
      <c r="I3" s="173"/>
      <c r="J3" s="174">
        <f>+($F3*$G3*(1+$H3))</f>
        <v>29762.880000000001</v>
      </c>
      <c r="K3" s="173"/>
    </row>
    <row r="4" spans="2:15" ht="15" hidden="1" x14ac:dyDescent="0.25">
      <c r="B4" s="168"/>
      <c r="C4" s="168" t="s">
        <v>75</v>
      </c>
      <c r="D4" s="169" t="s">
        <v>76</v>
      </c>
      <c r="E4" s="170" t="s">
        <v>37</v>
      </c>
      <c r="F4" s="170">
        <v>0.504</v>
      </c>
      <c r="G4" s="171">
        <f>+VLOOKUP(C4,'[112]Insumos-Equipo M_L'!$A$2:$D$166,4,FALSE)</f>
        <v>102187.34999999999</v>
      </c>
      <c r="H4" s="172">
        <v>0.03</v>
      </c>
      <c r="I4" s="173"/>
      <c r="J4" s="174">
        <f>+($F4*$G4*(1+$H4))</f>
        <v>53047.497131999997</v>
      </c>
      <c r="K4" s="173"/>
    </row>
    <row r="5" spans="2:15" ht="15" hidden="1" x14ac:dyDescent="0.25">
      <c r="B5" s="168"/>
      <c r="C5" s="168" t="s">
        <v>77</v>
      </c>
      <c r="D5" s="169" t="s">
        <v>78</v>
      </c>
      <c r="E5" s="170" t="s">
        <v>79</v>
      </c>
      <c r="F5" s="170">
        <v>170</v>
      </c>
      <c r="G5" s="171">
        <f>+VLOOKUP(C5,'[112]Insumos-Equipo M_L'!$A$2:$D$166,4,FALSE)</f>
        <v>13.182168149999999</v>
      </c>
      <c r="H5" s="172">
        <v>0.03</v>
      </c>
      <c r="I5" s="173"/>
      <c r="J5" s="174">
        <f>+($F5*$G5*(1+$H5))</f>
        <v>2308.1976430649997</v>
      </c>
      <c r="K5" s="173"/>
    </row>
    <row r="6" spans="2:15" ht="15" hidden="1" x14ac:dyDescent="0.25">
      <c r="B6" s="168"/>
      <c r="C6" s="168" t="s">
        <v>80</v>
      </c>
      <c r="D6" s="169" t="s">
        <v>81</v>
      </c>
      <c r="E6" s="170" t="s">
        <v>37</v>
      </c>
      <c r="F6" s="175">
        <v>0.4</v>
      </c>
      <c r="G6" s="171">
        <f>+VLOOKUP(C6,'[112]Insumos-Equipo M_L'!$A$2:$D$166,4,FALSE)</f>
        <v>102187.34999999999</v>
      </c>
      <c r="H6" s="172">
        <v>0.03</v>
      </c>
      <c r="I6" s="173"/>
      <c r="J6" s="174">
        <f>+($F6*$G6*(1+$H6))</f>
        <v>42101.188200000004</v>
      </c>
      <c r="K6" s="173"/>
    </row>
    <row r="7" spans="2:15" ht="15" hidden="1" x14ac:dyDescent="0.25">
      <c r="B7" s="168"/>
      <c r="C7" s="168" t="s">
        <v>82</v>
      </c>
      <c r="D7" s="169" t="s">
        <v>83</v>
      </c>
      <c r="E7" s="170" t="s">
        <v>84</v>
      </c>
      <c r="F7" s="170">
        <v>210</v>
      </c>
      <c r="G7" s="171">
        <f>+VLOOKUP(C7,'[112]Insumos-Equipo M_L'!$A$2:$D$166,4,FALSE)</f>
        <v>650</v>
      </c>
      <c r="H7" s="172"/>
      <c r="I7" s="173"/>
      <c r="J7" s="174">
        <f>+($F7*$G7*(1+$H7))</f>
        <v>136500</v>
      </c>
      <c r="K7" s="173"/>
    </row>
    <row r="8" spans="2:15" ht="15" hidden="1" x14ac:dyDescent="0.25">
      <c r="B8" s="168"/>
      <c r="C8" s="168" t="s">
        <v>85</v>
      </c>
      <c r="D8" s="169" t="s">
        <v>86</v>
      </c>
      <c r="E8" s="170" t="s">
        <v>87</v>
      </c>
      <c r="F8" s="176">
        <v>0.35</v>
      </c>
      <c r="G8" s="171">
        <f>+VLOOKUP(C8,'[112]Insumos-Equipo M_L'!$A$2:$D$166,4,FALSE)</f>
        <v>50458.737000000001</v>
      </c>
      <c r="H8" s="172"/>
      <c r="I8" s="174">
        <f>+($F8*$G8*(1+$H8))</f>
        <v>17660.557949999999</v>
      </c>
      <c r="J8" s="173"/>
      <c r="K8" s="173"/>
    </row>
    <row r="9" spans="2:15" ht="15" hidden="1" x14ac:dyDescent="0.25">
      <c r="B9" s="168"/>
      <c r="C9" s="168" t="s">
        <v>88</v>
      </c>
      <c r="D9" s="169" t="s">
        <v>89</v>
      </c>
      <c r="E9" s="170" t="s">
        <v>87</v>
      </c>
      <c r="F9" s="177">
        <v>0.4</v>
      </c>
      <c r="G9" s="171">
        <f>+VLOOKUP(C9,'[113]Mano de Obra'!$A$7:$G$35,4,FALSE)</f>
        <v>441510</v>
      </c>
      <c r="H9" s="172"/>
      <c r="I9" s="173"/>
      <c r="J9" s="173"/>
      <c r="K9" s="174">
        <f>+($F9*$G9*(1+$H9))</f>
        <v>176604</v>
      </c>
    </row>
    <row r="10" spans="2:15" ht="15" hidden="1" x14ac:dyDescent="0.25">
      <c r="B10" s="168"/>
      <c r="C10" s="168"/>
      <c r="D10" s="169" t="s">
        <v>90</v>
      </c>
      <c r="E10" s="170" t="s">
        <v>91</v>
      </c>
      <c r="F10" s="178">
        <v>0.05</v>
      </c>
      <c r="G10" s="171">
        <f>+K9</f>
        <v>176604</v>
      </c>
      <c r="H10" s="172"/>
      <c r="I10" s="173"/>
      <c r="J10" s="173"/>
      <c r="K10" s="174">
        <f>+($F10*$G10*(1+$H10))</f>
        <v>8830.2000000000007</v>
      </c>
    </row>
    <row r="11" spans="2:15" ht="15" hidden="1" x14ac:dyDescent="0.25">
      <c r="B11" s="168"/>
      <c r="C11" s="168"/>
      <c r="D11" s="169" t="s">
        <v>92</v>
      </c>
      <c r="E11" s="170" t="s">
        <v>91</v>
      </c>
      <c r="F11" s="178">
        <v>0.05</v>
      </c>
      <c r="G11" s="171">
        <f>+K9</f>
        <v>176604</v>
      </c>
      <c r="H11" s="172"/>
      <c r="I11" s="173"/>
      <c r="J11" s="174">
        <f>+($F11*$G11*(1+$H11))</f>
        <v>8830.2000000000007</v>
      </c>
      <c r="K11" s="179"/>
    </row>
    <row r="12" spans="2:15" ht="15.6" hidden="1" x14ac:dyDescent="0.25">
      <c r="B12" s="180"/>
      <c r="C12" s="180"/>
      <c r="D12" s="181" t="s">
        <v>93</v>
      </c>
      <c r="E12" s="182">
        <f>+ROUND(SUM(I12:K12),0)</f>
        <v>475645</v>
      </c>
      <c r="F12" s="183"/>
      <c r="G12" s="184"/>
      <c r="H12" s="185"/>
      <c r="I12" s="186">
        <f>+ROUND(SUM(I3:I11),0)</f>
        <v>17661</v>
      </c>
      <c r="J12" s="186">
        <f>+ROUND(SUM(J3:J11),0)</f>
        <v>272550</v>
      </c>
      <c r="K12" s="186">
        <f>+ROUND(SUM(K3:K11),0)</f>
        <v>185434</v>
      </c>
    </row>
    <row r="13" spans="2:15" ht="15" hidden="1" x14ac:dyDescent="0.25">
      <c r="B13" s="180"/>
      <c r="C13" s="180"/>
      <c r="D13" s="187"/>
      <c r="E13" s="180"/>
      <c r="F13" s="187"/>
      <c r="G13" s="164"/>
      <c r="H13" s="187"/>
      <c r="I13" s="187"/>
      <c r="J13" s="187"/>
      <c r="K13" s="187"/>
    </row>
    <row r="14" spans="2:15" ht="15.6" hidden="1" x14ac:dyDescent="0.25">
      <c r="B14" s="159">
        <v>5.0019999999999998</v>
      </c>
      <c r="C14" s="160"/>
      <c r="D14" s="188" t="s">
        <v>94</v>
      </c>
      <c r="E14" s="188"/>
      <c r="F14" s="163"/>
      <c r="G14" s="164"/>
      <c r="H14" s="165"/>
      <c r="I14" s="165"/>
      <c r="J14" s="165"/>
      <c r="K14" s="165"/>
      <c r="L14" s="166">
        <f>+E24</f>
        <v>640944</v>
      </c>
      <c r="M14" s="167"/>
      <c r="N14" s="167"/>
      <c r="O14" s="167"/>
    </row>
    <row r="15" spans="2:15" ht="15" hidden="1" x14ac:dyDescent="0.25">
      <c r="B15" s="168"/>
      <c r="C15" s="168" t="s">
        <v>73</v>
      </c>
      <c r="D15" s="169" t="s">
        <v>74</v>
      </c>
      <c r="E15" s="170" t="s">
        <v>37</v>
      </c>
      <c r="F15" s="176">
        <v>0.56000000000000005</v>
      </c>
      <c r="G15" s="171">
        <f>+VLOOKUP(C15,'[112]Insumos-Equipo M_L'!$A$2:$D$166,4,FALSE)</f>
        <v>86000</v>
      </c>
      <c r="H15" s="172">
        <v>0.03</v>
      </c>
      <c r="I15" s="173"/>
      <c r="J15" s="174">
        <f>+($F15*$G15*(1+$H15))</f>
        <v>49604.80000000001</v>
      </c>
      <c r="K15" s="173"/>
    </row>
    <row r="16" spans="2:15" ht="15" hidden="1" x14ac:dyDescent="0.25">
      <c r="B16" s="168"/>
      <c r="C16" s="168" t="s">
        <v>75</v>
      </c>
      <c r="D16" s="169" t="s">
        <v>76</v>
      </c>
      <c r="E16" s="170" t="s">
        <v>37</v>
      </c>
      <c r="F16" s="176">
        <v>0.84</v>
      </c>
      <c r="G16" s="171">
        <f>+VLOOKUP(C16,'[112]Insumos-Equipo M_L'!$A$2:$D$166,4,FALSE)</f>
        <v>102187.34999999999</v>
      </c>
      <c r="H16" s="172">
        <v>0.03</v>
      </c>
      <c r="I16" s="173"/>
      <c r="J16" s="174">
        <f>+($F16*$G16*(1+$H16))</f>
        <v>88412.495219999997</v>
      </c>
      <c r="K16" s="173"/>
    </row>
    <row r="17" spans="2:15" ht="15" hidden="1" x14ac:dyDescent="0.25">
      <c r="B17" s="168"/>
      <c r="C17" s="168" t="s">
        <v>77</v>
      </c>
      <c r="D17" s="169" t="s">
        <v>78</v>
      </c>
      <c r="E17" s="170" t="s">
        <v>79</v>
      </c>
      <c r="F17" s="170">
        <v>170</v>
      </c>
      <c r="G17" s="171">
        <f>+VLOOKUP(C17,'[112]Insumos-Equipo M_L'!$A$2:$D$166,4,FALSE)</f>
        <v>13.182168149999999</v>
      </c>
      <c r="H17" s="172">
        <v>0.03</v>
      </c>
      <c r="I17" s="173"/>
      <c r="J17" s="174">
        <f>+($F17*$G17*(1+$H17))</f>
        <v>2308.1976430649997</v>
      </c>
      <c r="K17" s="173"/>
    </row>
    <row r="18" spans="2:15" ht="15" hidden="1" x14ac:dyDescent="0.25">
      <c r="B18" s="168"/>
      <c r="C18" s="168" t="s">
        <v>82</v>
      </c>
      <c r="D18" s="169" t="s">
        <v>83</v>
      </c>
      <c r="E18" s="170" t="s">
        <v>84</v>
      </c>
      <c r="F18" s="170">
        <v>350</v>
      </c>
      <c r="G18" s="171">
        <f>+VLOOKUP(C18,'[112]Insumos-Equipo M_L'!$A$2:$D$166,4,FALSE)</f>
        <v>650</v>
      </c>
      <c r="H18" s="172"/>
      <c r="I18" s="173"/>
      <c r="J18" s="174">
        <f>+($F18*$G18*(1+$H18))</f>
        <v>227500</v>
      </c>
      <c r="K18" s="173"/>
    </row>
    <row r="19" spans="2:15" ht="15" hidden="1" x14ac:dyDescent="0.25">
      <c r="B19" s="168"/>
      <c r="C19" s="168" t="s">
        <v>95</v>
      </c>
      <c r="D19" s="169" t="s">
        <v>96</v>
      </c>
      <c r="E19" s="170" t="s">
        <v>97</v>
      </c>
      <c r="F19" s="170">
        <v>14</v>
      </c>
      <c r="G19" s="171">
        <f>+VLOOKUP(C19,'[112]Insumos-Equipo M_L'!$A$2:$D$166,4,FALSE)</f>
        <v>10545.73452</v>
      </c>
      <c r="H19" s="172"/>
      <c r="I19" s="173"/>
      <c r="J19" s="174">
        <f>+($F19*$G19*(1+$H19))</f>
        <v>147640.28328</v>
      </c>
      <c r="K19" s="173"/>
    </row>
    <row r="20" spans="2:15" ht="15" hidden="1" x14ac:dyDescent="0.25">
      <c r="B20" s="168"/>
      <c r="C20" s="168" t="s">
        <v>85</v>
      </c>
      <c r="D20" s="169" t="s">
        <v>86</v>
      </c>
      <c r="E20" s="170" t="s">
        <v>87</v>
      </c>
      <c r="F20" s="176">
        <v>0.35</v>
      </c>
      <c r="G20" s="171">
        <f>+VLOOKUP(C20,'[112]Insumos-Equipo M_L'!$A$2:$D$166,4,FALSE)</f>
        <v>50458.737000000001</v>
      </c>
      <c r="H20" s="172"/>
      <c r="I20" s="174">
        <f>+($F20*$G20*(1+$H20))</f>
        <v>17660.557949999999</v>
      </c>
      <c r="J20" s="173"/>
      <c r="K20" s="173"/>
    </row>
    <row r="21" spans="2:15" ht="15" hidden="1" x14ac:dyDescent="0.25">
      <c r="B21" s="168"/>
      <c r="C21" s="168" t="s">
        <v>88</v>
      </c>
      <c r="D21" s="169" t="s">
        <v>89</v>
      </c>
      <c r="E21" s="170" t="s">
        <v>87</v>
      </c>
      <c r="F21" s="177">
        <v>0.222</v>
      </c>
      <c r="G21" s="171">
        <f>+VLOOKUP(C21,'[113]Mano de Obra'!$A$7:$G$35,4,FALSE)</f>
        <v>441510</v>
      </c>
      <c r="H21" s="172"/>
      <c r="I21" s="173"/>
      <c r="J21" s="173"/>
      <c r="K21" s="174">
        <f>+($F21*$G21*(1+$H21))</f>
        <v>98015.22</v>
      </c>
    </row>
    <row r="22" spans="2:15" ht="15" hidden="1" x14ac:dyDescent="0.25">
      <c r="B22" s="168"/>
      <c r="C22" s="168"/>
      <c r="D22" s="169" t="s">
        <v>90</v>
      </c>
      <c r="E22" s="170" t="s">
        <v>91</v>
      </c>
      <c r="F22" s="178">
        <v>0.05</v>
      </c>
      <c r="G22" s="171">
        <f>+K21</f>
        <v>98015.22</v>
      </c>
      <c r="H22" s="172"/>
      <c r="I22" s="173"/>
      <c r="J22" s="173"/>
      <c r="K22" s="174">
        <f>+($F22*$G22*(1+$H22))</f>
        <v>4900.7610000000004</v>
      </c>
    </row>
    <row r="23" spans="2:15" ht="15" hidden="1" x14ac:dyDescent="0.25">
      <c r="B23" s="168"/>
      <c r="C23" s="168"/>
      <c r="D23" s="169" t="s">
        <v>92</v>
      </c>
      <c r="E23" s="170" t="s">
        <v>91</v>
      </c>
      <c r="F23" s="178">
        <v>0.05</v>
      </c>
      <c r="G23" s="171">
        <f>+K21</f>
        <v>98015.22</v>
      </c>
      <c r="H23" s="172"/>
      <c r="I23" s="173"/>
      <c r="J23" s="174">
        <f>+($F23*$G23*(1+$H23))</f>
        <v>4900.7610000000004</v>
      </c>
      <c r="K23" s="179"/>
    </row>
    <row r="24" spans="2:15" ht="15.6" hidden="1" x14ac:dyDescent="0.25">
      <c r="B24" s="180"/>
      <c r="C24" s="180"/>
      <c r="D24" s="181" t="s">
        <v>93</v>
      </c>
      <c r="E24" s="182">
        <f>+ROUND(SUM(I24:K24),0)</f>
        <v>640944</v>
      </c>
      <c r="F24" s="183"/>
      <c r="G24" s="184"/>
      <c r="H24" s="185"/>
      <c r="I24" s="186">
        <f>+ROUND(SUM(I15:I23),0)</f>
        <v>17661</v>
      </c>
      <c r="J24" s="186">
        <f>+ROUND(SUM(J15:J23),0)</f>
        <v>520367</v>
      </c>
      <c r="K24" s="186">
        <f>+ROUND(SUM(K15:K23),0)</f>
        <v>102916</v>
      </c>
    </row>
    <row r="25" spans="2:15" ht="15" hidden="1" x14ac:dyDescent="0.25">
      <c r="B25" s="180"/>
      <c r="C25" s="180"/>
      <c r="D25" s="187"/>
      <c r="E25" s="180"/>
      <c r="F25" s="187"/>
      <c r="G25" s="164"/>
      <c r="H25" s="187"/>
      <c r="I25" s="187"/>
      <c r="J25" s="187"/>
      <c r="K25" s="187"/>
    </row>
    <row r="26" spans="2:15" ht="15.6" hidden="1" x14ac:dyDescent="0.25">
      <c r="B26" s="159">
        <v>5.0030000000000001</v>
      </c>
      <c r="C26" s="160"/>
      <c r="D26" s="188" t="s">
        <v>98</v>
      </c>
      <c r="E26" s="188"/>
      <c r="F26" s="163"/>
      <c r="G26" s="164"/>
      <c r="H26" s="165"/>
      <c r="I26" s="165"/>
      <c r="J26" s="165"/>
      <c r="K26" s="165"/>
      <c r="L26" s="166">
        <f>+E36</f>
        <v>700922</v>
      </c>
      <c r="M26" s="167"/>
      <c r="N26" s="167"/>
      <c r="O26" s="167"/>
    </row>
    <row r="27" spans="2:15" ht="15" hidden="1" x14ac:dyDescent="0.25">
      <c r="B27" s="168"/>
      <c r="C27" s="168" t="s">
        <v>73</v>
      </c>
      <c r="D27" s="169" t="s">
        <v>74</v>
      </c>
      <c r="E27" s="170" t="s">
        <v>37</v>
      </c>
      <c r="F27" s="170">
        <v>0.56000000000000005</v>
      </c>
      <c r="G27" s="171">
        <f>+VLOOKUP(C27,'[112]Insumos-Equipo M_L'!$A$2:$D$166,4,FALSE)</f>
        <v>86000</v>
      </c>
      <c r="H27" s="172">
        <v>0.03</v>
      </c>
      <c r="I27" s="173"/>
      <c r="J27" s="174">
        <f>+($F27*$G27*(1+$H27))</f>
        <v>49604.80000000001</v>
      </c>
      <c r="K27" s="173"/>
    </row>
    <row r="28" spans="2:15" ht="15" hidden="1" x14ac:dyDescent="0.25">
      <c r="B28" s="168"/>
      <c r="C28" s="168" t="s">
        <v>75</v>
      </c>
      <c r="D28" s="169" t="s">
        <v>76</v>
      </c>
      <c r="E28" s="170" t="s">
        <v>37</v>
      </c>
      <c r="F28" s="170">
        <v>0.84</v>
      </c>
      <c r="G28" s="171">
        <f>+VLOOKUP(C28,'[112]Insumos-Equipo M_L'!$A$2:$D$166,4,FALSE)</f>
        <v>102187.34999999999</v>
      </c>
      <c r="H28" s="172">
        <v>0.03</v>
      </c>
      <c r="I28" s="173"/>
      <c r="J28" s="174">
        <f>+($F28*$G28*(1+$H28))</f>
        <v>88412.495219999997</v>
      </c>
      <c r="K28" s="173"/>
    </row>
    <row r="29" spans="2:15" ht="15" hidden="1" x14ac:dyDescent="0.25">
      <c r="B29" s="168"/>
      <c r="C29" s="168" t="s">
        <v>77</v>
      </c>
      <c r="D29" s="169" t="s">
        <v>78</v>
      </c>
      <c r="E29" s="170" t="s">
        <v>79</v>
      </c>
      <c r="F29" s="170">
        <v>170</v>
      </c>
      <c r="G29" s="171">
        <f>+VLOOKUP(C29,'[112]Insumos-Equipo M_L'!$A$2:$D$166,4,FALSE)</f>
        <v>13.182168149999999</v>
      </c>
      <c r="H29" s="172">
        <v>0.03</v>
      </c>
      <c r="I29" s="173"/>
      <c r="J29" s="174">
        <f>+($F29*$G29*(1+$H29))</f>
        <v>2308.1976430649997</v>
      </c>
      <c r="K29" s="173"/>
    </row>
    <row r="30" spans="2:15" ht="15" hidden="1" x14ac:dyDescent="0.25">
      <c r="B30" s="168"/>
      <c r="C30" s="168" t="s">
        <v>82</v>
      </c>
      <c r="D30" s="169" t="s">
        <v>83</v>
      </c>
      <c r="E30" s="170" t="s">
        <v>84</v>
      </c>
      <c r="F30" s="170">
        <v>350</v>
      </c>
      <c r="G30" s="171">
        <f>+VLOOKUP(C30,'[112]Insumos-Equipo M_L'!$A$2:$D$166,4,FALSE)</f>
        <v>650</v>
      </c>
      <c r="H30" s="172"/>
      <c r="I30" s="173"/>
      <c r="J30" s="174">
        <f>+($F30*$G30*(1+$H30))</f>
        <v>227500</v>
      </c>
      <c r="K30" s="173"/>
    </row>
    <row r="31" spans="2:15" ht="15" hidden="1" x14ac:dyDescent="0.25">
      <c r="B31" s="168"/>
      <c r="C31" s="168" t="s">
        <v>99</v>
      </c>
      <c r="D31" s="169" t="s">
        <v>100</v>
      </c>
      <c r="E31" s="170" t="s">
        <v>97</v>
      </c>
      <c r="F31" s="189">
        <v>10.5</v>
      </c>
      <c r="G31" s="171">
        <f>+VLOOKUP(C31,'[112]Insumos-Equipo M_L'!$A$2:$D$166,4,FALSE)</f>
        <v>19773.252225</v>
      </c>
      <c r="H31" s="172"/>
      <c r="I31" s="173"/>
      <c r="J31" s="174">
        <f>+($F31*$G31*(1+$H31))</f>
        <v>207619.14836250001</v>
      </c>
      <c r="K31" s="173"/>
    </row>
    <row r="32" spans="2:15" ht="15" hidden="1" x14ac:dyDescent="0.25">
      <c r="B32" s="168"/>
      <c r="C32" s="168" t="s">
        <v>85</v>
      </c>
      <c r="D32" s="169" t="s">
        <v>86</v>
      </c>
      <c r="E32" s="170" t="s">
        <v>87</v>
      </c>
      <c r="F32" s="176">
        <v>0.35</v>
      </c>
      <c r="G32" s="171">
        <f>+VLOOKUP(C32,'[112]Insumos-Equipo M_L'!$A$2:$D$166,4,FALSE)</f>
        <v>50458.737000000001</v>
      </c>
      <c r="H32" s="172"/>
      <c r="I32" s="174">
        <f>+($F32*$G32*(1+$H32))</f>
        <v>17660.557949999999</v>
      </c>
      <c r="J32" s="173"/>
      <c r="K32" s="173"/>
    </row>
    <row r="33" spans="2:15" ht="15" hidden="1" x14ac:dyDescent="0.25">
      <c r="B33" s="168"/>
      <c r="C33" s="168" t="s">
        <v>88</v>
      </c>
      <c r="D33" s="169" t="s">
        <v>89</v>
      </c>
      <c r="E33" s="170" t="s">
        <v>87</v>
      </c>
      <c r="F33" s="177">
        <v>0.222</v>
      </c>
      <c r="G33" s="171">
        <f>+VLOOKUP(C33,'[113]Mano de Obra'!$A$7:$G$35,4,FALSE)</f>
        <v>441510</v>
      </c>
      <c r="H33" s="172"/>
      <c r="I33" s="173"/>
      <c r="J33" s="173"/>
      <c r="K33" s="174">
        <f>+($F33*$G33*(1+$H33))</f>
        <v>98015.22</v>
      </c>
    </row>
    <row r="34" spans="2:15" ht="15" hidden="1" x14ac:dyDescent="0.25">
      <c r="B34" s="168"/>
      <c r="C34" s="168"/>
      <c r="D34" s="169" t="s">
        <v>90</v>
      </c>
      <c r="E34" s="170" t="s">
        <v>91</v>
      </c>
      <c r="F34" s="178">
        <v>0.05</v>
      </c>
      <c r="G34" s="171">
        <f>+K33</f>
        <v>98015.22</v>
      </c>
      <c r="H34" s="172"/>
      <c r="I34" s="173"/>
      <c r="J34" s="173"/>
      <c r="K34" s="174">
        <f>+($F34*$G34*(1+$H34))</f>
        <v>4900.7610000000004</v>
      </c>
    </row>
    <row r="35" spans="2:15" ht="15" hidden="1" x14ac:dyDescent="0.25">
      <c r="B35" s="168"/>
      <c r="C35" s="168"/>
      <c r="D35" s="169" t="s">
        <v>92</v>
      </c>
      <c r="E35" s="170" t="s">
        <v>91</v>
      </c>
      <c r="F35" s="178">
        <v>0.05</v>
      </c>
      <c r="G35" s="171">
        <f>+K33</f>
        <v>98015.22</v>
      </c>
      <c r="H35" s="172"/>
      <c r="I35" s="173"/>
      <c r="J35" s="174">
        <f>+($F35*$G35*(1+$H35))</f>
        <v>4900.7610000000004</v>
      </c>
      <c r="K35" s="179"/>
    </row>
    <row r="36" spans="2:15" ht="15.6" hidden="1" x14ac:dyDescent="0.25">
      <c r="B36" s="180"/>
      <c r="C36" s="180"/>
      <c r="D36" s="181" t="s">
        <v>93</v>
      </c>
      <c r="E36" s="182">
        <f>+ROUND(SUM(I36:K36),0)</f>
        <v>700922</v>
      </c>
      <c r="F36" s="183"/>
      <c r="G36" s="184"/>
      <c r="H36" s="185"/>
      <c r="I36" s="186">
        <f>+ROUND(SUM(I27:I35),0)</f>
        <v>17661</v>
      </c>
      <c r="J36" s="186">
        <f>+ROUND(SUM(J27:J35),0)</f>
        <v>580345</v>
      </c>
      <c r="K36" s="186">
        <f>+ROUND(SUM(K27:K35),0)</f>
        <v>102916</v>
      </c>
    </row>
    <row r="37" spans="2:15" hidden="1" x14ac:dyDescent="0.25"/>
    <row r="38" spans="2:15" ht="15.6" hidden="1" x14ac:dyDescent="0.25">
      <c r="B38" s="159">
        <v>5.0039999999999996</v>
      </c>
      <c r="C38" s="160"/>
      <c r="D38" s="161" t="s">
        <v>101</v>
      </c>
      <c r="E38" s="162"/>
      <c r="F38" s="163"/>
      <c r="G38" s="164"/>
      <c r="H38" s="165"/>
      <c r="I38" s="165"/>
      <c r="J38" s="165"/>
      <c r="K38" s="165"/>
      <c r="L38" s="166">
        <f>+E48</f>
        <v>781735</v>
      </c>
      <c r="M38" s="167"/>
      <c r="N38" s="167"/>
      <c r="O38" s="167"/>
    </row>
    <row r="39" spans="2:15" ht="15" hidden="1" x14ac:dyDescent="0.25">
      <c r="B39" s="168"/>
      <c r="C39" s="168" t="s">
        <v>73</v>
      </c>
      <c r="D39" s="169" t="s">
        <v>74</v>
      </c>
      <c r="E39" s="170" t="s">
        <v>37</v>
      </c>
      <c r="F39" s="176">
        <v>0.68</v>
      </c>
      <c r="G39" s="171">
        <f>+VLOOKUP(C39,'[112]Insumos-Equipo M_L'!$A$2:$D$166,4,FALSE)</f>
        <v>86000</v>
      </c>
      <c r="H39" s="172">
        <v>0.03</v>
      </c>
      <c r="I39" s="173"/>
      <c r="J39" s="174">
        <f>+($F39*$G39*(1+$H39))</f>
        <v>60234.400000000009</v>
      </c>
      <c r="K39" s="173"/>
    </row>
    <row r="40" spans="2:15" ht="15" hidden="1" x14ac:dyDescent="0.25">
      <c r="B40" s="168"/>
      <c r="C40" s="168" t="s">
        <v>75</v>
      </c>
      <c r="D40" s="169" t="s">
        <v>76</v>
      </c>
      <c r="E40" s="170" t="s">
        <v>37</v>
      </c>
      <c r="F40" s="176">
        <v>0.68</v>
      </c>
      <c r="G40" s="171">
        <f>+VLOOKUP(C40,'[112]Insumos-Equipo M_L'!$A$2:$D$166,4,FALSE)</f>
        <v>102187.34999999999</v>
      </c>
      <c r="H40" s="172">
        <v>0.03</v>
      </c>
      <c r="I40" s="173"/>
      <c r="J40" s="174">
        <f>+($F40*$G40*(1+$H40))</f>
        <v>71572.019939999998</v>
      </c>
      <c r="K40" s="173"/>
    </row>
    <row r="41" spans="2:15" ht="15" hidden="1" x14ac:dyDescent="0.25">
      <c r="B41" s="168"/>
      <c r="C41" s="168" t="s">
        <v>77</v>
      </c>
      <c r="D41" s="169" t="s">
        <v>78</v>
      </c>
      <c r="E41" s="170" t="s">
        <v>79</v>
      </c>
      <c r="F41" s="170">
        <v>170</v>
      </c>
      <c r="G41" s="171">
        <f>+VLOOKUP(C41,'[112]Insumos-Equipo M_L'!$A$2:$D$166,4,FALSE)</f>
        <v>13.182168149999999</v>
      </c>
      <c r="H41" s="172">
        <v>0.03</v>
      </c>
      <c r="I41" s="173"/>
      <c r="J41" s="174">
        <f>+($F41*$G41*(1+$H41))</f>
        <v>2308.1976430649997</v>
      </c>
      <c r="K41" s="173"/>
    </row>
    <row r="42" spans="2:15" ht="15" hidden="1" x14ac:dyDescent="0.25">
      <c r="B42" s="168"/>
      <c r="C42" s="168" t="s">
        <v>82</v>
      </c>
      <c r="D42" s="169" t="s">
        <v>83</v>
      </c>
      <c r="E42" s="170" t="s">
        <v>84</v>
      </c>
      <c r="F42" s="170">
        <v>420</v>
      </c>
      <c r="G42" s="171">
        <f>+VLOOKUP(C42,'[112]Insumos-Equipo M_L'!$A$2:$D$166,4,FALSE)</f>
        <v>650</v>
      </c>
      <c r="H42" s="172"/>
      <c r="I42" s="173"/>
      <c r="J42" s="174">
        <f>+($F42*$G42*(1+$H42))</f>
        <v>273000</v>
      </c>
      <c r="K42" s="173"/>
    </row>
    <row r="43" spans="2:15" ht="15" hidden="1" x14ac:dyDescent="0.25">
      <c r="B43" s="168"/>
      <c r="C43" s="168" t="s">
        <v>99</v>
      </c>
      <c r="D43" s="169" t="s">
        <v>100</v>
      </c>
      <c r="E43" s="170" t="s">
        <v>97</v>
      </c>
      <c r="F43" s="170">
        <v>12.6</v>
      </c>
      <c r="G43" s="171">
        <f>+VLOOKUP(C43,'[112]Insumos-Equipo M_L'!$A$2:$D$166,4,FALSE)</f>
        <v>19773.252225</v>
      </c>
      <c r="H43" s="172"/>
      <c r="I43" s="173"/>
      <c r="J43" s="174">
        <f>+($F43*$G43*(1+$H43))</f>
        <v>249142.97803500001</v>
      </c>
      <c r="K43" s="173"/>
    </row>
    <row r="44" spans="2:15" ht="15" hidden="1" x14ac:dyDescent="0.25">
      <c r="B44" s="168"/>
      <c r="C44" s="168" t="s">
        <v>85</v>
      </c>
      <c r="D44" s="169" t="s">
        <v>86</v>
      </c>
      <c r="E44" s="170" t="s">
        <v>87</v>
      </c>
      <c r="F44" s="176">
        <v>0.35</v>
      </c>
      <c r="G44" s="171">
        <f>+VLOOKUP(C44,'[112]Insumos-Equipo M_L'!$A$2:$D$166,4,FALSE)</f>
        <v>50458.737000000001</v>
      </c>
      <c r="H44" s="172"/>
      <c r="I44" s="174">
        <f>+($F44*$G44*(1+$H44))</f>
        <v>17660.557949999999</v>
      </c>
      <c r="J44" s="173"/>
      <c r="K44" s="173"/>
    </row>
    <row r="45" spans="2:15" ht="15" hidden="1" x14ac:dyDescent="0.25">
      <c r="B45" s="168"/>
      <c r="C45" s="168" t="s">
        <v>88</v>
      </c>
      <c r="D45" s="169" t="s">
        <v>89</v>
      </c>
      <c r="E45" s="170" t="s">
        <v>87</v>
      </c>
      <c r="F45" s="177">
        <v>0.222</v>
      </c>
      <c r="G45" s="171">
        <f>+VLOOKUP(C45,'[113]Mano de Obra'!$A$7:$G$35,4,FALSE)</f>
        <v>441510</v>
      </c>
      <c r="H45" s="172"/>
      <c r="I45" s="173"/>
      <c r="J45" s="173"/>
      <c r="K45" s="174">
        <f>+($F45*$G45*(1+$H45))</f>
        <v>98015.22</v>
      </c>
    </row>
    <row r="46" spans="2:15" ht="15" hidden="1" x14ac:dyDescent="0.25">
      <c r="B46" s="168"/>
      <c r="C46" s="168"/>
      <c r="D46" s="169" t="s">
        <v>90</v>
      </c>
      <c r="E46" s="170" t="s">
        <v>91</v>
      </c>
      <c r="F46" s="178">
        <v>0.05</v>
      </c>
      <c r="G46" s="171">
        <f>+K45</f>
        <v>98015.22</v>
      </c>
      <c r="H46" s="172"/>
      <c r="I46" s="173"/>
      <c r="J46" s="173"/>
      <c r="K46" s="174">
        <f>+($F46*$G46*(1+$H46))</f>
        <v>4900.7610000000004</v>
      </c>
    </row>
    <row r="47" spans="2:15" ht="15" hidden="1" x14ac:dyDescent="0.25">
      <c r="B47" s="168"/>
      <c r="C47" s="168"/>
      <c r="D47" s="169" t="s">
        <v>92</v>
      </c>
      <c r="E47" s="170" t="s">
        <v>91</v>
      </c>
      <c r="F47" s="178">
        <v>0.05</v>
      </c>
      <c r="G47" s="171">
        <f>+K45</f>
        <v>98015.22</v>
      </c>
      <c r="H47" s="172"/>
      <c r="I47" s="173"/>
      <c r="J47" s="174">
        <f>+($F47*$G47*(1+$H47))</f>
        <v>4900.7610000000004</v>
      </c>
      <c r="K47" s="179"/>
    </row>
    <row r="48" spans="2:15" ht="15.6" hidden="1" x14ac:dyDescent="0.25">
      <c r="B48" s="180"/>
      <c r="C48" s="180"/>
      <c r="D48" s="181" t="s">
        <v>93</v>
      </c>
      <c r="E48" s="182">
        <f>+ROUND(SUM(I48:K48),0)</f>
        <v>781735</v>
      </c>
      <c r="F48" s="183"/>
      <c r="G48" s="184"/>
      <c r="H48" s="185"/>
      <c r="I48" s="186">
        <f>+ROUND(SUM(I39:I47),0)</f>
        <v>17661</v>
      </c>
      <c r="J48" s="186">
        <f>+ROUND(SUM(J39:J47),0)</f>
        <v>661158</v>
      </c>
      <c r="K48" s="186">
        <f>+ROUND(SUM(K39:K47),0)</f>
        <v>102916</v>
      </c>
    </row>
    <row r="49" spans="2:15" ht="15" hidden="1" x14ac:dyDescent="0.25">
      <c r="B49" s="180"/>
      <c r="C49" s="180"/>
      <c r="D49" s="187"/>
      <c r="E49" s="180"/>
      <c r="F49" s="187"/>
      <c r="G49" s="164"/>
      <c r="H49" s="187"/>
      <c r="I49" s="187"/>
      <c r="J49" s="187"/>
      <c r="K49" s="187"/>
    </row>
    <row r="50" spans="2:15" ht="15.6" hidden="1" x14ac:dyDescent="0.25">
      <c r="B50" s="159">
        <v>5.0049999999999999</v>
      </c>
      <c r="C50" s="160"/>
      <c r="D50" s="188" t="s">
        <v>102</v>
      </c>
      <c r="E50" s="188"/>
      <c r="F50" s="163"/>
      <c r="G50" s="164"/>
      <c r="H50" s="165"/>
      <c r="I50" s="165"/>
      <c r="J50" s="165"/>
      <c r="K50" s="165"/>
      <c r="L50" s="166">
        <f>+E60</f>
        <v>868759</v>
      </c>
      <c r="M50" s="167"/>
      <c r="N50" s="167"/>
      <c r="O50" s="167"/>
    </row>
    <row r="51" spans="2:15" ht="15" hidden="1" x14ac:dyDescent="0.25">
      <c r="B51" s="168"/>
      <c r="C51" s="168" t="s">
        <v>73</v>
      </c>
      <c r="D51" s="169" t="s">
        <v>74</v>
      </c>
      <c r="E51" s="170" t="s">
        <v>37</v>
      </c>
      <c r="F51" s="176">
        <v>0.68</v>
      </c>
      <c r="G51" s="171">
        <f>+VLOOKUP(C51,'[112]Insumos-Equipo M_L'!$A$2:$D$166,4,FALSE)</f>
        <v>86000</v>
      </c>
      <c r="H51" s="172">
        <v>0.03</v>
      </c>
      <c r="I51" s="173"/>
      <c r="J51" s="174">
        <f>+($F51*$G51*(1+$H51))</f>
        <v>60234.400000000009</v>
      </c>
      <c r="K51" s="173"/>
    </row>
    <row r="52" spans="2:15" ht="15" hidden="1" x14ac:dyDescent="0.25">
      <c r="B52" s="168"/>
      <c r="C52" s="168" t="s">
        <v>75</v>
      </c>
      <c r="D52" s="169" t="s">
        <v>76</v>
      </c>
      <c r="E52" s="170" t="s">
        <v>37</v>
      </c>
      <c r="F52" s="176">
        <v>0.68</v>
      </c>
      <c r="G52" s="171">
        <f>+VLOOKUP(C52,'[112]Insumos-Equipo M_L'!$A$2:$D$166,4,FALSE)</f>
        <v>102187.34999999999</v>
      </c>
      <c r="H52" s="172">
        <v>0.03</v>
      </c>
      <c r="I52" s="173"/>
      <c r="J52" s="174">
        <f>+($F52*$G52*(1+$H52))</f>
        <v>71572.019939999998</v>
      </c>
      <c r="K52" s="173"/>
    </row>
    <row r="53" spans="2:15" ht="15" hidden="1" x14ac:dyDescent="0.25">
      <c r="B53" s="168"/>
      <c r="C53" s="168" t="s">
        <v>77</v>
      </c>
      <c r="D53" s="169" t="s">
        <v>78</v>
      </c>
      <c r="E53" s="170" t="s">
        <v>79</v>
      </c>
      <c r="F53" s="170">
        <v>170</v>
      </c>
      <c r="G53" s="171">
        <f>+VLOOKUP(C53,'[112]Insumos-Equipo M_L'!$A$2:$D$166,4,FALSE)</f>
        <v>13.182168149999999</v>
      </c>
      <c r="H53" s="172">
        <v>0.03</v>
      </c>
      <c r="I53" s="173"/>
      <c r="J53" s="174">
        <f>+($F53*$G53*(1+$H53))</f>
        <v>2308.1976430649997</v>
      </c>
      <c r="K53" s="173"/>
    </row>
    <row r="54" spans="2:15" ht="15" hidden="1" x14ac:dyDescent="0.25">
      <c r="B54" s="168"/>
      <c r="C54" s="168" t="s">
        <v>82</v>
      </c>
      <c r="D54" s="169" t="s">
        <v>83</v>
      </c>
      <c r="E54" s="170" t="s">
        <v>84</v>
      </c>
      <c r="F54" s="170">
        <v>490</v>
      </c>
      <c r="G54" s="171">
        <f>+VLOOKUP(C54,'[112]Insumos-Equipo M_L'!$A$2:$D$166,4,FALSE)</f>
        <v>650</v>
      </c>
      <c r="H54" s="172"/>
      <c r="I54" s="173"/>
      <c r="J54" s="174">
        <f>+($F54*$G54*(1+$H54))</f>
        <v>318500</v>
      </c>
      <c r="K54" s="173"/>
    </row>
    <row r="55" spans="2:15" ht="15" hidden="1" x14ac:dyDescent="0.25">
      <c r="B55" s="168"/>
      <c r="C55" s="168" t="s">
        <v>99</v>
      </c>
      <c r="D55" s="169" t="s">
        <v>100</v>
      </c>
      <c r="E55" s="170" t="s">
        <v>97</v>
      </c>
      <c r="F55" s="170">
        <v>14.7</v>
      </c>
      <c r="G55" s="171">
        <f>+VLOOKUP(C55,'[112]Insumos-Equipo M_L'!$A$2:$D$166,4,FALSE)</f>
        <v>19773.252225</v>
      </c>
      <c r="H55" s="172"/>
      <c r="I55" s="173"/>
      <c r="J55" s="174">
        <f>+($F55*$G55*(1+$H55))</f>
        <v>290666.8077075</v>
      </c>
      <c r="K55" s="173"/>
    </row>
    <row r="56" spans="2:15" ht="15" hidden="1" x14ac:dyDescent="0.25">
      <c r="B56" s="168"/>
      <c r="C56" s="168" t="s">
        <v>85</v>
      </c>
      <c r="D56" s="169" t="s">
        <v>86</v>
      </c>
      <c r="E56" s="170" t="s">
        <v>87</v>
      </c>
      <c r="F56" s="176">
        <v>0.35</v>
      </c>
      <c r="G56" s="171">
        <f>+VLOOKUP(C56,'[112]Insumos-Equipo M_L'!$A$2:$D$166,4,FALSE)</f>
        <v>50458.737000000001</v>
      </c>
      <c r="H56" s="172"/>
      <c r="I56" s="174">
        <f>+($F56*$G56*(1+$H56))</f>
        <v>17660.557949999999</v>
      </c>
      <c r="J56" s="173"/>
      <c r="K56" s="173"/>
    </row>
    <row r="57" spans="2:15" ht="15" hidden="1" x14ac:dyDescent="0.25">
      <c r="B57" s="168"/>
      <c r="C57" s="168" t="s">
        <v>88</v>
      </c>
      <c r="D57" s="169" t="s">
        <v>89</v>
      </c>
      <c r="E57" s="170" t="s">
        <v>87</v>
      </c>
      <c r="F57" s="177">
        <v>0.222</v>
      </c>
      <c r="G57" s="171">
        <f>+VLOOKUP(C57,'[113]Mano de Obra'!$A$7:$G$35,4,FALSE)</f>
        <v>441510</v>
      </c>
      <c r="H57" s="172"/>
      <c r="I57" s="173"/>
      <c r="J57" s="173"/>
      <c r="K57" s="174">
        <f>+($F57*$G57*(1+$H57))</f>
        <v>98015.22</v>
      </c>
    </row>
    <row r="58" spans="2:15" ht="15" hidden="1" x14ac:dyDescent="0.25">
      <c r="B58" s="168"/>
      <c r="C58" s="168"/>
      <c r="D58" s="169" t="s">
        <v>90</v>
      </c>
      <c r="E58" s="170" t="s">
        <v>91</v>
      </c>
      <c r="F58" s="178">
        <v>0.05</v>
      </c>
      <c r="G58" s="171">
        <f>+K57</f>
        <v>98015.22</v>
      </c>
      <c r="H58" s="172"/>
      <c r="I58" s="173"/>
      <c r="J58" s="173"/>
      <c r="K58" s="174">
        <f>+($F58*$G58*(1+$H58))</f>
        <v>4900.7610000000004</v>
      </c>
    </row>
    <row r="59" spans="2:15" ht="15" hidden="1" x14ac:dyDescent="0.25">
      <c r="B59" s="168"/>
      <c r="C59" s="168"/>
      <c r="D59" s="169" t="s">
        <v>92</v>
      </c>
      <c r="E59" s="170" t="s">
        <v>91</v>
      </c>
      <c r="F59" s="178">
        <v>0.05</v>
      </c>
      <c r="G59" s="171">
        <f>+K57</f>
        <v>98015.22</v>
      </c>
      <c r="H59" s="172"/>
      <c r="I59" s="173"/>
      <c r="J59" s="174">
        <f>+($F59*$G59*(1+$H59))</f>
        <v>4900.7610000000004</v>
      </c>
      <c r="K59" s="179"/>
    </row>
    <row r="60" spans="2:15" ht="15.6" hidden="1" x14ac:dyDescent="0.25">
      <c r="B60" s="180"/>
      <c r="C60" s="180"/>
      <c r="D60" s="181" t="s">
        <v>93</v>
      </c>
      <c r="E60" s="182">
        <f>+ROUND(SUM(I60:K60),0)</f>
        <v>868759</v>
      </c>
      <c r="F60" s="183"/>
      <c r="G60" s="184"/>
      <c r="H60" s="185"/>
      <c r="I60" s="186">
        <f>+ROUND(SUM(I51:I59),0)</f>
        <v>17661</v>
      </c>
      <c r="J60" s="186">
        <f>+ROUND(SUM(J51:J59),0)</f>
        <v>748182</v>
      </c>
      <c r="K60" s="186">
        <f>+ROUND(SUM(K51:K59),0)</f>
        <v>102916</v>
      </c>
    </row>
    <row r="61" spans="2:15" ht="15" hidden="1" x14ac:dyDescent="0.25">
      <c r="B61" s="180"/>
      <c r="C61" s="180"/>
      <c r="D61" s="187"/>
      <c r="E61" s="180"/>
      <c r="F61" s="187"/>
      <c r="G61" s="164"/>
      <c r="H61" s="187"/>
      <c r="I61" s="187"/>
      <c r="J61" s="187"/>
      <c r="K61" s="187"/>
    </row>
    <row r="62" spans="2:15" ht="15.6" hidden="1" x14ac:dyDescent="0.25">
      <c r="B62" s="159">
        <v>5.0060000000000002</v>
      </c>
      <c r="C62" s="160"/>
      <c r="D62" s="188" t="s">
        <v>103</v>
      </c>
      <c r="E62" s="188"/>
      <c r="F62" s="163"/>
      <c r="G62" s="164"/>
      <c r="H62" s="165"/>
      <c r="I62" s="165"/>
      <c r="J62" s="165"/>
      <c r="K62" s="165"/>
      <c r="L62" s="166">
        <f>+E71</f>
        <v>415660</v>
      </c>
      <c r="M62" s="167"/>
      <c r="N62" s="167"/>
      <c r="O62" s="167"/>
    </row>
    <row r="63" spans="2:15" ht="15" hidden="1" x14ac:dyDescent="0.25">
      <c r="B63" s="168"/>
      <c r="C63" s="168" t="s">
        <v>73</v>
      </c>
      <c r="D63" s="169" t="s">
        <v>74</v>
      </c>
      <c r="E63" s="170" t="s">
        <v>37</v>
      </c>
      <c r="F63" s="176">
        <v>0.56000000000000005</v>
      </c>
      <c r="G63" s="171">
        <f>+VLOOKUP(C63,'[112]Insumos-Equipo M_L'!$A$2:$D$166,4,FALSE)</f>
        <v>86000</v>
      </c>
      <c r="H63" s="172">
        <v>0.03</v>
      </c>
      <c r="I63" s="173"/>
      <c r="J63" s="174">
        <f>+($F63*$G63*(1+$H63))</f>
        <v>49604.80000000001</v>
      </c>
      <c r="K63" s="173"/>
    </row>
    <row r="64" spans="2:15" ht="15" hidden="1" x14ac:dyDescent="0.25">
      <c r="B64" s="168"/>
      <c r="C64" s="168" t="s">
        <v>75</v>
      </c>
      <c r="D64" s="169" t="s">
        <v>76</v>
      </c>
      <c r="E64" s="170" t="s">
        <v>37</v>
      </c>
      <c r="F64" s="176">
        <v>0.92</v>
      </c>
      <c r="G64" s="171">
        <f>+VLOOKUP(C64,'[112]Insumos-Equipo M_L'!$A$2:$D$166,4,FALSE)</f>
        <v>102187.34999999999</v>
      </c>
      <c r="H64" s="172">
        <v>0.03</v>
      </c>
      <c r="I64" s="173"/>
      <c r="J64" s="174">
        <f>+($F64*$G64*(1+$H64))</f>
        <v>96832.732859999989</v>
      </c>
      <c r="K64" s="173"/>
    </row>
    <row r="65" spans="2:12" ht="15" hidden="1" x14ac:dyDescent="0.25">
      <c r="B65" s="168"/>
      <c r="C65" s="168" t="s">
        <v>77</v>
      </c>
      <c r="D65" s="169" t="s">
        <v>78</v>
      </c>
      <c r="E65" s="170" t="s">
        <v>79</v>
      </c>
      <c r="F65" s="170">
        <v>150</v>
      </c>
      <c r="G65" s="171">
        <f>+VLOOKUP(C65,'[112]Insumos-Equipo M_L'!$A$2:$D$166,4,FALSE)</f>
        <v>13.182168149999999</v>
      </c>
      <c r="H65" s="172">
        <v>0.03</v>
      </c>
      <c r="I65" s="173"/>
      <c r="J65" s="174">
        <f>+($F65*$G65*(1+$H65))</f>
        <v>2036.6449791749999</v>
      </c>
      <c r="K65" s="173"/>
    </row>
    <row r="66" spans="2:12" ht="15" hidden="1" x14ac:dyDescent="0.25">
      <c r="B66" s="168"/>
      <c r="C66" s="168" t="s">
        <v>82</v>
      </c>
      <c r="D66" s="169" t="s">
        <v>83</v>
      </c>
      <c r="E66" s="170" t="s">
        <v>84</v>
      </c>
      <c r="F66" s="170">
        <v>225</v>
      </c>
      <c r="G66" s="171">
        <f>+VLOOKUP(C66,'[112]Insumos-Equipo M_L'!$A$2:$D$166,4,FALSE)</f>
        <v>650</v>
      </c>
      <c r="H66" s="172"/>
      <c r="I66" s="173"/>
      <c r="J66" s="174">
        <f>+($F66*$G66*(1+$H66))</f>
        <v>146250</v>
      </c>
      <c r="K66" s="173"/>
    </row>
    <row r="67" spans="2:12" ht="15" hidden="1" x14ac:dyDescent="0.25">
      <c r="B67" s="168"/>
      <c r="C67" s="168" t="s">
        <v>85</v>
      </c>
      <c r="D67" s="169" t="s">
        <v>86</v>
      </c>
      <c r="E67" s="170" t="s">
        <v>87</v>
      </c>
      <c r="F67" s="176">
        <v>0.26</v>
      </c>
      <c r="G67" s="171">
        <f>+VLOOKUP(C67,'[112]Insumos-Equipo M_L'!$A$2:$D$166,4,FALSE)</f>
        <v>50458.737000000001</v>
      </c>
      <c r="H67" s="172"/>
      <c r="I67" s="174">
        <f>+($F67*$G67*(1+$H67))</f>
        <v>13119.271620000001</v>
      </c>
      <c r="J67" s="173"/>
      <c r="K67" s="173"/>
    </row>
    <row r="68" spans="2:12" ht="15" hidden="1" x14ac:dyDescent="0.25">
      <c r="B68" s="168"/>
      <c r="C68" s="168" t="s">
        <v>88</v>
      </c>
      <c r="D68" s="169" t="s">
        <v>89</v>
      </c>
      <c r="E68" s="170" t="s">
        <v>87</v>
      </c>
      <c r="F68" s="177">
        <v>0.222</v>
      </c>
      <c r="G68" s="171">
        <f>+VLOOKUP(C68,'[113]Mano de Obra'!$A$7:$G$35,4,FALSE)</f>
        <v>441510</v>
      </c>
      <c r="H68" s="172"/>
      <c r="I68" s="173"/>
      <c r="J68" s="173"/>
      <c r="K68" s="174">
        <f>+($F68*$G68*(1+$H68))</f>
        <v>98015.22</v>
      </c>
    </row>
    <row r="69" spans="2:12" ht="15" hidden="1" x14ac:dyDescent="0.25">
      <c r="B69" s="168"/>
      <c r="C69" s="168"/>
      <c r="D69" s="169" t="s">
        <v>90</v>
      </c>
      <c r="E69" s="170" t="s">
        <v>91</v>
      </c>
      <c r="F69" s="178">
        <v>0.05</v>
      </c>
      <c r="G69" s="171">
        <f>+K68</f>
        <v>98015.22</v>
      </c>
      <c r="H69" s="172"/>
      <c r="I69" s="173"/>
      <c r="J69" s="173"/>
      <c r="K69" s="174">
        <f>+($F69*$G69*(1+$H69))</f>
        <v>4900.7610000000004</v>
      </c>
    </row>
    <row r="70" spans="2:12" ht="15" hidden="1" x14ac:dyDescent="0.25">
      <c r="B70" s="168"/>
      <c r="C70" s="168"/>
      <c r="D70" s="169" t="s">
        <v>92</v>
      </c>
      <c r="E70" s="170" t="s">
        <v>91</v>
      </c>
      <c r="F70" s="178">
        <v>0.05</v>
      </c>
      <c r="G70" s="171">
        <f>+K68</f>
        <v>98015.22</v>
      </c>
      <c r="H70" s="172"/>
      <c r="I70" s="173"/>
      <c r="J70" s="174">
        <f>+($F70*$G70*(1+$H70))</f>
        <v>4900.7610000000004</v>
      </c>
      <c r="K70" s="179"/>
    </row>
    <row r="71" spans="2:12" ht="15.6" hidden="1" x14ac:dyDescent="0.25">
      <c r="B71" s="180"/>
      <c r="C71" s="180"/>
      <c r="D71" s="181" t="s">
        <v>93</v>
      </c>
      <c r="E71" s="182">
        <f>+ROUND(SUM(I71:K71),0)</f>
        <v>415660</v>
      </c>
      <c r="F71" s="183"/>
      <c r="G71" s="184"/>
      <c r="H71" s="185"/>
      <c r="I71" s="186">
        <f>+ROUND(SUM(I62:I70),0)</f>
        <v>13119</v>
      </c>
      <c r="J71" s="186">
        <f>+ROUND(SUM(J62:J70),0)</f>
        <v>299625</v>
      </c>
      <c r="K71" s="186">
        <f>+ROUND(SUM(K62:K70),0)</f>
        <v>102916</v>
      </c>
    </row>
    <row r="72" spans="2:12" ht="15" hidden="1" x14ac:dyDescent="0.25">
      <c r="B72" s="180"/>
      <c r="C72" s="180"/>
      <c r="D72" s="187"/>
      <c r="E72" s="180"/>
      <c r="F72" s="192"/>
      <c r="G72" s="164"/>
      <c r="H72" s="187"/>
      <c r="I72" s="187"/>
      <c r="J72" s="187"/>
      <c r="K72" s="187"/>
    </row>
    <row r="73" spans="2:12" ht="15.6" hidden="1" x14ac:dyDescent="0.25">
      <c r="B73" s="159">
        <v>5.0069999999999997</v>
      </c>
      <c r="C73" s="160"/>
      <c r="D73" s="188" t="s">
        <v>104</v>
      </c>
      <c r="E73" s="188"/>
      <c r="F73" s="163"/>
      <c r="G73" s="164"/>
      <c r="H73" s="165"/>
      <c r="I73" s="165"/>
      <c r="J73" s="165"/>
      <c r="K73" s="165"/>
      <c r="L73" s="166">
        <f>+E82</f>
        <v>434038</v>
      </c>
    </row>
    <row r="74" spans="2:12" ht="15" hidden="1" x14ac:dyDescent="0.25">
      <c r="B74" s="168"/>
      <c r="C74" s="168" t="s">
        <v>73</v>
      </c>
      <c r="D74" s="169" t="s">
        <v>74</v>
      </c>
      <c r="E74" s="170" t="s">
        <v>37</v>
      </c>
      <c r="F74" s="170">
        <v>0.47499999999999998</v>
      </c>
      <c r="G74" s="171">
        <f>+VLOOKUP(C74,'[112]Insumos-Equipo M_L'!$A$2:$D$166,4,FALSE)</f>
        <v>86000</v>
      </c>
      <c r="H74" s="172">
        <v>0.03</v>
      </c>
      <c r="I74" s="173"/>
      <c r="J74" s="174">
        <f>+($F74*$G74*(1+$H74))</f>
        <v>42075.5</v>
      </c>
      <c r="K74" s="173"/>
    </row>
    <row r="75" spans="2:12" ht="15" hidden="1" x14ac:dyDescent="0.25">
      <c r="B75" s="168"/>
      <c r="C75" s="168" t="s">
        <v>75</v>
      </c>
      <c r="D75" s="169" t="s">
        <v>76</v>
      </c>
      <c r="E75" s="170" t="s">
        <v>37</v>
      </c>
      <c r="F75" s="176">
        <v>0.95</v>
      </c>
      <c r="G75" s="171">
        <f>+VLOOKUP(C75,'[112]Insumos-Equipo M_L'!$A$2:$D$166,4,FALSE)</f>
        <v>102187.34999999999</v>
      </c>
      <c r="H75" s="172">
        <v>0.03</v>
      </c>
      <c r="I75" s="173"/>
      <c r="J75" s="174">
        <f>+($F75*$G75*(1+$H75))</f>
        <v>99990.321974999984</v>
      </c>
      <c r="K75" s="173"/>
    </row>
    <row r="76" spans="2:12" ht="15" hidden="1" x14ac:dyDescent="0.25">
      <c r="B76" s="168"/>
      <c r="C76" s="168" t="s">
        <v>77</v>
      </c>
      <c r="D76" s="169" t="s">
        <v>78</v>
      </c>
      <c r="E76" s="170" t="s">
        <v>79</v>
      </c>
      <c r="F76" s="170">
        <v>150</v>
      </c>
      <c r="G76" s="171">
        <f>+VLOOKUP(C76,'[112]Insumos-Equipo M_L'!$A$2:$D$166,4,FALSE)</f>
        <v>13.182168149999999</v>
      </c>
      <c r="H76" s="172">
        <v>0.03</v>
      </c>
      <c r="I76" s="173"/>
      <c r="J76" s="174">
        <f>+($F76*$G76*(1+$H76))</f>
        <v>2036.6449791749999</v>
      </c>
      <c r="K76" s="173"/>
    </row>
    <row r="77" spans="2:12" ht="15" hidden="1" x14ac:dyDescent="0.25">
      <c r="B77" s="168"/>
      <c r="C77" s="168" t="s">
        <v>82</v>
      </c>
      <c r="D77" s="169" t="s">
        <v>83</v>
      </c>
      <c r="E77" s="170" t="s">
        <v>84</v>
      </c>
      <c r="F77" s="170">
        <v>260</v>
      </c>
      <c r="G77" s="171">
        <f>+VLOOKUP(C77,'[112]Insumos-Equipo M_L'!$A$2:$D$166,4,FALSE)</f>
        <v>650</v>
      </c>
      <c r="H77" s="172"/>
      <c r="I77" s="173"/>
      <c r="J77" s="174">
        <f>+($F77*$G77*(1+$H77))</f>
        <v>169000</v>
      </c>
      <c r="K77" s="173"/>
    </row>
    <row r="78" spans="2:12" ht="15" hidden="1" x14ac:dyDescent="0.25">
      <c r="B78" s="168"/>
      <c r="C78" s="168" t="s">
        <v>85</v>
      </c>
      <c r="D78" s="169" t="s">
        <v>86</v>
      </c>
      <c r="E78" s="170" t="s">
        <v>87</v>
      </c>
      <c r="F78" s="176">
        <v>0.26</v>
      </c>
      <c r="G78" s="171">
        <f>+VLOOKUP(C78,'[112]Insumos-Equipo M_L'!$A$2:$D$166,4,FALSE)</f>
        <v>50458.737000000001</v>
      </c>
      <c r="H78" s="172"/>
      <c r="I78" s="174">
        <f>+($F78*$G78*(1+$H78))</f>
        <v>13119.271620000001</v>
      </c>
      <c r="J78" s="173"/>
      <c r="K78" s="173"/>
    </row>
    <row r="79" spans="2:12" ht="15" hidden="1" x14ac:dyDescent="0.25">
      <c r="B79" s="168"/>
      <c r="C79" s="168" t="s">
        <v>88</v>
      </c>
      <c r="D79" s="169" t="s">
        <v>89</v>
      </c>
      <c r="E79" s="170" t="s">
        <v>87</v>
      </c>
      <c r="F79" s="177">
        <v>0.222</v>
      </c>
      <c r="G79" s="171">
        <f>+VLOOKUP(C79,'[113]Mano de Obra'!$A$7:$G$35,4,FALSE)</f>
        <v>441510</v>
      </c>
      <c r="H79" s="172"/>
      <c r="I79" s="173"/>
      <c r="J79" s="173"/>
      <c r="K79" s="174">
        <f>+($F79*$G79*(1+$H79))</f>
        <v>98015.22</v>
      </c>
    </row>
    <row r="80" spans="2:12" ht="15" hidden="1" x14ac:dyDescent="0.25">
      <c r="B80" s="168"/>
      <c r="C80" s="168"/>
      <c r="D80" s="169" t="s">
        <v>90</v>
      </c>
      <c r="E80" s="170" t="s">
        <v>91</v>
      </c>
      <c r="F80" s="178">
        <v>0.05</v>
      </c>
      <c r="G80" s="171">
        <f>+K79</f>
        <v>98015.22</v>
      </c>
      <c r="H80" s="172"/>
      <c r="I80" s="173"/>
      <c r="J80" s="173"/>
      <c r="K80" s="174">
        <f>+($F80*$G80*(1+$H80))</f>
        <v>4900.7610000000004</v>
      </c>
    </row>
    <row r="81" spans="2:12" ht="15" hidden="1" x14ac:dyDescent="0.25">
      <c r="B81" s="168"/>
      <c r="C81" s="168"/>
      <c r="D81" s="169" t="s">
        <v>92</v>
      </c>
      <c r="E81" s="170" t="s">
        <v>91</v>
      </c>
      <c r="F81" s="178">
        <v>0.05</v>
      </c>
      <c r="G81" s="171">
        <f>+K79</f>
        <v>98015.22</v>
      </c>
      <c r="H81" s="172"/>
      <c r="I81" s="173"/>
      <c r="J81" s="174">
        <f>+($F81*$G81*(1+$H81))</f>
        <v>4900.7610000000004</v>
      </c>
      <c r="K81" s="179"/>
    </row>
    <row r="82" spans="2:12" ht="15.6" hidden="1" x14ac:dyDescent="0.25">
      <c r="B82" s="180"/>
      <c r="C82" s="180"/>
      <c r="D82" s="181" t="s">
        <v>93</v>
      </c>
      <c r="E82" s="182">
        <f>+ROUND(SUM(I82:K82),0)</f>
        <v>434038</v>
      </c>
      <c r="F82" s="183"/>
      <c r="G82" s="184"/>
      <c r="H82" s="185"/>
      <c r="I82" s="186">
        <f>+ROUND(SUM(I73:I81),0)</f>
        <v>13119</v>
      </c>
      <c r="J82" s="186">
        <f>+ROUND(SUM(J73:J81),0)</f>
        <v>318003</v>
      </c>
      <c r="K82" s="186">
        <f>+ROUND(SUM(K73:K81),0)</f>
        <v>102916</v>
      </c>
    </row>
    <row r="83" spans="2:12" hidden="1" x14ac:dyDescent="0.25"/>
    <row r="84" spans="2:12" ht="15.6" hidden="1" x14ac:dyDescent="0.25">
      <c r="B84" s="159">
        <v>5.008</v>
      </c>
      <c r="C84" s="160"/>
      <c r="D84" s="188" t="s">
        <v>105</v>
      </c>
      <c r="E84" s="188"/>
      <c r="F84" s="163"/>
      <c r="G84" s="164"/>
      <c r="H84" s="165"/>
      <c r="I84" s="165"/>
      <c r="J84" s="165"/>
      <c r="K84" s="165"/>
      <c r="L84" s="166">
        <f>+E93</f>
        <v>493303</v>
      </c>
    </row>
    <row r="85" spans="2:12" ht="15" hidden="1" x14ac:dyDescent="0.25">
      <c r="B85" s="168"/>
      <c r="C85" s="168" t="s">
        <v>73</v>
      </c>
      <c r="D85" s="169" t="s">
        <v>74</v>
      </c>
      <c r="E85" s="170" t="s">
        <v>37</v>
      </c>
      <c r="F85" s="176">
        <v>0.56000000000000005</v>
      </c>
      <c r="G85" s="171">
        <f>+VLOOKUP(C85,'[112]Insumos-Equipo M_L'!$A$2:$D$166,4,FALSE)</f>
        <v>86000</v>
      </c>
      <c r="H85" s="172">
        <v>0.03</v>
      </c>
      <c r="I85" s="173"/>
      <c r="J85" s="174">
        <f>+($F85*$G85*(1+$H85))</f>
        <v>49604.80000000001</v>
      </c>
      <c r="K85" s="173"/>
    </row>
    <row r="86" spans="2:12" ht="15" hidden="1" x14ac:dyDescent="0.25">
      <c r="B86" s="168"/>
      <c r="C86" s="168" t="s">
        <v>75</v>
      </c>
      <c r="D86" s="169" t="s">
        <v>76</v>
      </c>
      <c r="E86" s="170" t="s">
        <v>37</v>
      </c>
      <c r="F86" s="176">
        <v>0.84</v>
      </c>
      <c r="G86" s="171">
        <f>+VLOOKUP(C86,'[112]Insumos-Equipo M_L'!$A$2:$D$166,4,FALSE)</f>
        <v>102187.34999999999</v>
      </c>
      <c r="H86" s="172">
        <v>0.03</v>
      </c>
      <c r="I86" s="173"/>
      <c r="J86" s="174">
        <f>+($F86*$G86*(1+$H86))</f>
        <v>88412.495219999997</v>
      </c>
      <c r="K86" s="173"/>
    </row>
    <row r="87" spans="2:12" ht="15" hidden="1" x14ac:dyDescent="0.25">
      <c r="B87" s="168"/>
      <c r="C87" s="168" t="s">
        <v>77</v>
      </c>
      <c r="D87" s="169" t="s">
        <v>78</v>
      </c>
      <c r="E87" s="170" t="s">
        <v>79</v>
      </c>
      <c r="F87" s="170">
        <v>170</v>
      </c>
      <c r="G87" s="171">
        <f>+VLOOKUP(C87,'[112]Insumos-Equipo M_L'!$A$2:$D$166,4,FALSE)</f>
        <v>13.182168149999999</v>
      </c>
      <c r="H87" s="172">
        <v>0.03</v>
      </c>
      <c r="I87" s="173"/>
      <c r="J87" s="174">
        <f>+($F87*$G87*(1+$H87))</f>
        <v>2308.1976430649997</v>
      </c>
      <c r="K87" s="173"/>
    </row>
    <row r="88" spans="2:12" ht="15" hidden="1" x14ac:dyDescent="0.25">
      <c r="B88" s="168"/>
      <c r="C88" s="168" t="s">
        <v>82</v>
      </c>
      <c r="D88" s="169" t="s">
        <v>83</v>
      </c>
      <c r="E88" s="170" t="s">
        <v>84</v>
      </c>
      <c r="F88" s="170">
        <v>350</v>
      </c>
      <c r="G88" s="171">
        <f>+VLOOKUP(C88,'[112]Insumos-Equipo M_L'!$A$2:$D$166,4,FALSE)</f>
        <v>650</v>
      </c>
      <c r="H88" s="172"/>
      <c r="I88" s="173"/>
      <c r="J88" s="174">
        <f>+($F88*$G88*(1+$H88))</f>
        <v>227500</v>
      </c>
      <c r="K88" s="173"/>
    </row>
    <row r="89" spans="2:12" ht="15" hidden="1" x14ac:dyDescent="0.25">
      <c r="B89" s="168"/>
      <c r="C89" s="168" t="s">
        <v>85</v>
      </c>
      <c r="D89" s="169" t="s">
        <v>86</v>
      </c>
      <c r="E89" s="170" t="s">
        <v>87</v>
      </c>
      <c r="F89" s="176">
        <v>0.35</v>
      </c>
      <c r="G89" s="171">
        <f>+VLOOKUP(C89,'[112]Insumos-Equipo M_L'!$A$2:$D$166,4,FALSE)</f>
        <v>50458.737000000001</v>
      </c>
      <c r="H89" s="172"/>
      <c r="I89" s="174">
        <f>+($F89*$G89*(1+$H89))</f>
        <v>17660.557949999999</v>
      </c>
      <c r="J89" s="173"/>
      <c r="K89" s="173"/>
    </row>
    <row r="90" spans="2:12" ht="15" hidden="1" x14ac:dyDescent="0.25">
      <c r="B90" s="168"/>
      <c r="C90" s="168" t="s">
        <v>88</v>
      </c>
      <c r="D90" s="169" t="s">
        <v>89</v>
      </c>
      <c r="E90" s="170" t="s">
        <v>87</v>
      </c>
      <c r="F90" s="177">
        <v>0.222</v>
      </c>
      <c r="G90" s="171">
        <f>+VLOOKUP(C90,'[113]Mano de Obra'!$A$7:$G$35,4,FALSE)</f>
        <v>441510</v>
      </c>
      <c r="H90" s="172"/>
      <c r="I90" s="173"/>
      <c r="J90" s="173"/>
      <c r="K90" s="174">
        <f>+($F90*$G90*(1+$H90))</f>
        <v>98015.22</v>
      </c>
    </row>
    <row r="91" spans="2:12" ht="15" hidden="1" x14ac:dyDescent="0.25">
      <c r="B91" s="168"/>
      <c r="C91" s="168"/>
      <c r="D91" s="169" t="s">
        <v>90</v>
      </c>
      <c r="E91" s="170" t="s">
        <v>91</v>
      </c>
      <c r="F91" s="178">
        <v>0.05</v>
      </c>
      <c r="G91" s="171">
        <f>+K90</f>
        <v>98015.22</v>
      </c>
      <c r="H91" s="172"/>
      <c r="I91" s="173"/>
      <c r="J91" s="173"/>
      <c r="K91" s="174">
        <f>+($F91*$G91*(1+$H91))</f>
        <v>4900.7610000000004</v>
      </c>
    </row>
    <row r="92" spans="2:12" ht="15" hidden="1" x14ac:dyDescent="0.25">
      <c r="B92" s="168"/>
      <c r="C92" s="168"/>
      <c r="D92" s="169" t="s">
        <v>92</v>
      </c>
      <c r="E92" s="170" t="s">
        <v>91</v>
      </c>
      <c r="F92" s="178">
        <v>0.05</v>
      </c>
      <c r="G92" s="171">
        <f>+K90</f>
        <v>98015.22</v>
      </c>
      <c r="H92" s="172"/>
      <c r="I92" s="173"/>
      <c r="J92" s="174">
        <f>+($F92*$G92*(1+$H92))</f>
        <v>4900.7610000000004</v>
      </c>
      <c r="K92" s="179"/>
    </row>
    <row r="93" spans="2:12" ht="15.6" hidden="1" x14ac:dyDescent="0.25">
      <c r="B93" s="180"/>
      <c r="C93" s="180"/>
      <c r="D93" s="181" t="s">
        <v>93</v>
      </c>
      <c r="E93" s="182">
        <f>+ROUND(SUM(I93:K93),0)</f>
        <v>493303</v>
      </c>
      <c r="F93" s="183">
        <v>465942</v>
      </c>
      <c r="G93" s="184"/>
      <c r="H93" s="185"/>
      <c r="I93" s="186">
        <f>+ROUND(SUM(I84:I92),0)</f>
        <v>17661</v>
      </c>
      <c r="J93" s="186">
        <f>+ROUND(SUM(J84:J92),0)</f>
        <v>372726</v>
      </c>
      <c r="K93" s="186">
        <f>+ROUND(SUM(K84:K92),0)</f>
        <v>102916</v>
      </c>
    </row>
    <row r="94" spans="2:12" ht="15" hidden="1" x14ac:dyDescent="0.25">
      <c r="B94" s="180"/>
      <c r="C94" s="180"/>
      <c r="D94" s="187"/>
      <c r="E94" s="180"/>
      <c r="F94" s="187"/>
      <c r="G94" s="164"/>
      <c r="H94" s="187"/>
      <c r="I94" s="187"/>
      <c r="J94" s="187"/>
      <c r="K94" s="187"/>
    </row>
    <row r="95" spans="2:12" ht="15.6" hidden="1" x14ac:dyDescent="0.25">
      <c r="B95" s="159">
        <v>5.0090000000000003</v>
      </c>
      <c r="C95" s="160"/>
      <c r="D95" s="188" t="s">
        <v>106</v>
      </c>
      <c r="E95" s="188"/>
      <c r="F95" s="163"/>
      <c r="G95" s="164"/>
      <c r="H95" s="165"/>
      <c r="I95" s="165"/>
      <c r="J95" s="165"/>
      <c r="K95" s="165"/>
      <c r="L95" s="166">
        <f>+E104</f>
        <v>512948</v>
      </c>
    </row>
    <row r="96" spans="2:12" ht="15" hidden="1" x14ac:dyDescent="0.25">
      <c r="B96" s="168"/>
      <c r="C96" s="168" t="s">
        <v>73</v>
      </c>
      <c r="D96" s="169" t="s">
        <v>74</v>
      </c>
      <c r="E96" s="170" t="s">
        <v>37</v>
      </c>
      <c r="F96" s="176">
        <v>0.62</v>
      </c>
      <c r="G96" s="171">
        <f>+VLOOKUP(C96,'[112]Insumos-Equipo M_L'!$A$2:$D$166,4,FALSE)</f>
        <v>86000</v>
      </c>
      <c r="H96" s="172">
        <v>0.03</v>
      </c>
      <c r="I96" s="173"/>
      <c r="J96" s="174">
        <f>+($F96*$G96*(1+$H96))</f>
        <v>54919.6</v>
      </c>
      <c r="K96" s="173"/>
    </row>
    <row r="97" spans="2:12" ht="15" hidden="1" x14ac:dyDescent="0.25">
      <c r="B97" s="168"/>
      <c r="C97" s="168" t="s">
        <v>75</v>
      </c>
      <c r="D97" s="169" t="s">
        <v>76</v>
      </c>
      <c r="E97" s="170" t="s">
        <v>37</v>
      </c>
      <c r="F97" s="176">
        <v>0.76</v>
      </c>
      <c r="G97" s="171">
        <f>+VLOOKUP(C97,'[112]Insumos-Equipo M_L'!$A$2:$D$166,4,FALSE)</f>
        <v>102187.34999999999</v>
      </c>
      <c r="H97" s="172">
        <v>0.03</v>
      </c>
      <c r="I97" s="173"/>
      <c r="J97" s="174">
        <f>+($F97*$G97*(1+$H97))</f>
        <v>79992.257580000005</v>
      </c>
      <c r="K97" s="173"/>
    </row>
    <row r="98" spans="2:12" ht="15" hidden="1" x14ac:dyDescent="0.25">
      <c r="B98" s="168"/>
      <c r="C98" s="168" t="s">
        <v>77</v>
      </c>
      <c r="D98" s="169" t="s">
        <v>78</v>
      </c>
      <c r="E98" s="170" t="s">
        <v>79</v>
      </c>
      <c r="F98" s="170">
        <v>170</v>
      </c>
      <c r="G98" s="171">
        <f>+VLOOKUP(C98,'[112]Insumos-Equipo M_L'!$A$2:$D$166,4,FALSE)</f>
        <v>13.182168149999999</v>
      </c>
      <c r="H98" s="172">
        <v>0.03</v>
      </c>
      <c r="I98" s="173"/>
      <c r="J98" s="174">
        <f>+($F98*$G98*(1+$H98))</f>
        <v>2308.1976430649997</v>
      </c>
      <c r="K98" s="173"/>
    </row>
    <row r="99" spans="2:12" ht="15" hidden="1" x14ac:dyDescent="0.25">
      <c r="B99" s="168"/>
      <c r="C99" s="168" t="s">
        <v>82</v>
      </c>
      <c r="D99" s="169" t="s">
        <v>83</v>
      </c>
      <c r="E99" s="170" t="s">
        <v>84</v>
      </c>
      <c r="F99" s="170">
        <v>385</v>
      </c>
      <c r="G99" s="171">
        <f>+VLOOKUP(C99,'[112]Insumos-Equipo M_L'!$A$2:$D$166,4,FALSE)</f>
        <v>650</v>
      </c>
      <c r="H99" s="172"/>
      <c r="I99" s="173"/>
      <c r="J99" s="174">
        <f>+($F99*$G99*(1+$H99))</f>
        <v>250250</v>
      </c>
      <c r="K99" s="173"/>
    </row>
    <row r="100" spans="2:12" ht="15" hidden="1" x14ac:dyDescent="0.25">
      <c r="B100" s="168"/>
      <c r="C100" s="168" t="s">
        <v>85</v>
      </c>
      <c r="D100" s="169" t="s">
        <v>86</v>
      </c>
      <c r="E100" s="170" t="s">
        <v>87</v>
      </c>
      <c r="F100" s="176">
        <v>0.35</v>
      </c>
      <c r="G100" s="171">
        <f>+VLOOKUP(C100,'[112]Insumos-Equipo M_L'!$A$2:$D$166,4,FALSE)</f>
        <v>50458.737000000001</v>
      </c>
      <c r="H100" s="172"/>
      <c r="I100" s="174">
        <f>+($F100*$G100*(1+$H100))</f>
        <v>17660.557949999999</v>
      </c>
      <c r="J100" s="173"/>
      <c r="K100" s="173"/>
    </row>
    <row r="101" spans="2:12" ht="15" hidden="1" x14ac:dyDescent="0.25">
      <c r="B101" s="168"/>
      <c r="C101" s="168" t="s">
        <v>88</v>
      </c>
      <c r="D101" s="169" t="s">
        <v>89</v>
      </c>
      <c r="E101" s="170" t="s">
        <v>87</v>
      </c>
      <c r="F101" s="177">
        <v>0.222</v>
      </c>
      <c r="G101" s="171">
        <f>+VLOOKUP(C101,'[113]Mano de Obra'!$A$7:$G$35,4,FALSE)</f>
        <v>441510</v>
      </c>
      <c r="H101" s="172"/>
      <c r="I101" s="173"/>
      <c r="J101" s="173"/>
      <c r="K101" s="174">
        <f>+($F101*$G101*(1+$H101))</f>
        <v>98015.22</v>
      </c>
    </row>
    <row r="102" spans="2:12" ht="15" hidden="1" x14ac:dyDescent="0.25">
      <c r="B102" s="168"/>
      <c r="C102" s="168"/>
      <c r="D102" s="169" t="s">
        <v>90</v>
      </c>
      <c r="E102" s="170" t="s">
        <v>91</v>
      </c>
      <c r="F102" s="178">
        <v>0.05</v>
      </c>
      <c r="G102" s="171">
        <f>+K101</f>
        <v>98015.22</v>
      </c>
      <c r="H102" s="172"/>
      <c r="I102" s="173"/>
      <c r="J102" s="173"/>
      <c r="K102" s="174">
        <f>+($F102*$G102*(1+$H102))</f>
        <v>4900.7610000000004</v>
      </c>
    </row>
    <row r="103" spans="2:12" ht="15" hidden="1" x14ac:dyDescent="0.25">
      <c r="B103" s="168"/>
      <c r="C103" s="168"/>
      <c r="D103" s="169" t="s">
        <v>92</v>
      </c>
      <c r="E103" s="170" t="s">
        <v>91</v>
      </c>
      <c r="F103" s="178">
        <v>0.05</v>
      </c>
      <c r="G103" s="171">
        <f>+K101</f>
        <v>98015.22</v>
      </c>
      <c r="H103" s="172"/>
      <c r="I103" s="173"/>
      <c r="J103" s="174">
        <f>+($F103*$G103*(1+$H103))</f>
        <v>4900.7610000000004</v>
      </c>
      <c r="K103" s="179"/>
    </row>
    <row r="104" spans="2:12" ht="15.6" hidden="1" x14ac:dyDescent="0.25">
      <c r="B104" s="180"/>
      <c r="C104" s="180"/>
      <c r="D104" s="181" t="s">
        <v>93</v>
      </c>
      <c r="E104" s="182">
        <f>+ROUND(SUM(I104:K104),0)</f>
        <v>512948</v>
      </c>
      <c r="F104" s="183"/>
      <c r="G104" s="184"/>
      <c r="H104" s="185"/>
      <c r="I104" s="186">
        <f>+ROUND(SUM(I96:I103),0)</f>
        <v>17661</v>
      </c>
      <c r="J104" s="186">
        <f>+ROUND(SUM(J95:J103),0)</f>
        <v>392371</v>
      </c>
      <c r="K104" s="186">
        <f>+ROUND(SUM(K95:K103),0)</f>
        <v>102916</v>
      </c>
    </row>
    <row r="105" spans="2:12" ht="15" hidden="1" x14ac:dyDescent="0.25">
      <c r="B105" s="180"/>
      <c r="C105" s="180"/>
      <c r="D105" s="187"/>
      <c r="E105" s="180"/>
      <c r="F105" s="187"/>
      <c r="G105" s="164"/>
      <c r="H105" s="187"/>
      <c r="I105" s="187"/>
      <c r="J105" s="187"/>
      <c r="K105" s="187"/>
    </row>
    <row r="106" spans="2:12" ht="15.6" hidden="1" x14ac:dyDescent="0.25">
      <c r="B106" s="159">
        <v>5.01</v>
      </c>
      <c r="C106" s="160"/>
      <c r="D106" s="188" t="s">
        <v>107</v>
      </c>
      <c r="E106" s="188"/>
      <c r="F106" s="163"/>
      <c r="G106" s="164"/>
      <c r="H106" s="165"/>
      <c r="I106" s="165"/>
      <c r="J106" s="165"/>
      <c r="K106" s="165"/>
      <c r="L106" s="166">
        <f>+E115</f>
        <v>578092</v>
      </c>
    </row>
    <row r="107" spans="2:12" ht="15" hidden="1" x14ac:dyDescent="0.25">
      <c r="B107" s="168"/>
      <c r="C107" s="168" t="s">
        <v>73</v>
      </c>
      <c r="D107" s="169" t="s">
        <v>74</v>
      </c>
      <c r="E107" s="170" t="s">
        <v>37</v>
      </c>
      <c r="F107" s="176">
        <v>0.68</v>
      </c>
      <c r="G107" s="171">
        <f>+VLOOKUP(C107,'[112]Insumos-Equipo M_L'!$A$2:$D$166,4,FALSE)</f>
        <v>86000</v>
      </c>
      <c r="H107" s="172">
        <v>0.03</v>
      </c>
      <c r="I107" s="173"/>
      <c r="J107" s="174">
        <f>+($F107*$G107*(1+$H107))</f>
        <v>60234.400000000009</v>
      </c>
      <c r="K107" s="173"/>
    </row>
    <row r="108" spans="2:12" ht="15" hidden="1" x14ac:dyDescent="0.25">
      <c r="B108" s="168"/>
      <c r="C108" s="168" t="s">
        <v>75</v>
      </c>
      <c r="D108" s="169" t="s">
        <v>76</v>
      </c>
      <c r="E108" s="170" t="s">
        <v>37</v>
      </c>
      <c r="F108" s="176">
        <v>0.68</v>
      </c>
      <c r="G108" s="171">
        <f>+VLOOKUP(C108,'[112]Insumos-Equipo M_L'!$A$2:$D$166,4,FALSE)</f>
        <v>102187.34999999999</v>
      </c>
      <c r="H108" s="172">
        <v>0.03</v>
      </c>
      <c r="I108" s="173"/>
      <c r="J108" s="174">
        <f>+($F108*$G108*(1+$H108))</f>
        <v>71572.019939999998</v>
      </c>
      <c r="K108" s="173"/>
    </row>
    <row r="109" spans="2:12" ht="15" hidden="1" x14ac:dyDescent="0.25">
      <c r="B109" s="168"/>
      <c r="C109" s="168" t="s">
        <v>77</v>
      </c>
      <c r="D109" s="169" t="s">
        <v>78</v>
      </c>
      <c r="E109" s="170" t="s">
        <v>79</v>
      </c>
      <c r="F109" s="170">
        <v>170</v>
      </c>
      <c r="G109" s="171">
        <f>+VLOOKUP(C109,'[112]Insumos-Equipo M_L'!$A$2:$D$166,4,FALSE)</f>
        <v>13.182168149999999</v>
      </c>
      <c r="H109" s="172">
        <v>0.03</v>
      </c>
      <c r="I109" s="173"/>
      <c r="J109" s="174">
        <f>+($F109*$G109*(1+$H109))</f>
        <v>2308.1976430649997</v>
      </c>
      <c r="K109" s="173"/>
    </row>
    <row r="110" spans="2:12" ht="15" hidden="1" x14ac:dyDescent="0.25">
      <c r="B110" s="168"/>
      <c r="C110" s="168" t="s">
        <v>82</v>
      </c>
      <c r="D110" s="169" t="s">
        <v>83</v>
      </c>
      <c r="E110" s="170" t="s">
        <v>84</v>
      </c>
      <c r="F110" s="170">
        <v>490</v>
      </c>
      <c r="G110" s="171">
        <f>+VLOOKUP(C110,'[112]Insumos-Equipo M_L'!$A$2:$D$166,4,FALSE)</f>
        <v>650</v>
      </c>
      <c r="H110" s="172"/>
      <c r="I110" s="173"/>
      <c r="J110" s="174">
        <f>+($F110*$G110*(1+$H110))</f>
        <v>318500</v>
      </c>
      <c r="K110" s="173"/>
    </row>
    <row r="111" spans="2:12" ht="15" hidden="1" x14ac:dyDescent="0.25">
      <c r="B111" s="168"/>
      <c r="C111" s="168" t="s">
        <v>85</v>
      </c>
      <c r="D111" s="169" t="s">
        <v>86</v>
      </c>
      <c r="E111" s="170" t="s">
        <v>87</v>
      </c>
      <c r="F111" s="176">
        <v>0.35</v>
      </c>
      <c r="G111" s="171">
        <f>+VLOOKUP(C111,'[112]Insumos-Equipo M_L'!$A$2:$D$166,4,FALSE)</f>
        <v>50458.737000000001</v>
      </c>
      <c r="H111" s="172"/>
      <c r="I111" s="174">
        <f>+($F111*$G111*(1+$H111))</f>
        <v>17660.557949999999</v>
      </c>
      <c r="J111" s="173"/>
      <c r="K111" s="173"/>
    </row>
    <row r="112" spans="2:12" ht="15" hidden="1" x14ac:dyDescent="0.25">
      <c r="B112" s="168"/>
      <c r="C112" s="168" t="s">
        <v>88</v>
      </c>
      <c r="D112" s="169" t="s">
        <v>89</v>
      </c>
      <c r="E112" s="170" t="s">
        <v>87</v>
      </c>
      <c r="F112" s="177">
        <v>0.222</v>
      </c>
      <c r="G112" s="171">
        <f>+VLOOKUP(C112,'[113]Mano de Obra'!$A$7:$G$35,4,FALSE)</f>
        <v>441510</v>
      </c>
      <c r="H112" s="172"/>
      <c r="I112" s="173"/>
      <c r="J112" s="173"/>
      <c r="K112" s="174">
        <f>+($F112*$G112*(1+$H112))</f>
        <v>98015.22</v>
      </c>
    </row>
    <row r="113" spans="2:12" ht="15" hidden="1" x14ac:dyDescent="0.25">
      <c r="B113" s="168"/>
      <c r="C113" s="168"/>
      <c r="D113" s="169" t="s">
        <v>90</v>
      </c>
      <c r="E113" s="170" t="s">
        <v>91</v>
      </c>
      <c r="F113" s="178">
        <v>0.05</v>
      </c>
      <c r="G113" s="171">
        <f>+K112</f>
        <v>98015.22</v>
      </c>
      <c r="H113" s="172"/>
      <c r="I113" s="173"/>
      <c r="J113" s="173"/>
      <c r="K113" s="174">
        <f>+($F113*$G113*(1+$H113))</f>
        <v>4900.7610000000004</v>
      </c>
    </row>
    <row r="114" spans="2:12" ht="15" hidden="1" x14ac:dyDescent="0.25">
      <c r="B114" s="168"/>
      <c r="C114" s="168"/>
      <c r="D114" s="169" t="s">
        <v>92</v>
      </c>
      <c r="E114" s="170" t="s">
        <v>91</v>
      </c>
      <c r="F114" s="178">
        <v>0.05</v>
      </c>
      <c r="G114" s="171">
        <f>+K112</f>
        <v>98015.22</v>
      </c>
      <c r="H114" s="172"/>
      <c r="I114" s="173"/>
      <c r="J114" s="174">
        <f>+($F114*$G114*(1+$H114))</f>
        <v>4900.7610000000004</v>
      </c>
      <c r="K114" s="179"/>
    </row>
    <row r="115" spans="2:12" ht="15.6" hidden="1" x14ac:dyDescent="0.25">
      <c r="B115" s="180"/>
      <c r="C115" s="180"/>
      <c r="D115" s="181" t="s">
        <v>93</v>
      </c>
      <c r="E115" s="182">
        <f>+ROUND(SUM(I115:K115),0)</f>
        <v>578092</v>
      </c>
      <c r="F115" s="183"/>
      <c r="G115" s="184"/>
      <c r="H115" s="185"/>
      <c r="I115" s="186">
        <f>+ROUND(SUM(I106:I114),0)</f>
        <v>17661</v>
      </c>
      <c r="J115" s="186">
        <f>+ROUND(SUM(J106:J114),0)</f>
        <v>457515</v>
      </c>
      <c r="K115" s="186">
        <f>+ROUND(SUM(K106:K114),0)</f>
        <v>102916</v>
      </c>
    </row>
    <row r="116" spans="2:12" ht="15" hidden="1" x14ac:dyDescent="0.25">
      <c r="B116" s="180"/>
      <c r="C116" s="180"/>
      <c r="D116" s="187"/>
      <c r="E116" s="180"/>
      <c r="F116" s="187"/>
      <c r="G116" s="164"/>
      <c r="H116" s="187"/>
      <c r="I116" s="187"/>
      <c r="J116" s="187"/>
      <c r="K116" s="187"/>
    </row>
    <row r="117" spans="2:12" ht="15.6" hidden="1" x14ac:dyDescent="0.25">
      <c r="B117" s="159">
        <v>5.0110000000000001</v>
      </c>
      <c r="C117" s="160"/>
      <c r="D117" s="188" t="s">
        <v>108</v>
      </c>
      <c r="E117" s="188"/>
      <c r="F117" s="163"/>
      <c r="G117" s="164"/>
      <c r="H117" s="165"/>
      <c r="I117" s="165"/>
      <c r="J117" s="165"/>
      <c r="K117" s="165"/>
      <c r="L117" s="166">
        <f>+E127</f>
        <v>700385</v>
      </c>
    </row>
    <row r="118" spans="2:12" ht="15" hidden="1" x14ac:dyDescent="0.25">
      <c r="B118" s="168"/>
      <c r="C118" s="168" t="s">
        <v>73</v>
      </c>
      <c r="D118" s="169" t="s">
        <v>74</v>
      </c>
      <c r="E118" s="170" t="s">
        <v>37</v>
      </c>
      <c r="F118" s="176">
        <v>0.56000000000000005</v>
      </c>
      <c r="G118" s="171">
        <f>+VLOOKUP(C118,'[112]Insumos-Equipo M_L'!$A$2:$D$166,4,FALSE)</f>
        <v>86000</v>
      </c>
      <c r="H118" s="172">
        <v>0.03</v>
      </c>
      <c r="I118" s="173"/>
      <c r="J118" s="174">
        <f>+($F118*$G118*(1+$H118))</f>
        <v>49604.80000000001</v>
      </c>
      <c r="K118" s="173"/>
    </row>
    <row r="119" spans="2:12" ht="15" hidden="1" x14ac:dyDescent="0.25">
      <c r="B119" s="168"/>
      <c r="C119" s="168" t="s">
        <v>75</v>
      </c>
      <c r="D119" s="169" t="s">
        <v>76</v>
      </c>
      <c r="E119" s="170" t="s">
        <v>37</v>
      </c>
      <c r="F119" s="176">
        <v>0.84</v>
      </c>
      <c r="G119" s="171">
        <f>+VLOOKUP(C119,'[112]Insumos-Equipo M_L'!$A$2:$D$166,4,FALSE)</f>
        <v>102187.34999999999</v>
      </c>
      <c r="H119" s="172">
        <v>0.03</v>
      </c>
      <c r="I119" s="173"/>
      <c r="J119" s="174">
        <f>+($F119*$G119*(1+$H119))</f>
        <v>88412.495219999997</v>
      </c>
      <c r="K119" s="173"/>
    </row>
    <row r="120" spans="2:12" ht="15" hidden="1" x14ac:dyDescent="0.25">
      <c r="B120" s="168"/>
      <c r="C120" s="168" t="s">
        <v>77</v>
      </c>
      <c r="D120" s="169" t="s">
        <v>78</v>
      </c>
      <c r="E120" s="170" t="s">
        <v>79</v>
      </c>
      <c r="F120" s="170">
        <v>170</v>
      </c>
      <c r="G120" s="171">
        <f>+VLOOKUP(C120,'[112]Insumos-Equipo M_L'!$A$2:$D$166,4,FALSE)</f>
        <v>13.182168149999999</v>
      </c>
      <c r="H120" s="172">
        <v>0.03</v>
      </c>
      <c r="I120" s="173"/>
      <c r="J120" s="174">
        <f>+($F120*$G120*(1+$H120))</f>
        <v>2308.1976430649997</v>
      </c>
      <c r="K120" s="173"/>
    </row>
    <row r="121" spans="2:12" ht="15" hidden="1" x14ac:dyDescent="0.25">
      <c r="B121" s="168"/>
      <c r="C121" s="168" t="s">
        <v>82</v>
      </c>
      <c r="D121" s="169" t="s">
        <v>83</v>
      </c>
      <c r="E121" s="170" t="s">
        <v>84</v>
      </c>
      <c r="F121" s="170">
        <v>350</v>
      </c>
      <c r="G121" s="171">
        <f>+VLOOKUP(C121,'[112]Insumos-Equipo M_L'!$A$2:$D$166,4,FALSE)</f>
        <v>650</v>
      </c>
      <c r="H121" s="172"/>
      <c r="I121" s="173"/>
      <c r="J121" s="174">
        <f>+($F121*$G121*(1+$H121))</f>
        <v>227500</v>
      </c>
      <c r="K121" s="173"/>
    </row>
    <row r="122" spans="2:12" ht="15" hidden="1" x14ac:dyDescent="0.25">
      <c r="B122" s="168"/>
      <c r="C122" s="168" t="s">
        <v>99</v>
      </c>
      <c r="D122" s="169" t="s">
        <v>100</v>
      </c>
      <c r="E122" s="170" t="s">
        <v>97</v>
      </c>
      <c r="F122" s="170">
        <v>10.5</v>
      </c>
      <c r="G122" s="171">
        <f>+VLOOKUP(C122,'[112]Insumos-Equipo M_L'!$A$2:$D$166,4,FALSE)</f>
        <v>19773.252225</v>
      </c>
      <c r="H122" s="172"/>
      <c r="I122" s="173"/>
      <c r="J122" s="174">
        <f>+($F122*$G122*(1+$H122))</f>
        <v>207619.14836250001</v>
      </c>
      <c r="K122" s="173"/>
    </row>
    <row r="123" spans="2:12" ht="15" hidden="1" x14ac:dyDescent="0.25">
      <c r="B123" s="168"/>
      <c r="C123" s="168" t="s">
        <v>85</v>
      </c>
      <c r="D123" s="169" t="s">
        <v>86</v>
      </c>
      <c r="E123" s="170" t="s">
        <v>87</v>
      </c>
      <c r="F123" s="176">
        <v>0.35</v>
      </c>
      <c r="G123" s="171">
        <f>+VLOOKUP(C123,'[112]Insumos-Equipo M_L'!$A$2:$D$166,4,FALSE)</f>
        <v>50458.737000000001</v>
      </c>
      <c r="H123" s="172"/>
      <c r="I123" s="174">
        <f>+($F123*$G123*(1+$H123))</f>
        <v>17660.557949999999</v>
      </c>
      <c r="J123" s="173"/>
      <c r="K123" s="173"/>
    </row>
    <row r="124" spans="2:12" ht="15" hidden="1" x14ac:dyDescent="0.25">
      <c r="B124" s="168"/>
      <c r="C124" s="168" t="s">
        <v>88</v>
      </c>
      <c r="D124" s="169" t="s">
        <v>89</v>
      </c>
      <c r="E124" s="170" t="s">
        <v>87</v>
      </c>
      <c r="F124" s="177">
        <v>0.222</v>
      </c>
      <c r="G124" s="171">
        <f>+VLOOKUP(C124,'[113]Mano de Obra'!$A$7:$G$35,4,FALSE)</f>
        <v>441510</v>
      </c>
      <c r="H124" s="172"/>
      <c r="I124" s="173"/>
      <c r="J124" s="173"/>
      <c r="K124" s="174">
        <f>+($F124*$G124*(1+$H124))</f>
        <v>98015.22</v>
      </c>
    </row>
    <row r="125" spans="2:12" ht="15" hidden="1" x14ac:dyDescent="0.25">
      <c r="B125" s="168"/>
      <c r="C125" s="168"/>
      <c r="D125" s="169" t="s">
        <v>90</v>
      </c>
      <c r="E125" s="170" t="s">
        <v>91</v>
      </c>
      <c r="F125" s="178">
        <v>0.05</v>
      </c>
      <c r="G125" s="171">
        <f>+K124</f>
        <v>98015.22</v>
      </c>
      <c r="H125" s="172"/>
      <c r="I125" s="173"/>
      <c r="J125" s="173"/>
      <c r="K125" s="174">
        <f>+($F125*$G125*(1+$H125))</f>
        <v>4900.7610000000004</v>
      </c>
    </row>
    <row r="126" spans="2:12" ht="15" hidden="1" x14ac:dyDescent="0.25">
      <c r="B126" s="168"/>
      <c r="C126" s="168"/>
      <c r="D126" s="169" t="s">
        <v>92</v>
      </c>
      <c r="E126" s="170" t="s">
        <v>91</v>
      </c>
      <c r="F126" s="178">
        <v>0.05</v>
      </c>
      <c r="G126" s="171">
        <f>+K124</f>
        <v>98015.22</v>
      </c>
      <c r="H126" s="172"/>
      <c r="I126" s="173"/>
      <c r="J126" s="173">
        <v>4363.0215000000007</v>
      </c>
      <c r="K126" s="179"/>
    </row>
    <row r="127" spans="2:12" ht="15.6" hidden="1" x14ac:dyDescent="0.25">
      <c r="B127" s="180"/>
      <c r="C127" s="180"/>
      <c r="D127" s="181" t="s">
        <v>93</v>
      </c>
      <c r="E127" s="182">
        <f>+ROUND(SUM(I127:K127),0)</f>
        <v>700385</v>
      </c>
      <c r="F127" s="183"/>
      <c r="G127" s="184"/>
      <c r="H127" s="185"/>
      <c r="I127" s="186">
        <f>+ROUND(SUM(I118:I126),0)</f>
        <v>17661</v>
      </c>
      <c r="J127" s="186">
        <f>+ROUND(SUM(J118:J126),0)</f>
        <v>579808</v>
      </c>
      <c r="K127" s="186">
        <f>+ROUND(SUM(K118:K126),0)</f>
        <v>102916</v>
      </c>
    </row>
    <row r="128" spans="2:12" ht="15" hidden="1" x14ac:dyDescent="0.25">
      <c r="B128" s="180"/>
      <c r="C128" s="180"/>
      <c r="D128" s="187"/>
      <c r="E128" s="180"/>
      <c r="F128" s="187"/>
      <c r="G128" s="164"/>
      <c r="H128" s="187"/>
      <c r="I128" s="187"/>
      <c r="J128" s="187"/>
      <c r="K128" s="187"/>
    </row>
    <row r="129" spans="2:12" ht="15.6" hidden="1" x14ac:dyDescent="0.25">
      <c r="B129" s="159">
        <v>5.0119999999999996</v>
      </c>
      <c r="C129" s="160"/>
      <c r="D129" s="188" t="s">
        <v>109</v>
      </c>
      <c r="E129" s="188"/>
      <c r="F129" s="163"/>
      <c r="G129" s="164"/>
      <c r="H129" s="165"/>
      <c r="I129" s="165"/>
      <c r="J129" s="165"/>
      <c r="K129" s="165"/>
      <c r="L129" s="166">
        <f>+E139</f>
        <v>868759</v>
      </c>
    </row>
    <row r="130" spans="2:12" ht="15" hidden="1" x14ac:dyDescent="0.25">
      <c r="B130" s="168"/>
      <c r="C130" s="168" t="s">
        <v>73</v>
      </c>
      <c r="D130" s="169" t="s">
        <v>74</v>
      </c>
      <c r="E130" s="170" t="s">
        <v>37</v>
      </c>
      <c r="F130" s="170">
        <v>0.68</v>
      </c>
      <c r="G130" s="171">
        <f>+VLOOKUP(C130,'[112]Insumos-Equipo M_L'!$A$2:$D$166,4,FALSE)</f>
        <v>86000</v>
      </c>
      <c r="H130" s="172">
        <v>0.03</v>
      </c>
      <c r="I130" s="173"/>
      <c r="J130" s="174">
        <f>+($F130*$G130*(1+$H130))</f>
        <v>60234.400000000009</v>
      </c>
      <c r="K130" s="173"/>
    </row>
    <row r="131" spans="2:12" ht="15" hidden="1" x14ac:dyDescent="0.25">
      <c r="B131" s="168"/>
      <c r="C131" s="168" t="s">
        <v>75</v>
      </c>
      <c r="D131" s="169" t="s">
        <v>76</v>
      </c>
      <c r="E131" s="170" t="s">
        <v>37</v>
      </c>
      <c r="F131" s="170">
        <v>0.68</v>
      </c>
      <c r="G131" s="171">
        <f>+VLOOKUP(C131,'[112]Insumos-Equipo M_L'!$A$2:$D$166,4,FALSE)</f>
        <v>102187.34999999999</v>
      </c>
      <c r="H131" s="172">
        <v>0.03</v>
      </c>
      <c r="I131" s="173"/>
      <c r="J131" s="174">
        <f>+($F131*$G131*(1+$H131))</f>
        <v>71572.019939999998</v>
      </c>
      <c r="K131" s="173"/>
    </row>
    <row r="132" spans="2:12" ht="15" hidden="1" x14ac:dyDescent="0.25">
      <c r="B132" s="168"/>
      <c r="C132" s="168" t="s">
        <v>77</v>
      </c>
      <c r="D132" s="169" t="s">
        <v>78</v>
      </c>
      <c r="E132" s="170" t="s">
        <v>79</v>
      </c>
      <c r="F132" s="170">
        <v>170</v>
      </c>
      <c r="G132" s="171">
        <f>+VLOOKUP(C132,'[112]Insumos-Equipo M_L'!$A$2:$D$166,4,FALSE)</f>
        <v>13.182168149999999</v>
      </c>
      <c r="H132" s="172">
        <v>0.03</v>
      </c>
      <c r="I132" s="173"/>
      <c r="J132" s="174">
        <f>+($F132*$G132*(1+$H132))</f>
        <v>2308.1976430649997</v>
      </c>
      <c r="K132" s="173"/>
    </row>
    <row r="133" spans="2:12" ht="15" hidden="1" x14ac:dyDescent="0.25">
      <c r="B133" s="168"/>
      <c r="C133" s="168" t="s">
        <v>82</v>
      </c>
      <c r="D133" s="169" t="s">
        <v>83</v>
      </c>
      <c r="E133" s="170" t="s">
        <v>84</v>
      </c>
      <c r="F133" s="170">
        <v>490</v>
      </c>
      <c r="G133" s="171">
        <f>+VLOOKUP(C133,'[112]Insumos-Equipo M_L'!$A$2:$D$166,4,FALSE)</f>
        <v>650</v>
      </c>
      <c r="H133" s="172"/>
      <c r="I133" s="173"/>
      <c r="J133" s="174">
        <f>+($F133*$G133*(1+$H133))</f>
        <v>318500</v>
      </c>
      <c r="K133" s="173"/>
    </row>
    <row r="134" spans="2:12" ht="15" hidden="1" x14ac:dyDescent="0.25">
      <c r="B134" s="168"/>
      <c r="C134" s="168" t="s">
        <v>99</v>
      </c>
      <c r="D134" s="169" t="s">
        <v>100</v>
      </c>
      <c r="E134" s="170" t="s">
        <v>97</v>
      </c>
      <c r="F134" s="170">
        <v>14.7</v>
      </c>
      <c r="G134" s="171">
        <f>+VLOOKUP(C134,'[112]Insumos-Equipo M_L'!$A$2:$D$166,4,FALSE)</f>
        <v>19773.252225</v>
      </c>
      <c r="H134" s="172"/>
      <c r="I134" s="173"/>
      <c r="J134" s="174">
        <f>+($F134*$G134*(1+$H134))</f>
        <v>290666.8077075</v>
      </c>
      <c r="K134" s="173"/>
    </row>
    <row r="135" spans="2:12" ht="15" hidden="1" x14ac:dyDescent="0.25">
      <c r="B135" s="168"/>
      <c r="C135" s="168" t="s">
        <v>85</v>
      </c>
      <c r="D135" s="169" t="s">
        <v>86</v>
      </c>
      <c r="E135" s="170" t="s">
        <v>87</v>
      </c>
      <c r="F135" s="170">
        <v>0.35</v>
      </c>
      <c r="G135" s="171">
        <f>+VLOOKUP(C135,'[112]Insumos-Equipo M_L'!$A$2:$D$166,4,FALSE)</f>
        <v>50458.737000000001</v>
      </c>
      <c r="H135" s="172"/>
      <c r="I135" s="174">
        <f>+($F135*$G135*(1+$H135))</f>
        <v>17660.557949999999</v>
      </c>
      <c r="J135" s="173"/>
      <c r="K135" s="173"/>
    </row>
    <row r="136" spans="2:12" ht="15" hidden="1" x14ac:dyDescent="0.25">
      <c r="B136" s="168"/>
      <c r="C136" s="168" t="s">
        <v>88</v>
      </c>
      <c r="D136" s="169" t="s">
        <v>89</v>
      </c>
      <c r="E136" s="170" t="s">
        <v>87</v>
      </c>
      <c r="F136" s="177">
        <v>0.222</v>
      </c>
      <c r="G136" s="171">
        <f>+VLOOKUP(C136,'[113]Mano de Obra'!$A$7:$G$35,4,FALSE)</f>
        <v>441510</v>
      </c>
      <c r="H136" s="172"/>
      <c r="I136" s="173"/>
      <c r="J136" s="173"/>
      <c r="K136" s="174">
        <f>+($F136*$G136*(1+$H136))</f>
        <v>98015.22</v>
      </c>
    </row>
    <row r="137" spans="2:12" ht="15" hidden="1" x14ac:dyDescent="0.25">
      <c r="B137" s="168"/>
      <c r="C137" s="168"/>
      <c r="D137" s="169" t="s">
        <v>90</v>
      </c>
      <c r="E137" s="170" t="s">
        <v>91</v>
      </c>
      <c r="F137" s="178">
        <v>0.05</v>
      </c>
      <c r="G137" s="171">
        <f>+K136</f>
        <v>98015.22</v>
      </c>
      <c r="H137" s="172"/>
      <c r="I137" s="173"/>
      <c r="J137" s="173"/>
      <c r="K137" s="174">
        <f>+($F137*$G137*(1+$H137))</f>
        <v>4900.7610000000004</v>
      </c>
    </row>
    <row r="138" spans="2:12" ht="15" hidden="1" x14ac:dyDescent="0.25">
      <c r="B138" s="168"/>
      <c r="C138" s="168"/>
      <c r="D138" s="169" t="s">
        <v>92</v>
      </c>
      <c r="E138" s="170" t="s">
        <v>91</v>
      </c>
      <c r="F138" s="178">
        <v>0.05</v>
      </c>
      <c r="G138" s="171">
        <f>+K136</f>
        <v>98015.22</v>
      </c>
      <c r="H138" s="172"/>
      <c r="I138" s="173"/>
      <c r="J138" s="174">
        <f>+($F138*$G138*(1+$H138))</f>
        <v>4900.7610000000004</v>
      </c>
      <c r="K138" s="179"/>
    </row>
    <row r="139" spans="2:12" ht="15.6" hidden="1" x14ac:dyDescent="0.25">
      <c r="B139" s="180"/>
      <c r="C139" s="180"/>
      <c r="D139" s="181" t="s">
        <v>93</v>
      </c>
      <c r="E139" s="182">
        <f>+ROUND(SUM(I139:K139),0)</f>
        <v>868759</v>
      </c>
      <c r="F139" s="183"/>
      <c r="G139" s="184"/>
      <c r="H139" s="185"/>
      <c r="I139" s="186">
        <f>+ROUND(SUM(I130:I138),0)</f>
        <v>17661</v>
      </c>
      <c r="J139" s="186">
        <f>+ROUND(SUM(J130:J138),0)</f>
        <v>748182</v>
      </c>
      <c r="K139" s="186">
        <f>+ROUND(SUM(K130:K138),0)</f>
        <v>102916</v>
      </c>
    </row>
    <row r="140" spans="2:12" hidden="1" x14ac:dyDescent="0.25"/>
    <row r="141" spans="2:12" ht="15.6" hidden="1" x14ac:dyDescent="0.25">
      <c r="B141" s="159">
        <v>5.0220000000000002</v>
      </c>
      <c r="C141" s="160"/>
      <c r="D141" s="188" t="s">
        <v>110</v>
      </c>
      <c r="E141" s="188"/>
      <c r="F141" s="163"/>
      <c r="G141" s="164"/>
      <c r="H141" s="165"/>
      <c r="I141" s="165"/>
      <c r="J141" s="165"/>
      <c r="K141" s="165"/>
      <c r="L141" s="193">
        <f>+E143</f>
        <v>600000</v>
      </c>
    </row>
    <row r="142" spans="2:12" ht="15" hidden="1" x14ac:dyDescent="0.25">
      <c r="B142" s="168"/>
      <c r="C142" s="168" t="s">
        <v>111</v>
      </c>
      <c r="D142" s="169" t="s">
        <v>112</v>
      </c>
      <c r="E142" s="170" t="s">
        <v>37</v>
      </c>
      <c r="F142" s="170">
        <v>1</v>
      </c>
      <c r="G142" s="171">
        <v>600000</v>
      </c>
      <c r="H142" s="172"/>
      <c r="I142" s="173"/>
      <c r="J142" s="173">
        <v>600000</v>
      </c>
      <c r="K142" s="173"/>
    </row>
    <row r="143" spans="2:12" ht="15.6" hidden="1" x14ac:dyDescent="0.25">
      <c r="B143" s="180"/>
      <c r="C143" s="180"/>
      <c r="D143" s="181" t="s">
        <v>93</v>
      </c>
      <c r="E143" s="194">
        <v>600000</v>
      </c>
      <c r="F143" s="183"/>
      <c r="G143" s="195"/>
      <c r="H143" s="196"/>
      <c r="I143" s="197">
        <v>0</v>
      </c>
      <c r="J143" s="198">
        <v>600000</v>
      </c>
      <c r="K143" s="198">
        <v>0</v>
      </c>
    </row>
    <row r="144" spans="2:12" hidden="1" x14ac:dyDescent="0.25"/>
    <row r="145" spans="2:12" ht="15.6" hidden="1" x14ac:dyDescent="0.25">
      <c r="B145" s="159">
        <v>5.0140000000000002</v>
      </c>
      <c r="C145" s="160"/>
      <c r="D145" s="188" t="s">
        <v>46</v>
      </c>
      <c r="E145" s="188"/>
      <c r="F145" s="163"/>
      <c r="G145" s="164"/>
      <c r="H145" s="165"/>
      <c r="I145" s="165"/>
      <c r="J145" s="165"/>
      <c r="K145" s="165"/>
      <c r="L145" s="166">
        <f>+E152</f>
        <v>8763</v>
      </c>
    </row>
    <row r="146" spans="2:12" ht="15" hidden="1" x14ac:dyDescent="0.25">
      <c r="B146" s="168"/>
      <c r="C146" s="168" t="s">
        <v>113</v>
      </c>
      <c r="D146" s="169" t="s">
        <v>114</v>
      </c>
      <c r="E146" s="170" t="s">
        <v>97</v>
      </c>
      <c r="F146" s="170">
        <v>1</v>
      </c>
      <c r="G146" s="171">
        <f>+VLOOKUP(C146,'[112]Insumos-Equipo M_L'!$A$2:$D$166,4,FALSE)</f>
        <v>6296.2749999999996</v>
      </c>
      <c r="H146" s="172">
        <v>0.03</v>
      </c>
      <c r="I146" s="173"/>
      <c r="J146" s="174">
        <f>+($F146*$G146*(1+$H146))</f>
        <v>6485.1632499999996</v>
      </c>
      <c r="K146" s="173"/>
    </row>
    <row r="147" spans="2:12" ht="15" hidden="1" x14ac:dyDescent="0.25">
      <c r="B147" s="168"/>
      <c r="C147" s="168" t="s">
        <v>115</v>
      </c>
      <c r="D147" s="169" t="s">
        <v>116</v>
      </c>
      <c r="E147" s="170" t="s">
        <v>97</v>
      </c>
      <c r="F147" s="170">
        <v>0.05</v>
      </c>
      <c r="G147" s="171">
        <f>+VLOOKUP(C147,'[112]Insumos-Equipo M_L'!$A$2:$D$166,4,FALSE)</f>
        <v>9491.1610680000013</v>
      </c>
      <c r="H147" s="172"/>
      <c r="I147" s="173"/>
      <c r="J147" s="174">
        <f>+($F147*$G147*(1+$H147))</f>
        <v>474.55805340000006</v>
      </c>
      <c r="K147" s="173"/>
    </row>
    <row r="148" spans="2:12" ht="15" hidden="1" x14ac:dyDescent="0.25">
      <c r="B148" s="168"/>
      <c r="C148" s="168" t="s">
        <v>117</v>
      </c>
      <c r="D148" s="169" t="s">
        <v>118</v>
      </c>
      <c r="E148" s="170" t="s">
        <v>87</v>
      </c>
      <c r="F148" s="199">
        <v>6.6666666666666671E-3</v>
      </c>
      <c r="G148" s="171">
        <f>+VLOOKUP(C148,'[112]Insumos-Equipo M_L'!$A$2:$D$166,4,FALSE)</f>
        <v>50458.737000000001</v>
      </c>
      <c r="H148" s="172"/>
      <c r="I148" s="174">
        <f>+($F148*$G148*(1+$H148))</f>
        <v>336.39158000000003</v>
      </c>
      <c r="J148" s="173"/>
      <c r="K148" s="173"/>
    </row>
    <row r="149" spans="2:12" ht="15" hidden="1" x14ac:dyDescent="0.25">
      <c r="B149" s="168"/>
      <c r="C149" s="168" t="s">
        <v>119</v>
      </c>
      <c r="D149" s="169" t="s">
        <v>120</v>
      </c>
      <c r="E149" s="170" t="s">
        <v>87</v>
      </c>
      <c r="F149" s="200">
        <v>6.2899999999999996E-3</v>
      </c>
      <c r="G149" s="171">
        <f>+VLOOKUP(C149,'[113]Mano de Obra'!$A$7:$G$35,4,FALSE)</f>
        <v>213143</v>
      </c>
      <c r="H149" s="172"/>
      <c r="I149" s="173"/>
      <c r="J149" s="173"/>
      <c r="K149" s="174">
        <f>+($F149*$G149*(1+$H149))</f>
        <v>1340.6694699999998</v>
      </c>
    </row>
    <row r="150" spans="2:12" ht="15" hidden="1" x14ac:dyDescent="0.25">
      <c r="B150" s="168"/>
      <c r="C150" s="168"/>
      <c r="D150" s="169" t="s">
        <v>90</v>
      </c>
      <c r="E150" s="170" t="s">
        <v>91</v>
      </c>
      <c r="F150" s="178">
        <v>0.05</v>
      </c>
      <c r="G150" s="171">
        <f>+K149</f>
        <v>1340.6694699999998</v>
      </c>
      <c r="H150" s="172"/>
      <c r="I150" s="173"/>
      <c r="J150" s="173"/>
      <c r="K150" s="174">
        <f>+($F150*$G150*(1+$H150))</f>
        <v>67.033473499999999</v>
      </c>
    </row>
    <row r="151" spans="2:12" ht="15" hidden="1" x14ac:dyDescent="0.25">
      <c r="B151" s="168"/>
      <c r="C151" s="168"/>
      <c r="D151" s="169" t="s">
        <v>92</v>
      </c>
      <c r="E151" s="170" t="s">
        <v>91</v>
      </c>
      <c r="F151" s="178">
        <v>0.05</v>
      </c>
      <c r="G151" s="171">
        <f>+K149</f>
        <v>1340.6694699999998</v>
      </c>
      <c r="H151" s="172"/>
      <c r="I151" s="173"/>
      <c r="J151" s="173">
        <v>59.678261999999997</v>
      </c>
      <c r="K151" s="179"/>
    </row>
    <row r="152" spans="2:12" ht="15.6" hidden="1" x14ac:dyDescent="0.25">
      <c r="B152" s="180"/>
      <c r="C152" s="180"/>
      <c r="D152" s="181" t="s">
        <v>93</v>
      </c>
      <c r="E152" s="182">
        <f>+ROUND(SUM(I152:K152),0)</f>
        <v>8763</v>
      </c>
      <c r="F152" s="183"/>
      <c r="G152" s="184"/>
      <c r="H152" s="185"/>
      <c r="I152" s="186">
        <f>+ROUND(SUM(I146:I151),0)</f>
        <v>336</v>
      </c>
      <c r="J152" s="186">
        <f>+ROUND(SUM(J146:J151),0)</f>
        <v>7019</v>
      </c>
      <c r="K152" s="186">
        <f>+ROUND(SUM(K146:K151),0)</f>
        <v>1408</v>
      </c>
    </row>
    <row r="153" spans="2:12" hidden="1" x14ac:dyDescent="0.25"/>
    <row r="154" spans="2:12" ht="15.6" hidden="1" x14ac:dyDescent="0.25">
      <c r="B154" s="159">
        <v>1.0229999999999999</v>
      </c>
      <c r="C154" s="160"/>
      <c r="D154" s="188" t="s">
        <v>121</v>
      </c>
      <c r="E154" s="188"/>
      <c r="F154" s="163"/>
      <c r="G154" s="201"/>
      <c r="H154" s="202"/>
      <c r="I154" s="203"/>
      <c r="J154" s="203"/>
      <c r="K154" s="203"/>
      <c r="L154" s="166">
        <f>+E167</f>
        <v>202410</v>
      </c>
    </row>
    <row r="155" spans="2:12" ht="15" hidden="1" x14ac:dyDescent="0.25">
      <c r="B155" s="168"/>
      <c r="C155" s="168" t="s">
        <v>122</v>
      </c>
      <c r="D155" s="169" t="s">
        <v>123</v>
      </c>
      <c r="E155" s="170" t="s">
        <v>124</v>
      </c>
      <c r="F155" s="175">
        <v>1.75</v>
      </c>
      <c r="G155" s="171">
        <f>+VLOOKUP(C155,'[112]Insumos-Equipo M_L'!$A$2:$D$166,4,FALSE)</f>
        <v>17200</v>
      </c>
      <c r="H155" s="204"/>
      <c r="I155" s="174"/>
      <c r="J155" s="174">
        <f>+($F155*$G155*(1+$H155))</f>
        <v>30100</v>
      </c>
      <c r="K155" s="174"/>
    </row>
    <row r="156" spans="2:12" ht="15" hidden="1" x14ac:dyDescent="0.25">
      <c r="B156" s="168"/>
      <c r="C156" s="168">
        <v>5.0069999999999997</v>
      </c>
      <c r="D156" s="169" t="s">
        <v>125</v>
      </c>
      <c r="E156" s="170" t="s">
        <v>37</v>
      </c>
      <c r="F156" s="177">
        <v>0.05</v>
      </c>
      <c r="G156" s="205">
        <f>+E82</f>
        <v>434038</v>
      </c>
      <c r="H156" s="204">
        <v>0.05</v>
      </c>
      <c r="I156" s="174"/>
      <c r="J156" s="174">
        <f>+(F156*G156*(1+H156))</f>
        <v>22786.995000000003</v>
      </c>
      <c r="K156" s="174"/>
    </row>
    <row r="157" spans="2:12" ht="15" hidden="1" x14ac:dyDescent="0.25">
      <c r="B157" s="168"/>
      <c r="C157" s="168" t="s">
        <v>126</v>
      </c>
      <c r="D157" s="169" t="s">
        <v>127</v>
      </c>
      <c r="E157" s="170" t="s">
        <v>35</v>
      </c>
      <c r="F157" s="170">
        <v>1</v>
      </c>
      <c r="G157" s="171">
        <f>+VLOOKUP(C157,'[112]Insumos-Equipo M_L'!$A$2:$D$166,4,FALSE)</f>
        <v>29130.237652901782</v>
      </c>
      <c r="H157" s="204">
        <v>0.2</v>
      </c>
      <c r="I157" s="174"/>
      <c r="J157" s="174">
        <f t="shared" ref="J157:J163" si="0">+(F157*G157*(1+H157))</f>
        <v>34956.285183482134</v>
      </c>
      <c r="K157" s="174"/>
    </row>
    <row r="158" spans="2:12" ht="15" hidden="1" x14ac:dyDescent="0.25">
      <c r="B158" s="168"/>
      <c r="C158" s="168" t="s">
        <v>128</v>
      </c>
      <c r="D158" s="169" t="s">
        <v>129</v>
      </c>
      <c r="E158" s="170" t="s">
        <v>124</v>
      </c>
      <c r="F158" s="170">
        <v>3</v>
      </c>
      <c r="G158" s="171">
        <f>+VLOOKUP(C158,'[112]Insumos-Equipo M_L'!$A$2:$D$166,4,FALSE)</f>
        <v>6920.6382787500006</v>
      </c>
      <c r="H158" s="204"/>
      <c r="I158" s="174"/>
      <c r="J158" s="174">
        <f t="shared" si="0"/>
        <v>20761.914836250002</v>
      </c>
      <c r="K158" s="174"/>
    </row>
    <row r="159" spans="2:12" ht="15" hidden="1" x14ac:dyDescent="0.25">
      <c r="B159" s="168"/>
      <c r="C159" s="168" t="s">
        <v>130</v>
      </c>
      <c r="D159" s="169" t="s">
        <v>131</v>
      </c>
      <c r="E159" s="170" t="s">
        <v>132</v>
      </c>
      <c r="F159" s="175">
        <v>0.25</v>
      </c>
      <c r="G159" s="171">
        <f>+VLOOKUP(C159,'[112]Insumos-Equipo M_L'!$A$2:$D$166,4,FALSE)</f>
        <v>3031.8986745000002</v>
      </c>
      <c r="H159" s="204"/>
      <c r="I159" s="174"/>
      <c r="J159" s="174">
        <f t="shared" si="0"/>
        <v>757.97466862500005</v>
      </c>
      <c r="K159" s="174"/>
    </row>
    <row r="160" spans="2:12" ht="15" hidden="1" x14ac:dyDescent="0.25">
      <c r="B160" s="168"/>
      <c r="C160" s="168" t="s">
        <v>133</v>
      </c>
      <c r="D160" s="169" t="s">
        <v>134</v>
      </c>
      <c r="E160" s="170" t="s">
        <v>37</v>
      </c>
      <c r="F160" s="175">
        <v>0.1</v>
      </c>
      <c r="G160" s="171">
        <f>+VLOOKUP(C160,'[112]Insumos-Equipo M_L'!$A$2:$D$166,4,FALSE)</f>
        <v>48375</v>
      </c>
      <c r="H160" s="204"/>
      <c r="I160" s="174"/>
      <c r="J160" s="174">
        <f t="shared" si="0"/>
        <v>4837.5</v>
      </c>
      <c r="K160" s="174"/>
    </row>
    <row r="161" spans="2:12" ht="15" hidden="1" x14ac:dyDescent="0.25">
      <c r="B161" s="168"/>
      <c r="C161" s="168" t="s">
        <v>135</v>
      </c>
      <c r="D161" s="169" t="s">
        <v>136</v>
      </c>
      <c r="E161" s="170" t="s">
        <v>124</v>
      </c>
      <c r="F161" s="175">
        <v>0.33333333333333331</v>
      </c>
      <c r="G161" s="171">
        <f>+VLOOKUP(C161,'[112]Insumos-Equipo M_L'!$A$2:$D$166,4,FALSE)</f>
        <v>4745.5805340000006</v>
      </c>
      <c r="H161" s="204"/>
      <c r="I161" s="174"/>
      <c r="J161" s="174">
        <f t="shared" si="0"/>
        <v>1581.8601780000001</v>
      </c>
      <c r="K161" s="174"/>
    </row>
    <row r="162" spans="2:12" ht="15" hidden="1" x14ac:dyDescent="0.25">
      <c r="B162" s="168"/>
      <c r="C162" s="168">
        <v>14.077</v>
      </c>
      <c r="D162" s="169" t="s">
        <v>137</v>
      </c>
      <c r="E162" s="170" t="s">
        <v>49</v>
      </c>
      <c r="F162" s="177">
        <v>8.3000000000000004E-2</v>
      </c>
      <c r="G162" s="205">
        <v>59271</v>
      </c>
      <c r="H162" s="204"/>
      <c r="I162" s="174"/>
      <c r="J162" s="174">
        <f t="shared" si="0"/>
        <v>4919.4930000000004</v>
      </c>
      <c r="K162" s="174"/>
    </row>
    <row r="163" spans="2:12" ht="15" hidden="1" x14ac:dyDescent="0.25">
      <c r="B163" s="168"/>
      <c r="C163" s="168">
        <v>14.073</v>
      </c>
      <c r="D163" s="169" t="s">
        <v>138</v>
      </c>
      <c r="E163" s="170" t="s">
        <v>49</v>
      </c>
      <c r="F163" s="177">
        <v>8.3000000000000004E-2</v>
      </c>
      <c r="G163" s="205">
        <v>43450</v>
      </c>
      <c r="H163" s="204"/>
      <c r="I163" s="174"/>
      <c r="J163" s="174">
        <f t="shared" si="0"/>
        <v>3606.3500000000004</v>
      </c>
      <c r="K163" s="174"/>
    </row>
    <row r="164" spans="2:12" ht="15" hidden="1" x14ac:dyDescent="0.25">
      <c r="B164" s="168"/>
      <c r="C164" s="168" t="s">
        <v>139</v>
      </c>
      <c r="D164" s="169" t="s">
        <v>140</v>
      </c>
      <c r="E164" s="170" t="s">
        <v>87</v>
      </c>
      <c r="F164" s="177">
        <v>0.25</v>
      </c>
      <c r="G164" s="171">
        <f>+VLOOKUP(C164,'[113]Mano de Obra'!$A$7:$G$35,4,FALSE)</f>
        <v>289265</v>
      </c>
      <c r="H164" s="204"/>
      <c r="I164" s="174"/>
      <c r="J164" s="174"/>
      <c r="K164" s="174">
        <f>+(F164*G164*(1+H164))</f>
        <v>72316.25</v>
      </c>
    </row>
    <row r="165" spans="2:12" ht="15" hidden="1" x14ac:dyDescent="0.25">
      <c r="B165" s="168"/>
      <c r="C165" s="168"/>
      <c r="D165" s="169" t="s">
        <v>90</v>
      </c>
      <c r="E165" s="170" t="s">
        <v>91</v>
      </c>
      <c r="F165" s="178">
        <v>0.03</v>
      </c>
      <c r="G165" s="205">
        <f>+K164</f>
        <v>72316.25</v>
      </c>
      <c r="H165" s="204"/>
      <c r="I165" s="174"/>
      <c r="J165" s="174"/>
      <c r="K165" s="174">
        <f>+(F165*G165*(1+H165))</f>
        <v>2169.4874999999997</v>
      </c>
    </row>
    <row r="166" spans="2:12" ht="15" hidden="1" x14ac:dyDescent="0.25">
      <c r="B166" s="168"/>
      <c r="C166" s="168"/>
      <c r="D166" s="169" t="s">
        <v>92</v>
      </c>
      <c r="E166" s="170" t="s">
        <v>91</v>
      </c>
      <c r="F166" s="178">
        <v>0.05</v>
      </c>
      <c r="G166" s="205">
        <f>+K164</f>
        <v>72316.25</v>
      </c>
      <c r="H166" s="204"/>
      <c r="I166" s="174"/>
      <c r="J166" s="174">
        <f>+(F166*G166*(1+H166))</f>
        <v>3615.8125</v>
      </c>
      <c r="K166" s="179"/>
    </row>
    <row r="167" spans="2:12" ht="15.6" hidden="1" x14ac:dyDescent="0.25">
      <c r="B167" s="180"/>
      <c r="C167" s="180"/>
      <c r="D167" s="181" t="s">
        <v>93</v>
      </c>
      <c r="E167" s="182">
        <f>+ROUND(SUM(I167:K167),0)</f>
        <v>202410</v>
      </c>
      <c r="F167" s="183"/>
      <c r="G167" s="184"/>
      <c r="H167" s="185"/>
      <c r="I167" s="186">
        <f>+ROUND(SUM(I155:I166),0)</f>
        <v>0</v>
      </c>
      <c r="J167" s="186">
        <f>+ROUND(SUM(J155:J166),0)</f>
        <v>127924</v>
      </c>
      <c r="K167" s="186">
        <f>+ROUND(SUM(K155:K166),0)</f>
        <v>74486</v>
      </c>
    </row>
    <row r="168" spans="2:12" hidden="1" x14ac:dyDescent="0.25"/>
    <row r="169" spans="2:12" ht="15.6" hidden="1" x14ac:dyDescent="0.25">
      <c r="B169" s="159">
        <v>4.0069999999999997</v>
      </c>
      <c r="C169" s="160"/>
      <c r="D169" s="161" t="s">
        <v>141</v>
      </c>
      <c r="E169" s="162"/>
      <c r="F169" s="163"/>
      <c r="G169" s="201"/>
      <c r="H169" s="203"/>
      <c r="I169" s="203"/>
      <c r="J169" s="203"/>
      <c r="K169" s="203"/>
      <c r="L169" s="166">
        <f>+E174</f>
        <v>78153</v>
      </c>
    </row>
    <row r="170" spans="2:12" ht="15" hidden="1" x14ac:dyDescent="0.25">
      <c r="B170" s="168"/>
      <c r="C170" s="168" t="s">
        <v>142</v>
      </c>
      <c r="D170" s="169" t="s">
        <v>143</v>
      </c>
      <c r="E170" s="170" t="s">
        <v>124</v>
      </c>
      <c r="F170" s="206">
        <v>1</v>
      </c>
      <c r="G170" s="171">
        <f>+VLOOKUP(C170,'[112]Insumos-Equipo M_L'!$A$2:$D$166,4,FALSE)</f>
        <v>75006.536773500004</v>
      </c>
      <c r="H170" s="172"/>
      <c r="I170" s="174"/>
      <c r="J170" s="174">
        <f>+(F170*G170*(1+H170))</f>
        <v>75006.536773500004</v>
      </c>
      <c r="K170" s="174"/>
    </row>
    <row r="171" spans="2:12" ht="15" hidden="1" x14ac:dyDescent="0.25">
      <c r="B171" s="168"/>
      <c r="C171" s="168" t="s">
        <v>73</v>
      </c>
      <c r="D171" s="169" t="s">
        <v>74</v>
      </c>
      <c r="E171" s="170" t="s">
        <v>37</v>
      </c>
      <c r="F171" s="175">
        <v>1.7999999999999999E-2</v>
      </c>
      <c r="G171" s="171">
        <f>+VLOOKUP(C171,'[112]Insumos-Equipo M_L'!$A$2:$D$166,4,FALSE)</f>
        <v>86000</v>
      </c>
      <c r="H171" s="172"/>
      <c r="I171" s="174"/>
      <c r="J171" s="174">
        <f>+(F171*G171*(1+H171))</f>
        <v>1547.9999999999998</v>
      </c>
      <c r="K171" s="174"/>
    </row>
    <row r="172" spans="2:12" ht="15" hidden="1" x14ac:dyDescent="0.25">
      <c r="B172" s="168"/>
      <c r="C172" s="168" t="s">
        <v>144</v>
      </c>
      <c r="D172" s="169" t="s">
        <v>145</v>
      </c>
      <c r="E172" s="170" t="s">
        <v>87</v>
      </c>
      <c r="F172" s="177">
        <v>0.02</v>
      </c>
      <c r="G172" s="171">
        <f>+VLOOKUP(C172,'[113]Mano de Obra'!$A$7:$G$35,4,FALSE)</f>
        <v>76122</v>
      </c>
      <c r="H172" s="172"/>
      <c r="I172" s="174"/>
      <c r="J172" s="174"/>
      <c r="K172" s="174">
        <f>+(F172*G172*(1+H172))</f>
        <v>1522.44</v>
      </c>
    </row>
    <row r="173" spans="2:12" ht="15" hidden="1" x14ac:dyDescent="0.25">
      <c r="B173" s="168"/>
      <c r="C173" s="168"/>
      <c r="D173" s="169" t="s">
        <v>92</v>
      </c>
      <c r="E173" s="170" t="s">
        <v>91</v>
      </c>
      <c r="F173" s="178">
        <v>0.05</v>
      </c>
      <c r="G173" s="205">
        <f>+K172</f>
        <v>1522.44</v>
      </c>
      <c r="H173" s="172"/>
      <c r="I173" s="174"/>
      <c r="J173" s="174">
        <f>+(F173*G173*(1+H173))</f>
        <v>76.122</v>
      </c>
      <c r="K173" s="179"/>
    </row>
    <row r="174" spans="2:12" ht="15.6" hidden="1" x14ac:dyDescent="0.25">
      <c r="B174" s="180"/>
      <c r="C174" s="180"/>
      <c r="D174" s="181" t="s">
        <v>93</v>
      </c>
      <c r="E174" s="182">
        <f>+ROUND(SUM(I174:K174),0)</f>
        <v>78153</v>
      </c>
      <c r="F174" s="183"/>
      <c r="G174" s="184"/>
      <c r="H174" s="185"/>
      <c r="I174" s="186">
        <f>+ROUND(SUM(I170:I173),0)</f>
        <v>0</v>
      </c>
      <c r="J174" s="186">
        <f>+ROUND(SUM(J170:J173),0)</f>
        <v>76631</v>
      </c>
      <c r="K174" s="186">
        <f>+ROUND(SUM(K170:K173),0)</f>
        <v>1522</v>
      </c>
    </row>
    <row r="175" spans="2:12" hidden="1" x14ac:dyDescent="0.25"/>
    <row r="176" spans="2:12" ht="15.6" hidden="1" x14ac:dyDescent="0.25">
      <c r="B176" s="159">
        <v>1.02</v>
      </c>
      <c r="C176" s="160"/>
      <c r="D176" s="161" t="s">
        <v>146</v>
      </c>
      <c r="E176" s="162"/>
      <c r="F176" s="163"/>
      <c r="G176" s="201"/>
      <c r="H176" s="202"/>
      <c r="I176" s="203"/>
      <c r="J176" s="203"/>
      <c r="K176" s="203"/>
      <c r="L176" s="166">
        <f>+E181</f>
        <v>4764</v>
      </c>
    </row>
    <row r="177" spans="2:12" ht="15" hidden="1" x14ac:dyDescent="0.25">
      <c r="B177" s="168"/>
      <c r="C177" s="168" t="s">
        <v>147</v>
      </c>
      <c r="D177" s="169" t="s">
        <v>148</v>
      </c>
      <c r="E177" s="170" t="s">
        <v>87</v>
      </c>
      <c r="F177" s="177">
        <v>1.4999999999999999E-2</v>
      </c>
      <c r="G177" s="171">
        <f>+VLOOKUP(C177,'[113]Mano de Obra'!$A$7:$G$35,4,FALSE)</f>
        <v>235713</v>
      </c>
      <c r="H177" s="204"/>
      <c r="I177" s="174"/>
      <c r="J177" s="174"/>
      <c r="K177" s="174">
        <f>+(F177*G177*(1+H177))</f>
        <v>3535.6949999999997</v>
      </c>
    </row>
    <row r="178" spans="2:12" ht="15" hidden="1" x14ac:dyDescent="0.25">
      <c r="B178" s="168"/>
      <c r="C178" s="168" t="s">
        <v>130</v>
      </c>
      <c r="D178" s="169" t="s">
        <v>131</v>
      </c>
      <c r="E178" s="170" t="s">
        <v>132</v>
      </c>
      <c r="F178" s="175">
        <v>0.01</v>
      </c>
      <c r="G178" s="171">
        <f>+VLOOKUP(C178,'[112]Insumos-Equipo M_L'!$A$2:$D$166,4,FALSE)</f>
        <v>3031.8986745000002</v>
      </c>
      <c r="H178" s="204"/>
      <c r="I178" s="174"/>
      <c r="J178" s="174">
        <f>+(F178*G178*(1+H178))</f>
        <v>30.318986745000004</v>
      </c>
      <c r="K178" s="174"/>
    </row>
    <row r="179" spans="2:12" ht="15" hidden="1" x14ac:dyDescent="0.25">
      <c r="B179" s="168"/>
      <c r="C179" s="168" t="s">
        <v>149</v>
      </c>
      <c r="D179" s="169" t="s">
        <v>150</v>
      </c>
      <c r="E179" s="170" t="s">
        <v>124</v>
      </c>
      <c r="F179" s="175">
        <v>0.18</v>
      </c>
      <c r="G179" s="171">
        <f>+VLOOKUP(C179,'[112]Insumos-Equipo M_L'!$A$2:$D$166,4,FALSE)</f>
        <v>6261.5298712499998</v>
      </c>
      <c r="H179" s="204"/>
      <c r="I179" s="174"/>
      <c r="J179" s="174">
        <f>+(F179*G179*(1+H179))</f>
        <v>1127.0753768249999</v>
      </c>
      <c r="K179" s="174"/>
    </row>
    <row r="180" spans="2:12" ht="15" hidden="1" x14ac:dyDescent="0.25">
      <c r="B180" s="168"/>
      <c r="C180" s="168"/>
      <c r="D180" s="169" t="s">
        <v>92</v>
      </c>
      <c r="E180" s="170" t="s">
        <v>91</v>
      </c>
      <c r="F180" s="178">
        <v>0.02</v>
      </c>
      <c r="G180" s="205">
        <f>+K177</f>
        <v>3535.6949999999997</v>
      </c>
      <c r="H180" s="204"/>
      <c r="I180" s="174"/>
      <c r="J180" s="174">
        <f>+(F180*G180*(1+H180))</f>
        <v>70.713899999999995</v>
      </c>
      <c r="K180" s="179"/>
    </row>
    <row r="181" spans="2:12" ht="15.6" hidden="1" x14ac:dyDescent="0.25">
      <c r="B181" s="180"/>
      <c r="C181" s="180"/>
      <c r="D181" s="181" t="s">
        <v>93</v>
      </c>
      <c r="E181" s="182">
        <f>+ROUND(SUM(I181:K181),0)</f>
        <v>4764</v>
      </c>
      <c r="F181" s="183"/>
      <c r="G181" s="184"/>
      <c r="H181" s="185"/>
      <c r="I181" s="186">
        <f>+ROUND(SUM(I177:I180),0)</f>
        <v>0</v>
      </c>
      <c r="J181" s="186">
        <f>+ROUND(SUM(J177:J180),0)</f>
        <v>1228</v>
      </c>
      <c r="K181" s="186">
        <f>+ROUND(SUM(K177:K180),0)</f>
        <v>3536</v>
      </c>
    </row>
    <row r="182" spans="2:12" hidden="1" x14ac:dyDescent="0.25"/>
    <row r="183" spans="2:12" ht="15.6" hidden="1" x14ac:dyDescent="0.25">
      <c r="B183" s="159">
        <v>1.0720000000000001</v>
      </c>
      <c r="C183" s="160"/>
      <c r="D183" s="161" t="s">
        <v>151</v>
      </c>
      <c r="E183" s="162"/>
      <c r="F183" s="163"/>
      <c r="G183" s="201"/>
      <c r="H183" s="202"/>
      <c r="I183" s="203"/>
      <c r="J183" s="203"/>
      <c r="K183" s="203"/>
      <c r="L183" s="166">
        <f>+E187</f>
        <v>13342</v>
      </c>
    </row>
    <row r="184" spans="2:12" ht="15" hidden="1" x14ac:dyDescent="0.25">
      <c r="B184" s="168"/>
      <c r="C184" s="168" t="s">
        <v>152</v>
      </c>
      <c r="D184" s="169" t="s">
        <v>153</v>
      </c>
      <c r="E184" s="170" t="s">
        <v>87</v>
      </c>
      <c r="F184" s="175">
        <v>6.7000000000000004E-2</v>
      </c>
      <c r="G184" s="171">
        <f>+VLOOKUP(C184,'[112]Insumos-Equipo M_L'!$A$2:$D$166,4,FALSE)</f>
        <v>175277.71799999999</v>
      </c>
      <c r="H184" s="204"/>
      <c r="I184" s="174">
        <f>+(F184*G184*(1+H184))</f>
        <v>11743.607105999999</v>
      </c>
      <c r="J184" s="174"/>
      <c r="K184" s="174"/>
    </row>
    <row r="185" spans="2:12" ht="15" hidden="1" x14ac:dyDescent="0.25">
      <c r="B185" s="168"/>
      <c r="C185" s="168" t="s">
        <v>144</v>
      </c>
      <c r="D185" s="169" t="s">
        <v>145</v>
      </c>
      <c r="E185" s="170" t="s">
        <v>87</v>
      </c>
      <c r="F185" s="177">
        <v>0.02</v>
      </c>
      <c r="G185" s="171">
        <f>+VLOOKUP(C185,'[113]Mano de Obra'!$A$7:$G$35,4,FALSE)</f>
        <v>76122</v>
      </c>
      <c r="H185" s="204"/>
      <c r="I185" s="174"/>
      <c r="J185" s="174"/>
      <c r="K185" s="174">
        <f>+(F185*G185*(1+H185))</f>
        <v>1522.44</v>
      </c>
    </row>
    <row r="186" spans="2:12" ht="15" hidden="1" x14ac:dyDescent="0.25">
      <c r="B186" s="168"/>
      <c r="C186" s="168"/>
      <c r="D186" s="169" t="s">
        <v>92</v>
      </c>
      <c r="E186" s="170" t="s">
        <v>91</v>
      </c>
      <c r="F186" s="178">
        <v>0.05</v>
      </c>
      <c r="G186" s="205">
        <f>+K185</f>
        <v>1522.44</v>
      </c>
      <c r="H186" s="204"/>
      <c r="I186" s="174"/>
      <c r="J186" s="174">
        <f>+(F186*G186*(1+H186))</f>
        <v>76.122</v>
      </c>
      <c r="K186" s="179"/>
    </row>
    <row r="187" spans="2:12" ht="15.6" hidden="1" x14ac:dyDescent="0.25">
      <c r="B187" s="180"/>
      <c r="C187" s="180"/>
      <c r="D187" s="181" t="s">
        <v>93</v>
      </c>
      <c r="E187" s="182">
        <f>+ROUND(SUM(I187:K187),0)</f>
        <v>13342</v>
      </c>
      <c r="F187" s="183"/>
      <c r="G187" s="184"/>
      <c r="H187" s="185"/>
      <c r="I187" s="186">
        <f>+ROUND(SUM(I184:I186),0)</f>
        <v>11744</v>
      </c>
      <c r="J187" s="186">
        <f>+ROUND(SUM(J184:J186),0)</f>
        <v>76</v>
      </c>
      <c r="K187" s="186">
        <f>+ROUND(SUM(K184:K186),0)</f>
        <v>1522</v>
      </c>
    </row>
    <row r="188" spans="2:12" hidden="1" x14ac:dyDescent="0.25"/>
    <row r="189" spans="2:12" ht="15.6" hidden="1" x14ac:dyDescent="0.25">
      <c r="B189" s="159">
        <v>1.0960000000000001</v>
      </c>
      <c r="C189" s="160"/>
      <c r="D189" s="161" t="s">
        <v>154</v>
      </c>
      <c r="E189" s="207"/>
      <c r="F189" s="162"/>
      <c r="G189" s="201"/>
      <c r="H189" s="202"/>
      <c r="I189" s="203"/>
      <c r="J189" s="203"/>
      <c r="K189" s="203"/>
      <c r="L189" s="166">
        <f>+E196</f>
        <v>15512</v>
      </c>
    </row>
    <row r="190" spans="2:12" ht="15" hidden="1" x14ac:dyDescent="0.25">
      <c r="B190" s="168"/>
      <c r="C190" s="168" t="s">
        <v>155</v>
      </c>
      <c r="D190" s="169" t="s">
        <v>156</v>
      </c>
      <c r="E190" s="170" t="s">
        <v>124</v>
      </c>
      <c r="F190" s="175">
        <v>0.1</v>
      </c>
      <c r="G190" s="171">
        <f>+VLOOKUP(C190,'[112]Insumos-Equipo M_L'!$A$2:$D$166,4,FALSE)</f>
        <v>8691.375</v>
      </c>
      <c r="H190" s="172"/>
      <c r="I190" s="174"/>
      <c r="J190" s="174">
        <f>+(F190*G190*(1+H190))</f>
        <v>869.13750000000005</v>
      </c>
      <c r="K190" s="174"/>
    </row>
    <row r="191" spans="2:12" ht="15" hidden="1" x14ac:dyDescent="0.25">
      <c r="B191" s="168"/>
      <c r="C191" s="168" t="s">
        <v>157</v>
      </c>
      <c r="D191" s="169" t="s">
        <v>158</v>
      </c>
      <c r="E191" s="170" t="s">
        <v>124</v>
      </c>
      <c r="F191" s="175">
        <v>0.1</v>
      </c>
      <c r="G191" s="171">
        <f>+VLOOKUP(C191,'[112]Insumos-Equipo M_L'!$A$2:$D$166,4,FALSE)</f>
        <v>2285.7879572100001</v>
      </c>
      <c r="H191" s="172"/>
      <c r="I191" s="174"/>
      <c r="J191" s="174">
        <f>+(F191*G191*(1+H191))</f>
        <v>228.57879572100001</v>
      </c>
      <c r="K191" s="174"/>
    </row>
    <row r="192" spans="2:12" ht="15" hidden="1" x14ac:dyDescent="0.25">
      <c r="B192" s="168"/>
      <c r="C192" s="168" t="s">
        <v>159</v>
      </c>
      <c r="D192" s="169" t="s">
        <v>160</v>
      </c>
      <c r="E192" s="170" t="s">
        <v>35</v>
      </c>
      <c r="F192" s="175">
        <v>2.1</v>
      </c>
      <c r="G192" s="171">
        <f>+VLOOKUP(C192,'[112]Insumos-Equipo M_L'!$A$2:$D$166,4,FALSE)</f>
        <v>2456.375</v>
      </c>
      <c r="H192" s="172"/>
      <c r="I192" s="174"/>
      <c r="J192" s="174">
        <f>+(F192*G192*(1+H192))</f>
        <v>5158.3874999999998</v>
      </c>
      <c r="K192" s="174"/>
    </row>
    <row r="193" spans="2:12" ht="15" hidden="1" x14ac:dyDescent="0.25">
      <c r="B193" s="168"/>
      <c r="C193" s="168" t="s">
        <v>130</v>
      </c>
      <c r="D193" s="169" t="s">
        <v>131</v>
      </c>
      <c r="E193" s="170" t="s">
        <v>132</v>
      </c>
      <c r="F193" s="175">
        <v>0.1</v>
      </c>
      <c r="G193" s="171">
        <f>+VLOOKUP(C193,'[112]Insumos-Equipo M_L'!$A$2:$D$166,4,FALSE)</f>
        <v>3031.8986745000002</v>
      </c>
      <c r="H193" s="172"/>
      <c r="I193" s="174"/>
      <c r="J193" s="174">
        <f>+(F193*G193*(1+H193))</f>
        <v>303.18986745000001</v>
      </c>
      <c r="K193" s="174"/>
    </row>
    <row r="194" spans="2:12" ht="15" hidden="1" x14ac:dyDescent="0.25">
      <c r="B194" s="168"/>
      <c r="C194" s="168" t="s">
        <v>119</v>
      </c>
      <c r="D194" s="169" t="s">
        <v>120</v>
      </c>
      <c r="E194" s="170" t="s">
        <v>87</v>
      </c>
      <c r="F194" s="177">
        <v>0.04</v>
      </c>
      <c r="G194" s="171">
        <f>+VLOOKUP(C194,'[113]Mano de Obra'!$A$7:$G$35,4,FALSE)</f>
        <v>213143</v>
      </c>
      <c r="H194" s="204"/>
      <c r="I194" s="174"/>
      <c r="J194" s="174"/>
      <c r="K194" s="174">
        <f>+(F194*G194*(1+H194))</f>
        <v>8525.7199999999993</v>
      </c>
    </row>
    <row r="195" spans="2:12" ht="15" hidden="1" x14ac:dyDescent="0.25">
      <c r="B195" s="168"/>
      <c r="C195" s="168"/>
      <c r="D195" s="169" t="s">
        <v>92</v>
      </c>
      <c r="E195" s="170" t="s">
        <v>91</v>
      </c>
      <c r="F195" s="178">
        <v>0.05</v>
      </c>
      <c r="G195" s="205">
        <f>+K194</f>
        <v>8525.7199999999993</v>
      </c>
      <c r="H195" s="204"/>
      <c r="I195" s="174"/>
      <c r="J195" s="174">
        <f>+(F195*G195*(1+H195))</f>
        <v>426.286</v>
      </c>
      <c r="K195" s="179"/>
    </row>
    <row r="196" spans="2:12" ht="15.6" hidden="1" x14ac:dyDescent="0.25">
      <c r="B196" s="180"/>
      <c r="C196" s="180"/>
      <c r="D196" s="181" t="s">
        <v>93</v>
      </c>
      <c r="E196" s="182">
        <f>+ROUND(SUM(I196:K196),0)</f>
        <v>15512</v>
      </c>
      <c r="F196" s="183"/>
      <c r="G196" s="184"/>
      <c r="H196" s="185"/>
      <c r="I196" s="186">
        <f>+ROUND(SUM(I190:I195),0)</f>
        <v>0</v>
      </c>
      <c r="J196" s="186">
        <f>+ROUND(SUM(J190:J195),0)</f>
        <v>6986</v>
      </c>
      <c r="K196" s="186">
        <f>+ROUND(SUM(K190:K195),0)</f>
        <v>8526</v>
      </c>
    </row>
    <row r="197" spans="2:12" hidden="1" x14ac:dyDescent="0.25"/>
    <row r="198" spans="2:12" ht="15.6" hidden="1" x14ac:dyDescent="0.25">
      <c r="B198" s="208">
        <v>1.6</v>
      </c>
      <c r="C198" s="160"/>
      <c r="D198" s="161" t="s">
        <v>161</v>
      </c>
      <c r="E198" s="207"/>
      <c r="F198" s="162"/>
      <c r="G198" s="201"/>
      <c r="H198" s="202"/>
      <c r="I198" s="203"/>
      <c r="J198" s="203"/>
      <c r="K198" s="203"/>
      <c r="L198" s="166">
        <f>+E205</f>
        <v>17528</v>
      </c>
    </row>
    <row r="199" spans="2:12" ht="15" hidden="1" x14ac:dyDescent="0.25">
      <c r="B199" s="168"/>
      <c r="C199" s="168" t="s">
        <v>155</v>
      </c>
      <c r="D199" s="169" t="s">
        <v>156</v>
      </c>
      <c r="E199" s="170" t="s">
        <v>124</v>
      </c>
      <c r="F199" s="175">
        <v>0.375</v>
      </c>
      <c r="G199" s="171">
        <f>+VLOOKUP(C199,'[112]Insumos-Equipo M_L'!$A$2:$D$166,4,FALSE)</f>
        <v>8691.375</v>
      </c>
      <c r="H199" s="172"/>
      <c r="I199" s="174"/>
      <c r="J199" s="174">
        <f>+(F199*G199*(1+H199))</f>
        <v>3259.265625</v>
      </c>
      <c r="K199" s="174"/>
    </row>
    <row r="200" spans="2:12" ht="15" hidden="1" x14ac:dyDescent="0.25">
      <c r="B200" s="168"/>
      <c r="C200" s="168" t="s">
        <v>157</v>
      </c>
      <c r="D200" s="169" t="s">
        <v>158</v>
      </c>
      <c r="E200" s="170" t="s">
        <v>124</v>
      </c>
      <c r="F200" s="175">
        <v>0.5</v>
      </c>
      <c r="G200" s="171">
        <f>+VLOOKUP(C200,'[112]Insumos-Equipo M_L'!$A$2:$D$166,4,FALSE)</f>
        <v>2285.7879572100001</v>
      </c>
      <c r="H200" s="172"/>
      <c r="I200" s="174"/>
      <c r="J200" s="174">
        <f>+(F200*G200*(1+H200))</f>
        <v>1142.893978605</v>
      </c>
      <c r="K200" s="174"/>
    </row>
    <row r="201" spans="2:12" ht="15" hidden="1" x14ac:dyDescent="0.25">
      <c r="B201" s="168"/>
      <c r="C201" s="168" t="s">
        <v>130</v>
      </c>
      <c r="D201" s="169" t="s">
        <v>131</v>
      </c>
      <c r="E201" s="170" t="s">
        <v>132</v>
      </c>
      <c r="F201" s="175">
        <v>0.1</v>
      </c>
      <c r="G201" s="171">
        <f>+VLOOKUP(C201,'[112]Insumos-Equipo M_L'!$A$2:$D$166,4,FALSE)</f>
        <v>3031.8986745000002</v>
      </c>
      <c r="H201" s="172"/>
      <c r="I201" s="174"/>
      <c r="J201" s="174">
        <f>+(F201*G201*(1+H201))</f>
        <v>303.18986745000001</v>
      </c>
      <c r="K201" s="174"/>
    </row>
    <row r="202" spans="2:12" ht="15" hidden="1" x14ac:dyDescent="0.25">
      <c r="B202" s="168"/>
      <c r="C202" s="168" t="s">
        <v>133</v>
      </c>
      <c r="D202" s="169" t="s">
        <v>134</v>
      </c>
      <c r="E202" s="170" t="s">
        <v>37</v>
      </c>
      <c r="F202" s="175">
        <f>0.8*0.1</f>
        <v>8.0000000000000016E-2</v>
      </c>
      <c r="G202" s="171">
        <f>+VLOOKUP(C202,'[112]Insumos-Equipo M_L'!$A$2:$D$166,4,FALSE)</f>
        <v>48375</v>
      </c>
      <c r="H202" s="172"/>
      <c r="I202" s="174"/>
      <c r="J202" s="174">
        <f>+(F202*G202*(1+H202))</f>
        <v>3870.0000000000009</v>
      </c>
      <c r="K202" s="174"/>
    </row>
    <row r="203" spans="2:12" ht="15" hidden="1" x14ac:dyDescent="0.25">
      <c r="B203" s="168"/>
      <c r="C203" s="168" t="s">
        <v>119</v>
      </c>
      <c r="D203" s="169" t="s">
        <v>120</v>
      </c>
      <c r="E203" s="170" t="s">
        <v>87</v>
      </c>
      <c r="F203" s="177">
        <v>0.04</v>
      </c>
      <c r="G203" s="171">
        <f>+VLOOKUP(C203,'[113]Mano de Obra'!$A$7:$G$35,4,FALSE)</f>
        <v>213143</v>
      </c>
      <c r="H203" s="204"/>
      <c r="I203" s="174"/>
      <c r="J203" s="174"/>
      <c r="K203" s="174">
        <f>+(F203*G203*(1+H203))</f>
        <v>8525.7199999999993</v>
      </c>
    </row>
    <row r="204" spans="2:12" ht="15" hidden="1" x14ac:dyDescent="0.25">
      <c r="B204" s="168"/>
      <c r="C204" s="168"/>
      <c r="D204" s="169" t="s">
        <v>92</v>
      </c>
      <c r="E204" s="170" t="s">
        <v>91</v>
      </c>
      <c r="F204" s="178">
        <v>0.05</v>
      </c>
      <c r="G204" s="205">
        <f>+K203</f>
        <v>8525.7199999999993</v>
      </c>
      <c r="H204" s="204"/>
      <c r="I204" s="174"/>
      <c r="J204" s="174">
        <f>+(F204*G204*(1+H204))</f>
        <v>426.286</v>
      </c>
      <c r="K204" s="179"/>
    </row>
    <row r="205" spans="2:12" ht="15.6" hidden="1" x14ac:dyDescent="0.25">
      <c r="B205" s="180"/>
      <c r="C205" s="180"/>
      <c r="D205" s="181" t="s">
        <v>93</v>
      </c>
      <c r="E205" s="182">
        <f>+ROUND(SUM(I205:K205),0)</f>
        <v>17528</v>
      </c>
      <c r="F205" s="183"/>
      <c r="G205" s="184"/>
      <c r="H205" s="185"/>
      <c r="I205" s="186">
        <f>+ROUND(SUM(I199:I204),0)</f>
        <v>0</v>
      </c>
      <c r="J205" s="186">
        <f>+ROUND(SUM(J199:J204),0)</f>
        <v>9002</v>
      </c>
      <c r="K205" s="186">
        <f>+ROUND(SUM(K199:K204),0)</f>
        <v>8526</v>
      </c>
    </row>
    <row r="206" spans="2:12" hidden="1" x14ac:dyDescent="0.25"/>
    <row r="207" spans="2:12" hidden="1" x14ac:dyDescent="0.25"/>
    <row r="208" spans="2:12" ht="15.6" hidden="1" x14ac:dyDescent="0.25">
      <c r="B208" s="159">
        <v>1.0940000000000001</v>
      </c>
      <c r="C208" s="160"/>
      <c r="D208" s="161" t="s">
        <v>162</v>
      </c>
      <c r="E208" s="207"/>
      <c r="F208" s="162"/>
      <c r="G208" s="201"/>
      <c r="H208" s="202"/>
      <c r="I208" s="203"/>
      <c r="J208" s="203"/>
      <c r="K208" s="203"/>
      <c r="L208" s="166">
        <f>+E213</f>
        <v>17583</v>
      </c>
    </row>
    <row r="209" spans="2:12" ht="15" hidden="1" x14ac:dyDescent="0.25">
      <c r="B209" s="168"/>
      <c r="C209" s="209" t="s">
        <v>163</v>
      </c>
      <c r="D209" s="169" t="s">
        <v>164</v>
      </c>
      <c r="E209" s="170" t="s">
        <v>165</v>
      </c>
      <c r="F209" s="170">
        <v>0.17</v>
      </c>
      <c r="G209" s="171">
        <f>+VLOOKUP(C209,'[112]Insumos-Equipo M_L'!$A$2:$D$166,4,FALSE)</f>
        <v>74149.69584375</v>
      </c>
      <c r="H209" s="172"/>
      <c r="I209" s="174">
        <f>+(F209*G209*(1+H209))</f>
        <v>12605.448293437501</v>
      </c>
      <c r="J209" s="174"/>
      <c r="K209" s="174"/>
    </row>
    <row r="210" spans="2:12" ht="15" hidden="1" x14ac:dyDescent="0.25">
      <c r="B210" s="168"/>
      <c r="C210" s="209" t="s">
        <v>144</v>
      </c>
      <c r="D210" s="210" t="s">
        <v>145</v>
      </c>
      <c r="E210" s="211" t="s">
        <v>87</v>
      </c>
      <c r="F210" s="212">
        <v>0.06</v>
      </c>
      <c r="G210" s="171">
        <f>+VLOOKUP(C210,'[113]Mano de Obra'!$A$7:$G$35,4,FALSE)</f>
        <v>76122</v>
      </c>
      <c r="H210" s="172"/>
      <c r="I210" s="174"/>
      <c r="K210" s="174">
        <f>+(F210*G210*(1+H210))</f>
        <v>4567.32</v>
      </c>
    </row>
    <row r="211" spans="2:12" ht="15" hidden="1" x14ac:dyDescent="0.25">
      <c r="B211" s="168"/>
      <c r="C211" s="213"/>
      <c r="D211" s="210" t="s">
        <v>90</v>
      </c>
      <c r="E211" s="211" t="s">
        <v>91</v>
      </c>
      <c r="F211" s="214">
        <v>0.04</v>
      </c>
      <c r="G211" s="205">
        <f>+K210</f>
        <v>4567.32</v>
      </c>
      <c r="H211" s="204"/>
      <c r="I211" s="174"/>
      <c r="J211" s="174"/>
      <c r="K211" s="174">
        <f>+(F211*G211*(1+H211))</f>
        <v>182.69280000000001</v>
      </c>
    </row>
    <row r="212" spans="2:12" ht="15" hidden="1" x14ac:dyDescent="0.25">
      <c r="B212" s="168"/>
      <c r="C212" s="213"/>
      <c r="D212" s="210" t="s">
        <v>92</v>
      </c>
      <c r="E212" s="211" t="s">
        <v>91</v>
      </c>
      <c r="F212" s="214">
        <v>0.05</v>
      </c>
      <c r="G212" s="205">
        <f>+K210</f>
        <v>4567.32</v>
      </c>
      <c r="H212" s="204"/>
      <c r="I212" s="174"/>
      <c r="J212" s="174">
        <f>+(F212*G212*(1+H212))</f>
        <v>228.36599999999999</v>
      </c>
      <c r="K212" s="215"/>
    </row>
    <row r="213" spans="2:12" ht="15.6" hidden="1" x14ac:dyDescent="0.25">
      <c r="B213" s="180"/>
      <c r="C213" s="180"/>
      <c r="D213" s="181" t="s">
        <v>93</v>
      </c>
      <c r="E213" s="182">
        <f>+ROUND(SUM(I213:K213),0)</f>
        <v>17583</v>
      </c>
      <c r="F213" s="183"/>
      <c r="G213" s="184"/>
      <c r="H213" s="185"/>
      <c r="I213" s="186">
        <f>+ROUND(SUM(I209:I212),0)</f>
        <v>12605</v>
      </c>
      <c r="J213" s="186">
        <f>+ROUNDDOWN(SUM(J209:J212),0)</f>
        <v>228</v>
      </c>
      <c r="K213" s="186">
        <f>+ROUND(SUM(K209:K212),0)</f>
        <v>4750</v>
      </c>
    </row>
    <row r="214" spans="2:12" hidden="1" x14ac:dyDescent="0.25"/>
    <row r="215" spans="2:12" ht="15.6" hidden="1" x14ac:dyDescent="0.25">
      <c r="B215" s="159">
        <v>1.0980000000000001</v>
      </c>
      <c r="C215" s="160"/>
      <c r="D215" s="161" t="s">
        <v>166</v>
      </c>
      <c r="E215" s="162"/>
      <c r="F215" s="163"/>
      <c r="G215" s="201"/>
      <c r="H215" s="202"/>
      <c r="I215" s="203"/>
      <c r="J215" s="203"/>
      <c r="K215" s="203"/>
      <c r="L215" s="166">
        <f>+E221</f>
        <v>233235</v>
      </c>
    </row>
    <row r="216" spans="2:12" ht="15" hidden="1" x14ac:dyDescent="0.25">
      <c r="B216" s="168"/>
      <c r="C216" s="168" t="s">
        <v>167</v>
      </c>
      <c r="D216" s="169" t="s">
        <v>168</v>
      </c>
      <c r="E216" s="170" t="s">
        <v>124</v>
      </c>
      <c r="F216" s="175">
        <v>100</v>
      </c>
      <c r="G216" s="171">
        <f>+VLOOKUP(C216,'[112]Insumos-Equipo M_L'!$A$2:$D$166,4,FALSE)</f>
        <v>659.1084075</v>
      </c>
      <c r="H216" s="172"/>
      <c r="I216" s="174"/>
      <c r="J216" s="174">
        <f>+(F216*G216*(1+H216))</f>
        <v>65910.840750000003</v>
      </c>
      <c r="K216" s="174"/>
    </row>
    <row r="217" spans="2:12" ht="15" hidden="1" x14ac:dyDescent="0.25">
      <c r="B217" s="168"/>
      <c r="C217" s="168" t="s">
        <v>73</v>
      </c>
      <c r="D217" s="169" t="s">
        <v>74</v>
      </c>
      <c r="E217" s="170" t="s">
        <v>37</v>
      </c>
      <c r="F217" s="175">
        <v>1</v>
      </c>
      <c r="G217" s="171">
        <f>+VLOOKUP(C217,'[112]Insumos-Equipo M_L'!$A$2:$D$166,4,FALSE)</f>
        <v>86000</v>
      </c>
      <c r="H217" s="172"/>
      <c r="I217" s="174"/>
      <c r="J217" s="174">
        <f>+(F217*G217*(1+H217))</f>
        <v>86000</v>
      </c>
      <c r="K217" s="174"/>
    </row>
    <row r="218" spans="2:12" ht="15" hidden="1" x14ac:dyDescent="0.25">
      <c r="B218" s="168"/>
      <c r="C218" s="168" t="s">
        <v>169</v>
      </c>
      <c r="D218" s="169" t="s">
        <v>170</v>
      </c>
      <c r="E218" s="170" t="s">
        <v>87</v>
      </c>
      <c r="F218" s="177">
        <v>0.5</v>
      </c>
      <c r="G218" s="171">
        <f>+VLOOKUP(C218,'[113]Mano de Obra'!$A$7:$G$35,4,FALSE)</f>
        <v>135540</v>
      </c>
      <c r="H218" s="204"/>
      <c r="I218" s="174"/>
      <c r="J218" s="174"/>
      <c r="K218" s="174">
        <f>+(F218*G218*(1+H218))</f>
        <v>67770</v>
      </c>
    </row>
    <row r="219" spans="2:12" ht="15" hidden="1" x14ac:dyDescent="0.25">
      <c r="B219" s="168"/>
      <c r="C219" s="168"/>
      <c r="D219" s="169" t="s">
        <v>90</v>
      </c>
      <c r="E219" s="170" t="s">
        <v>91</v>
      </c>
      <c r="F219" s="178">
        <v>0.1</v>
      </c>
      <c r="G219" s="205">
        <f>+K218</f>
        <v>67770</v>
      </c>
      <c r="H219" s="204"/>
      <c r="I219" s="174"/>
      <c r="J219" s="174"/>
      <c r="K219" s="174">
        <f>+(F219*G219*(1+H219))</f>
        <v>6777</v>
      </c>
    </row>
    <row r="220" spans="2:12" ht="15" hidden="1" x14ac:dyDescent="0.25">
      <c r="B220" s="168"/>
      <c r="C220" s="168"/>
      <c r="D220" s="169" t="s">
        <v>92</v>
      </c>
      <c r="E220" s="170" t="s">
        <v>91</v>
      </c>
      <c r="F220" s="178">
        <v>0.1</v>
      </c>
      <c r="G220" s="205">
        <f>+K218</f>
        <v>67770</v>
      </c>
      <c r="H220" s="204"/>
      <c r="I220" s="174"/>
      <c r="J220" s="174">
        <f>+(F220*G220*(1+H220))</f>
        <v>6777</v>
      </c>
      <c r="K220" s="179"/>
    </row>
    <row r="221" spans="2:12" ht="15.6" hidden="1" x14ac:dyDescent="0.25">
      <c r="B221" s="180"/>
      <c r="C221" s="180"/>
      <c r="D221" s="181" t="s">
        <v>93</v>
      </c>
      <c r="E221" s="182">
        <f>+ROUND(SUM(I221:K221),0)</f>
        <v>233235</v>
      </c>
      <c r="F221" s="183"/>
      <c r="G221" s="184"/>
      <c r="H221" s="185"/>
      <c r="I221" s="186">
        <f>+ROUND(SUM(I216:I220),0)</f>
        <v>0</v>
      </c>
      <c r="J221" s="186">
        <f>+ROUND(SUM(J216:J220),0)</f>
        <v>158688</v>
      </c>
      <c r="K221" s="186">
        <f>+ROUND(SUM(K216:K220),0)</f>
        <v>74547</v>
      </c>
    </row>
    <row r="222" spans="2:12" hidden="1" x14ac:dyDescent="0.25"/>
    <row r="223" spans="2:12" ht="15.6" hidden="1" x14ac:dyDescent="0.25">
      <c r="B223" s="159">
        <v>1.099</v>
      </c>
      <c r="C223" s="160"/>
      <c r="D223" s="161" t="s">
        <v>171</v>
      </c>
      <c r="E223" s="162"/>
      <c r="F223" s="163"/>
      <c r="G223" s="201"/>
      <c r="H223" s="202"/>
      <c r="I223" s="203"/>
      <c r="J223" s="203"/>
      <c r="K223" s="203"/>
      <c r="L223" s="166">
        <f>+E228</f>
        <v>109463</v>
      </c>
    </row>
    <row r="224" spans="2:12" ht="15" hidden="1" x14ac:dyDescent="0.25">
      <c r="B224" s="168"/>
      <c r="C224" s="168" t="s">
        <v>122</v>
      </c>
      <c r="D224" s="169" t="s">
        <v>123</v>
      </c>
      <c r="E224" s="170" t="s">
        <v>124</v>
      </c>
      <c r="F224" s="175">
        <v>4</v>
      </c>
      <c r="G224" s="171">
        <f>+VLOOKUP(C224,'[112]Insumos-Equipo M_L'!$A$2:$D$166,4,FALSE)</f>
        <v>17200</v>
      </c>
      <c r="H224" s="172"/>
      <c r="I224" s="174"/>
      <c r="J224" s="174">
        <f>+(F224*G224*(1+H224))</f>
        <v>68800</v>
      </c>
      <c r="K224" s="174"/>
    </row>
    <row r="225" spans="1:12" ht="15" hidden="1" x14ac:dyDescent="0.25">
      <c r="B225" s="168"/>
      <c r="C225" s="168" t="s">
        <v>169</v>
      </c>
      <c r="D225" s="169" t="s">
        <v>170</v>
      </c>
      <c r="E225" s="170" t="s">
        <v>87</v>
      </c>
      <c r="F225" s="177">
        <v>0.25</v>
      </c>
      <c r="G225" s="171">
        <f>+VLOOKUP(C225,'[113]Mano de Obra'!$A$7:$G$35,4,FALSE)</f>
        <v>135540</v>
      </c>
      <c r="H225" s="204"/>
      <c r="I225" s="174"/>
      <c r="J225" s="174"/>
      <c r="K225" s="174">
        <f>+(F225*G225*(1+H225))</f>
        <v>33885</v>
      </c>
    </row>
    <row r="226" spans="1:12" ht="15" hidden="1" x14ac:dyDescent="0.25">
      <c r="B226" s="168"/>
      <c r="C226" s="168"/>
      <c r="D226" s="169" t="s">
        <v>90</v>
      </c>
      <c r="E226" s="170" t="s">
        <v>91</v>
      </c>
      <c r="F226" s="178">
        <v>0.1</v>
      </c>
      <c r="G226" s="205">
        <f>+K225</f>
        <v>33885</v>
      </c>
      <c r="H226" s="204"/>
      <c r="I226" s="174"/>
      <c r="J226" s="174"/>
      <c r="K226" s="174">
        <f>+(F226*G226*(1+H226))</f>
        <v>3388.5</v>
      </c>
    </row>
    <row r="227" spans="1:12" ht="15" hidden="1" x14ac:dyDescent="0.25">
      <c r="B227" s="168"/>
      <c r="C227" s="168"/>
      <c r="D227" s="169" t="s">
        <v>92</v>
      </c>
      <c r="E227" s="170" t="s">
        <v>91</v>
      </c>
      <c r="F227" s="178">
        <v>0.1</v>
      </c>
      <c r="G227" s="205">
        <f>+K225</f>
        <v>33885</v>
      </c>
      <c r="H227" s="204"/>
      <c r="I227" s="174"/>
      <c r="J227" s="174">
        <f>+(F227*G227*(1+H227))</f>
        <v>3388.5</v>
      </c>
      <c r="K227" s="179"/>
    </row>
    <row r="228" spans="1:12" ht="15.6" hidden="1" x14ac:dyDescent="0.25">
      <c r="B228" s="180"/>
      <c r="C228" s="180"/>
      <c r="D228" s="181" t="s">
        <v>93</v>
      </c>
      <c r="E228" s="182">
        <f>+ROUND(SUM(I228:K228),0)</f>
        <v>109463</v>
      </c>
      <c r="F228" s="183"/>
      <c r="G228" s="184"/>
      <c r="H228" s="185"/>
      <c r="I228" s="186">
        <f>+ROUND(SUM(I223:I227),0)</f>
        <v>0</v>
      </c>
      <c r="J228" s="186">
        <f>+ROUND(SUM(J223:J227),0)</f>
        <v>72189</v>
      </c>
      <c r="K228" s="186">
        <f>+ROUND(SUM(K223:K227),0)</f>
        <v>37274</v>
      </c>
    </row>
    <row r="229" spans="1:12" hidden="1" x14ac:dyDescent="0.25"/>
    <row r="230" spans="1:12" ht="15.6" hidden="1" x14ac:dyDescent="0.25">
      <c r="B230" s="159">
        <v>1.028</v>
      </c>
      <c r="C230" s="160"/>
      <c r="D230" s="161" t="s">
        <v>172</v>
      </c>
      <c r="E230" s="162"/>
      <c r="F230" s="163"/>
      <c r="G230" s="201"/>
      <c r="H230" s="202"/>
      <c r="I230" s="203"/>
      <c r="J230" s="203"/>
      <c r="K230" s="203"/>
      <c r="L230" s="166">
        <f>+E236</f>
        <v>209511</v>
      </c>
    </row>
    <row r="231" spans="1:12" ht="15" hidden="1" x14ac:dyDescent="0.25">
      <c r="B231" s="168"/>
      <c r="C231" s="168" t="s">
        <v>173</v>
      </c>
      <c r="D231" s="169" t="s">
        <v>174</v>
      </c>
      <c r="E231" s="170" t="s">
        <v>35</v>
      </c>
      <c r="F231" s="175">
        <v>1</v>
      </c>
      <c r="G231" s="171">
        <f>+VLOOKUP(C231,'[112]Insumos-Equipo M_L'!$A$2:$D$166,4,FALSE)</f>
        <v>46137.588524999999</v>
      </c>
      <c r="H231" s="204"/>
      <c r="I231" s="174"/>
      <c r="J231" s="174">
        <f>+(F231*G231*(1+H231))</f>
        <v>46137.588524999999</v>
      </c>
      <c r="K231" s="174"/>
    </row>
    <row r="232" spans="1:12" ht="15" hidden="1" x14ac:dyDescent="0.25">
      <c r="B232" s="168"/>
      <c r="C232" s="168" t="s">
        <v>175</v>
      </c>
      <c r="D232" s="169" t="s">
        <v>176</v>
      </c>
      <c r="E232" s="170" t="s">
        <v>36</v>
      </c>
      <c r="F232" s="175">
        <v>2.5</v>
      </c>
      <c r="G232" s="171">
        <f>+VLOOKUP(C232,'[112]Insumos-Equipo M_L'!$A$2:$D$166,4,FALSE)</f>
        <v>56573.471643749996</v>
      </c>
      <c r="H232" s="204"/>
      <c r="I232" s="174"/>
      <c r="J232" s="174">
        <f>+(F232*G232*(1+H232))</f>
        <v>141433.67910937499</v>
      </c>
      <c r="K232" s="174"/>
    </row>
    <row r="233" spans="1:12" ht="15" hidden="1" x14ac:dyDescent="0.25">
      <c r="B233" s="168"/>
      <c r="C233" s="168">
        <v>5.0069999999999997</v>
      </c>
      <c r="D233" s="169" t="s">
        <v>125</v>
      </c>
      <c r="E233" s="170" t="s">
        <v>37</v>
      </c>
      <c r="F233" s="175">
        <v>1.6000000000000004E-2</v>
      </c>
      <c r="G233" s="205">
        <f>+E82</f>
        <v>434038</v>
      </c>
      <c r="H233" s="204"/>
      <c r="I233" s="174"/>
      <c r="J233" s="174">
        <f>+(F233*G233*(1+H233))</f>
        <v>6944.608000000002</v>
      </c>
      <c r="K233" s="174"/>
    </row>
    <row r="234" spans="1:12" ht="15" hidden="1" x14ac:dyDescent="0.25">
      <c r="B234" s="168"/>
      <c r="C234" s="168" t="s">
        <v>119</v>
      </c>
      <c r="D234" s="169" t="s">
        <v>120</v>
      </c>
      <c r="E234" s="170" t="s">
        <v>87</v>
      </c>
      <c r="F234" s="177">
        <v>6.7000000000000004E-2</v>
      </c>
      <c r="G234" s="171">
        <f>+VLOOKUP(C234,'[113]Mano de Obra'!$A$7:$G$35,4,FALSE)</f>
        <v>213143</v>
      </c>
      <c r="H234" s="204"/>
      <c r="I234" s="174"/>
      <c r="J234" s="174"/>
      <c r="K234" s="174">
        <f>+(F234*G234*(1+H234))</f>
        <v>14280.581</v>
      </c>
    </row>
    <row r="235" spans="1:12" ht="15" hidden="1" x14ac:dyDescent="0.25">
      <c r="B235" s="168"/>
      <c r="C235" s="168"/>
      <c r="D235" s="169" t="s">
        <v>92</v>
      </c>
      <c r="E235" s="170" t="s">
        <v>91</v>
      </c>
      <c r="F235" s="178">
        <v>0.05</v>
      </c>
      <c r="G235" s="205">
        <f>+K234</f>
        <v>14280.581</v>
      </c>
      <c r="H235" s="204"/>
      <c r="I235" s="174"/>
      <c r="J235" s="174">
        <f>+(F235*G235*(1+H235))</f>
        <v>714.0290500000001</v>
      </c>
      <c r="K235" s="179"/>
    </row>
    <row r="236" spans="1:12" ht="15.6" hidden="1" x14ac:dyDescent="0.25">
      <c r="B236" s="180"/>
      <c r="C236" s="180"/>
      <c r="D236" s="181" t="s">
        <v>93</v>
      </c>
      <c r="E236" s="182">
        <f>+ROUND(SUM(I236:K236),0)</f>
        <v>209511</v>
      </c>
      <c r="F236" s="183"/>
      <c r="G236" s="184"/>
      <c r="H236" s="185"/>
      <c r="I236" s="186">
        <f>+ROUND(SUM(I231:I235),0)</f>
        <v>0</v>
      </c>
      <c r="J236" s="186">
        <f>+ROUND(SUM(J231:J235),0)</f>
        <v>195230</v>
      </c>
      <c r="K236" s="186">
        <f>+ROUND(SUM(K231:K235),0)</f>
        <v>14281</v>
      </c>
    </row>
    <row r="237" spans="1:12" hidden="1" x14ac:dyDescent="0.25"/>
    <row r="238" spans="1:12" ht="15.6" hidden="1" x14ac:dyDescent="0.25">
      <c r="A238" s="216"/>
      <c r="B238" s="217">
        <v>1.026</v>
      </c>
      <c r="C238" s="218"/>
      <c r="D238" s="219" t="s">
        <v>177</v>
      </c>
      <c r="E238" s="218"/>
      <c r="F238" s="163"/>
      <c r="G238" s="220"/>
      <c r="H238" s="221"/>
      <c r="I238" s="222"/>
      <c r="J238" s="222"/>
      <c r="K238" s="222"/>
      <c r="L238" s="166">
        <f>+E248</f>
        <v>16011</v>
      </c>
    </row>
    <row r="239" spans="1:12" ht="15" hidden="1" x14ac:dyDescent="0.25">
      <c r="B239" s="223"/>
      <c r="C239" s="223" t="s">
        <v>178</v>
      </c>
      <c r="D239" s="169" t="s">
        <v>179</v>
      </c>
      <c r="E239" s="170" t="s">
        <v>124</v>
      </c>
      <c r="F239" s="175">
        <v>3.3329999999999999E-2</v>
      </c>
      <c r="G239" s="171">
        <f>+VLOOKUP(C239,'[112]Insumos-Equipo M_L'!$A$2:$D$166,4,FALSE)</f>
        <v>49354.037553600007</v>
      </c>
      <c r="H239" s="224"/>
      <c r="I239" s="225"/>
      <c r="J239" s="225">
        <v>1530.2047178246401</v>
      </c>
      <c r="K239" s="225"/>
    </row>
    <row r="240" spans="1:12" ht="15" hidden="1" x14ac:dyDescent="0.25">
      <c r="B240" s="223"/>
      <c r="C240" s="223" t="s">
        <v>180</v>
      </c>
      <c r="D240" s="169" t="s">
        <v>181</v>
      </c>
      <c r="E240" s="170" t="s">
        <v>36</v>
      </c>
      <c r="F240" s="175">
        <v>1.03</v>
      </c>
      <c r="G240" s="171">
        <f>+VLOOKUP(C240,'[112]Insumos-Equipo M_L'!$A$2:$D$166,4,FALSE)</f>
        <v>4340.0091605850002</v>
      </c>
      <c r="H240" s="224"/>
      <c r="I240" s="225"/>
      <c r="J240" s="225">
        <v>4158.334358514001</v>
      </c>
      <c r="K240" s="225"/>
    </row>
    <row r="241" spans="1:12" ht="15" hidden="1" x14ac:dyDescent="0.25">
      <c r="B241" s="223"/>
      <c r="C241" s="223" t="s">
        <v>182</v>
      </c>
      <c r="D241" s="169" t="s">
        <v>183</v>
      </c>
      <c r="E241" s="170" t="s">
        <v>124</v>
      </c>
      <c r="F241" s="175">
        <v>0.05</v>
      </c>
      <c r="G241" s="171">
        <f>+VLOOKUP(C241,'[112]Insumos-Equipo M_L'!$A$2:$D$166,4,FALSE)</f>
        <v>32135.48951607</v>
      </c>
      <c r="H241" s="224"/>
      <c r="I241" s="225"/>
      <c r="J241" s="225">
        <v>1494.6739309800003</v>
      </c>
      <c r="K241" s="225"/>
    </row>
    <row r="242" spans="1:12" ht="15" hidden="1" x14ac:dyDescent="0.25">
      <c r="B242" s="223"/>
      <c r="C242" s="223" t="s">
        <v>184</v>
      </c>
      <c r="D242" s="169" t="s">
        <v>185</v>
      </c>
      <c r="E242" s="170" t="s">
        <v>124</v>
      </c>
      <c r="F242" s="175">
        <v>6.6699999999999997E-3</v>
      </c>
      <c r="G242" s="171">
        <f>+VLOOKUP(C242,'[112]Insumos-Equipo M_L'!$A$2:$D$166,4,FALSE)</f>
        <v>53971.751056545007</v>
      </c>
      <c r="H242" s="224"/>
      <c r="I242" s="225"/>
      <c r="J242" s="225">
        <v>334.87588795084201</v>
      </c>
      <c r="K242" s="225"/>
    </row>
    <row r="243" spans="1:12" ht="15" hidden="1" x14ac:dyDescent="0.25">
      <c r="B243" s="223"/>
      <c r="C243" s="223" t="s">
        <v>186</v>
      </c>
      <c r="D243" s="169" t="s">
        <v>187</v>
      </c>
      <c r="E243" s="170" t="s">
        <v>124</v>
      </c>
      <c r="F243" s="175">
        <v>6.6699999999999997E-3</v>
      </c>
      <c r="G243" s="171">
        <f>+VLOOKUP(C243,'[112]Insumos-Equipo M_L'!$A$2:$D$166,4,FALSE)</f>
        <v>111935.06262891002</v>
      </c>
      <c r="H243" s="224"/>
      <c r="I243" s="225"/>
      <c r="J243" s="225">
        <v>694.5180164975161</v>
      </c>
      <c r="K243" s="225"/>
    </row>
    <row r="244" spans="1:12" ht="15" hidden="1" x14ac:dyDescent="0.25">
      <c r="B244" s="223"/>
      <c r="C244" s="223" t="s">
        <v>188</v>
      </c>
      <c r="D244" s="169" t="s">
        <v>189</v>
      </c>
      <c r="E244" s="170" t="s">
        <v>124</v>
      </c>
      <c r="F244" s="175">
        <v>0.2</v>
      </c>
      <c r="G244" s="171">
        <f>+VLOOKUP(C244,'[112]Insumos-Equipo M_L'!$A$2:$D$166,4,FALSE)</f>
        <v>3427.3637189999999</v>
      </c>
      <c r="H244" s="224"/>
      <c r="I244" s="225"/>
      <c r="J244" s="225">
        <v>637.64906400000007</v>
      </c>
      <c r="K244" s="225"/>
    </row>
    <row r="245" spans="1:12" ht="15" hidden="1" x14ac:dyDescent="0.25">
      <c r="B245" s="223"/>
      <c r="C245" s="223" t="s">
        <v>119</v>
      </c>
      <c r="D245" s="169" t="s">
        <v>120</v>
      </c>
      <c r="E245" s="170" t="s">
        <v>87</v>
      </c>
      <c r="F245" s="226">
        <v>3.5999999999999997E-2</v>
      </c>
      <c r="G245" s="171">
        <f>+VLOOKUP(C245,'[113]Mano de Obra'!$A$7:$G$35,4,FALSE)</f>
        <v>213143</v>
      </c>
      <c r="H245" s="224"/>
      <c r="I245" s="225"/>
      <c r="J245" s="225"/>
      <c r="K245" s="225">
        <v>6831.2159999999994</v>
      </c>
    </row>
    <row r="246" spans="1:12" ht="15" hidden="1" x14ac:dyDescent="0.25">
      <c r="B246" s="223"/>
      <c r="C246" s="223"/>
      <c r="D246" s="169" t="s">
        <v>190</v>
      </c>
      <c r="E246" s="170" t="s">
        <v>91</v>
      </c>
      <c r="F246" s="178">
        <v>0.03</v>
      </c>
      <c r="G246" s="205">
        <f>+G240</f>
        <v>4340.0091605850002</v>
      </c>
      <c r="H246" s="224"/>
      <c r="I246" s="225"/>
      <c r="J246" s="225"/>
      <c r="K246" s="225">
        <v>124.75003075542003</v>
      </c>
    </row>
    <row r="247" spans="1:12" ht="15" hidden="1" x14ac:dyDescent="0.25">
      <c r="B247" s="223"/>
      <c r="C247" s="223"/>
      <c r="D247" s="169" t="s">
        <v>92</v>
      </c>
      <c r="E247" s="170" t="s">
        <v>91</v>
      </c>
      <c r="F247" s="178">
        <v>0.03</v>
      </c>
      <c r="G247" s="205">
        <f>+K245</f>
        <v>6831.2159999999994</v>
      </c>
      <c r="H247" s="224"/>
      <c r="I247" s="225"/>
      <c r="J247" s="225">
        <v>204.93647999999999</v>
      </c>
      <c r="K247" s="227"/>
    </row>
    <row r="248" spans="1:12" ht="15.6" hidden="1" x14ac:dyDescent="0.25">
      <c r="B248" s="228"/>
      <c r="C248" s="228"/>
      <c r="D248" s="229" t="s">
        <v>93</v>
      </c>
      <c r="E248" s="182">
        <f>+ROUND(SUM(I248:K248),0)</f>
        <v>16011</v>
      </c>
      <c r="F248" s="230"/>
      <c r="G248" s="231"/>
      <c r="H248" s="232"/>
      <c r="I248" s="186">
        <f>+ROUND(SUM(I239:I247),0)</f>
        <v>0</v>
      </c>
      <c r="J248" s="186">
        <f>+ROUND(SUM(J239:J247),0)</f>
        <v>9055</v>
      </c>
      <c r="K248" s="186">
        <f>+ROUND(SUM(K239:K247),0)</f>
        <v>6956</v>
      </c>
    </row>
    <row r="249" spans="1:12" hidden="1" x14ac:dyDescent="0.25"/>
    <row r="250" spans="1:12" ht="31.2" hidden="1" x14ac:dyDescent="0.25">
      <c r="A250" s="216"/>
      <c r="B250" s="233">
        <v>1.6</v>
      </c>
      <c r="C250" s="218"/>
      <c r="D250" s="219" t="s">
        <v>191</v>
      </c>
      <c r="E250" s="218"/>
      <c r="F250" s="163"/>
      <c r="G250" s="220"/>
      <c r="H250" s="221"/>
      <c r="I250" s="222"/>
      <c r="J250" s="222"/>
      <c r="K250" s="222"/>
      <c r="L250" s="166">
        <f>+E257</f>
        <v>15947</v>
      </c>
    </row>
    <row r="251" spans="1:12" ht="15" hidden="1" x14ac:dyDescent="0.25">
      <c r="B251" s="223"/>
      <c r="C251" s="223" t="s">
        <v>155</v>
      </c>
      <c r="D251" s="169" t="s">
        <v>156</v>
      </c>
      <c r="E251" s="170" t="s">
        <v>124</v>
      </c>
      <c r="F251" s="175">
        <v>0.375</v>
      </c>
      <c r="G251" s="171">
        <f>+VLOOKUP(C251,'[112]Insumos-Equipo M_L'!$A$2:$D$166,4,FALSE)</f>
        <v>8691.375</v>
      </c>
      <c r="H251" s="234"/>
      <c r="I251" s="225"/>
      <c r="J251" s="225">
        <v>3031.875</v>
      </c>
      <c r="K251" s="225"/>
    </row>
    <row r="252" spans="1:12" ht="15" hidden="1" x14ac:dyDescent="0.25">
      <c r="B252" s="223"/>
      <c r="C252" s="223" t="s">
        <v>157</v>
      </c>
      <c r="D252" s="169" t="s">
        <v>158</v>
      </c>
      <c r="E252" s="170" t="s">
        <v>124</v>
      </c>
      <c r="F252" s="175">
        <v>0.5</v>
      </c>
      <c r="G252" s="171">
        <f>+VLOOKUP(C252,'[112]Insumos-Equipo M_L'!$A$2:$D$166,4,FALSE)</f>
        <v>2285.7879572100001</v>
      </c>
      <c r="H252" s="234"/>
      <c r="I252" s="225"/>
      <c r="J252" s="225">
        <v>1063.1571894000001</v>
      </c>
      <c r="K252" s="225"/>
    </row>
    <row r="253" spans="1:12" ht="15" hidden="1" x14ac:dyDescent="0.25">
      <c r="B253" s="223"/>
      <c r="C253" s="223" t="s">
        <v>130</v>
      </c>
      <c r="D253" s="169" t="s">
        <v>131</v>
      </c>
      <c r="E253" s="170" t="s">
        <v>132</v>
      </c>
      <c r="F253" s="175">
        <v>0.1</v>
      </c>
      <c r="G253" s="171">
        <f>+VLOOKUP(C253,'[112]Insumos-Equipo M_L'!$A$2:$D$166,4,FALSE)</f>
        <v>3031.8986745000002</v>
      </c>
      <c r="H253" s="234"/>
      <c r="I253" s="225"/>
      <c r="J253" s="225">
        <v>282.03708600000004</v>
      </c>
      <c r="K253" s="225"/>
    </row>
    <row r="254" spans="1:12" ht="15" hidden="1" x14ac:dyDescent="0.25">
      <c r="B254" s="223"/>
      <c r="C254" s="223" t="s">
        <v>133</v>
      </c>
      <c r="D254" s="169" t="s">
        <v>134</v>
      </c>
      <c r="E254" s="170" t="s">
        <v>37</v>
      </c>
      <c r="F254" s="175">
        <v>8.0000000000000016E-2</v>
      </c>
      <c r="G254" s="171">
        <f>+VLOOKUP(C254,'[112]Insumos-Equipo M_L'!$A$2:$D$166,4,FALSE)</f>
        <v>48375</v>
      </c>
      <c r="H254" s="234"/>
      <c r="I254" s="225"/>
      <c r="J254" s="225">
        <v>3600.0000000000009</v>
      </c>
      <c r="K254" s="225"/>
    </row>
    <row r="255" spans="1:12" ht="15" hidden="1" x14ac:dyDescent="0.25">
      <c r="B255" s="223"/>
      <c r="C255" s="223" t="s">
        <v>119</v>
      </c>
      <c r="D255" s="169" t="s">
        <v>120</v>
      </c>
      <c r="E255" s="170" t="s">
        <v>87</v>
      </c>
      <c r="F255" s="226">
        <v>0.04</v>
      </c>
      <c r="G255" s="171">
        <f>+VLOOKUP(C255,'[113]Mano de Obra'!$A$7:$G$35,4,FALSE)</f>
        <v>213143</v>
      </c>
      <c r="H255" s="224"/>
      <c r="I255" s="225"/>
      <c r="J255" s="225"/>
      <c r="K255" s="225">
        <v>7590.24</v>
      </c>
    </row>
    <row r="256" spans="1:12" ht="15" hidden="1" x14ac:dyDescent="0.25">
      <c r="B256" s="223"/>
      <c r="C256" s="223"/>
      <c r="D256" s="169" t="s">
        <v>92</v>
      </c>
      <c r="E256" s="170" t="s">
        <v>91</v>
      </c>
      <c r="F256" s="178">
        <v>0.05</v>
      </c>
      <c r="G256" s="205">
        <f>+K255</f>
        <v>7590.24</v>
      </c>
      <c r="H256" s="224"/>
      <c r="I256" s="225"/>
      <c r="J256" s="225">
        <v>379.512</v>
      </c>
      <c r="K256" s="227"/>
    </row>
    <row r="257" spans="2:12" ht="15.6" hidden="1" x14ac:dyDescent="0.25">
      <c r="B257" s="228"/>
      <c r="C257" s="228"/>
      <c r="D257" s="229" t="s">
        <v>93</v>
      </c>
      <c r="E257" s="182">
        <f>+ROUND(SUM(I257:K257),0)</f>
        <v>15947</v>
      </c>
      <c r="F257" s="183"/>
      <c r="G257" s="184"/>
      <c r="H257" s="185"/>
      <c r="I257" s="186">
        <f>+ROUND(SUM(I251:I256),0)</f>
        <v>0</v>
      </c>
      <c r="J257" s="186">
        <f>+ROUND(SUM(J251:J256),0)</f>
        <v>8357</v>
      </c>
      <c r="K257" s="186">
        <f>+ROUND(SUM(K251:K256),0)</f>
        <v>7590</v>
      </c>
    </row>
    <row r="258" spans="2:12" hidden="1" x14ac:dyDescent="0.25"/>
    <row r="259" spans="2:12" hidden="1" x14ac:dyDescent="0.25"/>
    <row r="260" spans="2:12" ht="15.6" hidden="1" x14ac:dyDescent="0.25">
      <c r="B260" s="159">
        <v>2.0019999999999998</v>
      </c>
      <c r="C260" s="235"/>
      <c r="D260" s="161" t="s">
        <v>192</v>
      </c>
      <c r="E260" s="162"/>
      <c r="F260" s="163"/>
      <c r="G260" s="201"/>
      <c r="H260" s="203"/>
      <c r="I260" s="203"/>
      <c r="J260" s="203"/>
      <c r="K260" s="203"/>
      <c r="L260" s="166">
        <f>+E264</f>
        <v>49236</v>
      </c>
    </row>
    <row r="261" spans="2:12" ht="15" hidden="1" x14ac:dyDescent="0.25">
      <c r="B261" s="168"/>
      <c r="C261" s="168" t="s">
        <v>144</v>
      </c>
      <c r="D261" s="169" t="s">
        <v>145</v>
      </c>
      <c r="E261" s="170" t="s">
        <v>87</v>
      </c>
      <c r="F261" s="200">
        <v>0.58799999999999997</v>
      </c>
      <c r="G261" s="171">
        <f>+VLOOKUP(C261,'[113]Mano de Obra'!$A$7:$G$35,4,FALSE)</f>
        <v>76122</v>
      </c>
      <c r="H261" s="172"/>
      <c r="I261" s="174"/>
      <c r="J261" s="174"/>
      <c r="K261" s="174">
        <f>+(F261*G261*(1+H261))</f>
        <v>44759.735999999997</v>
      </c>
    </row>
    <row r="262" spans="2:12" ht="15" hidden="1" x14ac:dyDescent="0.25">
      <c r="B262" s="168"/>
      <c r="C262" s="179"/>
      <c r="D262" s="169" t="s">
        <v>90</v>
      </c>
      <c r="E262" s="170" t="s">
        <v>91</v>
      </c>
      <c r="F262" s="178">
        <v>0.05</v>
      </c>
      <c r="G262" s="205">
        <f>+K261</f>
        <v>44759.735999999997</v>
      </c>
      <c r="H262" s="172"/>
      <c r="I262" s="174"/>
      <c r="J262" s="174"/>
      <c r="K262" s="174">
        <f>+(F262*G262*(1+H262))</f>
        <v>2237.9868000000001</v>
      </c>
    </row>
    <row r="263" spans="2:12" ht="15" hidden="1" x14ac:dyDescent="0.25">
      <c r="B263" s="168"/>
      <c r="C263" s="179"/>
      <c r="D263" s="169" t="s">
        <v>92</v>
      </c>
      <c r="E263" s="170" t="s">
        <v>91</v>
      </c>
      <c r="F263" s="178">
        <v>0.05</v>
      </c>
      <c r="G263" s="205">
        <f>+K261</f>
        <v>44759.735999999997</v>
      </c>
      <c r="H263" s="172"/>
      <c r="I263" s="174"/>
      <c r="J263" s="174">
        <f>+(F263*G263*(1+H263))</f>
        <v>2237.9868000000001</v>
      </c>
      <c r="K263" s="179"/>
    </row>
    <row r="264" spans="2:12" ht="15.6" hidden="1" x14ac:dyDescent="0.25">
      <c r="B264" s="180"/>
      <c r="C264" s="180"/>
      <c r="D264" s="181" t="s">
        <v>93</v>
      </c>
      <c r="E264" s="182">
        <f>+ROUND(SUM(I264:K264),0)</f>
        <v>49236</v>
      </c>
      <c r="F264" s="183"/>
      <c r="G264" s="184"/>
      <c r="H264" s="196"/>
      <c r="I264" s="186">
        <f>+ROUND(SUM(I261:I263),0)</f>
        <v>0</v>
      </c>
      <c r="J264" s="186">
        <f>+ROUND(SUM(J261:J263),0)</f>
        <v>2238</v>
      </c>
      <c r="K264" s="186">
        <f>+ROUND(SUM(K261:K263),0)</f>
        <v>46998</v>
      </c>
    </row>
    <row r="265" spans="2:12" hidden="1" x14ac:dyDescent="0.25"/>
    <row r="266" spans="2:12" ht="15.6" hidden="1" x14ac:dyDescent="0.25">
      <c r="B266" s="236">
        <v>2.0419999999999998</v>
      </c>
      <c r="C266" s="237"/>
      <c r="D266" s="161" t="s">
        <v>193</v>
      </c>
      <c r="E266" s="162"/>
      <c r="F266" s="163"/>
      <c r="G266" s="201"/>
      <c r="H266" s="203"/>
      <c r="I266" s="203"/>
      <c r="J266" s="203"/>
      <c r="K266" s="203"/>
      <c r="L266" s="166">
        <f>+E270</f>
        <v>23343</v>
      </c>
    </row>
    <row r="267" spans="2:12" ht="15.6" hidden="1" x14ac:dyDescent="0.25">
      <c r="B267" s="238"/>
      <c r="C267" s="168" t="s">
        <v>194</v>
      </c>
      <c r="D267" s="169" t="s">
        <v>195</v>
      </c>
      <c r="E267" s="170" t="s">
        <v>196</v>
      </c>
      <c r="F267" s="175">
        <v>0.1</v>
      </c>
      <c r="G267" s="171">
        <f>+VLOOKUP(C267,'[112]Insumos-Equipo M_L'!$A$2:$D$166,4,FALSE)</f>
        <v>225670.06192499999</v>
      </c>
      <c r="H267" s="204"/>
      <c r="I267" s="174">
        <f>+(F267*G267*(1+H267))</f>
        <v>22567.006192500001</v>
      </c>
      <c r="J267" s="174"/>
      <c r="K267" s="239"/>
    </row>
    <row r="268" spans="2:12" ht="15" hidden="1" x14ac:dyDescent="0.25">
      <c r="B268" s="168"/>
      <c r="C268" s="168" t="s">
        <v>144</v>
      </c>
      <c r="D268" s="169" t="s">
        <v>145</v>
      </c>
      <c r="E268" s="170" t="s">
        <v>87</v>
      </c>
      <c r="F268" s="177">
        <v>0.01</v>
      </c>
      <c r="G268" s="171">
        <f>+VLOOKUP(C268,'[113]Mano de Obra'!$A$7:$G$35,4,FALSE)</f>
        <v>76122</v>
      </c>
      <c r="H268" s="172"/>
      <c r="I268" s="174"/>
      <c r="J268" s="174"/>
      <c r="K268" s="174">
        <f>+(F268*G268*(1+H268))</f>
        <v>761.22</v>
      </c>
    </row>
    <row r="269" spans="2:12" ht="15" hidden="1" x14ac:dyDescent="0.25">
      <c r="B269" s="168"/>
      <c r="C269" s="179"/>
      <c r="D269" s="169" t="s">
        <v>92</v>
      </c>
      <c r="E269" s="170" t="s">
        <v>91</v>
      </c>
      <c r="F269" s="178">
        <v>0.02</v>
      </c>
      <c r="G269" s="205">
        <f>+K268</f>
        <v>761.22</v>
      </c>
      <c r="H269" s="172"/>
      <c r="I269" s="174"/>
      <c r="J269" s="174">
        <f>+(F269*G269*(1+H269))</f>
        <v>15.224400000000001</v>
      </c>
      <c r="K269" s="179"/>
    </row>
    <row r="270" spans="2:12" ht="15.6" hidden="1" x14ac:dyDescent="0.25">
      <c r="B270" s="180"/>
      <c r="C270" s="180"/>
      <c r="D270" s="181" t="s">
        <v>93</v>
      </c>
      <c r="E270" s="182">
        <f>+ROUND(SUM(I270:K270),0)</f>
        <v>23343</v>
      </c>
      <c r="F270" s="183"/>
      <c r="G270" s="184"/>
      <c r="H270" s="196"/>
      <c r="I270" s="186">
        <f>+ROUND(SUM(I267:I269),0)</f>
        <v>22567</v>
      </c>
      <c r="J270" s="186">
        <f>+ROUND(SUM(J267:J269),0)</f>
        <v>15</v>
      </c>
      <c r="K270" s="186">
        <f>+ROUND(SUM(K267:K269),0)</f>
        <v>761</v>
      </c>
    </row>
    <row r="271" spans="2:12" hidden="1" x14ac:dyDescent="0.25"/>
    <row r="272" spans="2:12" ht="15.6" hidden="1" x14ac:dyDescent="0.25">
      <c r="B272" s="240">
        <v>2.069</v>
      </c>
      <c r="C272" s="237"/>
      <c r="D272" s="161" t="s">
        <v>197</v>
      </c>
      <c r="E272" s="162"/>
      <c r="F272" s="163"/>
      <c r="G272" s="201"/>
      <c r="H272" s="203"/>
      <c r="I272" s="203"/>
      <c r="J272" s="203"/>
      <c r="K272" s="203"/>
      <c r="L272" s="166">
        <f>+E278</f>
        <v>626861</v>
      </c>
    </row>
    <row r="273" spans="1:12" ht="15" hidden="1" x14ac:dyDescent="0.25">
      <c r="B273" s="168"/>
      <c r="C273" s="168" t="s">
        <v>139</v>
      </c>
      <c r="D273" s="169" t="s">
        <v>140</v>
      </c>
      <c r="E273" s="170" t="s">
        <v>87</v>
      </c>
      <c r="F273" s="177">
        <v>1.328077</v>
      </c>
      <c r="G273" s="171">
        <f>+VLOOKUP(C273,'[113]Mano de Obra'!$A$7:$G$35,4,FALSE)</f>
        <v>289265</v>
      </c>
      <c r="H273" s="172"/>
      <c r="I273" s="174"/>
      <c r="J273" s="174"/>
      <c r="K273" s="174">
        <f>+(F273*G273*(1+H273))</f>
        <v>384166.19340499997</v>
      </c>
    </row>
    <row r="274" spans="1:12" ht="15" hidden="1" x14ac:dyDescent="0.25">
      <c r="B274" s="168"/>
      <c r="C274" s="168" t="s">
        <v>198</v>
      </c>
      <c r="D274" s="169" t="s">
        <v>199</v>
      </c>
      <c r="E274" s="170" t="s">
        <v>200</v>
      </c>
      <c r="F274" s="175">
        <v>1.328077</v>
      </c>
      <c r="G274" s="171">
        <f>+VLOOKUP(C274,'[112]Insumos-Equipo M_L'!$A$2:$D$166,4,FALSE)</f>
        <v>21500</v>
      </c>
      <c r="H274" s="204"/>
      <c r="I274" s="174">
        <f>+(F274*G274*(1+H274))</f>
        <v>28553.655500000001</v>
      </c>
      <c r="J274" s="174"/>
      <c r="K274" s="174"/>
      <c r="L274" s="157">
        <v>412588.57</v>
      </c>
    </row>
    <row r="275" spans="1:12" ht="15" hidden="1" x14ac:dyDescent="0.25">
      <c r="B275" s="168"/>
      <c r="C275" s="169" t="s">
        <v>201</v>
      </c>
      <c r="D275" s="169" t="s">
        <v>202</v>
      </c>
      <c r="E275" s="170" t="s">
        <v>203</v>
      </c>
      <c r="F275" s="175">
        <v>5</v>
      </c>
      <c r="G275" s="171">
        <f>+VLOOKUP(C275,'[112]Insumos-Equipo M_L'!$A$2:$D$166,4,FALSE)</f>
        <v>32805.99</v>
      </c>
      <c r="H275" s="204"/>
      <c r="I275" s="174">
        <f>+(F275*G275*(1+H275))</f>
        <v>164029.94999999998</v>
      </c>
      <c r="J275" s="174"/>
      <c r="K275" s="174"/>
    </row>
    <row r="276" spans="1:12" ht="15" hidden="1" x14ac:dyDescent="0.25">
      <c r="B276" s="168"/>
      <c r="C276" s="179"/>
      <c r="D276" s="169" t="s">
        <v>90</v>
      </c>
      <c r="E276" s="170" t="s">
        <v>91</v>
      </c>
      <c r="F276" s="178">
        <v>0.1</v>
      </c>
      <c r="G276" s="205">
        <v>309030</v>
      </c>
      <c r="H276" s="172"/>
      <c r="I276" s="174"/>
      <c r="J276" s="174"/>
      <c r="K276" s="174">
        <f>+(F276*G276*(1+H276))</f>
        <v>30903</v>
      </c>
    </row>
    <row r="277" spans="1:12" ht="15" hidden="1" x14ac:dyDescent="0.25">
      <c r="B277" s="168"/>
      <c r="C277" s="179"/>
      <c r="D277" s="169" t="s">
        <v>92</v>
      </c>
      <c r="E277" s="170" t="s">
        <v>91</v>
      </c>
      <c r="F277" s="178">
        <v>0.05</v>
      </c>
      <c r="G277" s="205">
        <f>+K273</f>
        <v>384166.19340499997</v>
      </c>
      <c r="H277" s="172"/>
      <c r="I277" s="174"/>
      <c r="J277" s="174">
        <f>+(F277*G277*(1+H277))</f>
        <v>19208.309670250001</v>
      </c>
      <c r="K277" s="179"/>
    </row>
    <row r="278" spans="1:12" ht="15.6" hidden="1" x14ac:dyDescent="0.25">
      <c r="B278" s="180"/>
      <c r="C278" s="180"/>
      <c r="D278" s="181" t="s">
        <v>93</v>
      </c>
      <c r="E278" s="182">
        <f>+ROUND(SUM(I278:K278),0)</f>
        <v>626861</v>
      </c>
      <c r="F278" s="183"/>
      <c r="G278" s="184"/>
      <c r="H278" s="196"/>
      <c r="I278" s="186">
        <f>+ROUND(SUM(I273:I277),0)</f>
        <v>192584</v>
      </c>
      <c r="J278" s="186">
        <f>+ROUND(SUM(J273:J277),0)</f>
        <v>19208</v>
      </c>
      <c r="K278" s="186">
        <f>+ROUND(SUM(K273:K277),0)</f>
        <v>415069</v>
      </c>
      <c r="L278" s="157">
        <v>626861</v>
      </c>
    </row>
    <row r="279" spans="1:12" hidden="1" x14ac:dyDescent="0.25"/>
    <row r="280" spans="1:12" ht="15.6" hidden="1" x14ac:dyDescent="0.25">
      <c r="B280" s="236">
        <v>2.0510000000000002</v>
      </c>
      <c r="C280" s="237"/>
      <c r="D280" s="161" t="s">
        <v>204</v>
      </c>
      <c r="E280" s="162"/>
      <c r="F280" s="163"/>
      <c r="G280" s="201"/>
      <c r="H280" s="203"/>
      <c r="I280" s="203"/>
      <c r="J280" s="203"/>
      <c r="K280" s="203"/>
      <c r="L280" s="166">
        <f>+E285</f>
        <v>337826</v>
      </c>
    </row>
    <row r="281" spans="1:12" ht="15" hidden="1" x14ac:dyDescent="0.25">
      <c r="B281" s="168"/>
      <c r="C281" s="168" t="s">
        <v>119</v>
      </c>
      <c r="D281" s="169" t="s">
        <v>120</v>
      </c>
      <c r="E281" s="170" t="s">
        <v>87</v>
      </c>
      <c r="F281" s="177">
        <v>1.2740750000000001</v>
      </c>
      <c r="G281" s="171">
        <f>+VLOOKUP(C281,'[113]Mano de Obra'!$A$7:$G$35,4,FALSE)</f>
        <v>213143</v>
      </c>
      <c r="H281" s="172"/>
      <c r="I281" s="174"/>
      <c r="J281" s="174"/>
      <c r="K281" s="174">
        <f>+(F281*G281*(1+H281))</f>
        <v>271560.16772500001</v>
      </c>
    </row>
    <row r="282" spans="1:12" ht="15" hidden="1" x14ac:dyDescent="0.25">
      <c r="B282" s="168"/>
      <c r="C282" s="168" t="s">
        <v>198</v>
      </c>
      <c r="D282" s="169" t="s">
        <v>199</v>
      </c>
      <c r="E282" s="170" t="s">
        <v>200</v>
      </c>
      <c r="F282" s="175">
        <v>1.2740750000000001</v>
      </c>
      <c r="G282" s="171">
        <f>+VLOOKUP(C282,'[112]Insumos-Equipo M_L'!$A$2:$D$166,4,FALSE)</f>
        <v>21500</v>
      </c>
      <c r="H282" s="204"/>
      <c r="I282" s="174">
        <f>+(F282*G282*(1+H282))</f>
        <v>27392.612500000003</v>
      </c>
      <c r="J282" s="174"/>
      <c r="K282" s="174"/>
    </row>
    <row r="283" spans="1:12" ht="15" hidden="1" x14ac:dyDescent="0.25">
      <c r="B283" s="168"/>
      <c r="C283" s="179"/>
      <c r="D283" s="169" t="s">
        <v>90</v>
      </c>
      <c r="E283" s="170" t="s">
        <v>91</v>
      </c>
      <c r="F283" s="178">
        <v>0.1</v>
      </c>
      <c r="G283" s="205">
        <v>252944.74799999999</v>
      </c>
      <c r="H283" s="172"/>
      <c r="I283" s="174"/>
      <c r="J283" s="174"/>
      <c r="K283" s="174">
        <f>+(F283*G283*(1+H283))</f>
        <v>25294.4748</v>
      </c>
    </row>
    <row r="284" spans="1:12" ht="15" hidden="1" x14ac:dyDescent="0.25">
      <c r="B284" s="168"/>
      <c r="C284" s="179"/>
      <c r="D284" s="169" t="s">
        <v>92</v>
      </c>
      <c r="E284" s="170" t="s">
        <v>91</v>
      </c>
      <c r="F284" s="178">
        <v>0.05</v>
      </c>
      <c r="G284" s="205">
        <f>+K281</f>
        <v>271560.16772500001</v>
      </c>
      <c r="H284" s="172"/>
      <c r="I284" s="174"/>
      <c r="J284" s="174">
        <f>+(F284*G284*(1+H284))</f>
        <v>13578.008386250001</v>
      </c>
      <c r="K284" s="179"/>
    </row>
    <row r="285" spans="1:12" ht="15.6" hidden="1" x14ac:dyDescent="0.25">
      <c r="B285" s="180"/>
      <c r="C285" s="180"/>
      <c r="D285" s="181" t="s">
        <v>93</v>
      </c>
      <c r="E285" s="182">
        <f>+ROUND(SUM(I285:K285),0)</f>
        <v>337826</v>
      </c>
      <c r="F285" s="183"/>
      <c r="G285" s="184"/>
      <c r="H285" s="196"/>
      <c r="I285" s="186">
        <f>+ROUND(SUM(I281:I284),0)</f>
        <v>27393</v>
      </c>
      <c r="J285" s="186">
        <f>+ROUND(SUM(J281:J284),0)</f>
        <v>13578</v>
      </c>
      <c r="K285" s="186">
        <f>+ROUND(SUM(K281:K284),0)</f>
        <v>296855</v>
      </c>
      <c r="L285" s="157">
        <v>337826</v>
      </c>
    </row>
    <row r="286" spans="1:12" hidden="1" x14ac:dyDescent="0.25"/>
    <row r="287" spans="1:12" ht="15.6" hidden="1" x14ac:dyDescent="0.25">
      <c r="A287" s="241"/>
      <c r="B287" s="236">
        <v>2.5</v>
      </c>
      <c r="C287" s="237"/>
      <c r="D287" s="161" t="s">
        <v>205</v>
      </c>
      <c r="E287" s="162"/>
      <c r="F287" s="163"/>
      <c r="G287" s="201"/>
      <c r="H287" s="203"/>
      <c r="I287" s="203"/>
      <c r="J287" s="203"/>
      <c r="K287" s="203"/>
      <c r="L287" s="166">
        <f>+E296</f>
        <v>381210</v>
      </c>
    </row>
    <row r="288" spans="1:12" ht="15" hidden="1" x14ac:dyDescent="0.25">
      <c r="C288" s="168" t="s">
        <v>119</v>
      </c>
      <c r="D288" s="169" t="s">
        <v>120</v>
      </c>
      <c r="E288" s="170" t="s">
        <v>87</v>
      </c>
      <c r="F288" s="177">
        <v>0.9</v>
      </c>
      <c r="G288" s="205">
        <v>189756</v>
      </c>
      <c r="H288" s="172"/>
      <c r="I288" s="174"/>
      <c r="J288" s="174"/>
      <c r="K288" s="174">
        <f t="shared" ref="K288:K294" si="1">+(F288*G288*(1+H288))</f>
        <v>170780.4</v>
      </c>
    </row>
    <row r="289" spans="2:12" ht="15" hidden="1" x14ac:dyDescent="0.25">
      <c r="C289" s="242" t="s">
        <v>206</v>
      </c>
      <c r="D289" s="243" t="s">
        <v>207</v>
      </c>
      <c r="E289" s="242" t="s">
        <v>208</v>
      </c>
      <c r="F289" s="244">
        <v>0.9</v>
      </c>
      <c r="G289" s="205">
        <v>90000</v>
      </c>
      <c r="H289" s="172"/>
      <c r="I289" s="174">
        <f>+F289*G289</f>
        <v>81000</v>
      </c>
      <c r="J289" s="174"/>
      <c r="K289" s="174"/>
    </row>
    <row r="290" spans="2:12" ht="15" hidden="1" x14ac:dyDescent="0.25">
      <c r="C290" s="168"/>
      <c r="D290" s="169" t="s">
        <v>209</v>
      </c>
      <c r="E290" s="170" t="s">
        <v>210</v>
      </c>
      <c r="F290" s="170">
        <v>0.08</v>
      </c>
      <c r="G290" s="245">
        <v>562900</v>
      </c>
      <c r="H290" s="169"/>
      <c r="I290" s="169"/>
      <c r="J290" s="174">
        <f>+F290*G290</f>
        <v>45032</v>
      </c>
      <c r="K290" s="174"/>
    </row>
    <row r="291" spans="2:12" ht="15" hidden="1" x14ac:dyDescent="0.25">
      <c r="C291" s="168"/>
      <c r="D291" s="169" t="s">
        <v>211</v>
      </c>
      <c r="E291" s="170" t="s">
        <v>212</v>
      </c>
      <c r="F291" s="170">
        <v>0.2</v>
      </c>
      <c r="G291" s="245">
        <v>56547</v>
      </c>
      <c r="H291" s="169"/>
      <c r="I291" s="169">
        <f>+G291*F291</f>
        <v>11309.400000000001</v>
      </c>
      <c r="J291" s="174"/>
      <c r="K291" s="174"/>
    </row>
    <row r="292" spans="2:12" ht="15" hidden="1" x14ac:dyDescent="0.25">
      <c r="C292" s="168"/>
      <c r="D292" s="169" t="s">
        <v>213</v>
      </c>
      <c r="E292" s="170" t="s">
        <v>212</v>
      </c>
      <c r="F292" s="170">
        <v>0.3</v>
      </c>
      <c r="G292" s="245">
        <v>75000</v>
      </c>
      <c r="H292" s="169"/>
      <c r="I292" s="169">
        <f>+G292*F292</f>
        <v>22500</v>
      </c>
      <c r="J292" s="174"/>
      <c r="K292" s="174"/>
    </row>
    <row r="293" spans="2:12" ht="15" hidden="1" x14ac:dyDescent="0.25">
      <c r="C293" s="179"/>
      <c r="D293" s="169" t="s">
        <v>90</v>
      </c>
      <c r="E293" s="170" t="s">
        <v>91</v>
      </c>
      <c r="F293" s="178">
        <v>0.1</v>
      </c>
      <c r="G293" s="205">
        <v>252944.74799999999</v>
      </c>
      <c r="H293" s="172"/>
      <c r="I293" s="174"/>
      <c r="J293" s="174"/>
      <c r="K293" s="174">
        <f t="shared" si="1"/>
        <v>25294.4748</v>
      </c>
    </row>
    <row r="294" spans="2:12" ht="15" hidden="1" x14ac:dyDescent="0.25">
      <c r="C294" s="179"/>
      <c r="D294" s="169" t="s">
        <v>214</v>
      </c>
      <c r="E294" s="170" t="s">
        <v>91</v>
      </c>
      <c r="F294" s="178">
        <v>0.05</v>
      </c>
      <c r="G294" s="205">
        <v>252944.74799999999</v>
      </c>
      <c r="H294" s="172"/>
      <c r="I294" s="174"/>
      <c r="J294" s="174"/>
      <c r="K294" s="174">
        <f t="shared" si="1"/>
        <v>12647.2374</v>
      </c>
    </row>
    <row r="295" spans="2:12" ht="15" hidden="1" x14ac:dyDescent="0.25">
      <c r="C295" s="179"/>
      <c r="D295" s="169" t="s">
        <v>92</v>
      </c>
      <c r="E295" s="170" t="s">
        <v>91</v>
      </c>
      <c r="F295" s="178">
        <v>0.05</v>
      </c>
      <c r="G295" s="205">
        <v>252944.74799999999</v>
      </c>
      <c r="H295" s="172"/>
      <c r="I295" s="174"/>
      <c r="J295" s="174">
        <f>+(F295*G295*(1+H295))</f>
        <v>12647.2374</v>
      </c>
      <c r="K295" s="179"/>
    </row>
    <row r="296" spans="2:12" ht="15.6" hidden="1" x14ac:dyDescent="0.25">
      <c r="C296" s="180"/>
      <c r="D296" s="246" t="s">
        <v>93</v>
      </c>
      <c r="E296" s="182">
        <f>+ROUND(SUM(I296:K296),0)</f>
        <v>381210</v>
      </c>
      <c r="F296" s="247"/>
      <c r="G296" s="184"/>
      <c r="H296" s="248"/>
      <c r="I296" s="186">
        <f>+ROUND(SUM(I288:I295),0)</f>
        <v>114809</v>
      </c>
      <c r="J296" s="186">
        <f>+ROUND(SUM(J288:J295),0)</f>
        <v>57679</v>
      </c>
      <c r="K296" s="186">
        <f>+ROUND(SUM(K288:K295),0)</f>
        <v>208722</v>
      </c>
    </row>
    <row r="297" spans="2:12" hidden="1" x14ac:dyDescent="0.25"/>
    <row r="298" spans="2:12" ht="15.6" hidden="1" x14ac:dyDescent="0.25">
      <c r="B298" s="249">
        <v>2.077</v>
      </c>
      <c r="C298" s="237"/>
      <c r="D298" s="161" t="s">
        <v>215</v>
      </c>
      <c r="E298" s="162"/>
      <c r="F298" s="163"/>
      <c r="G298" s="201"/>
      <c r="H298" s="203"/>
      <c r="I298" s="203"/>
      <c r="J298" s="203"/>
      <c r="K298" s="203"/>
      <c r="L298" s="166">
        <f>+E304</f>
        <v>109977</v>
      </c>
    </row>
    <row r="299" spans="2:12" ht="15.6" hidden="1" x14ac:dyDescent="0.25">
      <c r="B299" s="238"/>
      <c r="C299" s="168" t="s">
        <v>216</v>
      </c>
      <c r="D299" s="169" t="s">
        <v>217</v>
      </c>
      <c r="E299" s="170" t="s">
        <v>87</v>
      </c>
      <c r="F299" s="175">
        <v>0.05</v>
      </c>
      <c r="G299" s="171">
        <f>+VLOOKUP(C299,'[112]Insumos-Equipo M_L'!$A$2:$D$166,4,FALSE)</f>
        <v>63491.865000000005</v>
      </c>
      <c r="H299" s="204"/>
      <c r="I299" s="174">
        <f>+(F299*G299*(1+H299))</f>
        <v>3174.5932500000004</v>
      </c>
      <c r="J299" s="174"/>
      <c r="K299" s="239"/>
    </row>
    <row r="300" spans="2:12" ht="15.6" hidden="1" x14ac:dyDescent="0.25">
      <c r="B300" s="238"/>
      <c r="C300" s="168" t="s">
        <v>133</v>
      </c>
      <c r="D300" s="169" t="s">
        <v>134</v>
      </c>
      <c r="E300" s="170" t="s">
        <v>37</v>
      </c>
      <c r="F300" s="170">
        <v>1</v>
      </c>
      <c r="G300" s="171">
        <f>+VLOOKUP(C300,'[112]Insumos-Equipo M_L'!$A$2:$D$166,4,FALSE)</f>
        <v>48375</v>
      </c>
      <c r="H300" s="172">
        <v>0.3</v>
      </c>
      <c r="I300" s="174"/>
      <c r="J300" s="174">
        <f>+(F300*G300*(1+H300))</f>
        <v>62887.5</v>
      </c>
      <c r="K300" s="239"/>
    </row>
    <row r="301" spans="2:12" ht="15" hidden="1" x14ac:dyDescent="0.25">
      <c r="B301" s="168"/>
      <c r="C301" s="168" t="s">
        <v>169</v>
      </c>
      <c r="D301" s="169" t="s">
        <v>170</v>
      </c>
      <c r="E301" s="170" t="s">
        <v>87</v>
      </c>
      <c r="F301" s="250">
        <v>0.3</v>
      </c>
      <c r="G301" s="171">
        <f>+VLOOKUP(C301,'[113]Mano de Obra'!$A$7:$G$35,4,FALSE)</f>
        <v>135540</v>
      </c>
      <c r="H301" s="172"/>
      <c r="I301" s="174"/>
      <c r="J301" s="174"/>
      <c r="K301" s="174">
        <f>+(F301*G301*(1+H301))</f>
        <v>40662</v>
      </c>
    </row>
    <row r="302" spans="2:12" ht="15" hidden="1" x14ac:dyDescent="0.25">
      <c r="B302" s="168"/>
      <c r="C302" s="179"/>
      <c r="D302" s="169" t="s">
        <v>90</v>
      </c>
      <c r="E302" s="170" t="s">
        <v>91</v>
      </c>
      <c r="F302" s="178">
        <v>0.05</v>
      </c>
      <c r="G302" s="205">
        <f>+K301</f>
        <v>40662</v>
      </c>
      <c r="H302" s="172"/>
      <c r="I302" s="174"/>
      <c r="J302" s="174"/>
      <c r="K302" s="174">
        <f>+(F302*G302*(1+H302))</f>
        <v>2033.1000000000001</v>
      </c>
    </row>
    <row r="303" spans="2:12" ht="15" hidden="1" x14ac:dyDescent="0.25">
      <c r="B303" s="168"/>
      <c r="C303" s="179"/>
      <c r="D303" s="169" t="s">
        <v>92</v>
      </c>
      <c r="E303" s="170" t="s">
        <v>91</v>
      </c>
      <c r="F303" s="178">
        <v>0.03</v>
      </c>
      <c r="G303" s="205">
        <f>+K301</f>
        <v>40662</v>
      </c>
      <c r="H303" s="172"/>
      <c r="I303" s="174"/>
      <c r="J303" s="174">
        <f>+(F303*G303*(1+H303))</f>
        <v>1219.8599999999999</v>
      </c>
      <c r="K303" s="179"/>
    </row>
    <row r="304" spans="2:12" ht="15.6" hidden="1" x14ac:dyDescent="0.25">
      <c r="B304" s="180"/>
      <c r="C304" s="180"/>
      <c r="D304" s="181" t="s">
        <v>93</v>
      </c>
      <c r="E304" s="182">
        <f>+ROUND(SUM(I304:K304),0)</f>
        <v>109977</v>
      </c>
      <c r="F304" s="183"/>
      <c r="G304" s="184"/>
      <c r="H304" s="196"/>
      <c r="I304" s="186">
        <f>+ROUND(SUM(I299:I303),0)</f>
        <v>3175</v>
      </c>
      <c r="J304" s="186">
        <f>+ROUND(SUM(J299:J303),0)</f>
        <v>64107</v>
      </c>
      <c r="K304" s="186">
        <f>+ROUND(SUM(K299:K303),0)</f>
        <v>42695</v>
      </c>
    </row>
    <row r="305" spans="2:12" hidden="1" x14ac:dyDescent="0.25"/>
    <row r="306" spans="2:12" ht="15.6" hidden="1" x14ac:dyDescent="0.25">
      <c r="B306" s="159">
        <v>13.031000000000001</v>
      </c>
      <c r="C306" s="160"/>
      <c r="D306" s="161" t="s">
        <v>44</v>
      </c>
      <c r="E306" s="162"/>
      <c r="F306" s="163"/>
      <c r="G306" s="201"/>
      <c r="H306" s="203"/>
      <c r="I306" s="203"/>
      <c r="J306" s="203"/>
      <c r="K306" s="203"/>
      <c r="L306" s="166">
        <f>+E314</f>
        <v>142297</v>
      </c>
    </row>
    <row r="307" spans="2:12" ht="15" hidden="1" x14ac:dyDescent="0.25">
      <c r="B307" s="168"/>
      <c r="C307" s="168" t="s">
        <v>218</v>
      </c>
      <c r="D307" s="169" t="s">
        <v>219</v>
      </c>
      <c r="E307" s="170" t="s">
        <v>196</v>
      </c>
      <c r="F307" s="175">
        <v>7.0999999999999994E-2</v>
      </c>
      <c r="G307" s="171">
        <f>+VLOOKUP(C307,'[112]Insumos-Equipo M_L'!$A$2:$D$166,4,FALSE)</f>
        <v>198316.11502500001</v>
      </c>
      <c r="H307" s="204"/>
      <c r="I307" s="174">
        <f>+(F307*G307*(1+H307))</f>
        <v>14080.444166775</v>
      </c>
      <c r="J307" s="174"/>
      <c r="K307" s="174"/>
    </row>
    <row r="308" spans="2:12" ht="15" hidden="1" x14ac:dyDescent="0.25">
      <c r="B308" s="168"/>
      <c r="C308" s="168" t="s">
        <v>220</v>
      </c>
      <c r="D308" s="169" t="s">
        <v>221</v>
      </c>
      <c r="E308" s="170" t="s">
        <v>196</v>
      </c>
      <c r="F308" s="175">
        <v>7.0999999999999994E-2</v>
      </c>
      <c r="G308" s="171">
        <f>+VLOOKUP(C308,'[112]Insumos-Equipo M_L'!$A$2:$D$166,4,FALSE)</f>
        <v>118250</v>
      </c>
      <c r="H308" s="204"/>
      <c r="I308" s="174">
        <f>+(F308*G308*(1+H308))</f>
        <v>8395.75</v>
      </c>
      <c r="J308" s="174"/>
      <c r="K308" s="174"/>
    </row>
    <row r="309" spans="2:12" ht="15" hidden="1" x14ac:dyDescent="0.25">
      <c r="B309" s="168"/>
      <c r="C309" s="168" t="s">
        <v>222</v>
      </c>
      <c r="D309" s="169" t="s">
        <v>223</v>
      </c>
      <c r="E309" s="170" t="s">
        <v>37</v>
      </c>
      <c r="F309" s="176">
        <v>1</v>
      </c>
      <c r="G309" s="171">
        <f>+VLOOKUP(C309,'[112]Insumos-Equipo M_L'!$A$2:$D$166,4,FALSE)</f>
        <v>86000</v>
      </c>
      <c r="H309" s="172">
        <v>0.3</v>
      </c>
      <c r="I309" s="174"/>
      <c r="J309" s="174">
        <f>+(F309*G309*(1+H309))</f>
        <v>111800</v>
      </c>
      <c r="K309" s="174"/>
    </row>
    <row r="310" spans="2:12" ht="15" hidden="1" x14ac:dyDescent="0.25">
      <c r="B310" s="168"/>
      <c r="C310" s="168" t="s">
        <v>224</v>
      </c>
      <c r="D310" s="169" t="s">
        <v>225</v>
      </c>
      <c r="E310" s="170" t="s">
        <v>196</v>
      </c>
      <c r="F310" s="170">
        <v>0.01</v>
      </c>
      <c r="G310" s="171">
        <f>+VLOOKUP(C310,'[112]Insumos-Equipo M_L'!$A$2:$D$166,4,FALSE)</f>
        <v>96750</v>
      </c>
      <c r="H310" s="204"/>
      <c r="I310" s="174">
        <f>+(F310*G310*(1+H310))</f>
        <v>967.5</v>
      </c>
      <c r="J310" s="174"/>
      <c r="K310" s="174"/>
    </row>
    <row r="311" spans="2:12" ht="15" hidden="1" x14ac:dyDescent="0.25">
      <c r="B311" s="168"/>
      <c r="C311" s="168" t="s">
        <v>226</v>
      </c>
      <c r="D311" s="169" t="s">
        <v>227</v>
      </c>
      <c r="E311" s="170" t="s">
        <v>124</v>
      </c>
      <c r="F311" s="175">
        <v>1.2999999999999999E-2</v>
      </c>
      <c r="G311" s="171">
        <f>+VLOOKUP(C311,'[112]Insumos-Equipo M_L'!$A$2:$D$166,4,FALSE)</f>
        <v>75296.544472800015</v>
      </c>
      <c r="H311" s="172"/>
      <c r="I311" s="174"/>
      <c r="J311" s="174">
        <f>+(F311*G311*(1+H311))</f>
        <v>978.85507814640016</v>
      </c>
      <c r="K311" s="174"/>
    </row>
    <row r="312" spans="2:12" ht="15" hidden="1" x14ac:dyDescent="0.25">
      <c r="B312" s="251"/>
      <c r="C312" s="251" t="s">
        <v>139</v>
      </c>
      <c r="D312" s="252" t="s">
        <v>140</v>
      </c>
      <c r="E312" s="253" t="s">
        <v>87</v>
      </c>
      <c r="F312" s="254">
        <v>0.02</v>
      </c>
      <c r="G312" s="171">
        <f>+VLOOKUP(C312,'[113]Mano de Obra'!$A$7:$G$35,4,FALSE)</f>
        <v>289265</v>
      </c>
      <c r="H312" s="255"/>
      <c r="I312" s="256"/>
      <c r="J312" s="256"/>
      <c r="K312" s="174">
        <f>+(F312*G312*(1+H312))</f>
        <v>5785.3</v>
      </c>
    </row>
    <row r="313" spans="2:12" ht="15" hidden="1" x14ac:dyDescent="0.25">
      <c r="B313" s="168"/>
      <c r="C313" s="168"/>
      <c r="D313" s="169" t="s">
        <v>92</v>
      </c>
      <c r="E313" s="170" t="s">
        <v>91</v>
      </c>
      <c r="F313" s="178">
        <v>0.05</v>
      </c>
      <c r="G313" s="205">
        <f>+K312</f>
        <v>5785.3</v>
      </c>
      <c r="H313" s="172"/>
      <c r="I313" s="174"/>
      <c r="J313" s="174">
        <f>+(F313*G313*(1+H313))</f>
        <v>289.26500000000004</v>
      </c>
      <c r="K313" s="179"/>
    </row>
    <row r="314" spans="2:12" ht="15.6" hidden="1" x14ac:dyDescent="0.25">
      <c r="B314" s="180"/>
      <c r="C314" s="180"/>
      <c r="D314" s="181" t="s">
        <v>93</v>
      </c>
      <c r="E314" s="182">
        <f>+ROUND(SUM(I314:K314),0)</f>
        <v>142297</v>
      </c>
      <c r="F314" s="183"/>
      <c r="G314" s="184"/>
      <c r="H314" s="196"/>
      <c r="I314" s="186">
        <f>+ROUND(SUM(I307:I313),0)</f>
        <v>23444</v>
      </c>
      <c r="J314" s="186">
        <f>+ROUND(SUM(J307:J313),0)</f>
        <v>113068</v>
      </c>
      <c r="K314" s="186">
        <f>+ROUND(SUM(K307:K313),0)</f>
        <v>5785</v>
      </c>
    </row>
    <row r="315" spans="2:12" hidden="1" x14ac:dyDescent="0.25"/>
    <row r="316" spans="2:12" ht="15.6" hidden="1" x14ac:dyDescent="0.25">
      <c r="B316" s="257">
        <v>12.169</v>
      </c>
      <c r="C316" s="160"/>
      <c r="D316" s="161" t="s">
        <v>228</v>
      </c>
      <c r="E316" s="207"/>
      <c r="F316" s="162"/>
      <c r="G316" s="201"/>
      <c r="H316" s="203"/>
      <c r="I316" s="203"/>
      <c r="J316" s="203"/>
      <c r="K316" s="203"/>
      <c r="L316" s="166">
        <f>+E327</f>
        <v>657420</v>
      </c>
    </row>
    <row r="317" spans="2:12" ht="15" hidden="1" x14ac:dyDescent="0.25">
      <c r="B317" s="168"/>
      <c r="C317" s="168" t="s">
        <v>229</v>
      </c>
      <c r="D317" s="169" t="s">
        <v>230</v>
      </c>
      <c r="E317" s="170" t="s">
        <v>37</v>
      </c>
      <c r="F317" s="176">
        <v>1</v>
      </c>
      <c r="G317" s="171">
        <f>E12</f>
        <v>475645</v>
      </c>
      <c r="H317" s="172">
        <v>0.05</v>
      </c>
      <c r="I317" s="174"/>
      <c r="J317" s="174">
        <f t="shared" ref="J317:J323" si="2">+(F317*G317*(1+H317))</f>
        <v>499427.25</v>
      </c>
      <c r="K317" s="174"/>
    </row>
    <row r="318" spans="2:12" ht="15" hidden="1" x14ac:dyDescent="0.25">
      <c r="B318" s="168"/>
      <c r="C318" s="168" t="s">
        <v>122</v>
      </c>
      <c r="D318" s="169" t="s">
        <v>123</v>
      </c>
      <c r="E318" s="170" t="s">
        <v>124</v>
      </c>
      <c r="F318" s="175">
        <v>0.66700000000000004</v>
      </c>
      <c r="G318" s="171">
        <f>+VLOOKUP(C318,'[112]Insumos-Equipo M_L'!$A$2:$D$166,4,FALSE)</f>
        <v>17200</v>
      </c>
      <c r="H318" s="172"/>
      <c r="I318" s="174"/>
      <c r="J318" s="174">
        <f t="shared" si="2"/>
        <v>11472.400000000001</v>
      </c>
      <c r="K318" s="174"/>
    </row>
    <row r="319" spans="2:12" ht="15" hidden="1" x14ac:dyDescent="0.25">
      <c r="B319" s="168"/>
      <c r="C319" s="168" t="s">
        <v>149</v>
      </c>
      <c r="D319" s="169" t="s">
        <v>150</v>
      </c>
      <c r="E319" s="170" t="s">
        <v>124</v>
      </c>
      <c r="F319" s="175">
        <v>0.33300000000000002</v>
      </c>
      <c r="G319" s="171">
        <f>+VLOOKUP(C319,'[112]Insumos-Equipo M_L'!$A$2:$D$166,4,FALSE)</f>
        <v>6261.5298712499998</v>
      </c>
      <c r="H319" s="172"/>
      <c r="I319" s="174"/>
      <c r="J319" s="174">
        <f t="shared" si="2"/>
        <v>2085.08944712625</v>
      </c>
      <c r="K319" s="174"/>
    </row>
    <row r="320" spans="2:12" ht="15" hidden="1" x14ac:dyDescent="0.25">
      <c r="B320" s="168"/>
      <c r="C320" s="168" t="s">
        <v>231</v>
      </c>
      <c r="D320" s="169" t="s">
        <v>232</v>
      </c>
      <c r="E320" s="170" t="s">
        <v>124</v>
      </c>
      <c r="F320" s="175">
        <v>0.66700000000000004</v>
      </c>
      <c r="G320" s="171">
        <f>+VLOOKUP(C320,'[112]Insumos-Equipo M_L'!$A$2:$D$166,4,FALSE)</f>
        <v>3669.9156129600001</v>
      </c>
      <c r="H320" s="172"/>
      <c r="I320" s="174"/>
      <c r="J320" s="174">
        <f t="shared" si="2"/>
        <v>2447.8337138443203</v>
      </c>
      <c r="K320" s="174"/>
    </row>
    <row r="321" spans="2:12" ht="15" hidden="1" x14ac:dyDescent="0.25">
      <c r="B321" s="168"/>
      <c r="C321" s="168" t="s">
        <v>130</v>
      </c>
      <c r="D321" s="169" t="s">
        <v>131</v>
      </c>
      <c r="E321" s="170" t="s">
        <v>132</v>
      </c>
      <c r="F321" s="176">
        <v>0.08</v>
      </c>
      <c r="G321" s="171">
        <f>+VLOOKUP(C321,'[112]Insumos-Equipo M_L'!$A$2:$D$166,4,FALSE)</f>
        <v>3031.8986745000002</v>
      </c>
      <c r="H321" s="172"/>
      <c r="I321" s="174"/>
      <c r="J321" s="174">
        <f t="shared" si="2"/>
        <v>242.55189396000003</v>
      </c>
      <c r="K321" s="174"/>
    </row>
    <row r="322" spans="2:12" ht="15" hidden="1" x14ac:dyDescent="0.25">
      <c r="B322" s="168"/>
      <c r="C322" s="168" t="s">
        <v>233</v>
      </c>
      <c r="D322" s="169" t="s">
        <v>234</v>
      </c>
      <c r="E322" s="170" t="s">
        <v>97</v>
      </c>
      <c r="F322" s="170">
        <v>0.08</v>
      </c>
      <c r="G322" s="171">
        <f>+VLOOKUP(C322,'[112]Insumos-Equipo M_L'!$A$2:$D$166,4,FALSE)</f>
        <v>7432.1064029700001</v>
      </c>
      <c r="H322" s="172"/>
      <c r="I322" s="174"/>
      <c r="J322" s="174">
        <f t="shared" si="2"/>
        <v>594.56851223759998</v>
      </c>
      <c r="K322" s="174"/>
    </row>
    <row r="323" spans="2:12" ht="15" hidden="1" x14ac:dyDescent="0.25">
      <c r="B323" s="168"/>
      <c r="C323" s="168" t="s">
        <v>235</v>
      </c>
      <c r="D323" s="169" t="s">
        <v>236</v>
      </c>
      <c r="E323" s="170" t="s">
        <v>37</v>
      </c>
      <c r="F323" s="258">
        <v>0.6</v>
      </c>
      <c r="G323" s="171">
        <f>+VLOOKUP(C323,'[112]Insumos-Equipo M_L'!$A$2:$D$166,4,FALSE)</f>
        <v>102187.34999999999</v>
      </c>
      <c r="H323" s="172"/>
      <c r="I323" s="174"/>
      <c r="J323" s="174">
        <f t="shared" si="2"/>
        <v>61312.409999999989</v>
      </c>
      <c r="K323" s="174"/>
    </row>
    <row r="324" spans="2:12" ht="15" hidden="1" x14ac:dyDescent="0.25">
      <c r="B324" s="168"/>
      <c r="C324" s="168" t="s">
        <v>88</v>
      </c>
      <c r="D324" s="169" t="s">
        <v>89</v>
      </c>
      <c r="E324" s="170" t="s">
        <v>87</v>
      </c>
      <c r="F324" s="177">
        <v>0.16900000000000001</v>
      </c>
      <c r="G324" s="171">
        <f>+VLOOKUP(C324,'[113]Mano de Obra'!$A$7:$G$35,4,FALSE)</f>
        <v>441510</v>
      </c>
      <c r="H324" s="172"/>
      <c r="I324" s="174"/>
      <c r="J324" s="174"/>
      <c r="K324" s="174">
        <f>+(F324*G324*(1+H324))</f>
        <v>74615.19</v>
      </c>
    </row>
    <row r="325" spans="2:12" ht="15" hidden="1" x14ac:dyDescent="0.25">
      <c r="B325" s="168"/>
      <c r="C325" s="168"/>
      <c r="D325" s="169" t="s">
        <v>90</v>
      </c>
      <c r="E325" s="170" t="s">
        <v>91</v>
      </c>
      <c r="F325" s="178">
        <v>0.05</v>
      </c>
      <c r="G325" s="205">
        <f>+K324</f>
        <v>74615.19</v>
      </c>
      <c r="H325" s="172"/>
      <c r="I325" s="174"/>
      <c r="J325" s="174"/>
      <c r="K325" s="174">
        <f>+(F325*G325*(1+H325))</f>
        <v>3730.7595000000001</v>
      </c>
    </row>
    <row r="326" spans="2:12" ht="15" hidden="1" x14ac:dyDescent="0.25">
      <c r="B326" s="168"/>
      <c r="C326" s="168"/>
      <c r="D326" s="169" t="s">
        <v>92</v>
      </c>
      <c r="E326" s="170" t="s">
        <v>91</v>
      </c>
      <c r="F326" s="178">
        <v>0.02</v>
      </c>
      <c r="G326" s="205">
        <f>+K324</f>
        <v>74615.19</v>
      </c>
      <c r="H326" s="172"/>
      <c r="I326" s="174"/>
      <c r="J326" s="174">
        <f>+(F326*G326*(1+H326))</f>
        <v>1492.3038000000001</v>
      </c>
      <c r="K326" s="179"/>
    </row>
    <row r="327" spans="2:12" ht="15.6" hidden="1" x14ac:dyDescent="0.25">
      <c r="B327" s="180"/>
      <c r="C327" s="180"/>
      <c r="D327" s="181" t="s">
        <v>93</v>
      </c>
      <c r="E327" s="182">
        <f>+ROUND(SUM(I327:K327),0)</f>
        <v>657420</v>
      </c>
      <c r="F327" s="183"/>
      <c r="G327" s="184"/>
      <c r="H327" s="196"/>
      <c r="I327" s="186">
        <f>+ROUND(SUM(I317:I326),0)</f>
        <v>0</v>
      </c>
      <c r="J327" s="186">
        <f>+ROUND(SUM(J317:J326),0)</f>
        <v>579074</v>
      </c>
      <c r="K327" s="186">
        <f>+ROUND(SUM(K317:K326),0)</f>
        <v>78346</v>
      </c>
    </row>
    <row r="328" spans="2:12" hidden="1" x14ac:dyDescent="0.25"/>
    <row r="329" spans="2:12" ht="15.6" hidden="1" x14ac:dyDescent="0.25">
      <c r="B329" s="159" t="s">
        <v>237</v>
      </c>
      <c r="C329" s="235"/>
      <c r="D329" s="161" t="s">
        <v>238</v>
      </c>
      <c r="E329" s="162"/>
      <c r="F329" s="163"/>
      <c r="G329" s="201"/>
      <c r="H329" s="203"/>
      <c r="I329" s="203"/>
      <c r="J329" s="203"/>
      <c r="K329" s="203"/>
      <c r="L329" s="166">
        <f>+E335</f>
        <v>66523</v>
      </c>
    </row>
    <row r="330" spans="2:12" ht="15" hidden="1" x14ac:dyDescent="0.25">
      <c r="B330" s="168"/>
      <c r="C330" s="168" t="s">
        <v>239</v>
      </c>
      <c r="D330" s="169" t="s">
        <v>240</v>
      </c>
      <c r="E330" s="170" t="s">
        <v>241</v>
      </c>
      <c r="F330" s="170">
        <v>20</v>
      </c>
      <c r="G330" s="171">
        <f>+VLOOKUP(C330,'[112]Insumos-Equipo M_L'!$A$2:$D$166,4,FALSE)</f>
        <v>1227.4349999999999</v>
      </c>
      <c r="H330" s="172"/>
      <c r="I330" s="174">
        <f>+(F330*G330*(1+H330))</f>
        <v>24548.699999999997</v>
      </c>
      <c r="J330" s="174"/>
      <c r="K330" s="174"/>
    </row>
    <row r="331" spans="2:12" ht="15" hidden="1" x14ac:dyDescent="0.25">
      <c r="B331" s="168"/>
      <c r="C331" s="168" t="s">
        <v>144</v>
      </c>
      <c r="D331" s="169" t="s">
        <v>145</v>
      </c>
      <c r="E331" s="170" t="s">
        <v>87</v>
      </c>
      <c r="F331" s="177">
        <v>0.14299999999999999</v>
      </c>
      <c r="G331" s="171">
        <f>+VLOOKUP(C331,'[113]Mano de Obra'!$A$7:$G$35,4,FALSE)</f>
        <v>76122</v>
      </c>
      <c r="H331" s="172"/>
      <c r="I331" s="174"/>
      <c r="J331" s="174"/>
      <c r="K331" s="174">
        <f>+(F331*G331*(1+H331))</f>
        <v>10885.446</v>
      </c>
    </row>
    <row r="332" spans="2:12" ht="15" hidden="1" x14ac:dyDescent="0.25">
      <c r="B332" s="168"/>
      <c r="C332" s="179"/>
      <c r="D332" s="169" t="s">
        <v>90</v>
      </c>
      <c r="E332" s="170" t="s">
        <v>91</v>
      </c>
      <c r="F332" s="178">
        <v>0.05</v>
      </c>
      <c r="G332" s="205">
        <f>+K331</f>
        <v>10885.446</v>
      </c>
      <c r="H332" s="172"/>
      <c r="I332" s="174"/>
      <c r="J332" s="174"/>
      <c r="K332" s="174">
        <f>+(F332*G332*(1+H332))</f>
        <v>544.27229999999997</v>
      </c>
    </row>
    <row r="333" spans="2:12" ht="15" hidden="1" x14ac:dyDescent="0.25">
      <c r="B333" s="168"/>
      <c r="C333" s="179"/>
      <c r="D333" s="169" t="s">
        <v>92</v>
      </c>
      <c r="E333" s="170" t="s">
        <v>91</v>
      </c>
      <c r="F333" s="178">
        <v>0.05</v>
      </c>
      <c r="G333" s="205">
        <f>+K331</f>
        <v>10885.446</v>
      </c>
      <c r="H333" s="172"/>
      <c r="I333" s="174"/>
      <c r="J333" s="174">
        <f>+(F333*G333*(1+H333))</f>
        <v>544.27229999999997</v>
      </c>
      <c r="K333" s="179"/>
    </row>
    <row r="334" spans="2:12" ht="15" hidden="1" x14ac:dyDescent="0.25">
      <c r="B334" s="168"/>
      <c r="C334" s="179"/>
      <c r="D334" s="259" t="s">
        <v>242</v>
      </c>
      <c r="E334" s="260" t="s">
        <v>37</v>
      </c>
      <c r="F334" s="261">
        <v>1</v>
      </c>
      <c r="G334" s="205">
        <v>30000</v>
      </c>
      <c r="H334" s="172"/>
      <c r="I334" s="174">
        <f>+(F334*G334*(1+H334))</f>
        <v>30000</v>
      </c>
      <c r="J334" s="174"/>
      <c r="K334" s="179"/>
    </row>
    <row r="335" spans="2:12" ht="15.6" hidden="1" x14ac:dyDescent="0.25">
      <c r="B335" s="180"/>
      <c r="C335" s="180"/>
      <c r="D335" s="181" t="s">
        <v>93</v>
      </c>
      <c r="E335" s="182">
        <f>+ROUND(SUM(I335:K335),0)</f>
        <v>66523</v>
      </c>
      <c r="F335" s="183"/>
      <c r="G335" s="184"/>
      <c r="H335" s="196"/>
      <c r="I335" s="186">
        <f>+ROUND(SUM(I330:I334),0)</f>
        <v>54549</v>
      </c>
      <c r="J335" s="186">
        <f>+ROUND(SUM(J330:J334),0)</f>
        <v>544</v>
      </c>
      <c r="K335" s="186">
        <f>+ROUND(SUM(K330:K334),0)</f>
        <v>11430</v>
      </c>
    </row>
    <row r="336" spans="2:12" hidden="1" x14ac:dyDescent="0.25"/>
    <row r="337" spans="2:12" ht="15.6" hidden="1" x14ac:dyDescent="0.25">
      <c r="B337" s="159" t="s">
        <v>243</v>
      </c>
      <c r="C337" s="235"/>
      <c r="D337" s="161" t="s">
        <v>244</v>
      </c>
      <c r="E337" s="162"/>
      <c r="F337" s="163"/>
      <c r="G337" s="201"/>
      <c r="H337" s="203"/>
      <c r="I337" s="203"/>
      <c r="J337" s="203"/>
      <c r="K337" s="203"/>
      <c r="L337" s="166">
        <f>+E340</f>
        <v>13188</v>
      </c>
    </row>
    <row r="338" spans="2:12" ht="15" hidden="1" x14ac:dyDescent="0.25">
      <c r="B338" s="168"/>
      <c r="C338" s="168" t="s">
        <v>144</v>
      </c>
      <c r="D338" s="169" t="s">
        <v>145</v>
      </c>
      <c r="E338" s="170" t="s">
        <v>87</v>
      </c>
      <c r="F338" s="177">
        <v>0.16500000000000001</v>
      </c>
      <c r="G338" s="171">
        <f>+VLOOKUP(C338,'[113]Mano de Obra'!$A$7:$G$35,4,FALSE)</f>
        <v>76122</v>
      </c>
      <c r="H338" s="172"/>
      <c r="I338" s="174"/>
      <c r="J338" s="173"/>
      <c r="K338" s="174">
        <f>+(F338*G338*(1+H338))</f>
        <v>12560.130000000001</v>
      </c>
    </row>
    <row r="339" spans="2:12" ht="15" hidden="1" x14ac:dyDescent="0.25">
      <c r="B339" s="168"/>
      <c r="C339" s="179"/>
      <c r="D339" s="169" t="s">
        <v>92</v>
      </c>
      <c r="E339" s="170" t="s">
        <v>91</v>
      </c>
      <c r="F339" s="178">
        <v>0.05</v>
      </c>
      <c r="G339" s="171">
        <f>+K338</f>
        <v>12560.130000000001</v>
      </c>
      <c r="H339" s="172"/>
      <c r="I339" s="173"/>
      <c r="J339" s="174">
        <f>+(F339*G339*(1+H339))</f>
        <v>628.00650000000007</v>
      </c>
      <c r="K339" s="179"/>
    </row>
    <row r="340" spans="2:12" ht="15.6" hidden="1" x14ac:dyDescent="0.25">
      <c r="B340" s="180"/>
      <c r="C340" s="180"/>
      <c r="D340" s="181" t="s">
        <v>93</v>
      </c>
      <c r="E340" s="182">
        <f>+ROUND(SUM(I340:K340),0)</f>
        <v>13188</v>
      </c>
      <c r="F340" s="183"/>
      <c r="G340" s="195"/>
      <c r="H340" s="196"/>
      <c r="I340" s="186">
        <f>+ROUND(SUM(I338:I339),0)</f>
        <v>0</v>
      </c>
      <c r="J340" s="186">
        <f>+ROUND(SUM(J338:J339),0)</f>
        <v>628</v>
      </c>
      <c r="K340" s="186">
        <f>+ROUND(SUM(K338:K339),0)</f>
        <v>12560</v>
      </c>
    </row>
    <row r="341" spans="2:12" hidden="1" x14ac:dyDescent="0.25"/>
    <row r="342" spans="2:12" ht="15.6" hidden="1" x14ac:dyDescent="0.25">
      <c r="B342" s="159">
        <v>12.000999999999999</v>
      </c>
      <c r="C342" s="160"/>
      <c r="D342" s="161" t="s">
        <v>245</v>
      </c>
      <c r="E342" s="162"/>
      <c r="F342" s="163"/>
      <c r="G342" s="201"/>
      <c r="H342" s="203"/>
      <c r="I342" s="203"/>
      <c r="J342" s="203"/>
      <c r="K342" s="203"/>
      <c r="L342" s="166">
        <f>+E351</f>
        <v>77623</v>
      </c>
    </row>
    <row r="343" spans="2:12" ht="15" hidden="1" x14ac:dyDescent="0.25">
      <c r="B343" s="168"/>
      <c r="C343" s="168">
        <v>5.008</v>
      </c>
      <c r="D343" s="169" t="s">
        <v>246</v>
      </c>
      <c r="E343" s="170" t="s">
        <v>37</v>
      </c>
      <c r="F343" s="170">
        <v>0.1</v>
      </c>
      <c r="G343" s="205">
        <f>+E93</f>
        <v>493303</v>
      </c>
      <c r="H343" s="172">
        <v>0.05</v>
      </c>
      <c r="I343" s="174"/>
      <c r="J343" s="174">
        <f>+(F343*G343*(1+H343))</f>
        <v>51796.815000000002</v>
      </c>
      <c r="K343" s="174"/>
    </row>
    <row r="344" spans="2:12" ht="15" hidden="1" x14ac:dyDescent="0.25">
      <c r="B344" s="168"/>
      <c r="C344" s="168" t="s">
        <v>122</v>
      </c>
      <c r="D344" s="169" t="s">
        <v>123</v>
      </c>
      <c r="E344" s="170" t="s">
        <v>124</v>
      </c>
      <c r="F344" s="176">
        <v>0.2</v>
      </c>
      <c r="G344" s="171">
        <f>+VLOOKUP(C344,'[112]Insumos-Equipo M_L'!$A$2:$D$166,4,FALSE)</f>
        <v>17200</v>
      </c>
      <c r="H344" s="172"/>
      <c r="I344" s="174"/>
      <c r="J344" s="174">
        <f>+(F344*G344*(1+H344))</f>
        <v>3440</v>
      </c>
      <c r="K344" s="174"/>
    </row>
    <row r="345" spans="2:12" ht="15" hidden="1" x14ac:dyDescent="0.25">
      <c r="B345" s="168"/>
      <c r="C345" s="168" t="s">
        <v>149</v>
      </c>
      <c r="D345" s="169" t="s">
        <v>150</v>
      </c>
      <c r="E345" s="170" t="s">
        <v>124</v>
      </c>
      <c r="F345" s="176">
        <v>0.2</v>
      </c>
      <c r="G345" s="171">
        <f>+VLOOKUP(C345,'[112]Insumos-Equipo M_L'!$A$2:$D$166,4,FALSE)</f>
        <v>6261.5298712499998</v>
      </c>
      <c r="H345" s="172"/>
      <c r="I345" s="174"/>
      <c r="J345" s="174">
        <f>+(F345*G345*(1+H345))</f>
        <v>1252.30597425</v>
      </c>
      <c r="K345" s="174"/>
    </row>
    <row r="346" spans="2:12" ht="15" hidden="1" x14ac:dyDescent="0.25">
      <c r="B346" s="168"/>
      <c r="C346" s="168" t="s">
        <v>130</v>
      </c>
      <c r="D346" s="169" t="s">
        <v>131</v>
      </c>
      <c r="E346" s="170" t="s">
        <v>132</v>
      </c>
      <c r="F346" s="175">
        <v>0.111</v>
      </c>
      <c r="G346" s="171">
        <f>+VLOOKUP(C346,'[112]Insumos-Equipo M_L'!$A$2:$D$166,4,FALSE)</f>
        <v>3031.8986745000002</v>
      </c>
      <c r="H346" s="172"/>
      <c r="I346" s="174"/>
      <c r="J346" s="174">
        <f>+(F346*G346*(1+H346))</f>
        <v>336.54075286950001</v>
      </c>
      <c r="K346" s="174"/>
    </row>
    <row r="347" spans="2:12" ht="15" hidden="1" x14ac:dyDescent="0.25">
      <c r="B347" s="168"/>
      <c r="C347" s="168" t="s">
        <v>233</v>
      </c>
      <c r="D347" s="169" t="s">
        <v>234</v>
      </c>
      <c r="E347" s="170" t="s">
        <v>97</v>
      </c>
      <c r="F347" s="170">
        <v>0.18</v>
      </c>
      <c r="G347" s="171">
        <f>+VLOOKUP(C347,'[112]Insumos-Equipo M_L'!$A$2:$D$166,4,FALSE)</f>
        <v>7432.1064029700001</v>
      </c>
      <c r="H347" s="172"/>
      <c r="I347" s="174"/>
      <c r="J347" s="174">
        <f>+(F347*G347*(1+H347))</f>
        <v>1337.7791525345999</v>
      </c>
      <c r="K347" s="174"/>
    </row>
    <row r="348" spans="2:12" ht="15" hidden="1" x14ac:dyDescent="0.25">
      <c r="B348" s="168"/>
      <c r="C348" s="168" t="s">
        <v>119</v>
      </c>
      <c r="D348" s="169" t="s">
        <v>120</v>
      </c>
      <c r="E348" s="170" t="s">
        <v>87</v>
      </c>
      <c r="F348" s="177">
        <v>8.3000000000000004E-2</v>
      </c>
      <c r="G348" s="171">
        <f>+VLOOKUP(C348,'[113]Mano de Obra'!$A$7:$G$35,4,FALSE)</f>
        <v>213143</v>
      </c>
      <c r="H348" s="172"/>
      <c r="I348" s="174"/>
      <c r="J348" s="174"/>
      <c r="K348" s="174">
        <f>+(F348*G348*(1+H348))</f>
        <v>17690.869000000002</v>
      </c>
    </row>
    <row r="349" spans="2:12" ht="15" hidden="1" x14ac:dyDescent="0.25">
      <c r="B349" s="168"/>
      <c r="C349" s="168"/>
      <c r="D349" s="169" t="s">
        <v>90</v>
      </c>
      <c r="E349" s="170" t="s">
        <v>91</v>
      </c>
      <c r="F349" s="178">
        <v>0.05</v>
      </c>
      <c r="G349" s="205">
        <f>+K348</f>
        <v>17690.869000000002</v>
      </c>
      <c r="H349" s="172"/>
      <c r="I349" s="174"/>
      <c r="J349" s="174"/>
      <c r="K349" s="174">
        <f>+(F349*G349*(1+H349))</f>
        <v>884.54345000000012</v>
      </c>
    </row>
    <row r="350" spans="2:12" ht="15" hidden="1" x14ac:dyDescent="0.25">
      <c r="B350" s="168"/>
      <c r="C350" s="168"/>
      <c r="D350" s="169" t="s">
        <v>92</v>
      </c>
      <c r="E350" s="170" t="s">
        <v>91</v>
      </c>
      <c r="F350" s="178">
        <v>0.05</v>
      </c>
      <c r="G350" s="205">
        <f>+K348</f>
        <v>17690.869000000002</v>
      </c>
      <c r="H350" s="172"/>
      <c r="I350" s="174"/>
      <c r="J350" s="174">
        <f>+(F350*G350*(1+H350))</f>
        <v>884.54345000000012</v>
      </c>
      <c r="K350" s="179"/>
    </row>
    <row r="351" spans="2:12" ht="15.6" hidden="1" x14ac:dyDescent="0.25">
      <c r="B351" s="180"/>
      <c r="C351" s="180"/>
      <c r="D351" s="181" t="s">
        <v>93</v>
      </c>
      <c r="E351" s="182">
        <f>+ROUND(SUM(I351:K351),0)</f>
        <v>77623</v>
      </c>
      <c r="F351" s="183"/>
      <c r="G351" s="184"/>
      <c r="H351" s="196"/>
      <c r="I351" s="186">
        <f>+ROUND(SUM(I343:I350),0)</f>
        <v>0</v>
      </c>
      <c r="J351" s="186">
        <f>+ROUND(SUM(J343:J350),0)</f>
        <v>59048</v>
      </c>
      <c r="K351" s="186">
        <f>+ROUND(SUM(K343:K350),0)</f>
        <v>18575</v>
      </c>
    </row>
    <row r="352" spans="2:12" hidden="1" x14ac:dyDescent="0.25"/>
    <row r="353" spans="2:12" ht="15.6" hidden="1" x14ac:dyDescent="0.25">
      <c r="B353" s="159">
        <v>12.023999999999999</v>
      </c>
      <c r="C353" s="160"/>
      <c r="D353" s="161" t="s">
        <v>247</v>
      </c>
      <c r="E353" s="162"/>
      <c r="F353" s="163"/>
      <c r="G353" s="201"/>
      <c r="H353" s="203"/>
      <c r="I353" s="203"/>
      <c r="J353" s="203"/>
      <c r="K353" s="203"/>
      <c r="L353" s="166">
        <f>+E362</f>
        <v>55317</v>
      </c>
    </row>
    <row r="354" spans="2:12" ht="15" hidden="1" x14ac:dyDescent="0.25">
      <c r="B354" s="168"/>
      <c r="C354" s="168">
        <v>5.008</v>
      </c>
      <c r="D354" s="169" t="s">
        <v>246</v>
      </c>
      <c r="E354" s="170" t="s">
        <v>37</v>
      </c>
      <c r="F354" s="262">
        <v>3.7499999999999999E-2</v>
      </c>
      <c r="G354" s="205">
        <f>+E93</f>
        <v>493303</v>
      </c>
      <c r="H354" s="172">
        <v>0.05</v>
      </c>
      <c r="I354" s="174"/>
      <c r="J354" s="174">
        <f>+(F354*G354*(1+H354))</f>
        <v>19423.805625000001</v>
      </c>
      <c r="K354" s="174"/>
    </row>
    <row r="355" spans="2:12" ht="15" hidden="1" x14ac:dyDescent="0.25">
      <c r="B355" s="168"/>
      <c r="C355" s="168" t="s">
        <v>122</v>
      </c>
      <c r="D355" s="169" t="s">
        <v>123</v>
      </c>
      <c r="E355" s="170" t="s">
        <v>124</v>
      </c>
      <c r="F355" s="176">
        <v>0.33300000000000002</v>
      </c>
      <c r="G355" s="171">
        <f>+VLOOKUP(C355,'[112]Insumos-Equipo M_L'!$A$2:$D$166,4,FALSE)</f>
        <v>17200</v>
      </c>
      <c r="H355" s="172"/>
      <c r="I355" s="174"/>
      <c r="J355" s="174">
        <f>+(F355*G355*(1+H355))</f>
        <v>5727.6</v>
      </c>
      <c r="K355" s="174"/>
    </row>
    <row r="356" spans="2:12" ht="15" hidden="1" x14ac:dyDescent="0.25">
      <c r="B356" s="168"/>
      <c r="C356" s="168" t="s">
        <v>157</v>
      </c>
      <c r="D356" s="169" t="s">
        <v>158</v>
      </c>
      <c r="E356" s="170" t="s">
        <v>124</v>
      </c>
      <c r="F356" s="175">
        <v>0.33300000000000002</v>
      </c>
      <c r="G356" s="171">
        <f>+VLOOKUP(C356,'[112]Insumos-Equipo M_L'!$A$2:$D$166,4,FALSE)</f>
        <v>2285.7879572100001</v>
      </c>
      <c r="H356" s="172"/>
      <c r="I356" s="174"/>
      <c r="J356" s="174">
        <f>+(F356*G356*(1+H356))</f>
        <v>761.16738975093006</v>
      </c>
      <c r="K356" s="174"/>
    </row>
    <row r="357" spans="2:12" ht="15" hidden="1" x14ac:dyDescent="0.25">
      <c r="B357" s="168"/>
      <c r="C357" s="168" t="s">
        <v>130</v>
      </c>
      <c r="D357" s="169" t="s">
        <v>131</v>
      </c>
      <c r="E357" s="170" t="s">
        <v>132</v>
      </c>
      <c r="F357" s="175">
        <v>0.35</v>
      </c>
      <c r="G357" s="171">
        <f>+VLOOKUP(C357,'[112]Insumos-Equipo M_L'!$A$2:$D$166,4,FALSE)</f>
        <v>3031.8986745000002</v>
      </c>
      <c r="H357" s="172"/>
      <c r="I357" s="174"/>
      <c r="J357" s="174">
        <f>+(F357*G357*(1+H357))</f>
        <v>1061.1645360750001</v>
      </c>
      <c r="K357" s="174"/>
    </row>
    <row r="358" spans="2:12" ht="15" hidden="1" x14ac:dyDescent="0.25">
      <c r="B358" s="168"/>
      <c r="C358" s="168" t="s">
        <v>233</v>
      </c>
      <c r="D358" s="169" t="s">
        <v>234</v>
      </c>
      <c r="E358" s="170" t="s">
        <v>97</v>
      </c>
      <c r="F358" s="170">
        <v>0.16200000000000001</v>
      </c>
      <c r="G358" s="171">
        <f>+VLOOKUP(C358,'[112]Insumos-Equipo M_L'!$A$2:$D$166,4,FALSE)</f>
        <v>7432.1064029700001</v>
      </c>
      <c r="H358" s="172"/>
      <c r="I358" s="174"/>
      <c r="J358" s="174">
        <f>+(F358*G358*(1+H358))</f>
        <v>1204.00123728114</v>
      </c>
      <c r="K358" s="174"/>
    </row>
    <row r="359" spans="2:12" ht="15" hidden="1" x14ac:dyDescent="0.25">
      <c r="B359" s="168"/>
      <c r="C359" s="168" t="s">
        <v>119</v>
      </c>
      <c r="D359" s="169" t="s">
        <v>120</v>
      </c>
      <c r="E359" s="170" t="s">
        <v>87</v>
      </c>
      <c r="F359" s="263">
        <v>0.11899999999999999</v>
      </c>
      <c r="G359" s="171">
        <f>+VLOOKUP(C359,'[113]Mano de Obra'!$A$7:$G$35,4,FALSE)</f>
        <v>213143</v>
      </c>
      <c r="H359" s="172"/>
      <c r="I359" s="174"/>
      <c r="J359" s="174"/>
      <c r="K359" s="174">
        <f>+(F359*G359*(1+H359))</f>
        <v>25364.017</v>
      </c>
    </row>
    <row r="360" spans="2:12" ht="15" hidden="1" x14ac:dyDescent="0.25">
      <c r="B360" s="168"/>
      <c r="C360" s="168"/>
      <c r="D360" s="169" t="s">
        <v>90</v>
      </c>
      <c r="E360" s="170" t="s">
        <v>91</v>
      </c>
      <c r="F360" s="178">
        <v>0.05</v>
      </c>
      <c r="G360" s="205">
        <f>+K359</f>
        <v>25364.017</v>
      </c>
      <c r="H360" s="172"/>
      <c r="I360" s="174"/>
      <c r="J360" s="174"/>
      <c r="K360" s="174">
        <f>+(F360*G360*(1+H360))</f>
        <v>1268.2008500000002</v>
      </c>
    </row>
    <row r="361" spans="2:12" ht="15" hidden="1" x14ac:dyDescent="0.25">
      <c r="B361" s="168"/>
      <c r="C361" s="168"/>
      <c r="D361" s="169" t="s">
        <v>92</v>
      </c>
      <c r="E361" s="170" t="s">
        <v>91</v>
      </c>
      <c r="F361" s="178">
        <v>0.02</v>
      </c>
      <c r="G361" s="205">
        <f>+K359</f>
        <v>25364.017</v>
      </c>
      <c r="H361" s="172"/>
      <c r="I361" s="174"/>
      <c r="J361" s="174">
        <f>+(F361*G361*(1+H361))</f>
        <v>507.28034000000002</v>
      </c>
      <c r="K361" s="179"/>
    </row>
    <row r="362" spans="2:12" ht="15.6" hidden="1" x14ac:dyDescent="0.25">
      <c r="B362" s="180"/>
      <c r="C362" s="180"/>
      <c r="D362" s="181" t="s">
        <v>93</v>
      </c>
      <c r="E362" s="182">
        <f>+ROUND(SUM(I362:K362),0)</f>
        <v>55317</v>
      </c>
      <c r="F362" s="183"/>
      <c r="G362" s="184"/>
      <c r="H362" s="196"/>
      <c r="I362" s="186">
        <f>+ROUND(SUM(I354:I361),0)</f>
        <v>0</v>
      </c>
      <c r="J362" s="186">
        <f>+ROUND(SUM(J354:J361),0)</f>
        <v>28685</v>
      </c>
      <c r="K362" s="186">
        <f>+ROUND(SUM(K354:K361),0)</f>
        <v>26632</v>
      </c>
    </row>
    <row r="363" spans="2:12" hidden="1" x14ac:dyDescent="0.25"/>
    <row r="364" spans="2:12" ht="15.6" hidden="1" x14ac:dyDescent="0.25">
      <c r="B364" s="159">
        <v>11.01</v>
      </c>
      <c r="C364" s="160"/>
      <c r="D364" s="161" t="s">
        <v>248</v>
      </c>
      <c r="E364" s="162"/>
      <c r="F364" s="264"/>
      <c r="G364" s="201"/>
      <c r="H364" s="202"/>
      <c r="I364" s="203"/>
      <c r="J364" s="203"/>
      <c r="K364" s="203"/>
      <c r="L364" s="166">
        <f>+E378</f>
        <v>231972</v>
      </c>
    </row>
    <row r="365" spans="2:12" ht="15" hidden="1" x14ac:dyDescent="0.25">
      <c r="B365" s="168"/>
      <c r="C365" s="168" t="s">
        <v>249</v>
      </c>
      <c r="D365" s="169" t="s">
        <v>250</v>
      </c>
      <c r="E365" s="170" t="s">
        <v>87</v>
      </c>
      <c r="F365" s="170">
        <v>2.5000000000000001E-2</v>
      </c>
      <c r="G365" s="171">
        <f>+VLOOKUP(C365,'[112]Insumos-Equipo M_L'!$A$2:$D$166,4,FALSE)</f>
        <v>39835.844999999994</v>
      </c>
      <c r="H365" s="204"/>
      <c r="I365" s="174">
        <f>+(F365*G365*(1+H365))</f>
        <v>995.89612499999987</v>
      </c>
      <c r="J365" s="174"/>
      <c r="K365" s="174"/>
    </row>
    <row r="366" spans="2:12" ht="15" hidden="1" x14ac:dyDescent="0.25">
      <c r="B366" s="168"/>
      <c r="C366" s="168" t="s">
        <v>175</v>
      </c>
      <c r="D366" s="169" t="s">
        <v>176</v>
      </c>
      <c r="E366" s="170" t="s">
        <v>36</v>
      </c>
      <c r="F366" s="170">
        <v>1.2</v>
      </c>
      <c r="G366" s="171">
        <f>+VLOOKUP(C366,'[112]Insumos-Equipo M_L'!$A$2:$D$166,4,FALSE)</f>
        <v>56573.471643749996</v>
      </c>
      <c r="H366" s="204"/>
      <c r="I366" s="174"/>
      <c r="J366" s="174">
        <f>+(F366*G366*(1+H366))</f>
        <v>67888.165972499992</v>
      </c>
      <c r="K366" s="174"/>
    </row>
    <row r="367" spans="2:12" ht="15" hidden="1" x14ac:dyDescent="0.25">
      <c r="B367" s="168"/>
      <c r="C367" s="168" t="s">
        <v>251</v>
      </c>
      <c r="D367" s="169" t="s">
        <v>252</v>
      </c>
      <c r="E367" s="170" t="s">
        <v>36</v>
      </c>
      <c r="F367" s="170">
        <v>4</v>
      </c>
      <c r="G367" s="171">
        <f>+VLOOKUP(C367,'[112]Insumos-Equipo M_L'!$A$2:$D$166,4,FALSE)</f>
        <v>20284.180196697886</v>
      </c>
      <c r="H367" s="204"/>
      <c r="I367" s="174"/>
      <c r="J367" s="174">
        <f>+(F367*G367*(1+H367))</f>
        <v>81136.720786791542</v>
      </c>
      <c r="K367" s="174"/>
    </row>
    <row r="368" spans="2:12" ht="15" hidden="1" x14ac:dyDescent="0.25">
      <c r="B368" s="168"/>
      <c r="C368" s="168" t="s">
        <v>253</v>
      </c>
      <c r="D368" s="169" t="s">
        <v>254</v>
      </c>
      <c r="E368" s="170" t="s">
        <v>255</v>
      </c>
      <c r="F368" s="170">
        <v>0.1</v>
      </c>
      <c r="G368" s="171">
        <f>+VLOOKUP(C368,'[112]Insumos-Equipo M_L'!$A$2:$D$166,4,FALSE)</f>
        <v>24387.011077499999</v>
      </c>
      <c r="H368" s="204"/>
      <c r="I368" s="174"/>
      <c r="J368" s="174">
        <f>+(F368*G368*(1+H368))</f>
        <v>2438.7011077500001</v>
      </c>
      <c r="K368" s="174"/>
    </row>
    <row r="369" spans="2:12" ht="15" hidden="1" x14ac:dyDescent="0.25">
      <c r="B369" s="168"/>
      <c r="C369" s="168" t="s">
        <v>256</v>
      </c>
      <c r="D369" s="169" t="s">
        <v>257</v>
      </c>
      <c r="E369" s="170" t="s">
        <v>35</v>
      </c>
      <c r="F369" s="170">
        <v>1.0000000000000002E-2</v>
      </c>
      <c r="G369" s="171">
        <f>+VLOOKUP(C369,'[112]Insumos-Equipo M_L'!$A$2:$D$166,4,FALSE)</f>
        <v>375513.83300497499</v>
      </c>
      <c r="H369" s="204"/>
      <c r="I369" s="174"/>
      <c r="J369" s="174">
        <f>+(F369*G369*(1+H369))</f>
        <v>3755.1383300497505</v>
      </c>
      <c r="K369" s="174"/>
    </row>
    <row r="370" spans="2:12" ht="15" hidden="1" x14ac:dyDescent="0.25">
      <c r="B370" s="168"/>
      <c r="C370" s="168" t="s">
        <v>258</v>
      </c>
      <c r="D370" s="169" t="s">
        <v>259</v>
      </c>
      <c r="E370" s="170" t="s">
        <v>87</v>
      </c>
      <c r="F370" s="170">
        <v>2.5000000000000001E-2</v>
      </c>
      <c r="G370" s="171">
        <f>+VLOOKUP(C370,'[112]Insumos-Equipo M_L'!$A$2:$D$166,4,FALSE)</f>
        <v>69629.040000000008</v>
      </c>
      <c r="H370" s="204"/>
      <c r="I370" s="174">
        <f>+(F370*G370*(1+H370))</f>
        <v>1740.7260000000003</v>
      </c>
      <c r="J370" s="174"/>
      <c r="K370" s="174"/>
    </row>
    <row r="371" spans="2:12" ht="15" hidden="1" x14ac:dyDescent="0.25">
      <c r="B371" s="168"/>
      <c r="C371" s="168" t="s">
        <v>260</v>
      </c>
      <c r="D371" s="169" t="s">
        <v>261</v>
      </c>
      <c r="E371" s="170" t="s">
        <v>124</v>
      </c>
      <c r="F371" s="170">
        <v>2</v>
      </c>
      <c r="G371" s="171">
        <f>+VLOOKUP(C371,'[112]Insumos-Equipo M_L'!$A$2:$D$166,4,FALSE)</f>
        <v>1977.3252224999999</v>
      </c>
      <c r="H371" s="204"/>
      <c r="I371" s="174"/>
      <c r="J371" s="174">
        <f>+(F371*G371*(1+H371))</f>
        <v>3954.6504449999998</v>
      </c>
      <c r="K371" s="174"/>
    </row>
    <row r="372" spans="2:12" ht="15" hidden="1" x14ac:dyDescent="0.25">
      <c r="B372" s="168"/>
      <c r="C372" s="168" t="s">
        <v>262</v>
      </c>
      <c r="D372" s="169" t="s">
        <v>263</v>
      </c>
      <c r="E372" s="170" t="s">
        <v>79</v>
      </c>
      <c r="F372" s="170">
        <v>0.1</v>
      </c>
      <c r="G372" s="171">
        <f>+VLOOKUP(C372,'[112]Insumos-Equipo M_L'!$A$2:$D$166,4,FALSE)</f>
        <v>7645.6575269999994</v>
      </c>
      <c r="H372" s="204"/>
      <c r="I372" s="174"/>
      <c r="J372" s="174">
        <f>+(F372*G372*(1+H372))</f>
        <v>764.56575269999996</v>
      </c>
      <c r="K372" s="174"/>
    </row>
    <row r="373" spans="2:12" ht="15" hidden="1" x14ac:dyDescent="0.25">
      <c r="B373" s="168"/>
      <c r="C373" s="168" t="s">
        <v>264</v>
      </c>
      <c r="D373" s="169" t="s">
        <v>265</v>
      </c>
      <c r="E373" s="170" t="s">
        <v>266</v>
      </c>
      <c r="F373" s="170">
        <v>0.1</v>
      </c>
      <c r="G373" s="171">
        <f>+VLOOKUP(C373,'[112]Insumos-Equipo M_L'!$A$2:$D$166,4,FALSE)</f>
        <v>53915.0677335</v>
      </c>
      <c r="H373" s="204"/>
      <c r="I373" s="174"/>
      <c r="J373" s="174">
        <f>+(F373*G373*(1+H373))</f>
        <v>5391.50677335</v>
      </c>
      <c r="K373" s="174"/>
    </row>
    <row r="374" spans="2:12" ht="15" hidden="1" x14ac:dyDescent="0.25">
      <c r="B374" s="168"/>
      <c r="C374" s="168" t="s">
        <v>267</v>
      </c>
      <c r="D374" s="169" t="s">
        <v>268</v>
      </c>
      <c r="E374" s="170" t="s">
        <v>87</v>
      </c>
      <c r="F374" s="170">
        <v>2.5000000000000001E-2</v>
      </c>
      <c r="G374" s="171">
        <f>+VLOOKUP(C374,'[113]Mano de Obra'!$A$7:$G$35,4,FALSE)</f>
        <v>137020</v>
      </c>
      <c r="H374" s="204"/>
      <c r="I374" s="174"/>
      <c r="J374" s="174"/>
      <c r="K374" s="174">
        <f>+(F374*G374*(1+H374))</f>
        <v>3425.5</v>
      </c>
    </row>
    <row r="375" spans="2:12" ht="15" hidden="1" x14ac:dyDescent="0.25">
      <c r="B375" s="168"/>
      <c r="C375" s="168" t="s">
        <v>139</v>
      </c>
      <c r="D375" s="169" t="s">
        <v>140</v>
      </c>
      <c r="E375" s="170" t="s">
        <v>87</v>
      </c>
      <c r="F375" s="177">
        <v>0.189</v>
      </c>
      <c r="G375" s="171">
        <f>+VLOOKUP(C375,'[113]Mano de Obra'!$A$7:$G$35,4,FALSE)</f>
        <v>289265</v>
      </c>
      <c r="H375" s="204"/>
      <c r="I375" s="174"/>
      <c r="J375" s="174"/>
      <c r="K375" s="174">
        <f>+(F375*G375*(1+H375))</f>
        <v>54671.084999999999</v>
      </c>
    </row>
    <row r="376" spans="2:12" ht="15" hidden="1" x14ac:dyDescent="0.25">
      <c r="B376" s="168"/>
      <c r="C376" s="168"/>
      <c r="D376" s="169" t="s">
        <v>90</v>
      </c>
      <c r="E376" s="170" t="s">
        <v>91</v>
      </c>
      <c r="F376" s="178">
        <v>0.05</v>
      </c>
      <c r="G376" s="205">
        <f>+K374+K375</f>
        <v>58096.584999999999</v>
      </c>
      <c r="H376" s="204"/>
      <c r="I376" s="174"/>
      <c r="J376" s="174"/>
      <c r="K376" s="174">
        <f>+(F376*G376*(1+H376))</f>
        <v>2904.8292500000002</v>
      </c>
    </row>
    <row r="377" spans="2:12" ht="15" hidden="1" x14ac:dyDescent="0.25">
      <c r="B377" s="168"/>
      <c r="C377" s="168"/>
      <c r="D377" s="169" t="s">
        <v>92</v>
      </c>
      <c r="E377" s="170" t="s">
        <v>91</v>
      </c>
      <c r="F377" s="178">
        <v>0.05</v>
      </c>
      <c r="G377" s="205">
        <f>+K374+K375</f>
        <v>58096.584999999999</v>
      </c>
      <c r="H377" s="204"/>
      <c r="I377" s="174"/>
      <c r="J377" s="174">
        <f>+(F377*G377*(1+H377))</f>
        <v>2904.8292500000002</v>
      </c>
      <c r="K377" s="179"/>
    </row>
    <row r="378" spans="2:12" ht="15.6" hidden="1" x14ac:dyDescent="0.25">
      <c r="B378" s="180"/>
      <c r="C378" s="180"/>
      <c r="D378" s="181" t="s">
        <v>93</v>
      </c>
      <c r="E378" s="182">
        <f>+ROUND(SUM(I378:K378),0)</f>
        <v>231972</v>
      </c>
      <c r="F378" s="183"/>
      <c r="G378" s="184"/>
      <c r="H378" s="185"/>
      <c r="I378" s="186">
        <f>+ROUND(SUM(I365:I377),0)</f>
        <v>2737</v>
      </c>
      <c r="J378" s="186">
        <f>+ROUND(SUM(J365:J377),0)</f>
        <v>168234</v>
      </c>
      <c r="K378" s="186">
        <f>+ROUND(SUM(K365:K377),0)</f>
        <v>61001</v>
      </c>
    </row>
    <row r="379" spans="2:12" hidden="1" x14ac:dyDescent="0.25"/>
    <row r="380" spans="2:12" ht="15.6" hidden="1" x14ac:dyDescent="0.25">
      <c r="B380" s="257" t="s">
        <v>269</v>
      </c>
      <c r="C380" s="160"/>
      <c r="D380" s="161" t="s">
        <v>270</v>
      </c>
      <c r="E380" s="207"/>
      <c r="F380" s="162"/>
      <c r="G380" s="201"/>
      <c r="H380" s="203"/>
      <c r="I380" s="203"/>
      <c r="J380" s="203"/>
      <c r="K380" s="203"/>
      <c r="L380" s="166">
        <f>+E390</f>
        <v>88704</v>
      </c>
    </row>
    <row r="381" spans="2:12" ht="15" hidden="1" x14ac:dyDescent="0.25">
      <c r="B381" s="168"/>
      <c r="C381" s="168">
        <v>5.008</v>
      </c>
      <c r="D381" s="169" t="s">
        <v>246</v>
      </c>
      <c r="E381" s="170" t="s">
        <v>37</v>
      </c>
      <c r="F381" s="170">
        <v>0.06</v>
      </c>
      <c r="G381" s="205">
        <f>+E93</f>
        <v>493303</v>
      </c>
      <c r="H381" s="172">
        <v>0.05</v>
      </c>
      <c r="I381" s="174"/>
      <c r="J381" s="174">
        <f t="shared" ref="J381:J386" si="3">+(F381*G381*(1+H381))</f>
        <v>31078.089</v>
      </c>
      <c r="K381" s="174"/>
    </row>
    <row r="382" spans="2:12" ht="15" hidden="1" x14ac:dyDescent="0.25">
      <c r="B382" s="168"/>
      <c r="C382" s="168" t="s">
        <v>122</v>
      </c>
      <c r="D382" s="169" t="s">
        <v>123</v>
      </c>
      <c r="E382" s="170" t="s">
        <v>124</v>
      </c>
      <c r="F382" s="175">
        <v>0.66700000000000004</v>
      </c>
      <c r="G382" s="171">
        <f>+VLOOKUP(C382,'[112]Insumos-Equipo M_L'!$A$2:$D$166,4,FALSE)</f>
        <v>17200</v>
      </c>
      <c r="H382" s="172"/>
      <c r="I382" s="174"/>
      <c r="J382" s="174">
        <f t="shared" si="3"/>
        <v>11472.400000000001</v>
      </c>
      <c r="K382" s="174"/>
    </row>
    <row r="383" spans="2:12" ht="15" hidden="1" x14ac:dyDescent="0.25">
      <c r="B383" s="168"/>
      <c r="C383" s="168" t="s">
        <v>149</v>
      </c>
      <c r="D383" s="169" t="s">
        <v>150</v>
      </c>
      <c r="E383" s="170" t="s">
        <v>124</v>
      </c>
      <c r="F383" s="175">
        <v>0.33300000000000002</v>
      </c>
      <c r="G383" s="171">
        <f>+VLOOKUP(C383,'[112]Insumos-Equipo M_L'!$A$2:$D$166,4,FALSE)</f>
        <v>6261.5298712499998</v>
      </c>
      <c r="H383" s="172"/>
      <c r="I383" s="174"/>
      <c r="J383" s="174">
        <f t="shared" si="3"/>
        <v>2085.08944712625</v>
      </c>
      <c r="K383" s="174"/>
    </row>
    <row r="384" spans="2:12" ht="15" hidden="1" x14ac:dyDescent="0.25">
      <c r="B384" s="168"/>
      <c r="C384" s="168" t="s">
        <v>231</v>
      </c>
      <c r="D384" s="169" t="s">
        <v>232</v>
      </c>
      <c r="E384" s="170" t="s">
        <v>124</v>
      </c>
      <c r="F384" s="175">
        <v>0.66700000000000004</v>
      </c>
      <c r="G384" s="171">
        <f>+VLOOKUP(C384,'[112]Insumos-Equipo M_L'!$A$2:$D$166,4,FALSE)</f>
        <v>3669.9156129600001</v>
      </c>
      <c r="H384" s="172"/>
      <c r="I384" s="174"/>
      <c r="J384" s="174">
        <f t="shared" si="3"/>
        <v>2447.8337138443203</v>
      </c>
      <c r="K384" s="174"/>
    </row>
    <row r="385" spans="2:12" ht="15" hidden="1" x14ac:dyDescent="0.25">
      <c r="B385" s="168"/>
      <c r="C385" s="168" t="s">
        <v>130</v>
      </c>
      <c r="D385" s="169" t="s">
        <v>131</v>
      </c>
      <c r="E385" s="170" t="s">
        <v>132</v>
      </c>
      <c r="F385" s="176">
        <v>0.08</v>
      </c>
      <c r="G385" s="171">
        <f>+VLOOKUP(C385,'[112]Insumos-Equipo M_L'!$A$2:$D$166,4,FALSE)</f>
        <v>3031.8986745000002</v>
      </c>
      <c r="H385" s="172"/>
      <c r="I385" s="174"/>
      <c r="J385" s="174">
        <f t="shared" si="3"/>
        <v>242.55189396000003</v>
      </c>
      <c r="K385" s="174"/>
    </row>
    <row r="386" spans="2:12" ht="15" hidden="1" x14ac:dyDescent="0.25">
      <c r="B386" s="168"/>
      <c r="C386" s="168" t="s">
        <v>233</v>
      </c>
      <c r="D386" s="169" t="s">
        <v>234</v>
      </c>
      <c r="E386" s="170" t="s">
        <v>97</v>
      </c>
      <c r="F386" s="170">
        <v>0.08</v>
      </c>
      <c r="G386" s="171">
        <f>+VLOOKUP(C386,'[112]Insumos-Equipo M_L'!$A$2:$D$166,4,FALSE)</f>
        <v>7432.1064029700001</v>
      </c>
      <c r="H386" s="172"/>
      <c r="I386" s="174"/>
      <c r="J386" s="174">
        <f t="shared" si="3"/>
        <v>594.56851223759998</v>
      </c>
      <c r="K386" s="174"/>
    </row>
    <row r="387" spans="2:12" ht="15" hidden="1" x14ac:dyDescent="0.25">
      <c r="B387" s="168"/>
      <c r="C387" s="168" t="s">
        <v>88</v>
      </c>
      <c r="D387" s="169" t="s">
        <v>89</v>
      </c>
      <c r="E387" s="170" t="s">
        <v>87</v>
      </c>
      <c r="F387" s="177">
        <v>8.4745762711864403E-2</v>
      </c>
      <c r="G387" s="171">
        <f>+VLOOKUP(C387,'[113]Mano de Obra'!$A$7:$G$35,4,FALSE)</f>
        <v>441510</v>
      </c>
      <c r="H387" s="172"/>
      <c r="I387" s="174"/>
      <c r="J387" s="174"/>
      <c r="K387" s="174">
        <f>+(F387*G387*(1+H387))</f>
        <v>37416.101694915254</v>
      </c>
    </row>
    <row r="388" spans="2:12" ht="15" hidden="1" x14ac:dyDescent="0.25">
      <c r="B388" s="168"/>
      <c r="C388" s="168"/>
      <c r="D388" s="169" t="s">
        <v>90</v>
      </c>
      <c r="E388" s="170" t="s">
        <v>91</v>
      </c>
      <c r="F388" s="178">
        <v>0.04</v>
      </c>
      <c r="G388" s="205">
        <f>+K387</f>
        <v>37416.101694915254</v>
      </c>
      <c r="H388" s="172"/>
      <c r="I388" s="174"/>
      <c r="J388" s="174"/>
      <c r="K388" s="174">
        <f>+(F388*G388*(1+H388))</f>
        <v>1496.6440677966102</v>
      </c>
    </row>
    <row r="389" spans="2:12" ht="15" hidden="1" x14ac:dyDescent="0.25">
      <c r="B389" s="168"/>
      <c r="C389" s="168"/>
      <c r="D389" s="169" t="s">
        <v>92</v>
      </c>
      <c r="E389" s="170" t="s">
        <v>91</v>
      </c>
      <c r="F389" s="178">
        <v>0.05</v>
      </c>
      <c r="G389" s="205">
        <f>+K387</f>
        <v>37416.101694915254</v>
      </c>
      <c r="H389" s="172"/>
      <c r="I389" s="174"/>
      <c r="J389" s="174">
        <f>+(F389*G389*(1+H389))</f>
        <v>1870.8050847457628</v>
      </c>
      <c r="K389" s="179"/>
    </row>
    <row r="390" spans="2:12" ht="15.6" hidden="1" x14ac:dyDescent="0.25">
      <c r="B390" s="180"/>
      <c r="C390" s="180"/>
      <c r="D390" s="181" t="s">
        <v>93</v>
      </c>
      <c r="E390" s="182">
        <f>+ROUND(SUM(I390:K390),0)</f>
        <v>88704</v>
      </c>
      <c r="F390" s="183"/>
      <c r="G390" s="184"/>
      <c r="H390" s="196"/>
      <c r="I390" s="186">
        <f>+ROUND(SUM(I381:I389),0)</f>
        <v>0</v>
      </c>
      <c r="J390" s="186">
        <f>+ROUND(SUM(J381:J389),0)</f>
        <v>49791</v>
      </c>
      <c r="K390" s="186">
        <f>+ROUND(SUM(K381:K389),0)</f>
        <v>38913</v>
      </c>
    </row>
    <row r="391" spans="2:12" hidden="1" x14ac:dyDescent="0.25"/>
    <row r="392" spans="2:12" ht="15.6" hidden="1" x14ac:dyDescent="0.25">
      <c r="B392" s="257" t="s">
        <v>271</v>
      </c>
      <c r="C392" s="235"/>
      <c r="D392" s="161" t="s">
        <v>272</v>
      </c>
      <c r="E392" s="162"/>
      <c r="F392" s="163"/>
      <c r="G392" s="201"/>
      <c r="H392" s="203"/>
      <c r="I392" s="203"/>
      <c r="J392" s="203"/>
      <c r="K392" s="203"/>
      <c r="L392" s="166">
        <f>+E399</f>
        <v>667422</v>
      </c>
    </row>
    <row r="393" spans="2:12" ht="15" hidden="1" x14ac:dyDescent="0.25">
      <c r="B393" s="168"/>
      <c r="C393" s="168">
        <v>5.008</v>
      </c>
      <c r="D393" s="169" t="s">
        <v>246</v>
      </c>
      <c r="E393" s="170" t="s">
        <v>37</v>
      </c>
      <c r="F393" s="206">
        <v>1</v>
      </c>
      <c r="G393" s="205">
        <f>+E93</f>
        <v>493303</v>
      </c>
      <c r="H393" s="172">
        <v>0.02</v>
      </c>
      <c r="I393" s="174"/>
      <c r="J393" s="174">
        <f>+(F393*G393*(1+H393))</f>
        <v>503169.06</v>
      </c>
      <c r="K393" s="174"/>
    </row>
    <row r="394" spans="2:12" ht="15" hidden="1" x14ac:dyDescent="0.25">
      <c r="B394" s="168"/>
      <c r="C394" s="168" t="s">
        <v>273</v>
      </c>
      <c r="D394" s="169" t="s">
        <v>274</v>
      </c>
      <c r="E394" s="170" t="s">
        <v>87</v>
      </c>
      <c r="F394" s="170">
        <v>1.5</v>
      </c>
      <c r="G394" s="171">
        <f>+VLOOKUP(C394,'[112]Insumos-Equipo M_L'!$A$2:$D$166,4,FALSE)</f>
        <v>22551.3285</v>
      </c>
      <c r="H394" s="172"/>
      <c r="I394" s="174">
        <f>+(F394*G394*(1+H394))</f>
        <v>33826.992749999998</v>
      </c>
      <c r="J394" s="174"/>
      <c r="K394" s="174"/>
    </row>
    <row r="395" spans="2:12" ht="15" hidden="1" x14ac:dyDescent="0.25">
      <c r="B395" s="168"/>
      <c r="C395" s="168" t="s">
        <v>275</v>
      </c>
      <c r="D395" s="169" t="s">
        <v>276</v>
      </c>
      <c r="E395" s="170" t="s">
        <v>87</v>
      </c>
      <c r="F395" s="175">
        <v>0.2</v>
      </c>
      <c r="G395" s="171">
        <f>+VLOOKUP(C395,'[112]Insumos-Equipo M_L'!$A$2:$D$166,4,FALSE)</f>
        <v>50458.737000000001</v>
      </c>
      <c r="H395" s="172"/>
      <c r="I395" s="174">
        <f>+(F395*G395*(1+H395))</f>
        <v>10091.7474</v>
      </c>
      <c r="J395" s="174"/>
      <c r="K395" s="174"/>
    </row>
    <row r="396" spans="2:12" ht="15" hidden="1" x14ac:dyDescent="0.25">
      <c r="B396" s="168"/>
      <c r="C396" s="168" t="s">
        <v>139</v>
      </c>
      <c r="D396" s="169" t="s">
        <v>140</v>
      </c>
      <c r="E396" s="170" t="s">
        <v>87</v>
      </c>
      <c r="F396" s="177">
        <v>0.4</v>
      </c>
      <c r="G396" s="171">
        <f>+VLOOKUP(C396,'[113]Mano de Obra'!$A$7:$G$35,4,FALSE)</f>
        <v>289265</v>
      </c>
      <c r="H396" s="172"/>
      <c r="I396" s="174"/>
      <c r="J396" s="174"/>
      <c r="K396" s="174">
        <f>+(F396*G396*(1+H396))</f>
        <v>115706</v>
      </c>
    </row>
    <row r="397" spans="2:12" ht="15" hidden="1" x14ac:dyDescent="0.25">
      <c r="B397" s="168"/>
      <c r="C397" s="168"/>
      <c r="D397" s="169" t="s">
        <v>90</v>
      </c>
      <c r="E397" s="170" t="s">
        <v>91</v>
      </c>
      <c r="F397" s="178">
        <v>0.02</v>
      </c>
      <c r="G397" s="205">
        <f>+K396</f>
        <v>115706</v>
      </c>
      <c r="H397" s="172"/>
      <c r="I397" s="174"/>
      <c r="J397" s="174"/>
      <c r="K397" s="174">
        <f>+(F397*G397*(1+H397))</f>
        <v>2314.12</v>
      </c>
    </row>
    <row r="398" spans="2:12" ht="15" hidden="1" x14ac:dyDescent="0.25">
      <c r="B398" s="168"/>
      <c r="C398" s="168"/>
      <c r="D398" s="169" t="s">
        <v>92</v>
      </c>
      <c r="E398" s="170" t="s">
        <v>91</v>
      </c>
      <c r="F398" s="178">
        <v>0.02</v>
      </c>
      <c r="G398" s="205">
        <f>+K396</f>
        <v>115706</v>
      </c>
      <c r="H398" s="172"/>
      <c r="I398" s="174"/>
      <c r="J398" s="174">
        <f>+(F398*G398*(1+H398))</f>
        <v>2314.12</v>
      </c>
      <c r="K398" s="179"/>
    </row>
    <row r="399" spans="2:12" ht="15.6" hidden="1" x14ac:dyDescent="0.25">
      <c r="B399" s="180"/>
      <c r="C399" s="180"/>
      <c r="D399" s="181" t="s">
        <v>93</v>
      </c>
      <c r="E399" s="182">
        <f>+ROUND(SUM(I399:K399),0)</f>
        <v>667422</v>
      </c>
      <c r="F399" s="183"/>
      <c r="G399" s="184"/>
      <c r="H399" s="196"/>
      <c r="I399" s="186">
        <f>+ROUND(SUM(I393:I398),0)</f>
        <v>43919</v>
      </c>
      <c r="J399" s="186">
        <f>+ROUND(SUM(J393:J398),0)</f>
        <v>505483</v>
      </c>
      <c r="K399" s="186">
        <f>+ROUND(SUM(K393:K398),0)</f>
        <v>118020</v>
      </c>
    </row>
    <row r="400" spans="2:12" hidden="1" x14ac:dyDescent="0.25"/>
    <row r="401" spans="2:12" ht="15.6" hidden="1" x14ac:dyDescent="0.25">
      <c r="B401" s="159" t="s">
        <v>277</v>
      </c>
      <c r="C401" s="160"/>
      <c r="D401" s="161" t="s">
        <v>278</v>
      </c>
      <c r="E401" s="162"/>
      <c r="F401" s="163"/>
      <c r="G401" s="201"/>
      <c r="H401" s="203"/>
      <c r="I401" s="203"/>
      <c r="J401" s="203"/>
      <c r="K401" s="203"/>
      <c r="L401" s="166">
        <f>+E410</f>
        <v>434038</v>
      </c>
    </row>
    <row r="402" spans="2:12" ht="15" hidden="1" x14ac:dyDescent="0.25">
      <c r="B402" s="168"/>
      <c r="C402" s="168" t="s">
        <v>73</v>
      </c>
      <c r="D402" s="169" t="s">
        <v>74</v>
      </c>
      <c r="E402" s="170" t="s">
        <v>37</v>
      </c>
      <c r="F402" s="170">
        <v>0.47499999999999998</v>
      </c>
      <c r="G402" s="171">
        <f>+VLOOKUP(C402,'[112]Insumos-Equipo M_L'!$A$2:$D$166,4,FALSE)</f>
        <v>86000</v>
      </c>
      <c r="H402" s="172">
        <v>0.03</v>
      </c>
      <c r="I402" s="174"/>
      <c r="J402" s="174">
        <f>+(F402*G402*(1+H402))</f>
        <v>42075.5</v>
      </c>
      <c r="K402" s="174"/>
    </row>
    <row r="403" spans="2:12" ht="15" hidden="1" x14ac:dyDescent="0.25">
      <c r="B403" s="168"/>
      <c r="C403" s="168" t="s">
        <v>75</v>
      </c>
      <c r="D403" s="169" t="s">
        <v>76</v>
      </c>
      <c r="E403" s="170" t="s">
        <v>37</v>
      </c>
      <c r="F403" s="176">
        <v>0.95</v>
      </c>
      <c r="G403" s="171">
        <f>+VLOOKUP(C403,'[112]Insumos-Equipo M_L'!$A$2:$D$166,4,FALSE)</f>
        <v>102187.34999999999</v>
      </c>
      <c r="H403" s="172">
        <v>0.03</v>
      </c>
      <c r="I403" s="174"/>
      <c r="J403" s="174">
        <f>+(F403*G403*(1+H403))</f>
        <v>99990.321974999984</v>
      </c>
      <c r="K403" s="174"/>
    </row>
    <row r="404" spans="2:12" ht="15" hidden="1" x14ac:dyDescent="0.25">
      <c r="B404" s="168"/>
      <c r="C404" s="168" t="s">
        <v>77</v>
      </c>
      <c r="D404" s="169" t="s">
        <v>78</v>
      </c>
      <c r="E404" s="170" t="s">
        <v>79</v>
      </c>
      <c r="F404" s="170">
        <v>150</v>
      </c>
      <c r="G404" s="171">
        <f>+VLOOKUP(C404,'[112]Insumos-Equipo M_L'!$A$2:$D$166,4,FALSE)</f>
        <v>13.182168149999999</v>
      </c>
      <c r="H404" s="172">
        <v>0.03</v>
      </c>
      <c r="I404" s="174"/>
      <c r="J404" s="174">
        <f>+(F404*G404*(1+H404))</f>
        <v>2036.6449791749999</v>
      </c>
      <c r="K404" s="174"/>
    </row>
    <row r="405" spans="2:12" ht="15" hidden="1" x14ac:dyDescent="0.25">
      <c r="B405" s="168"/>
      <c r="C405" s="168" t="s">
        <v>82</v>
      </c>
      <c r="D405" s="169" t="s">
        <v>83</v>
      </c>
      <c r="E405" s="170" t="s">
        <v>84</v>
      </c>
      <c r="F405" s="170">
        <v>260</v>
      </c>
      <c r="G405" s="171">
        <f>+VLOOKUP(C405,'[112]Insumos-Equipo M_L'!$A$2:$D$166,4,FALSE)</f>
        <v>650</v>
      </c>
      <c r="H405" s="172"/>
      <c r="I405" s="174"/>
      <c r="J405" s="174">
        <f>+(F405*G405*(1+H405))</f>
        <v>169000</v>
      </c>
      <c r="K405" s="174"/>
    </row>
    <row r="406" spans="2:12" ht="15" hidden="1" x14ac:dyDescent="0.25">
      <c r="B406" s="168"/>
      <c r="C406" s="168" t="s">
        <v>85</v>
      </c>
      <c r="D406" s="169" t="s">
        <v>86</v>
      </c>
      <c r="E406" s="170" t="s">
        <v>87</v>
      </c>
      <c r="F406" s="176">
        <v>0.26</v>
      </c>
      <c r="G406" s="171">
        <f>+VLOOKUP(C406,'[112]Insumos-Equipo M_L'!$A$2:$D$166,4,FALSE)</f>
        <v>50458.737000000001</v>
      </c>
      <c r="H406" s="172"/>
      <c r="I406" s="174">
        <f>+(F406*G406*(1+H406))</f>
        <v>13119.271620000001</v>
      </c>
      <c r="J406" s="174"/>
      <c r="K406" s="174"/>
    </row>
    <row r="407" spans="2:12" ht="15" hidden="1" x14ac:dyDescent="0.25">
      <c r="B407" s="168"/>
      <c r="C407" s="168" t="s">
        <v>88</v>
      </c>
      <c r="D407" s="169" t="s">
        <v>89</v>
      </c>
      <c r="E407" s="170" t="s">
        <v>87</v>
      </c>
      <c r="F407" s="177">
        <v>0.222</v>
      </c>
      <c r="G407" s="171">
        <f>+VLOOKUP(C407,'[113]Mano de Obra'!$A$7:$G$35,4,FALSE)</f>
        <v>441510</v>
      </c>
      <c r="H407" s="172"/>
      <c r="I407" s="174"/>
      <c r="J407" s="174"/>
      <c r="K407" s="174">
        <f>+(F407*G407*(1+H407))</f>
        <v>98015.22</v>
      </c>
    </row>
    <row r="408" spans="2:12" ht="15" hidden="1" x14ac:dyDescent="0.25">
      <c r="B408" s="168"/>
      <c r="C408" s="168"/>
      <c r="D408" s="169" t="s">
        <v>90</v>
      </c>
      <c r="E408" s="170" t="s">
        <v>91</v>
      </c>
      <c r="F408" s="178">
        <v>0.05</v>
      </c>
      <c r="G408" s="205">
        <f>+K407</f>
        <v>98015.22</v>
      </c>
      <c r="H408" s="172"/>
      <c r="I408" s="174"/>
      <c r="J408" s="174"/>
      <c r="K408" s="174">
        <f>+(F408*G408*(1+H408))</f>
        <v>4900.7610000000004</v>
      </c>
    </row>
    <row r="409" spans="2:12" ht="15" hidden="1" x14ac:dyDescent="0.25">
      <c r="B409" s="168"/>
      <c r="C409" s="168"/>
      <c r="D409" s="169" t="s">
        <v>92</v>
      </c>
      <c r="E409" s="170" t="s">
        <v>91</v>
      </c>
      <c r="F409" s="178">
        <v>0.05</v>
      </c>
      <c r="G409" s="205">
        <f>+K407</f>
        <v>98015.22</v>
      </c>
      <c r="H409" s="172"/>
      <c r="I409" s="174"/>
      <c r="J409" s="174">
        <f>+(F409*G409*(1+H409))</f>
        <v>4900.7610000000004</v>
      </c>
      <c r="K409" s="179"/>
    </row>
    <row r="410" spans="2:12" ht="15.6" hidden="1" x14ac:dyDescent="0.25">
      <c r="B410" s="180"/>
      <c r="C410" s="180"/>
      <c r="D410" s="181" t="s">
        <v>93</v>
      </c>
      <c r="E410" s="182">
        <f>+ROUND(SUM(I410:K410),0)</f>
        <v>434038</v>
      </c>
      <c r="F410" s="183"/>
      <c r="G410" s="184"/>
      <c r="H410" s="196"/>
      <c r="I410" s="186">
        <f>+ROUND(SUM(I402:I409),0)</f>
        <v>13119</v>
      </c>
      <c r="J410" s="186">
        <f>+ROUND(SUM(J402:J409),0)</f>
        <v>318003</v>
      </c>
      <c r="K410" s="186">
        <f>+ROUND(SUM(K402:K409),0)</f>
        <v>102916</v>
      </c>
    </row>
    <row r="411" spans="2:12" hidden="1" x14ac:dyDescent="0.25">
      <c r="G411" s="191">
        <f>5/100</f>
        <v>0.05</v>
      </c>
    </row>
    <row r="412" spans="2:12" ht="15.6" hidden="1" x14ac:dyDescent="0.25">
      <c r="B412" s="159">
        <v>5.2679999999999998</v>
      </c>
      <c r="C412" s="160"/>
      <c r="D412" s="161" t="s">
        <v>279</v>
      </c>
      <c r="E412" s="162"/>
      <c r="F412" s="163"/>
      <c r="G412" s="201"/>
      <c r="H412" s="203"/>
      <c r="I412" s="203"/>
      <c r="J412" s="203"/>
      <c r="K412" s="203"/>
      <c r="L412" s="166">
        <f>+E419</f>
        <v>1255645</v>
      </c>
    </row>
    <row r="413" spans="2:12" ht="15" hidden="1" x14ac:dyDescent="0.25">
      <c r="B413" s="168"/>
      <c r="C413" s="265">
        <f>+B50</f>
        <v>5.0049999999999999</v>
      </c>
      <c r="D413" s="266" t="str">
        <f>+D50</f>
        <v>Concreto imperm 27.6 MPa  (m3)</v>
      </c>
      <c r="E413" s="170" t="s">
        <v>37</v>
      </c>
      <c r="F413" s="176">
        <v>1</v>
      </c>
      <c r="G413" s="171">
        <f>+E60</f>
        <v>868759</v>
      </c>
      <c r="H413" s="172">
        <v>0.05</v>
      </c>
      <c r="I413" s="174"/>
      <c r="J413" s="174">
        <f>+(F413*G413*(1+H413))</f>
        <v>912196.95000000007</v>
      </c>
      <c r="K413" s="174"/>
    </row>
    <row r="414" spans="2:12" ht="15" hidden="1" x14ac:dyDescent="0.25">
      <c r="B414" s="168"/>
      <c r="C414" s="168" t="s">
        <v>275</v>
      </c>
      <c r="D414" s="169" t="s">
        <v>276</v>
      </c>
      <c r="E414" s="170" t="s">
        <v>87</v>
      </c>
      <c r="F414" s="170">
        <v>0.4</v>
      </c>
      <c r="G414" s="171">
        <f>+VLOOKUP(C414,'[112]Insumos-Equipo M_L'!$A$2:$D$166,4,FALSE)</f>
        <v>50458.737000000001</v>
      </c>
      <c r="H414" s="172"/>
      <c r="I414" s="174">
        <f>+(F414*G414*(1+H414))</f>
        <v>20183.4948</v>
      </c>
      <c r="J414" s="174"/>
      <c r="K414" s="174"/>
    </row>
    <row r="415" spans="2:12" ht="15" hidden="1" x14ac:dyDescent="0.25">
      <c r="B415" s="168"/>
      <c r="C415" s="168" t="s">
        <v>280</v>
      </c>
      <c r="D415" s="169" t="s">
        <v>281</v>
      </c>
      <c r="E415" s="170" t="s">
        <v>87</v>
      </c>
      <c r="F415" s="170">
        <v>0.4</v>
      </c>
      <c r="G415" s="171">
        <f>+VLOOKUP(C415,'[112]Insumos-Equipo M_L'!$A$2:$D$166,4,FALSE)</f>
        <v>79671.689999999988</v>
      </c>
      <c r="H415" s="172"/>
      <c r="I415" s="174">
        <f>+(F415*G415*(1+H415))</f>
        <v>31868.675999999996</v>
      </c>
      <c r="J415" s="174"/>
      <c r="K415" s="174"/>
    </row>
    <row r="416" spans="2:12" ht="15" hidden="1" x14ac:dyDescent="0.25">
      <c r="B416" s="168"/>
      <c r="C416" s="168" t="s">
        <v>88</v>
      </c>
      <c r="D416" s="169" t="s">
        <v>89</v>
      </c>
      <c r="E416" s="170" t="s">
        <v>87</v>
      </c>
      <c r="F416" s="177">
        <v>0.6</v>
      </c>
      <c r="G416" s="171">
        <f>+VLOOKUP(C416,'[113]Mano de Obra'!$A$7:$G$35,4,FALSE)</f>
        <v>441510</v>
      </c>
      <c r="H416" s="172"/>
      <c r="I416" s="174"/>
      <c r="J416" s="174"/>
      <c r="K416" s="174">
        <f>+(F416*G416*(1+H416))</f>
        <v>264906</v>
      </c>
    </row>
    <row r="417" spans="1:12" ht="15" hidden="1" x14ac:dyDescent="0.25">
      <c r="B417" s="168"/>
      <c r="C417" s="168"/>
      <c r="D417" s="169" t="s">
        <v>90</v>
      </c>
      <c r="E417" s="170" t="s">
        <v>91</v>
      </c>
      <c r="F417" s="178">
        <v>0.05</v>
      </c>
      <c r="G417" s="205">
        <f>+K416</f>
        <v>264906</v>
      </c>
      <c r="H417" s="172"/>
      <c r="I417" s="174"/>
      <c r="J417" s="174"/>
      <c r="K417" s="174">
        <f>+(F417*G417*(1+H417))</f>
        <v>13245.300000000001</v>
      </c>
    </row>
    <row r="418" spans="1:12" ht="15" hidden="1" x14ac:dyDescent="0.25">
      <c r="B418" s="168"/>
      <c r="C418" s="168"/>
      <c r="D418" s="169" t="s">
        <v>92</v>
      </c>
      <c r="E418" s="170" t="s">
        <v>91</v>
      </c>
      <c r="F418" s="178">
        <v>0.05</v>
      </c>
      <c r="G418" s="205">
        <f>+K416</f>
        <v>264906</v>
      </c>
      <c r="H418" s="172"/>
      <c r="I418" s="174"/>
      <c r="J418" s="174">
        <f>+(F418*G418*(1+H418))</f>
        <v>13245.300000000001</v>
      </c>
      <c r="K418" s="179"/>
    </row>
    <row r="419" spans="1:12" ht="15.6" hidden="1" x14ac:dyDescent="0.25">
      <c r="B419" s="180"/>
      <c r="C419" s="180"/>
      <c r="D419" s="181" t="s">
        <v>93</v>
      </c>
      <c r="E419" s="182">
        <f>+ROUND(SUM(I419:K419),0)</f>
        <v>1255645</v>
      </c>
      <c r="F419" s="183"/>
      <c r="G419" s="184"/>
      <c r="H419" s="196"/>
      <c r="I419" s="186">
        <f>+ROUND(SUM(I413:I418),0)</f>
        <v>52052</v>
      </c>
      <c r="J419" s="186">
        <f>+ROUND(SUM(J413:J418),0)</f>
        <v>925442</v>
      </c>
      <c r="K419" s="186">
        <f>+ROUND(SUM(K413:K418),0)</f>
        <v>278151</v>
      </c>
    </row>
    <row r="420" spans="1:12" hidden="1" x14ac:dyDescent="0.25"/>
    <row r="421" spans="1:12" ht="15.6" hidden="1" x14ac:dyDescent="0.25">
      <c r="A421" s="216"/>
      <c r="B421" s="159" t="s">
        <v>282</v>
      </c>
      <c r="C421" s="160"/>
      <c r="D421" s="161" t="s">
        <v>283</v>
      </c>
      <c r="E421" s="162"/>
      <c r="F421" s="163"/>
      <c r="G421" s="201"/>
      <c r="H421" s="203"/>
      <c r="I421" s="203"/>
      <c r="J421" s="203"/>
      <c r="K421" s="203"/>
      <c r="L421" s="166">
        <f>+E430</f>
        <v>1160557</v>
      </c>
    </row>
    <row r="422" spans="1:12" ht="15" hidden="1" x14ac:dyDescent="0.25">
      <c r="B422" s="223"/>
      <c r="C422" s="168" t="s">
        <v>111</v>
      </c>
      <c r="D422" s="169" t="s">
        <v>112</v>
      </c>
      <c r="E422" s="170" t="s">
        <v>37</v>
      </c>
      <c r="F422" s="170">
        <v>1</v>
      </c>
      <c r="G422" s="205">
        <f>+E143</f>
        <v>600000</v>
      </c>
      <c r="H422" s="234">
        <v>0.05</v>
      </c>
      <c r="I422" s="225"/>
      <c r="J422" s="174">
        <f>+(F422*G422*(1+H422))</f>
        <v>630000</v>
      </c>
      <c r="K422" s="225"/>
    </row>
    <row r="423" spans="1:12" ht="15" hidden="1" x14ac:dyDescent="0.25">
      <c r="B423" s="223"/>
      <c r="C423" s="223" t="s">
        <v>284</v>
      </c>
      <c r="D423" s="169" t="s">
        <v>285</v>
      </c>
      <c r="E423" s="170" t="s">
        <v>286</v>
      </c>
      <c r="F423" s="176">
        <v>50</v>
      </c>
      <c r="G423" s="171">
        <f>+VLOOKUP(C423,'[112]Insumos-Equipo M_L'!$A$2:$D$166,4,FALSE)</f>
        <v>1673.7749999999999</v>
      </c>
      <c r="H423" s="234"/>
      <c r="I423" s="174">
        <f>+(F423*G423*(1+H423))</f>
        <v>83688.75</v>
      </c>
      <c r="J423" s="225"/>
      <c r="K423" s="225"/>
    </row>
    <row r="424" spans="1:12" ht="15" hidden="1" x14ac:dyDescent="0.25">
      <c r="B424" s="223"/>
      <c r="C424" s="223" t="s">
        <v>233</v>
      </c>
      <c r="D424" s="169" t="s">
        <v>234</v>
      </c>
      <c r="E424" s="170" t="s">
        <v>97</v>
      </c>
      <c r="F424" s="170">
        <v>5</v>
      </c>
      <c r="G424" s="171">
        <f>+VLOOKUP(C424,'[112]Insumos-Equipo M_L'!$A$2:$D$166,4,FALSE)</f>
        <v>7432.1064029700001</v>
      </c>
      <c r="H424" s="234">
        <v>0.02</v>
      </c>
      <c r="I424" s="225"/>
      <c r="J424" s="174">
        <f>+(F424*G424*(1+H424))</f>
        <v>37903.742655147005</v>
      </c>
      <c r="K424" s="225"/>
    </row>
    <row r="425" spans="1:12" ht="15" hidden="1" x14ac:dyDescent="0.25">
      <c r="B425" s="223"/>
      <c r="C425" s="223" t="s">
        <v>275</v>
      </c>
      <c r="D425" s="169" t="s">
        <v>276</v>
      </c>
      <c r="E425" s="170" t="s">
        <v>87</v>
      </c>
      <c r="F425" s="170">
        <v>0.25</v>
      </c>
      <c r="G425" s="171">
        <f>+VLOOKUP(C425,'[112]Insumos-Equipo M_L'!$A$2:$D$166,4,FALSE)</f>
        <v>50458.737000000001</v>
      </c>
      <c r="H425" s="234"/>
      <c r="I425" s="174">
        <f>+(F425*G425*(1+H425))</f>
        <v>12614.68425</v>
      </c>
      <c r="J425" s="225"/>
      <c r="K425" s="225"/>
    </row>
    <row r="426" spans="1:12" ht="15" hidden="1" x14ac:dyDescent="0.25">
      <c r="B426" s="223"/>
      <c r="C426" s="223" t="s">
        <v>280</v>
      </c>
      <c r="D426" s="169" t="s">
        <v>281</v>
      </c>
      <c r="E426" s="170" t="s">
        <v>87</v>
      </c>
      <c r="F426" s="170">
        <v>0.25</v>
      </c>
      <c r="G426" s="171">
        <f>+VLOOKUP(C426,'[112]Insumos-Equipo M_L'!$A$2:$D$166,4,FALSE)</f>
        <v>79671.689999999988</v>
      </c>
      <c r="H426" s="234"/>
      <c r="I426" s="174">
        <f>+(F426*G426*(1+H426))</f>
        <v>19917.922499999997</v>
      </c>
      <c r="J426" s="225"/>
      <c r="K426" s="225"/>
    </row>
    <row r="427" spans="1:12" ht="15" hidden="1" x14ac:dyDescent="0.25">
      <c r="B427" s="223"/>
      <c r="C427" s="223" t="s">
        <v>88</v>
      </c>
      <c r="D427" s="169" t="s">
        <v>89</v>
      </c>
      <c r="E427" s="170" t="s">
        <v>87</v>
      </c>
      <c r="F427" s="267">
        <v>0.73499999999999999</v>
      </c>
      <c r="G427" s="171">
        <f>+VLOOKUP(C427,'[113]Mano de Obra'!$A$7:$G$35,4,FALSE)</f>
        <v>441510</v>
      </c>
      <c r="H427" s="234"/>
      <c r="I427" s="225"/>
      <c r="J427" s="225"/>
      <c r="K427" s="174">
        <f>+(F427*G427*(1+H427))</f>
        <v>324509.84999999998</v>
      </c>
    </row>
    <row r="428" spans="1:12" ht="15" hidden="1" x14ac:dyDescent="0.25">
      <c r="B428" s="223"/>
      <c r="C428" s="223"/>
      <c r="D428" s="169" t="s">
        <v>90</v>
      </c>
      <c r="E428" s="170" t="s">
        <v>91</v>
      </c>
      <c r="F428" s="178">
        <v>0.08</v>
      </c>
      <c r="G428" s="205">
        <f>+K427</f>
        <v>324509.84999999998</v>
      </c>
      <c r="H428" s="234"/>
      <c r="I428" s="225"/>
      <c r="J428" s="225"/>
      <c r="K428" s="174">
        <f>+(F428*G428*(1+H428))</f>
        <v>25960.788</v>
      </c>
    </row>
    <row r="429" spans="1:12" ht="15" hidden="1" x14ac:dyDescent="0.25">
      <c r="B429" s="223"/>
      <c r="C429" s="223"/>
      <c r="D429" s="169" t="s">
        <v>92</v>
      </c>
      <c r="E429" s="170" t="s">
        <v>91</v>
      </c>
      <c r="F429" s="178">
        <v>0.08</v>
      </c>
      <c r="G429" s="205">
        <f>+K427</f>
        <v>324509.84999999998</v>
      </c>
      <c r="H429" s="234"/>
      <c r="I429" s="225"/>
      <c r="J429" s="174">
        <f>+(F429*G429*(1+H429))</f>
        <v>25960.788</v>
      </c>
      <c r="K429" s="227"/>
    </row>
    <row r="430" spans="1:12" ht="15.6" hidden="1" x14ac:dyDescent="0.25">
      <c r="B430" s="228"/>
      <c r="C430" s="228"/>
      <c r="D430" s="229" t="s">
        <v>93</v>
      </c>
      <c r="E430" s="182">
        <f>+ROUND(SUM(I430:K430),0)</f>
        <v>1160557</v>
      </c>
      <c r="F430" s="183"/>
      <c r="G430" s="184"/>
      <c r="H430" s="196"/>
      <c r="I430" s="186">
        <f>+ROUND(SUM(I422:I429),0)</f>
        <v>116221</v>
      </c>
      <c r="J430" s="186">
        <f>+ROUND(SUM(J422:J429),0)</f>
        <v>693865</v>
      </c>
      <c r="K430" s="186">
        <f>+ROUND(SUM(K422:K429),0)</f>
        <v>350471</v>
      </c>
    </row>
    <row r="431" spans="1:12" hidden="1" x14ac:dyDescent="0.25">
      <c r="B431" s="268"/>
      <c r="C431" s="269"/>
      <c r="D431" s="269"/>
      <c r="E431" s="268"/>
      <c r="F431" s="269"/>
      <c r="G431" s="270"/>
      <c r="H431" s="269"/>
      <c r="I431" s="269"/>
      <c r="J431" s="269"/>
      <c r="K431" s="269"/>
    </row>
    <row r="432" spans="1:12" hidden="1" x14ac:dyDescent="0.25">
      <c r="B432" s="268"/>
      <c r="C432" s="269"/>
      <c r="D432" s="269"/>
      <c r="E432" s="268"/>
      <c r="F432" s="269"/>
      <c r="G432" s="270"/>
      <c r="H432" s="269"/>
      <c r="I432" s="269"/>
      <c r="J432" s="269"/>
      <c r="K432" s="269"/>
    </row>
    <row r="433" spans="1:12" ht="62.4" hidden="1" x14ac:dyDescent="0.25">
      <c r="A433" s="216"/>
      <c r="B433" s="159" t="s">
        <v>287</v>
      </c>
      <c r="C433" s="160"/>
      <c r="D433" s="271" t="s">
        <v>288</v>
      </c>
      <c r="E433" s="272" t="s">
        <v>289</v>
      </c>
      <c r="F433" s="163"/>
      <c r="G433" s="201"/>
      <c r="H433" s="203"/>
      <c r="I433" s="203"/>
      <c r="J433" s="203"/>
      <c r="K433" s="203"/>
      <c r="L433" s="166">
        <f>+E442</f>
        <v>441020</v>
      </c>
    </row>
    <row r="434" spans="1:12" ht="15" hidden="1" x14ac:dyDescent="0.25">
      <c r="B434" s="268"/>
      <c r="C434" s="223" t="s">
        <v>290</v>
      </c>
      <c r="D434" s="169" t="s">
        <v>291</v>
      </c>
      <c r="E434" s="170" t="s">
        <v>37</v>
      </c>
      <c r="F434" s="170">
        <v>0.02</v>
      </c>
      <c r="G434" s="171">
        <f>+VLOOKUP(C434,'[112]Insumos-Equipo M_L'!$A$2:$D$166,4,FALSE)</f>
        <v>688109.17743000004</v>
      </c>
      <c r="H434" s="234"/>
      <c r="I434" s="225"/>
      <c r="J434" s="174">
        <f>+(F434*G434*(1+H434))</f>
        <v>13762.183548600002</v>
      </c>
      <c r="K434" s="225"/>
    </row>
    <row r="435" spans="1:12" ht="15" hidden="1" x14ac:dyDescent="0.25">
      <c r="B435" s="268"/>
      <c r="C435" s="223" t="s">
        <v>292</v>
      </c>
      <c r="D435" s="169" t="s">
        <v>293</v>
      </c>
      <c r="E435" s="170" t="s">
        <v>87</v>
      </c>
      <c r="F435" s="273">
        <v>0.1</v>
      </c>
      <c r="G435" s="171">
        <f>+VLOOKUP(C435,'[112]Insumos-Equipo M_L'!$A$2:$D$166,4,FALSE)</f>
        <v>200853</v>
      </c>
      <c r="H435" s="234"/>
      <c r="I435" s="174">
        <f>+(F435*G435*(1+H435))</f>
        <v>20085.300000000003</v>
      </c>
      <c r="J435" s="225"/>
      <c r="K435" s="225"/>
    </row>
    <row r="436" spans="1:12" ht="15" hidden="1" x14ac:dyDescent="0.25">
      <c r="B436" s="268"/>
      <c r="C436" s="223" t="s">
        <v>294</v>
      </c>
      <c r="D436" s="169" t="s">
        <v>295</v>
      </c>
      <c r="E436" s="170" t="s">
        <v>165</v>
      </c>
      <c r="F436" s="170">
        <v>0.47</v>
      </c>
      <c r="G436" s="171">
        <f>+VLOOKUP(C436,'[112]Insumos-Equipo M_L'!$A$2:$D$166,4,FALSE)</f>
        <v>510625</v>
      </c>
      <c r="H436" s="234"/>
      <c r="I436" s="174">
        <f>+(F436*G436*(1+H436))</f>
        <v>239993.75</v>
      </c>
      <c r="J436" s="225"/>
      <c r="K436" s="225"/>
    </row>
    <row r="437" spans="1:12" ht="15" hidden="1" x14ac:dyDescent="0.25">
      <c r="B437" s="268"/>
      <c r="C437" s="227" t="s">
        <v>296</v>
      </c>
      <c r="D437" s="169" t="s">
        <v>297</v>
      </c>
      <c r="E437" s="170" t="s">
        <v>298</v>
      </c>
      <c r="F437" s="189">
        <v>1</v>
      </c>
      <c r="G437" s="171">
        <f>+VLOOKUP(C437,'[112]Insumos-Equipo M_L'!$A$2:$D$166,4,FALSE)</f>
        <v>53750</v>
      </c>
      <c r="H437" s="234"/>
      <c r="I437" s="225"/>
      <c r="J437" s="174">
        <f>+(F437*G437*(1+H437))</f>
        <v>53750</v>
      </c>
      <c r="K437" s="225"/>
    </row>
    <row r="438" spans="1:12" ht="15" hidden="1" x14ac:dyDescent="0.25">
      <c r="B438" s="268"/>
      <c r="C438" s="274" t="s">
        <v>299</v>
      </c>
      <c r="D438" s="169" t="s">
        <v>300</v>
      </c>
      <c r="E438" s="170" t="s">
        <v>87</v>
      </c>
      <c r="F438" s="170">
        <v>0.1</v>
      </c>
      <c r="G438" s="171">
        <f>+VLOOKUP(C438,'[112]Insumos-Equipo M_L'!$A$2:$D$166,4,FALSE)</f>
        <v>1593.4338</v>
      </c>
      <c r="H438" s="234"/>
      <c r="I438" s="174">
        <f>+(F438*G438*(1+H438))</f>
        <v>159.34338000000002</v>
      </c>
      <c r="J438" s="225"/>
      <c r="K438" s="227"/>
    </row>
    <row r="439" spans="1:12" ht="15" hidden="1" x14ac:dyDescent="0.25">
      <c r="B439" s="268"/>
      <c r="C439" s="274" t="s">
        <v>301</v>
      </c>
      <c r="D439" s="169" t="s">
        <v>302</v>
      </c>
      <c r="E439" s="170" t="s">
        <v>87</v>
      </c>
      <c r="F439" s="170">
        <v>0.2</v>
      </c>
      <c r="G439" s="275">
        <f>+VLOOKUP(C439,'[113]Mano de Obra'!$A$7:$G$35,4,FALSE)</f>
        <v>471959</v>
      </c>
      <c r="H439" s="276"/>
      <c r="I439" s="277"/>
      <c r="J439" s="225"/>
      <c r="K439" s="174">
        <f>+(F439*G439*(1+H439))</f>
        <v>94391.8</v>
      </c>
    </row>
    <row r="440" spans="1:12" ht="15" hidden="1" x14ac:dyDescent="0.25">
      <c r="B440" s="268"/>
      <c r="C440" s="274"/>
      <c r="D440" s="169" t="s">
        <v>90</v>
      </c>
      <c r="E440" s="170" t="s">
        <v>91</v>
      </c>
      <c r="F440" s="170">
        <v>0.1</v>
      </c>
      <c r="G440" s="275">
        <f>+K439</f>
        <v>94391.8</v>
      </c>
      <c r="H440" s="234"/>
      <c r="I440" s="225"/>
      <c r="J440" s="225"/>
      <c r="K440" s="174">
        <f>+(F440*G440*(1+H440))</f>
        <v>9439.18</v>
      </c>
    </row>
    <row r="441" spans="1:12" ht="15" hidden="1" x14ac:dyDescent="0.25">
      <c r="B441" s="268"/>
      <c r="C441" s="223"/>
      <c r="D441" s="169" t="s">
        <v>92</v>
      </c>
      <c r="E441" s="170" t="s">
        <v>91</v>
      </c>
      <c r="F441" s="226">
        <v>0.1</v>
      </c>
      <c r="G441" s="205">
        <f>+K439</f>
        <v>94391.8</v>
      </c>
      <c r="H441" s="234"/>
      <c r="I441" s="225"/>
      <c r="J441" s="174">
        <f>+(F441*G441*(1+H441))</f>
        <v>9439.18</v>
      </c>
      <c r="K441" s="225"/>
    </row>
    <row r="442" spans="1:12" ht="15.6" hidden="1" x14ac:dyDescent="0.25">
      <c r="B442" s="228"/>
      <c r="C442" s="228"/>
      <c r="D442" s="229" t="s">
        <v>93</v>
      </c>
      <c r="E442" s="182">
        <f>+ROUND(SUM(I442:K442),0)</f>
        <v>441020</v>
      </c>
      <c r="F442" s="183"/>
      <c r="G442" s="184"/>
      <c r="H442" s="196"/>
      <c r="I442" s="186">
        <f>+ROUND(SUM(I434:I441),0)</f>
        <v>260238</v>
      </c>
      <c r="J442" s="186">
        <f>+ROUND(SUM(J434:J441),0)</f>
        <v>76951</v>
      </c>
      <c r="K442" s="186">
        <f>+ROUND(SUM(K434:K441),0)</f>
        <v>103831</v>
      </c>
    </row>
    <row r="443" spans="1:12" hidden="1" x14ac:dyDescent="0.25">
      <c r="B443" s="268"/>
      <c r="C443" s="269"/>
      <c r="D443" s="269"/>
      <c r="E443" s="268"/>
      <c r="F443" s="269"/>
      <c r="G443" s="270"/>
      <c r="H443" s="269"/>
      <c r="I443" s="269"/>
      <c r="J443" s="269"/>
      <c r="K443" s="269"/>
    </row>
    <row r="444" spans="1:12" hidden="1" x14ac:dyDescent="0.25">
      <c r="B444" s="268"/>
      <c r="C444" s="269"/>
      <c r="D444" s="269"/>
      <c r="E444" s="268"/>
      <c r="F444" s="269"/>
      <c r="G444" s="270"/>
      <c r="H444" s="269"/>
      <c r="I444" s="269"/>
      <c r="J444" s="269"/>
      <c r="K444" s="269"/>
    </row>
    <row r="445" spans="1:12" ht="31.2" hidden="1" x14ac:dyDescent="0.25">
      <c r="A445" s="216"/>
      <c r="B445" s="159" t="s">
        <v>287</v>
      </c>
      <c r="C445" s="160"/>
      <c r="D445" s="271" t="s">
        <v>303</v>
      </c>
      <c r="E445" s="272" t="s">
        <v>289</v>
      </c>
      <c r="F445" s="163"/>
      <c r="G445" s="201"/>
      <c r="H445" s="203"/>
      <c r="I445" s="203"/>
      <c r="J445" s="203"/>
      <c r="K445" s="203"/>
      <c r="L445" s="166">
        <f>+E454</f>
        <v>672219</v>
      </c>
    </row>
    <row r="446" spans="1:12" ht="15" hidden="1" x14ac:dyDescent="0.25">
      <c r="B446" s="268"/>
      <c r="C446" s="223" t="s">
        <v>280</v>
      </c>
      <c r="D446" s="169" t="s">
        <v>281</v>
      </c>
      <c r="E446" s="170" t="s">
        <v>87</v>
      </c>
      <c r="F446" s="175">
        <v>0.3</v>
      </c>
      <c r="G446" s="171">
        <f>+VLOOKUP(C446,'[112]Insumos-Equipo M_L'!$A$2:$D$166,4,FALSE)</f>
        <v>79671.689999999988</v>
      </c>
      <c r="H446" s="234"/>
      <c r="I446" s="174">
        <f>+(F446*G446*(1+H446))</f>
        <v>23901.506999999994</v>
      </c>
      <c r="J446" s="225"/>
      <c r="K446" s="225"/>
    </row>
    <row r="447" spans="1:12" ht="15" hidden="1" x14ac:dyDescent="0.25">
      <c r="B447" s="268"/>
      <c r="C447" s="223" t="s">
        <v>304</v>
      </c>
      <c r="D447" s="169" t="s">
        <v>305</v>
      </c>
      <c r="E447" s="170" t="s">
        <v>306</v>
      </c>
      <c r="F447" s="226">
        <v>1</v>
      </c>
      <c r="G447" s="171">
        <f>+VLOOKUP(C447,'[112]Insumos-Equipo M_L'!$A$2:$D$166,4,FALSE)</f>
        <v>322500</v>
      </c>
      <c r="H447" s="234"/>
      <c r="I447" s="225"/>
      <c r="J447" s="174">
        <f>+(F447*G447*(1+H447))</f>
        <v>322500</v>
      </c>
      <c r="K447" s="225"/>
    </row>
    <row r="448" spans="1:12" ht="15" hidden="1" x14ac:dyDescent="0.25">
      <c r="B448" s="268"/>
      <c r="C448" s="223" t="s">
        <v>307</v>
      </c>
      <c r="D448" s="169" t="s">
        <v>308</v>
      </c>
      <c r="E448" s="170" t="s">
        <v>306</v>
      </c>
      <c r="F448" s="170">
        <v>0.22</v>
      </c>
      <c r="G448" s="171">
        <f>+VLOOKUP(C448,'[112]Insumos-Equipo M_L'!$A$2:$D$166,4,FALSE)</f>
        <v>322500</v>
      </c>
      <c r="H448" s="234"/>
      <c r="I448" s="225"/>
      <c r="J448" s="174">
        <f>+(F448*G448*(1+H448))</f>
        <v>70950</v>
      </c>
      <c r="K448" s="225"/>
    </row>
    <row r="449" spans="1:12" ht="15" hidden="1" x14ac:dyDescent="0.25">
      <c r="B449" s="268"/>
      <c r="C449" s="223" t="s">
        <v>294</v>
      </c>
      <c r="D449" s="169" t="s">
        <v>295</v>
      </c>
      <c r="E449" s="170" t="s">
        <v>165</v>
      </c>
      <c r="F449" s="170">
        <v>0.35</v>
      </c>
      <c r="G449" s="171">
        <f>+VLOOKUP(C449,'[112]Insumos-Equipo M_L'!$A$2:$D$166,4,FALSE)</f>
        <v>510625</v>
      </c>
      <c r="H449" s="234"/>
      <c r="I449" s="174">
        <f>+(F449*G449*(1+H449))</f>
        <v>178718.75</v>
      </c>
      <c r="J449" s="225"/>
      <c r="K449" s="227"/>
    </row>
    <row r="450" spans="1:12" ht="15" hidden="1" x14ac:dyDescent="0.25">
      <c r="B450" s="268"/>
      <c r="C450" s="274" t="s">
        <v>299</v>
      </c>
      <c r="D450" s="169" t="s">
        <v>300</v>
      </c>
      <c r="E450" s="170" t="s">
        <v>87</v>
      </c>
      <c r="F450" s="170">
        <v>0.25</v>
      </c>
      <c r="G450" s="171">
        <f>+VLOOKUP(C450,'[112]Insumos-Equipo M_L'!$A$2:$D$166,4,FALSE)</f>
        <v>1593.4338</v>
      </c>
      <c r="H450" s="234"/>
      <c r="I450" s="174">
        <f>+(F450*G450*(1+H450))</f>
        <v>398.35845</v>
      </c>
      <c r="J450" s="225"/>
      <c r="K450" s="227"/>
    </row>
    <row r="451" spans="1:12" ht="15" hidden="1" x14ac:dyDescent="0.25">
      <c r="B451" s="268"/>
      <c r="C451" s="274" t="s">
        <v>301</v>
      </c>
      <c r="D451" s="169" t="s">
        <v>302</v>
      </c>
      <c r="E451" s="170" t="s">
        <v>87</v>
      </c>
      <c r="F451" s="278">
        <v>0.15</v>
      </c>
      <c r="G451" s="275">
        <f>+VLOOKUP(C451,'[113]Mano de Obra'!$A$7:$G$35,4,FALSE)</f>
        <v>471959</v>
      </c>
      <c r="H451" s="276"/>
      <c r="I451" s="277"/>
      <c r="J451" s="225"/>
      <c r="K451" s="174">
        <f>+(F451*G451*(1+H451))</f>
        <v>70793.849999999991</v>
      </c>
    </row>
    <row r="452" spans="1:12" ht="15" hidden="1" x14ac:dyDescent="0.25">
      <c r="B452" s="268"/>
      <c r="C452" s="223"/>
      <c r="D452" s="169" t="s">
        <v>90</v>
      </c>
      <c r="E452" s="170" t="s">
        <v>91</v>
      </c>
      <c r="F452" s="170">
        <v>0.05</v>
      </c>
      <c r="G452" s="205">
        <f>+K451</f>
        <v>70793.849999999991</v>
      </c>
      <c r="H452" s="234"/>
      <c r="I452" s="225"/>
      <c r="J452" s="225"/>
      <c r="K452" s="174">
        <f>+(F452*G452*(1+H452))</f>
        <v>3539.6924999999997</v>
      </c>
    </row>
    <row r="453" spans="1:12" ht="15" hidden="1" x14ac:dyDescent="0.25">
      <c r="B453" s="268"/>
      <c r="C453" s="223"/>
      <c r="D453" s="169" t="s">
        <v>92</v>
      </c>
      <c r="E453" s="170" t="s">
        <v>91</v>
      </c>
      <c r="F453" s="226">
        <v>0.02</v>
      </c>
      <c r="G453" s="205">
        <f>+K451</f>
        <v>70793.849999999991</v>
      </c>
      <c r="H453" s="234"/>
      <c r="I453" s="225"/>
      <c r="J453" s="174">
        <f>+(F453*G453*(1+H453))</f>
        <v>1415.877</v>
      </c>
      <c r="K453" s="225"/>
    </row>
    <row r="454" spans="1:12" ht="15.6" hidden="1" x14ac:dyDescent="0.25">
      <c r="B454" s="228"/>
      <c r="C454" s="228"/>
      <c r="D454" s="229" t="s">
        <v>93</v>
      </c>
      <c r="E454" s="182">
        <f>+ROUND(SUM(I454:K454),0)</f>
        <v>672219</v>
      </c>
      <c r="F454" s="183"/>
      <c r="G454" s="184"/>
      <c r="H454" s="196"/>
      <c r="I454" s="186">
        <f>+ROUND(SUM(I446:I453),0)</f>
        <v>203019</v>
      </c>
      <c r="J454" s="186">
        <f>+ROUND(SUM(J446:J453),0)</f>
        <v>394866</v>
      </c>
      <c r="K454" s="186">
        <f>+ROUND(SUM(K446:K453),0)</f>
        <v>74334</v>
      </c>
    </row>
    <row r="455" spans="1:12" hidden="1" x14ac:dyDescent="0.25">
      <c r="B455" s="268"/>
      <c r="C455" s="269"/>
      <c r="D455" s="269"/>
      <c r="E455" s="268"/>
      <c r="F455" s="269"/>
      <c r="G455" s="270"/>
      <c r="H455" s="269"/>
      <c r="I455" s="269"/>
      <c r="J455" s="269"/>
      <c r="K455" s="269"/>
    </row>
    <row r="456" spans="1:12" hidden="1" x14ac:dyDescent="0.25">
      <c r="B456" s="268"/>
      <c r="C456" s="269"/>
      <c r="D456" s="269"/>
      <c r="E456" s="268"/>
      <c r="F456" s="269"/>
      <c r="G456" s="270"/>
      <c r="H456" s="269"/>
      <c r="I456" s="269"/>
      <c r="J456" s="269"/>
      <c r="K456" s="269"/>
    </row>
    <row r="457" spans="1:12" ht="15.6" hidden="1" x14ac:dyDescent="0.25">
      <c r="A457" s="216"/>
      <c r="B457" s="159" t="s">
        <v>287</v>
      </c>
      <c r="C457" s="160"/>
      <c r="D457" s="271" t="s">
        <v>309</v>
      </c>
      <c r="E457" s="272" t="s">
        <v>310</v>
      </c>
      <c r="F457" s="163"/>
      <c r="G457" s="201"/>
      <c r="H457" s="203"/>
      <c r="I457" s="203"/>
      <c r="J457" s="203"/>
      <c r="K457" s="203"/>
      <c r="L457" s="166">
        <f>+E466</f>
        <v>181506</v>
      </c>
    </row>
    <row r="458" spans="1:12" ht="15" hidden="1" x14ac:dyDescent="0.25">
      <c r="B458" s="268"/>
      <c r="C458" s="274" t="s">
        <v>82</v>
      </c>
      <c r="D458" s="169" t="s">
        <v>83</v>
      </c>
      <c r="E458" s="170" t="s">
        <v>84</v>
      </c>
      <c r="F458" s="170">
        <v>50</v>
      </c>
      <c r="G458" s="171">
        <f>+VLOOKUP(C458,'[112]Insumos-Equipo M_L'!$A$2:$D$166,4,FALSE)</f>
        <v>650</v>
      </c>
      <c r="H458" s="279">
        <v>0.02</v>
      </c>
      <c r="I458" s="280"/>
      <c r="J458" s="174">
        <f>+(F458*G458*(1+H458))</f>
        <v>33150</v>
      </c>
      <c r="K458" s="280"/>
    </row>
    <row r="459" spans="1:12" ht="15" hidden="1" x14ac:dyDescent="0.25">
      <c r="B459" s="268"/>
      <c r="C459" s="274" t="s">
        <v>77</v>
      </c>
      <c r="D459" s="169" t="s">
        <v>78</v>
      </c>
      <c r="E459" s="170" t="s">
        <v>79</v>
      </c>
      <c r="F459" s="170">
        <v>28.5</v>
      </c>
      <c r="G459" s="171">
        <f>+VLOOKUP(C459,'[112]Insumos-Equipo M_L'!$A$2:$D$166,4,FALSE)</f>
        <v>13.182168149999999</v>
      </c>
      <c r="H459" s="279">
        <v>0.02</v>
      </c>
      <c r="I459" s="280"/>
      <c r="J459" s="174">
        <f>+(F459*G459*(1+H459))</f>
        <v>383.20562812049997</v>
      </c>
      <c r="K459" s="280"/>
    </row>
    <row r="460" spans="1:12" ht="15" hidden="1" x14ac:dyDescent="0.25">
      <c r="B460" s="268"/>
      <c r="C460" s="274" t="s">
        <v>299</v>
      </c>
      <c r="D460" s="169" t="s">
        <v>300</v>
      </c>
      <c r="E460" s="170" t="s">
        <v>87</v>
      </c>
      <c r="F460" s="170">
        <v>0.25</v>
      </c>
      <c r="G460" s="171">
        <f>+VLOOKUP(C460,'[112]Insumos-Equipo M_L'!$A$2:$D$166,4,FALSE)</f>
        <v>1593.4338</v>
      </c>
      <c r="H460" s="281"/>
      <c r="I460" s="174">
        <f>+(F460*G460*(1+H460))</f>
        <v>398.35845</v>
      </c>
      <c r="J460" s="280"/>
      <c r="K460" s="280"/>
    </row>
    <row r="461" spans="1:12" ht="15" hidden="1" x14ac:dyDescent="0.25">
      <c r="B461" s="268"/>
      <c r="C461" s="282" t="s">
        <v>311</v>
      </c>
      <c r="D461" s="280" t="s">
        <v>312</v>
      </c>
      <c r="E461" s="283" t="s">
        <v>212</v>
      </c>
      <c r="F461" s="282">
        <v>0.3</v>
      </c>
      <c r="G461" s="171">
        <f>+VLOOKUP(C461,'[112]Insumos-Equipo M_L'!$A$2:$D$166,4,FALSE)</f>
        <v>225750</v>
      </c>
      <c r="H461" s="281"/>
      <c r="I461" s="174">
        <f>+(F461*G461*(1+H461))</f>
        <v>67725</v>
      </c>
      <c r="J461" s="280"/>
      <c r="K461" s="280"/>
    </row>
    <row r="462" spans="1:12" ht="15" hidden="1" x14ac:dyDescent="0.25">
      <c r="B462" s="268"/>
      <c r="C462" s="282" t="s">
        <v>313</v>
      </c>
      <c r="D462" s="280" t="s">
        <v>314</v>
      </c>
      <c r="E462" s="283" t="s">
        <v>212</v>
      </c>
      <c r="F462" s="282">
        <v>0.2</v>
      </c>
      <c r="G462" s="171">
        <f>+VLOOKUP(C462,'[112]Insumos-Equipo M_L'!$A$2:$D$166,4,FALSE)</f>
        <v>172000</v>
      </c>
      <c r="H462" s="281"/>
      <c r="I462" s="280"/>
      <c r="J462" s="174">
        <f>+(F462*G462*(1+H462))</f>
        <v>34400</v>
      </c>
      <c r="K462" s="280"/>
    </row>
    <row r="463" spans="1:12" ht="15" hidden="1" x14ac:dyDescent="0.25">
      <c r="B463" s="268"/>
      <c r="C463" s="274" t="s">
        <v>301</v>
      </c>
      <c r="D463" s="169" t="s">
        <v>302</v>
      </c>
      <c r="E463" s="170" t="s">
        <v>87</v>
      </c>
      <c r="F463" s="284">
        <v>0.09</v>
      </c>
      <c r="G463" s="275">
        <f>+VLOOKUP(C463,'[113]Mano de Obra'!$A$7:$G$35,4,FALSE)</f>
        <v>471959</v>
      </c>
      <c r="H463" s="282"/>
      <c r="I463" s="280"/>
      <c r="J463" s="280"/>
      <c r="K463" s="174">
        <f>+(F463*G463*(1+H463))</f>
        <v>42476.31</v>
      </c>
    </row>
    <row r="464" spans="1:12" ht="15" hidden="1" x14ac:dyDescent="0.25">
      <c r="B464" s="268"/>
      <c r="C464" s="285"/>
      <c r="D464" s="169" t="s">
        <v>90</v>
      </c>
      <c r="E464" s="170" t="s">
        <v>91</v>
      </c>
      <c r="F464" s="178">
        <v>0.02</v>
      </c>
      <c r="G464" s="205">
        <f>+K463</f>
        <v>42476.31</v>
      </c>
      <c r="H464" s="234"/>
      <c r="I464" s="225"/>
      <c r="J464" s="225"/>
      <c r="K464" s="174">
        <f>+(F464*G464*(1+H464))</f>
        <v>849.52620000000002</v>
      </c>
    </row>
    <row r="465" spans="1:54" ht="15" hidden="1" x14ac:dyDescent="0.25">
      <c r="B465" s="268"/>
      <c r="C465" s="285"/>
      <c r="D465" s="169" t="s">
        <v>92</v>
      </c>
      <c r="E465" s="170" t="s">
        <v>91</v>
      </c>
      <c r="F465" s="178">
        <v>0.05</v>
      </c>
      <c r="G465" s="205">
        <f>+K463</f>
        <v>42476.31</v>
      </c>
      <c r="H465" s="234"/>
      <c r="I465" s="225"/>
      <c r="J465" s="174">
        <f>+(F465*G465*(1+H465))</f>
        <v>2123.8155000000002</v>
      </c>
      <c r="K465" s="227"/>
    </row>
    <row r="466" spans="1:54" ht="15.6" hidden="1" x14ac:dyDescent="0.25">
      <c r="B466" s="228"/>
      <c r="C466" s="228"/>
      <c r="D466" s="229" t="s">
        <v>93</v>
      </c>
      <c r="E466" s="182">
        <f>+ROUND(SUM(I466:K466),0)</f>
        <v>181506</v>
      </c>
      <c r="F466" s="183"/>
      <c r="G466" s="184"/>
      <c r="H466" s="196"/>
      <c r="I466" s="186">
        <f>+ROUND(SUM(I458:I465),0)</f>
        <v>68123</v>
      </c>
      <c r="J466" s="186">
        <f>+ROUND(SUM(J458:J465),0)</f>
        <v>70057</v>
      </c>
      <c r="K466" s="186">
        <f>+ROUND(SUM(K458:K465),0)</f>
        <v>43326</v>
      </c>
    </row>
    <row r="467" spans="1:54" hidden="1" x14ac:dyDescent="0.25">
      <c r="L467" s="158"/>
    </row>
    <row r="468" spans="1:54" ht="36.75" hidden="1" customHeight="1" x14ac:dyDescent="0.25">
      <c r="A468" s="216"/>
      <c r="B468" s="159" t="s">
        <v>287</v>
      </c>
      <c r="C468" s="160"/>
      <c r="D468" s="271" t="s">
        <v>315</v>
      </c>
      <c r="E468" s="272" t="s">
        <v>49</v>
      </c>
      <c r="F468" s="163"/>
      <c r="G468" s="201"/>
      <c r="H468" s="203"/>
      <c r="I468" s="203"/>
      <c r="J468" s="203"/>
      <c r="K468" s="203"/>
      <c r="L468" s="166">
        <f>+E476</f>
        <v>148206</v>
      </c>
    </row>
    <row r="469" spans="1:54" ht="17.399999999999999" hidden="1" customHeight="1" x14ac:dyDescent="0.25">
      <c r="B469" s="244"/>
      <c r="C469" s="244">
        <v>5.01</v>
      </c>
      <c r="D469" s="243" t="s">
        <v>316</v>
      </c>
      <c r="E469" s="242" t="s">
        <v>37</v>
      </c>
      <c r="F469" s="286">
        <f>0.5*0.5*0.5</f>
        <v>0.125</v>
      </c>
      <c r="G469" s="287">
        <f>+E115</f>
        <v>578092</v>
      </c>
      <c r="H469" s="288">
        <v>0.05</v>
      </c>
      <c r="I469" s="289"/>
      <c r="J469" s="174">
        <f>+(F469*G469*(1+H469))</f>
        <v>75874.574999999997</v>
      </c>
      <c r="K469" s="289"/>
      <c r="L469" s="158"/>
      <c r="AS469" s="179"/>
      <c r="AT469" s="168"/>
      <c r="AU469" s="169"/>
      <c r="AV469" s="170"/>
      <c r="AW469" s="175"/>
      <c r="AX469" s="290"/>
      <c r="AY469" s="172"/>
      <c r="AZ469" s="174"/>
      <c r="BA469" s="174"/>
      <c r="BB469" s="174"/>
    </row>
    <row r="470" spans="1:54" ht="17.399999999999999" hidden="1" customHeight="1" x14ac:dyDescent="0.25">
      <c r="B470" s="244"/>
      <c r="C470" s="286" t="s">
        <v>122</v>
      </c>
      <c r="D470" s="291" t="s">
        <v>123</v>
      </c>
      <c r="E470" s="242" t="s">
        <v>124</v>
      </c>
      <c r="F470" s="286">
        <v>1</v>
      </c>
      <c r="G470" s="171">
        <f>+VLOOKUP(C470,'[112]Insumos-Equipo M_L'!$A$2:$D$166,4,FALSE)</f>
        <v>17200</v>
      </c>
      <c r="H470" s="286"/>
      <c r="I470" s="289"/>
      <c r="J470" s="174">
        <f>+(F470*G470*(1+H470))</f>
        <v>17200</v>
      </c>
      <c r="K470" s="289"/>
      <c r="L470" s="158"/>
      <c r="AS470" s="179"/>
      <c r="AT470" s="168"/>
      <c r="AU470" s="169"/>
      <c r="AV470" s="170"/>
      <c r="AW470" s="175"/>
      <c r="AX470" s="290"/>
      <c r="AY470" s="172"/>
      <c r="AZ470" s="174"/>
      <c r="BA470" s="174"/>
      <c r="BB470" s="174"/>
    </row>
    <row r="471" spans="1:54" ht="17.399999999999999" hidden="1" customHeight="1" x14ac:dyDescent="0.25">
      <c r="B471" s="244"/>
      <c r="C471" s="286" t="s">
        <v>149</v>
      </c>
      <c r="D471" s="243" t="s">
        <v>150</v>
      </c>
      <c r="E471" s="242" t="s">
        <v>124</v>
      </c>
      <c r="F471" s="286">
        <v>1</v>
      </c>
      <c r="G471" s="171">
        <f>+VLOOKUP(C471,'[112]Insumos-Equipo M_L'!$A$2:$D$166,4,FALSE)</f>
        <v>6261.5298712499998</v>
      </c>
      <c r="H471" s="286"/>
      <c r="I471" s="289"/>
      <c r="J471" s="174">
        <f>+(F471*G471*(1+H471))</f>
        <v>6261.5298712499998</v>
      </c>
      <c r="K471" s="289"/>
      <c r="L471" s="158"/>
      <c r="AS471" s="179"/>
      <c r="AT471" s="168"/>
      <c r="AU471" s="169"/>
      <c r="AV471" s="170"/>
      <c r="AW471" s="175"/>
      <c r="AX471" s="290"/>
      <c r="AY471" s="172"/>
      <c r="AZ471" s="174"/>
      <c r="BA471" s="174"/>
      <c r="BB471" s="174"/>
    </row>
    <row r="472" spans="1:54" ht="17.399999999999999" hidden="1" customHeight="1" x14ac:dyDescent="0.25">
      <c r="B472" s="244"/>
      <c r="C472" s="286" t="s">
        <v>130</v>
      </c>
      <c r="D472" s="243" t="s">
        <v>131</v>
      </c>
      <c r="E472" s="242" t="s">
        <v>132</v>
      </c>
      <c r="F472" s="286">
        <v>0.1</v>
      </c>
      <c r="G472" s="171">
        <f>+VLOOKUP(C472,'[112]Insumos-Equipo M_L'!$A$2:$D$166,4,FALSE)</f>
        <v>3031.8986745000002</v>
      </c>
      <c r="H472" s="286"/>
      <c r="I472" s="289"/>
      <c r="J472" s="174">
        <f>+(F472*G472*(1+H472))</f>
        <v>303.18986745000001</v>
      </c>
      <c r="K472" s="289"/>
      <c r="L472" s="158"/>
      <c r="AS472" s="179"/>
      <c r="AT472" s="168"/>
      <c r="AU472" s="169"/>
      <c r="AV472" s="170"/>
      <c r="AW472" s="175"/>
      <c r="AX472" s="290"/>
      <c r="AY472" s="172"/>
      <c r="AZ472" s="174"/>
      <c r="BA472" s="174"/>
      <c r="BB472" s="174"/>
    </row>
    <row r="473" spans="1:54" ht="17.399999999999999" hidden="1" customHeight="1" x14ac:dyDescent="0.25">
      <c r="B473" s="292"/>
      <c r="C473" s="293" t="s">
        <v>88</v>
      </c>
      <c r="D473" s="291" t="s">
        <v>89</v>
      </c>
      <c r="E473" s="294" t="s">
        <v>87</v>
      </c>
      <c r="F473" s="293">
        <v>0.1</v>
      </c>
      <c r="G473" s="171">
        <f>+VLOOKUP(C473,'[113]Mano de Obra'!$A$7:$G$35,4,FALSE)</f>
        <v>441510</v>
      </c>
      <c r="H473" s="293"/>
      <c r="I473" s="295"/>
      <c r="J473" s="295"/>
      <c r="K473" s="174">
        <f>+(F473*G473*(1+H473))</f>
        <v>44151</v>
      </c>
      <c r="L473" s="158"/>
      <c r="O473" s="296"/>
      <c r="AS473" s="179"/>
      <c r="AT473" s="168"/>
      <c r="AU473" s="169"/>
      <c r="AV473" s="170"/>
      <c r="AW473" s="175"/>
      <c r="AX473" s="290"/>
      <c r="AY473" s="172"/>
      <c r="AZ473" s="174"/>
      <c r="BA473" s="174"/>
      <c r="BB473" s="174"/>
    </row>
    <row r="474" spans="1:54" ht="17.399999999999999" hidden="1" customHeight="1" x14ac:dyDescent="0.25">
      <c r="B474" s="244"/>
      <c r="C474" s="286"/>
      <c r="D474" s="243" t="s">
        <v>90</v>
      </c>
      <c r="E474" s="242" t="s">
        <v>91</v>
      </c>
      <c r="F474" s="297">
        <v>0.05</v>
      </c>
      <c r="G474" s="287">
        <f>+K473</f>
        <v>44151</v>
      </c>
      <c r="H474" s="286"/>
      <c r="I474" s="289"/>
      <c r="J474" s="289"/>
      <c r="K474" s="289">
        <f>+ROUND(PRODUCT(F474:H474),0)</f>
        <v>2208</v>
      </c>
      <c r="L474" s="158"/>
      <c r="AS474" s="179"/>
      <c r="AT474" s="168"/>
      <c r="AU474" s="169"/>
      <c r="AV474" s="170"/>
      <c r="AW474" s="175"/>
      <c r="AX474" s="290"/>
      <c r="AY474" s="172"/>
      <c r="AZ474" s="174"/>
      <c r="BA474" s="174"/>
      <c r="BB474" s="174"/>
    </row>
    <row r="475" spans="1:54" ht="17.399999999999999" hidden="1" customHeight="1" x14ac:dyDescent="0.25">
      <c r="B475" s="244"/>
      <c r="C475" s="286"/>
      <c r="D475" s="243" t="s">
        <v>92</v>
      </c>
      <c r="E475" s="242" t="s">
        <v>91</v>
      </c>
      <c r="F475" s="297">
        <v>0.05</v>
      </c>
      <c r="G475" s="287">
        <f>+K473</f>
        <v>44151</v>
      </c>
      <c r="H475" s="286"/>
      <c r="I475" s="289"/>
      <c r="J475" s="174">
        <f>+(F475*G475*(1+H475))</f>
        <v>2207.5500000000002</v>
      </c>
      <c r="K475" s="289"/>
      <c r="L475" s="158"/>
      <c r="AS475" s="179"/>
      <c r="AT475" s="168"/>
      <c r="AU475" s="169"/>
      <c r="AV475" s="170"/>
      <c r="AW475" s="175"/>
      <c r="AX475" s="290"/>
      <c r="AY475" s="172"/>
      <c r="AZ475" s="174"/>
      <c r="BA475" s="174"/>
      <c r="BB475" s="174"/>
    </row>
    <row r="476" spans="1:54" ht="15.6" hidden="1" x14ac:dyDescent="0.25">
      <c r="B476" s="228"/>
      <c r="C476" s="228"/>
      <c r="D476" s="229" t="s">
        <v>93</v>
      </c>
      <c r="E476" s="182">
        <f>+ROUND(SUM(I476:K476),0)</f>
        <v>148206</v>
      </c>
      <c r="F476" s="183"/>
      <c r="G476" s="184"/>
      <c r="H476" s="196"/>
      <c r="I476" s="186">
        <f>+ROUND(SUM(I469:I475),0)</f>
        <v>0</v>
      </c>
      <c r="J476" s="186">
        <f>+ROUND(SUM(J469:J475),0)</f>
        <v>101847</v>
      </c>
      <c r="K476" s="186">
        <f>+ROUND(SUM(K469:K475),0)</f>
        <v>46359</v>
      </c>
    </row>
    <row r="477" spans="1:54" ht="17.399999999999999" hidden="1" customHeight="1" x14ac:dyDescent="0.25">
      <c r="L477" s="158"/>
    </row>
    <row r="478" spans="1:54" ht="50.25" hidden="1" customHeight="1" x14ac:dyDescent="0.25">
      <c r="A478" s="216"/>
      <c r="B478" s="159" t="s">
        <v>287</v>
      </c>
      <c r="C478" s="160"/>
      <c r="D478" s="271" t="s">
        <v>317</v>
      </c>
      <c r="E478" s="272" t="s">
        <v>49</v>
      </c>
      <c r="F478" s="163"/>
      <c r="G478" s="201"/>
      <c r="H478" s="203"/>
      <c r="I478" s="203"/>
      <c r="J478" s="203"/>
      <c r="K478" s="203"/>
      <c r="L478" s="166">
        <f>+E491</f>
        <v>614877</v>
      </c>
    </row>
    <row r="479" spans="1:54" ht="15" hidden="1" x14ac:dyDescent="0.25">
      <c r="B479" s="298"/>
      <c r="C479" s="244">
        <v>5.01</v>
      </c>
      <c r="D479" s="243" t="s">
        <v>318</v>
      </c>
      <c r="E479" s="242" t="s">
        <v>37</v>
      </c>
      <c r="F479" s="286">
        <f>+((0.7*0.2*0.2)*3)-(0.2*0.2*0.2)</f>
        <v>7.5999999999999984E-2</v>
      </c>
      <c r="G479" s="287">
        <f>+E115</f>
        <v>578092</v>
      </c>
      <c r="H479" s="297">
        <v>0.05</v>
      </c>
      <c r="I479" s="289"/>
      <c r="J479" s="174">
        <f t="shared" ref="J479:J486" si="4">+(F479*G479*(1+H479))</f>
        <v>46131.741599999994</v>
      </c>
      <c r="K479" s="289"/>
      <c r="L479" s="158"/>
    </row>
    <row r="480" spans="1:54" ht="15" hidden="1" x14ac:dyDescent="0.25">
      <c r="B480" s="298"/>
      <c r="C480" s="286" t="s">
        <v>122</v>
      </c>
      <c r="D480" s="291" t="s">
        <v>123</v>
      </c>
      <c r="E480" s="242" t="s">
        <v>124</v>
      </c>
      <c r="F480" s="286">
        <v>9</v>
      </c>
      <c r="G480" s="171">
        <f>+VLOOKUP(C480,'[112]Insumos-Equipo M_L'!$A$2:$D$166,4,FALSE)</f>
        <v>17200</v>
      </c>
      <c r="H480" s="299"/>
      <c r="I480" s="289"/>
      <c r="J480" s="174">
        <f t="shared" si="4"/>
        <v>154800</v>
      </c>
      <c r="K480" s="289"/>
      <c r="L480" s="158"/>
    </row>
    <row r="481" spans="1:12" ht="15" hidden="1" x14ac:dyDescent="0.25">
      <c r="B481" s="298"/>
      <c r="C481" s="286" t="s">
        <v>149</v>
      </c>
      <c r="D481" s="243" t="s">
        <v>150</v>
      </c>
      <c r="E481" s="242" t="s">
        <v>124</v>
      </c>
      <c r="F481" s="286">
        <v>3</v>
      </c>
      <c r="G481" s="171">
        <f>+VLOOKUP(C481,'[112]Insumos-Equipo M_L'!$A$2:$D$166,4,FALSE)</f>
        <v>6261.5298712499998</v>
      </c>
      <c r="H481" s="299"/>
      <c r="I481" s="289"/>
      <c r="J481" s="174">
        <f t="shared" si="4"/>
        <v>18784.589613749999</v>
      </c>
      <c r="K481" s="289"/>
      <c r="L481" s="158"/>
    </row>
    <row r="482" spans="1:12" ht="15" hidden="1" x14ac:dyDescent="0.25">
      <c r="B482" s="298"/>
      <c r="C482" s="286" t="s">
        <v>130</v>
      </c>
      <c r="D482" s="243" t="s">
        <v>131</v>
      </c>
      <c r="E482" s="242" t="s">
        <v>132</v>
      </c>
      <c r="F482" s="286">
        <v>1</v>
      </c>
      <c r="G482" s="171">
        <f>+VLOOKUP(C482,'[112]Insumos-Equipo M_L'!$A$2:$D$166,4,FALSE)</f>
        <v>3031.8986745000002</v>
      </c>
      <c r="H482" s="299"/>
      <c r="I482" s="289"/>
      <c r="J482" s="174">
        <f t="shared" si="4"/>
        <v>3031.8986745000002</v>
      </c>
      <c r="K482" s="289"/>
      <c r="L482" s="158"/>
    </row>
    <row r="483" spans="1:12" ht="15" hidden="1" x14ac:dyDescent="0.25">
      <c r="B483" s="298"/>
      <c r="C483" s="286" t="s">
        <v>115</v>
      </c>
      <c r="D483" s="243" t="s">
        <v>116</v>
      </c>
      <c r="E483" s="242" t="s">
        <v>97</v>
      </c>
      <c r="F483" s="286">
        <v>2</v>
      </c>
      <c r="G483" s="171">
        <f>+VLOOKUP(C483,'[112]Insumos-Equipo M_L'!$A$2:$D$166,4,FALSE)</f>
        <v>9491.1610680000013</v>
      </c>
      <c r="H483" s="299"/>
      <c r="I483" s="289"/>
      <c r="J483" s="174">
        <f t="shared" si="4"/>
        <v>18982.322136000003</v>
      </c>
      <c r="K483" s="289"/>
      <c r="L483" s="158"/>
    </row>
    <row r="484" spans="1:12" ht="15" hidden="1" x14ac:dyDescent="0.25">
      <c r="B484" s="298"/>
      <c r="C484" s="286" t="s">
        <v>233</v>
      </c>
      <c r="D484" s="243" t="s">
        <v>234</v>
      </c>
      <c r="E484" s="242" t="s">
        <v>97</v>
      </c>
      <c r="F484" s="286">
        <v>1.2</v>
      </c>
      <c r="G484" s="171">
        <f>+VLOOKUP(C484,'[112]Insumos-Equipo M_L'!$A$2:$D$166,4,FALSE)</f>
        <v>7432.1064029700001</v>
      </c>
      <c r="H484" s="299"/>
      <c r="I484" s="289"/>
      <c r="J484" s="174">
        <f t="shared" si="4"/>
        <v>8918.5276835639997</v>
      </c>
      <c r="K484" s="289"/>
      <c r="L484" s="158"/>
    </row>
    <row r="485" spans="1:12" ht="30" hidden="1" x14ac:dyDescent="0.25">
      <c r="B485" s="298"/>
      <c r="C485" s="286" t="s">
        <v>319</v>
      </c>
      <c r="D485" s="291" t="s">
        <v>320</v>
      </c>
      <c r="E485" s="242" t="s">
        <v>36</v>
      </c>
      <c r="F485" s="286">
        <v>1</v>
      </c>
      <c r="G485" s="171">
        <f>+VLOOKUP(C485,'[112]Insumos-Equipo M_L'!$A$2:$D$166,4,FALSE)</f>
        <v>30100</v>
      </c>
      <c r="H485" s="297">
        <v>0.05</v>
      </c>
      <c r="I485" s="289"/>
      <c r="J485" s="174">
        <f t="shared" si="4"/>
        <v>31605</v>
      </c>
      <c r="K485" s="289"/>
      <c r="L485" s="158"/>
    </row>
    <row r="486" spans="1:12" ht="15" hidden="1" x14ac:dyDescent="0.25">
      <c r="B486" s="298"/>
      <c r="C486" s="244">
        <v>5.0140000000000002</v>
      </c>
      <c r="D486" s="291" t="s">
        <v>46</v>
      </c>
      <c r="E486" s="242" t="s">
        <v>97</v>
      </c>
      <c r="F486" s="286">
        <v>6</v>
      </c>
      <c r="G486" s="205">
        <f>+E152</f>
        <v>8763</v>
      </c>
      <c r="H486" s="286"/>
      <c r="I486" s="289"/>
      <c r="J486" s="174">
        <f t="shared" si="4"/>
        <v>52578</v>
      </c>
      <c r="K486" s="289"/>
      <c r="L486" s="158"/>
    </row>
    <row r="487" spans="1:12" ht="15" hidden="1" x14ac:dyDescent="0.25">
      <c r="B487" s="298"/>
      <c r="C487" s="286" t="s">
        <v>275</v>
      </c>
      <c r="D487" s="291" t="s">
        <v>276</v>
      </c>
      <c r="E487" s="242" t="s">
        <v>87</v>
      </c>
      <c r="F487" s="286">
        <v>0.3</v>
      </c>
      <c r="G487" s="171">
        <f>+VLOOKUP(C487,'[112]Insumos-Equipo M_L'!$A$2:$D$166,4,FALSE)</f>
        <v>50458.737000000001</v>
      </c>
      <c r="H487" s="286"/>
      <c r="I487" s="174">
        <f>+(F487*G487*(1+H487))</f>
        <v>15137.6211</v>
      </c>
      <c r="J487" s="289"/>
      <c r="K487" s="289"/>
      <c r="L487" s="158"/>
    </row>
    <row r="488" spans="1:12" ht="15" hidden="1" x14ac:dyDescent="0.25">
      <c r="B488" s="298"/>
      <c r="C488" s="286" t="s">
        <v>88</v>
      </c>
      <c r="D488" s="291" t="s">
        <v>89</v>
      </c>
      <c r="E488" s="242" t="s">
        <v>87</v>
      </c>
      <c r="F488" s="286">
        <v>0.5</v>
      </c>
      <c r="G488" s="171">
        <f>+VLOOKUP(C488,'[113]Mano de Obra'!$A$7:$G$35,4,FALSE)</f>
        <v>441510</v>
      </c>
      <c r="H488" s="286"/>
      <c r="I488" s="289"/>
      <c r="J488" s="289"/>
      <c r="K488" s="174">
        <f>+(F488*G488*(1+H488))</f>
        <v>220755</v>
      </c>
      <c r="L488" s="158"/>
    </row>
    <row r="489" spans="1:12" ht="15" hidden="1" x14ac:dyDescent="0.25">
      <c r="B489" s="298"/>
      <c r="C489" s="286"/>
      <c r="D489" s="243" t="s">
        <v>90</v>
      </c>
      <c r="E489" s="242" t="s">
        <v>91</v>
      </c>
      <c r="F489" s="297">
        <v>0.1</v>
      </c>
      <c r="G489" s="287">
        <f>+K488</f>
        <v>220755</v>
      </c>
      <c r="H489" s="299"/>
      <c r="I489" s="289"/>
      <c r="J489" s="289"/>
      <c r="K489" s="174">
        <f>+(F489*G489*(1+H489))</f>
        <v>22075.5</v>
      </c>
      <c r="L489" s="158"/>
    </row>
    <row r="490" spans="1:12" ht="15" hidden="1" x14ac:dyDescent="0.25">
      <c r="B490" s="298"/>
      <c r="C490" s="286"/>
      <c r="D490" s="243" t="s">
        <v>92</v>
      </c>
      <c r="E490" s="242" t="s">
        <v>91</v>
      </c>
      <c r="F490" s="297">
        <v>0.1</v>
      </c>
      <c r="G490" s="287">
        <f>+K488</f>
        <v>220755</v>
      </c>
      <c r="H490" s="299"/>
      <c r="I490" s="289"/>
      <c r="J490" s="174">
        <f>+(F490*G490*(1+H490))</f>
        <v>22075.5</v>
      </c>
      <c r="K490" s="289"/>
      <c r="L490" s="158"/>
    </row>
    <row r="491" spans="1:12" ht="15.6" hidden="1" x14ac:dyDescent="0.25">
      <c r="B491" s="228"/>
      <c r="C491" s="228"/>
      <c r="D491" s="229" t="s">
        <v>93</v>
      </c>
      <c r="E491" s="182">
        <f>+ROUND(SUM(I491:K491),0)</f>
        <v>614877</v>
      </c>
      <c r="F491" s="183"/>
      <c r="G491" s="184"/>
      <c r="H491" s="196"/>
      <c r="I491" s="186">
        <f>+ROUND(SUM(I479:I490),0)</f>
        <v>15138</v>
      </c>
      <c r="J491" s="186">
        <f>+ROUND(SUM(J479:J490),0)</f>
        <v>356908</v>
      </c>
      <c r="K491" s="186">
        <f>+ROUND(SUM(K479:K490),0)</f>
        <v>242831</v>
      </c>
    </row>
    <row r="492" spans="1:12" ht="17.399999999999999" hidden="1" customHeight="1" x14ac:dyDescent="0.25">
      <c r="L492" s="158"/>
    </row>
    <row r="493" spans="1:12" ht="32.25" hidden="1" customHeight="1" x14ac:dyDescent="0.25">
      <c r="A493" s="216"/>
      <c r="B493" s="159" t="s">
        <v>287</v>
      </c>
      <c r="C493" s="160"/>
      <c r="D493" s="161" t="s">
        <v>57</v>
      </c>
      <c r="E493" s="162" t="s">
        <v>49</v>
      </c>
      <c r="F493" s="163"/>
      <c r="G493" s="201"/>
      <c r="H493" s="203"/>
      <c r="I493" s="203"/>
      <c r="J493" s="203"/>
      <c r="K493" s="203"/>
      <c r="L493" s="166">
        <f>+E500</f>
        <v>228083</v>
      </c>
    </row>
    <row r="494" spans="1:12" ht="15" hidden="1" x14ac:dyDescent="0.25">
      <c r="B494" s="244"/>
      <c r="C494" s="299" t="s">
        <v>321</v>
      </c>
      <c r="D494" s="243" t="s">
        <v>322</v>
      </c>
      <c r="E494" s="242" t="s">
        <v>124</v>
      </c>
      <c r="F494" s="286">
        <v>0.5</v>
      </c>
      <c r="G494" s="171">
        <f>+VLOOKUP(C494,'[112]Insumos-Equipo M_L'!$A$2:$D$166,4,FALSE)</f>
        <v>162411</v>
      </c>
      <c r="H494" s="289"/>
      <c r="I494" s="289"/>
      <c r="J494" s="174">
        <f>+(F494*G494*(1+H494))</f>
        <v>81205.5</v>
      </c>
      <c r="K494" s="289"/>
      <c r="L494" s="158"/>
    </row>
    <row r="495" spans="1:12" ht="15" hidden="1" x14ac:dyDescent="0.25">
      <c r="B495" s="244"/>
      <c r="C495" s="299" t="s">
        <v>323</v>
      </c>
      <c r="D495" s="243" t="s">
        <v>324</v>
      </c>
      <c r="E495" s="242" t="s">
        <v>124</v>
      </c>
      <c r="F495" s="286">
        <v>2</v>
      </c>
      <c r="G495" s="171">
        <f>+VLOOKUP(C495,'[112]Insumos-Equipo M_L'!$A$2:$D$166,4,FALSE)</f>
        <v>43000</v>
      </c>
      <c r="H495" s="289"/>
      <c r="I495" s="289"/>
      <c r="J495" s="174">
        <f>+(F495*G495*(1+H495))</f>
        <v>86000</v>
      </c>
      <c r="K495" s="289"/>
      <c r="L495" s="158"/>
    </row>
    <row r="496" spans="1:12" ht="15" hidden="1" x14ac:dyDescent="0.25">
      <c r="B496" s="244"/>
      <c r="C496" s="299" t="s">
        <v>325</v>
      </c>
      <c r="D496" s="243" t="s">
        <v>326</v>
      </c>
      <c r="E496" s="242" t="s">
        <v>124</v>
      </c>
      <c r="F496" s="286">
        <v>2</v>
      </c>
      <c r="G496" s="171">
        <f>+VLOOKUP(C496,'[112]Insumos-Equipo M_L'!$A$2:$D$166,4,FALSE)</f>
        <v>12900</v>
      </c>
      <c r="H496" s="289"/>
      <c r="I496" s="289"/>
      <c r="J496" s="174">
        <f>+(F496*G496*(1+H496))</f>
        <v>25800</v>
      </c>
      <c r="K496" s="289"/>
      <c r="L496" s="158"/>
    </row>
    <row r="497" spans="1:12" ht="15" hidden="1" x14ac:dyDescent="0.25">
      <c r="B497" s="244"/>
      <c r="C497" s="168" t="s">
        <v>327</v>
      </c>
      <c r="D497" s="179" t="s">
        <v>328</v>
      </c>
      <c r="E497" s="242" t="s">
        <v>87</v>
      </c>
      <c r="F497" s="286">
        <v>0.08</v>
      </c>
      <c r="G497" s="171">
        <f>+VLOOKUP(C497,'[113]Mano de Obra'!$A$7:$G$35,4,FALSE)</f>
        <v>365388</v>
      </c>
      <c r="H497" s="300"/>
      <c r="I497" s="289"/>
      <c r="J497" s="289"/>
      <c r="K497" s="174">
        <f>+(F497*G497*(1+H497))</f>
        <v>29231.040000000001</v>
      </c>
      <c r="L497" s="158"/>
    </row>
    <row r="498" spans="1:12" ht="15" hidden="1" x14ac:dyDescent="0.25">
      <c r="B498" s="244"/>
      <c r="C498" s="286"/>
      <c r="D498" s="243" t="s">
        <v>329</v>
      </c>
      <c r="E498" s="242" t="s">
        <v>91</v>
      </c>
      <c r="F498" s="297">
        <v>0.1</v>
      </c>
      <c r="G498" s="287">
        <f>+K497</f>
        <v>29231.040000000001</v>
      </c>
      <c r="H498" s="300"/>
      <c r="I498" s="289"/>
      <c r="J498" s="289"/>
      <c r="K498" s="174">
        <f>+(F498*G498*(1+H498))</f>
        <v>2923.1040000000003</v>
      </c>
      <c r="L498" s="158"/>
    </row>
    <row r="499" spans="1:12" ht="15" hidden="1" x14ac:dyDescent="0.25">
      <c r="B499" s="244"/>
      <c r="C499" s="299"/>
      <c r="D499" s="243" t="s">
        <v>92</v>
      </c>
      <c r="E499" s="242" t="s">
        <v>91</v>
      </c>
      <c r="F499" s="288">
        <v>0.1</v>
      </c>
      <c r="G499" s="287">
        <f>+K497</f>
        <v>29231.040000000001</v>
      </c>
      <c r="H499" s="289"/>
      <c r="I499" s="289"/>
      <c r="J499" s="174">
        <f>+(F499*G499*(1+H499))</f>
        <v>2923.1040000000003</v>
      </c>
      <c r="K499" s="289"/>
      <c r="L499" s="158"/>
    </row>
    <row r="500" spans="1:12" ht="15.6" hidden="1" x14ac:dyDescent="0.25">
      <c r="B500" s="228"/>
      <c r="C500" s="228"/>
      <c r="D500" s="229" t="s">
        <v>93</v>
      </c>
      <c r="E500" s="182">
        <f>+ROUND(SUM(I500:K500),0)</f>
        <v>228083</v>
      </c>
      <c r="F500" s="183"/>
      <c r="G500" s="184"/>
      <c r="H500" s="196"/>
      <c r="I500" s="186">
        <f>+ROUND(SUM(I494:I499),0)</f>
        <v>0</v>
      </c>
      <c r="J500" s="186">
        <f>+ROUND(SUM(J494:J499),0)</f>
        <v>195929</v>
      </c>
      <c r="K500" s="186">
        <f>+ROUND(SUM(K494:K499),0)</f>
        <v>32154</v>
      </c>
    </row>
    <row r="501" spans="1:12" ht="17.399999999999999" hidden="1" customHeight="1" x14ac:dyDescent="0.25">
      <c r="L501" s="158"/>
    </row>
    <row r="502" spans="1:12" ht="29.25" hidden="1" customHeight="1" x14ac:dyDescent="0.25">
      <c r="A502" s="216"/>
      <c r="B502" s="159" t="s">
        <v>287</v>
      </c>
      <c r="C502" s="160"/>
      <c r="D502" s="161" t="s">
        <v>330</v>
      </c>
      <c r="E502" s="162" t="s">
        <v>289</v>
      </c>
      <c r="F502" s="286"/>
      <c r="G502" s="301"/>
      <c r="H502" s="299"/>
      <c r="I502" s="243"/>
      <c r="J502" s="243"/>
      <c r="K502" s="243"/>
      <c r="L502" s="166">
        <f>+E510</f>
        <v>350852</v>
      </c>
    </row>
    <row r="503" spans="1:12" ht="15" hidden="1" x14ac:dyDescent="0.25">
      <c r="C503" s="223" t="s">
        <v>331</v>
      </c>
      <c r="D503" s="169" t="s">
        <v>332</v>
      </c>
      <c r="E503" s="170" t="s">
        <v>87</v>
      </c>
      <c r="F503" s="176">
        <v>0.4</v>
      </c>
      <c r="G503" s="171">
        <f>+VLOOKUP(C503,'[112]Insumos-Equipo M_L'!$A$2:$D$166,4,FALSE)</f>
        <v>209625</v>
      </c>
      <c r="H503" s="172"/>
      <c r="I503" s="174">
        <f>+(F503*G503*(1+H503))</f>
        <v>83850</v>
      </c>
      <c r="J503" s="174"/>
      <c r="K503" s="174"/>
    </row>
    <row r="504" spans="1:12" ht="15" hidden="1" x14ac:dyDescent="0.25">
      <c r="C504" s="168" t="s">
        <v>77</v>
      </c>
      <c r="D504" s="169" t="s">
        <v>78</v>
      </c>
      <c r="E504" s="170" t="s">
        <v>79</v>
      </c>
      <c r="F504" s="302">
        <v>28.5</v>
      </c>
      <c r="G504" s="171">
        <f>+VLOOKUP(C504,'[112]Insumos-Equipo M_L'!$A$2:$D$166,4,FALSE)</f>
        <v>13.182168149999999</v>
      </c>
      <c r="H504" s="172">
        <v>0.03</v>
      </c>
      <c r="I504" s="174"/>
      <c r="J504" s="174">
        <f>+(F504*G504*(1+H504))</f>
        <v>386.96254604324997</v>
      </c>
      <c r="K504" s="174"/>
    </row>
    <row r="505" spans="1:12" ht="15" hidden="1" x14ac:dyDescent="0.25">
      <c r="C505" s="274" t="s">
        <v>299</v>
      </c>
      <c r="D505" s="169" t="s">
        <v>300</v>
      </c>
      <c r="E505" s="170" t="s">
        <v>87</v>
      </c>
      <c r="F505" s="176">
        <v>0.25</v>
      </c>
      <c r="G505" s="171">
        <f>+VLOOKUP(C505,'[112]Insumos-Equipo M_L'!$A$2:$D$166,4,FALSE)</f>
        <v>1593.4338</v>
      </c>
      <c r="H505" s="172"/>
      <c r="I505" s="174">
        <f>+(F505*G505*(1+H505))</f>
        <v>398.35845</v>
      </c>
      <c r="J505" s="174"/>
      <c r="K505" s="179"/>
    </row>
    <row r="506" spans="1:12" ht="15" hidden="1" x14ac:dyDescent="0.25">
      <c r="C506" s="223" t="s">
        <v>333</v>
      </c>
      <c r="D506" s="169" t="s">
        <v>334</v>
      </c>
      <c r="E506" s="170" t="s">
        <v>87</v>
      </c>
      <c r="F506" s="176">
        <v>0.5</v>
      </c>
      <c r="G506" s="171">
        <f>+VLOOKUP(C506,'[112]Insumos-Equipo M_L'!$A$2:$D$166,4,FALSE)</f>
        <v>13278.615</v>
      </c>
      <c r="H506" s="303"/>
      <c r="I506" s="174">
        <f>+(F506*G506*(1+H506))</f>
        <v>6639.3074999999999</v>
      </c>
      <c r="J506" s="174"/>
      <c r="K506" s="179"/>
    </row>
    <row r="507" spans="1:12" ht="15" hidden="1" x14ac:dyDescent="0.25">
      <c r="C507" s="304" t="s">
        <v>301</v>
      </c>
      <c r="D507" s="179" t="s">
        <v>302</v>
      </c>
      <c r="E507" s="260" t="s">
        <v>87</v>
      </c>
      <c r="F507" s="176">
        <v>0.5</v>
      </c>
      <c r="G507" s="171">
        <f>+VLOOKUP(C507,'[113]Mano de Obra'!$A$7:$G$35,4,FALSE)</f>
        <v>471959</v>
      </c>
      <c r="H507" s="303"/>
      <c r="I507" s="305"/>
      <c r="J507" s="174"/>
      <c r="K507" s="174">
        <f>+(F507*G507*(1+H507))</f>
        <v>235979.5</v>
      </c>
    </row>
    <row r="508" spans="1:12" ht="15" hidden="1" x14ac:dyDescent="0.25">
      <c r="C508" s="168"/>
      <c r="D508" s="169" t="s">
        <v>90</v>
      </c>
      <c r="E508" s="170" t="s">
        <v>91</v>
      </c>
      <c r="F508" s="306">
        <v>0.05</v>
      </c>
      <c r="G508" s="205">
        <f>+K507</f>
        <v>235979.5</v>
      </c>
      <c r="H508" s="172"/>
      <c r="I508" s="174"/>
      <c r="J508" s="174"/>
      <c r="K508" s="174">
        <f>+(F508*G508*(1+H508))</f>
        <v>11798.975</v>
      </c>
    </row>
    <row r="509" spans="1:12" ht="15" hidden="1" x14ac:dyDescent="0.25">
      <c r="C509" s="168"/>
      <c r="D509" s="169" t="s">
        <v>92</v>
      </c>
      <c r="E509" s="170" t="s">
        <v>91</v>
      </c>
      <c r="F509" s="307">
        <v>0.05</v>
      </c>
      <c r="G509" s="205">
        <f>+K507</f>
        <v>235979.5</v>
      </c>
      <c r="H509" s="172"/>
      <c r="I509" s="174"/>
      <c r="J509" s="174">
        <f>+(F509*G509*(1+H509))</f>
        <v>11798.975</v>
      </c>
      <c r="K509" s="174"/>
    </row>
    <row r="510" spans="1:12" ht="15.6" hidden="1" x14ac:dyDescent="0.25">
      <c r="B510" s="308"/>
      <c r="C510" s="309"/>
      <c r="D510" s="181" t="s">
        <v>93</v>
      </c>
      <c r="E510" s="182">
        <f>+ROUND(SUM(I510:K510),0)</f>
        <v>350852</v>
      </c>
      <c r="F510" s="247"/>
      <c r="G510" s="184"/>
      <c r="H510" s="310"/>
      <c r="I510" s="186">
        <f>+ROUND(SUM(I502:I509),0)</f>
        <v>90888</v>
      </c>
      <c r="J510" s="186">
        <f>+ROUND(SUM(J502:J509),0)</f>
        <v>12186</v>
      </c>
      <c r="K510" s="186">
        <f>+ROUND(SUM(K502:K509),0)</f>
        <v>247778</v>
      </c>
    </row>
    <row r="511" spans="1:12" ht="17.399999999999999" hidden="1" customHeight="1" x14ac:dyDescent="0.25">
      <c r="L511" s="158"/>
    </row>
    <row r="512" spans="1:12" hidden="1" x14ac:dyDescent="0.25">
      <c r="B512" s="268"/>
      <c r="C512" s="269"/>
      <c r="D512" s="269"/>
      <c r="E512" s="268"/>
      <c r="F512" s="269"/>
      <c r="G512" s="270"/>
      <c r="H512" s="269"/>
      <c r="I512" s="269"/>
      <c r="J512" s="269"/>
      <c r="K512" s="269"/>
    </row>
    <row r="513" spans="1:12" ht="15.6" hidden="1" x14ac:dyDescent="0.25">
      <c r="A513" s="311"/>
      <c r="B513" s="159" t="s">
        <v>287</v>
      </c>
      <c r="C513" s="160"/>
      <c r="D513" s="161" t="s">
        <v>335</v>
      </c>
      <c r="E513" s="162" t="s">
        <v>49</v>
      </c>
      <c r="F513" s="163"/>
      <c r="G513" s="201"/>
      <c r="H513" s="203"/>
      <c r="I513" s="203"/>
      <c r="J513" s="203"/>
      <c r="K513" s="203"/>
      <c r="L513" s="166">
        <f>+E522</f>
        <v>1555352</v>
      </c>
    </row>
    <row r="514" spans="1:12" ht="15" hidden="1" x14ac:dyDescent="0.25">
      <c r="B514" s="168"/>
      <c r="C514" s="168"/>
      <c r="D514" s="169" t="s">
        <v>336</v>
      </c>
      <c r="E514" s="170" t="s">
        <v>208</v>
      </c>
      <c r="F514" s="169">
        <v>0.8</v>
      </c>
      <c r="G514" s="245">
        <v>258700</v>
      </c>
      <c r="H514" s="169"/>
      <c r="I514" s="174">
        <f>+(F514*G514*(1+H514))</f>
        <v>206960</v>
      </c>
      <c r="J514" s="174"/>
      <c r="K514" s="174"/>
      <c r="L514" s="158"/>
    </row>
    <row r="515" spans="1:12" ht="15" hidden="1" x14ac:dyDescent="0.25">
      <c r="B515" s="168"/>
      <c r="C515" s="168" t="s">
        <v>333</v>
      </c>
      <c r="D515" s="169" t="s">
        <v>334</v>
      </c>
      <c r="E515" s="170" t="s">
        <v>87</v>
      </c>
      <c r="F515" s="175">
        <v>0.5</v>
      </c>
      <c r="G515" s="205">
        <v>12352.2</v>
      </c>
      <c r="H515" s="204"/>
      <c r="I515" s="174">
        <f>+(F515*G515*(1+H515))</f>
        <v>6176.1</v>
      </c>
      <c r="J515" s="174"/>
      <c r="K515" s="239"/>
      <c r="L515" s="158"/>
    </row>
    <row r="516" spans="1:12" ht="15" hidden="1" x14ac:dyDescent="0.25">
      <c r="B516" s="168"/>
      <c r="C516" s="168"/>
      <c r="D516" s="169" t="s">
        <v>209</v>
      </c>
      <c r="E516" s="170" t="s">
        <v>210</v>
      </c>
      <c r="F516" s="169">
        <v>1</v>
      </c>
      <c r="G516" s="245">
        <v>562900</v>
      </c>
      <c r="H516" s="169"/>
      <c r="I516" s="169"/>
      <c r="J516" s="174">
        <f>+(F516*G516*(1+H516))</f>
        <v>562900</v>
      </c>
      <c r="K516" s="174"/>
      <c r="L516" s="158"/>
    </row>
    <row r="517" spans="1:12" ht="15" hidden="1" x14ac:dyDescent="0.25">
      <c r="B517" s="168"/>
      <c r="C517" s="168"/>
      <c r="D517" s="169" t="s">
        <v>337</v>
      </c>
      <c r="E517" s="170" t="s">
        <v>241</v>
      </c>
      <c r="F517" s="170">
        <f>28*6</f>
        <v>168</v>
      </c>
      <c r="G517" s="205">
        <v>2200</v>
      </c>
      <c r="H517" s="172"/>
      <c r="I517" s="174">
        <f>+(F517*G517*(1+H517))</f>
        <v>369600</v>
      </c>
      <c r="J517" s="174"/>
      <c r="K517" s="174"/>
      <c r="L517" s="158"/>
    </row>
    <row r="518" spans="1:12" ht="15" hidden="1" x14ac:dyDescent="0.25">
      <c r="B518" s="168"/>
      <c r="C518" s="312" t="s">
        <v>139</v>
      </c>
      <c r="D518" s="179" t="s">
        <v>140</v>
      </c>
      <c r="E518" s="170" t="s">
        <v>87</v>
      </c>
      <c r="F518" s="177">
        <v>0.9</v>
      </c>
      <c r="G518" s="313">
        <v>257525</v>
      </c>
      <c r="H518" s="204"/>
      <c r="I518" s="174"/>
      <c r="J518" s="174"/>
      <c r="K518" s="174">
        <f>+(F518*G518*(1+H518))</f>
        <v>231772.5</v>
      </c>
      <c r="L518" s="158"/>
    </row>
    <row r="519" spans="1:12" ht="15" hidden="1" x14ac:dyDescent="0.25">
      <c r="B519" s="168"/>
      <c r="C519" s="179"/>
      <c r="D519" s="169" t="s">
        <v>90</v>
      </c>
      <c r="E519" s="170" t="s">
        <v>91</v>
      </c>
      <c r="F519" s="178">
        <v>0.2</v>
      </c>
      <c r="G519" s="205">
        <f>+K518</f>
        <v>231772.5</v>
      </c>
      <c r="H519" s="172"/>
      <c r="I519" s="174"/>
      <c r="J519" s="174"/>
      <c r="K519" s="174">
        <f>+(F519*G519*(1+H519))</f>
        <v>46354.5</v>
      </c>
      <c r="L519" s="158"/>
    </row>
    <row r="520" spans="1:12" ht="15" hidden="1" x14ac:dyDescent="0.25">
      <c r="B520" s="168"/>
      <c r="C520" s="179"/>
      <c r="D520" s="169" t="s">
        <v>92</v>
      </c>
      <c r="E520" s="170" t="s">
        <v>91</v>
      </c>
      <c r="F520" s="178">
        <v>0.05</v>
      </c>
      <c r="G520" s="205">
        <f>+K518</f>
        <v>231772.5</v>
      </c>
      <c r="H520" s="172"/>
      <c r="I520" s="174"/>
      <c r="J520" s="174">
        <f>+(F520*G520*(1+H520))</f>
        <v>11588.625</v>
      </c>
      <c r="K520" s="179"/>
      <c r="L520" s="158"/>
    </row>
    <row r="521" spans="1:12" ht="15" hidden="1" x14ac:dyDescent="0.25">
      <c r="B521" s="168"/>
      <c r="C521" s="179"/>
      <c r="D521" s="169" t="s">
        <v>338</v>
      </c>
      <c r="E521" s="170" t="s">
        <v>37</v>
      </c>
      <c r="F521" s="178">
        <v>1</v>
      </c>
      <c r="G521" s="205">
        <v>120000</v>
      </c>
      <c r="H521" s="172"/>
      <c r="I521" s="174">
        <f>+(F521*G521*(1+H521))</f>
        <v>120000</v>
      </c>
      <c r="J521" s="174"/>
      <c r="K521" s="179"/>
      <c r="L521" s="158"/>
    </row>
    <row r="522" spans="1:12" ht="15.6" hidden="1" x14ac:dyDescent="0.25">
      <c r="B522" s="180"/>
      <c r="C522" s="180"/>
      <c r="D522" s="246" t="s">
        <v>93</v>
      </c>
      <c r="E522" s="314">
        <f>ROUND(SUM(I522:K522),0)</f>
        <v>1555352</v>
      </c>
      <c r="F522" s="247"/>
      <c r="G522" s="184"/>
      <c r="H522" s="185"/>
      <c r="I522" s="186">
        <f>+ROUND(SUM(I514:I521),0)</f>
        <v>702736</v>
      </c>
      <c r="J522" s="186">
        <f>+ROUND(SUM(J514:J521),0)</f>
        <v>574489</v>
      </c>
      <c r="K522" s="186">
        <f>+ROUND(SUM(K514:K521),0)</f>
        <v>278127</v>
      </c>
      <c r="L522" s="158"/>
    </row>
    <row r="523" spans="1:12" hidden="1" x14ac:dyDescent="0.25">
      <c r="B523" s="268"/>
      <c r="C523" s="269"/>
      <c r="D523" s="269"/>
      <c r="E523" s="268"/>
      <c r="F523" s="269"/>
      <c r="G523" s="270"/>
      <c r="H523" s="269"/>
      <c r="I523" s="269"/>
      <c r="J523" s="269"/>
      <c r="K523" s="269"/>
    </row>
    <row r="524" spans="1:12" hidden="1" x14ac:dyDescent="0.25">
      <c r="B524" s="268"/>
      <c r="C524" s="269"/>
      <c r="D524" s="269"/>
      <c r="E524" s="268"/>
      <c r="F524" s="269"/>
      <c r="G524" s="270"/>
      <c r="H524" s="269"/>
      <c r="I524" s="269"/>
      <c r="J524" s="269"/>
      <c r="K524" s="269"/>
    </row>
    <row r="525" spans="1:12" ht="15.6" hidden="1" x14ac:dyDescent="0.25">
      <c r="A525" s="216"/>
      <c r="B525" s="159" t="s">
        <v>287</v>
      </c>
      <c r="C525" s="160"/>
      <c r="D525" s="161" t="s">
        <v>58</v>
      </c>
      <c r="E525" s="162" t="s">
        <v>339</v>
      </c>
      <c r="F525" s="163"/>
      <c r="G525" s="201"/>
      <c r="H525" s="203"/>
      <c r="I525" s="203"/>
      <c r="J525" s="203"/>
      <c r="K525" s="203"/>
      <c r="L525" s="166">
        <f>+E530</f>
        <v>190147</v>
      </c>
    </row>
    <row r="526" spans="1:12" ht="15" hidden="1" x14ac:dyDescent="0.25">
      <c r="B526" s="223"/>
      <c r="C526" s="223" t="s">
        <v>294</v>
      </c>
      <c r="D526" s="169" t="s">
        <v>295</v>
      </c>
      <c r="E526" s="170" t="s">
        <v>87</v>
      </c>
      <c r="F526" s="273">
        <v>0.28000000000000003</v>
      </c>
      <c r="G526" s="171">
        <f>+VLOOKUP(C526,'[112]Insumos-Equipo M_L'!$A$2:$D$166,4,FALSE)</f>
        <v>510625</v>
      </c>
      <c r="H526" s="234"/>
      <c r="I526" s="174">
        <f>+(F526*G526*(1+H526))</f>
        <v>142975</v>
      </c>
      <c r="J526" s="225"/>
      <c r="K526" s="225"/>
    </row>
    <row r="527" spans="1:12" ht="15" hidden="1" x14ac:dyDescent="0.25">
      <c r="B527" s="223"/>
      <c r="C527" s="274" t="s">
        <v>299</v>
      </c>
      <c r="D527" s="169" t="s">
        <v>300</v>
      </c>
      <c r="E527" s="170" t="s">
        <v>87</v>
      </c>
      <c r="F527" s="170">
        <v>0.25</v>
      </c>
      <c r="G527" s="171">
        <f>+VLOOKUP(C527,'[112]Insumos-Equipo M_L'!$A$2:$D$166,4,FALSE)</f>
        <v>1593.4338</v>
      </c>
      <c r="H527" s="281"/>
      <c r="I527" s="174">
        <f>+(F527*G527*(1+H527))</f>
        <v>398.35845</v>
      </c>
      <c r="J527" s="225"/>
      <c r="K527" s="225"/>
    </row>
    <row r="528" spans="1:12" ht="15" hidden="1" x14ac:dyDescent="0.25">
      <c r="B528" s="223"/>
      <c r="C528" s="223" t="s">
        <v>139</v>
      </c>
      <c r="D528" s="169" t="s">
        <v>140</v>
      </c>
      <c r="E528" s="170" t="s">
        <v>87</v>
      </c>
      <c r="F528" s="273">
        <v>0.14699999999999999</v>
      </c>
      <c r="G528" s="275">
        <f>+VLOOKUP(C528,'[113]Mano de Obra'!$A$7:$G$35,4,FALSE)</f>
        <v>289265</v>
      </c>
      <c r="H528" s="234"/>
      <c r="I528" s="225"/>
      <c r="J528" s="225"/>
      <c r="K528" s="174">
        <f>+(F528*G528*(1+H528))</f>
        <v>42521.954999999994</v>
      </c>
    </row>
    <row r="529" spans="1:12" ht="15" hidden="1" x14ac:dyDescent="0.25">
      <c r="B529" s="223"/>
      <c r="C529" s="223"/>
      <c r="D529" s="169" t="s">
        <v>92</v>
      </c>
      <c r="E529" s="170" t="s">
        <v>91</v>
      </c>
      <c r="F529" s="178">
        <v>0.1</v>
      </c>
      <c r="G529" s="205">
        <f>+K528</f>
        <v>42521.954999999994</v>
      </c>
      <c r="H529" s="234"/>
      <c r="I529" s="225"/>
      <c r="J529" s="174">
        <f>+(F529*G529*(1+H529))</f>
        <v>4252.1954999999998</v>
      </c>
      <c r="K529" s="227"/>
    </row>
    <row r="530" spans="1:12" ht="15.6" hidden="1" x14ac:dyDescent="0.25">
      <c r="B530" s="228"/>
      <c r="C530" s="228"/>
      <c r="D530" s="229" t="s">
        <v>93</v>
      </c>
      <c r="E530" s="182">
        <f>+ROUND(SUM(I530:K530),0)</f>
        <v>190147</v>
      </c>
      <c r="F530" s="183"/>
      <c r="G530" s="184"/>
      <c r="H530" s="196"/>
      <c r="I530" s="186">
        <f>+ROUND(SUM(I526:I529),0)</f>
        <v>143373</v>
      </c>
      <c r="J530" s="186">
        <f>+ROUND(SUM(J526:J529),0)</f>
        <v>4252</v>
      </c>
      <c r="K530" s="186">
        <f>+ROUND(SUM(K526:K529),0)</f>
        <v>42522</v>
      </c>
    </row>
    <row r="531" spans="1:12" hidden="1" x14ac:dyDescent="0.25"/>
    <row r="532" spans="1:12" ht="15.75" hidden="1" customHeight="1" x14ac:dyDescent="0.25">
      <c r="A532" s="315"/>
      <c r="B532" s="217">
        <v>12.032999999999999</v>
      </c>
      <c r="C532" s="218"/>
      <c r="D532" s="316" t="s">
        <v>340</v>
      </c>
      <c r="E532" s="317"/>
      <c r="F532" s="163"/>
      <c r="G532" s="220"/>
      <c r="H532" s="222"/>
      <c r="I532" s="222"/>
      <c r="J532" s="222"/>
      <c r="K532" s="222"/>
      <c r="L532" s="166">
        <f>+E545</f>
        <v>218492</v>
      </c>
    </row>
    <row r="533" spans="1:12" ht="15" hidden="1" x14ac:dyDescent="0.25">
      <c r="B533" s="223"/>
      <c r="C533" s="223" t="s">
        <v>341</v>
      </c>
      <c r="D533" s="169" t="s">
        <v>342</v>
      </c>
      <c r="E533" s="170" t="s">
        <v>200</v>
      </c>
      <c r="F533" s="318">
        <v>4</v>
      </c>
      <c r="G533" s="171">
        <f>+VLOOKUP(C533,'[112]Insumos-Equipo M_L'!$A$2:$D$166,4,FALSE)</f>
        <v>467.96696932500004</v>
      </c>
      <c r="H533" s="234"/>
      <c r="I533" s="225"/>
      <c r="J533" s="174">
        <f t="shared" ref="J533:J544" si="5">+(F533*G533*(1+H533))</f>
        <v>1871.8678773000001</v>
      </c>
      <c r="K533" s="225"/>
    </row>
    <row r="534" spans="1:12" ht="15" hidden="1" x14ac:dyDescent="0.25">
      <c r="B534" s="223"/>
      <c r="C534" s="223" t="s">
        <v>343</v>
      </c>
      <c r="D534" s="169" t="s">
        <v>344</v>
      </c>
      <c r="E534" s="170" t="s">
        <v>124</v>
      </c>
      <c r="F534" s="319">
        <v>1.6</v>
      </c>
      <c r="G534" s="171">
        <f>+VLOOKUP(C534,'[112]Insumos-Equipo M_L'!$A$2:$D$166,4,FALSE)</f>
        <v>7612.7021066250009</v>
      </c>
      <c r="H534" s="234"/>
      <c r="I534" s="225"/>
      <c r="J534" s="174">
        <f t="shared" si="5"/>
        <v>12180.323370600003</v>
      </c>
      <c r="K534" s="225"/>
    </row>
    <row r="535" spans="1:12" ht="15" hidden="1" x14ac:dyDescent="0.25">
      <c r="B535" s="223"/>
      <c r="C535" s="223" t="s">
        <v>345</v>
      </c>
      <c r="D535" s="169" t="s">
        <v>346</v>
      </c>
      <c r="E535" s="170" t="s">
        <v>36</v>
      </c>
      <c r="F535" s="318">
        <v>1.6</v>
      </c>
      <c r="G535" s="171">
        <f>+VLOOKUP(C535,'[112]Insumos-Equipo M_L'!$A$2:$D$166,4,FALSE)</f>
        <v>3295.5420374999999</v>
      </c>
      <c r="H535" s="234"/>
      <c r="I535" s="225"/>
      <c r="J535" s="174">
        <f t="shared" si="5"/>
        <v>5272.86726</v>
      </c>
      <c r="K535" s="225"/>
    </row>
    <row r="536" spans="1:12" ht="15" hidden="1" x14ac:dyDescent="0.25">
      <c r="B536" s="223"/>
      <c r="C536" s="223" t="s">
        <v>115</v>
      </c>
      <c r="D536" s="169" t="s">
        <v>116</v>
      </c>
      <c r="E536" s="170" t="s">
        <v>97</v>
      </c>
      <c r="F536" s="320">
        <v>10</v>
      </c>
      <c r="G536" s="171">
        <f>+VLOOKUP(C536,'[112]Insumos-Equipo M_L'!$A$2:$D$166,4,FALSE)</f>
        <v>9491.1610680000013</v>
      </c>
      <c r="H536" s="234"/>
      <c r="I536" s="225"/>
      <c r="J536" s="174">
        <f t="shared" si="5"/>
        <v>94911.610680000013</v>
      </c>
      <c r="K536" s="225"/>
    </row>
    <row r="537" spans="1:12" ht="15" hidden="1" x14ac:dyDescent="0.25">
      <c r="B537" s="223"/>
      <c r="C537" s="223" t="s">
        <v>130</v>
      </c>
      <c r="D537" s="169" t="s">
        <v>131</v>
      </c>
      <c r="E537" s="170" t="s">
        <v>132</v>
      </c>
      <c r="F537" s="175">
        <v>0.2</v>
      </c>
      <c r="G537" s="171">
        <f>+VLOOKUP(C537,'[112]Insumos-Equipo M_L'!$A$2:$D$166,4,FALSE)</f>
        <v>3031.8986745000002</v>
      </c>
      <c r="H537" s="234"/>
      <c r="I537" s="225"/>
      <c r="J537" s="174">
        <f t="shared" si="5"/>
        <v>606.37973490000002</v>
      </c>
      <c r="K537" s="225"/>
    </row>
    <row r="538" spans="1:12" ht="15" hidden="1" x14ac:dyDescent="0.25">
      <c r="B538" s="223"/>
      <c r="C538" s="223" t="s">
        <v>347</v>
      </c>
      <c r="D538" s="169" t="s">
        <v>348</v>
      </c>
      <c r="E538" s="170" t="s">
        <v>35</v>
      </c>
      <c r="F538" s="318">
        <v>3</v>
      </c>
      <c r="G538" s="171">
        <f>+VLOOKUP(C538,'[112]Insumos-Equipo M_L'!$A$2:$D$166,4,FALSE)</f>
        <v>8627.7290541750008</v>
      </c>
      <c r="H538" s="234"/>
      <c r="I538" s="225"/>
      <c r="J538" s="174">
        <f t="shared" si="5"/>
        <v>25883.187162525002</v>
      </c>
      <c r="K538" s="225"/>
    </row>
    <row r="539" spans="1:12" ht="15" hidden="1" x14ac:dyDescent="0.25">
      <c r="B539" s="223"/>
      <c r="C539" s="223" t="s">
        <v>349</v>
      </c>
      <c r="D539" s="169" t="s">
        <v>350</v>
      </c>
      <c r="E539" s="170" t="s">
        <v>37</v>
      </c>
      <c r="F539" s="273">
        <v>1.3</v>
      </c>
      <c r="G539" s="171">
        <f>+VLOOKUP(C539,'[112]Insumos-Equipo M_L'!$A$2:$D$166,4,FALSE)</f>
        <v>30130.670057142859</v>
      </c>
      <c r="H539" s="234"/>
      <c r="I539" s="225"/>
      <c r="J539" s="174">
        <f t="shared" si="5"/>
        <v>39169.871074285715</v>
      </c>
      <c r="K539" s="225"/>
      <c r="L539" s="166">
        <f>G539*7*1.3</f>
        <v>274189.09752000001</v>
      </c>
    </row>
    <row r="540" spans="1:12" ht="15" hidden="1" x14ac:dyDescent="0.25">
      <c r="B540" s="223"/>
      <c r="C540" s="223" t="s">
        <v>77</v>
      </c>
      <c r="D540" s="169" t="s">
        <v>78</v>
      </c>
      <c r="E540" s="170" t="s">
        <v>79</v>
      </c>
      <c r="F540" s="176">
        <v>100</v>
      </c>
      <c r="G540" s="171">
        <f>+VLOOKUP(C540,'[112]Insumos-Equipo M_L'!$A$2:$D$166,4,FALSE)</f>
        <v>13.182168149999999</v>
      </c>
      <c r="H540" s="234">
        <v>0.05</v>
      </c>
      <c r="I540" s="225"/>
      <c r="J540" s="174">
        <f t="shared" si="5"/>
        <v>1384.12765575</v>
      </c>
      <c r="K540" s="225"/>
    </row>
    <row r="541" spans="1:12" ht="15" hidden="1" x14ac:dyDescent="0.25">
      <c r="B541" s="223"/>
      <c r="C541" s="223" t="s">
        <v>220</v>
      </c>
      <c r="D541" s="169" t="s">
        <v>221</v>
      </c>
      <c r="E541" s="170" t="s">
        <v>196</v>
      </c>
      <c r="F541" s="273">
        <v>0.1</v>
      </c>
      <c r="G541" s="171">
        <f>+VLOOKUP(C541,'[112]Insumos-Equipo M_L'!$A$2:$D$166,4,FALSE)</f>
        <v>118250</v>
      </c>
      <c r="H541" s="234"/>
      <c r="I541" s="174">
        <f>+(F541*G541*(1+H541))</f>
        <v>11825</v>
      </c>
      <c r="J541" s="225"/>
      <c r="K541" s="225"/>
    </row>
    <row r="542" spans="1:12" ht="15" hidden="1" x14ac:dyDescent="0.25">
      <c r="B542" s="223"/>
      <c r="C542" s="223" t="s">
        <v>88</v>
      </c>
      <c r="D542" s="169" t="s">
        <v>89</v>
      </c>
      <c r="E542" s="170" t="s">
        <v>87</v>
      </c>
      <c r="F542" s="273">
        <v>0.05</v>
      </c>
      <c r="G542" s="275">
        <f>+VLOOKUP(C542,'[113]Mano de Obra'!$A$7:$G$35,4,FALSE)</f>
        <v>441510</v>
      </c>
      <c r="H542" s="234"/>
      <c r="I542" s="225"/>
      <c r="J542" s="225"/>
      <c r="K542" s="174">
        <f>+(F542*G542*(1+H542))</f>
        <v>22075.5</v>
      </c>
    </row>
    <row r="543" spans="1:12" ht="15" hidden="1" x14ac:dyDescent="0.25">
      <c r="B543" s="223"/>
      <c r="C543" s="223"/>
      <c r="D543" s="169" t="s">
        <v>90</v>
      </c>
      <c r="E543" s="170" t="s">
        <v>91</v>
      </c>
      <c r="F543" s="178">
        <v>0.1</v>
      </c>
      <c r="G543" s="205">
        <f>+K542</f>
        <v>22075.5</v>
      </c>
      <c r="H543" s="234"/>
      <c r="I543" s="225"/>
      <c r="J543" s="225"/>
      <c r="K543" s="174">
        <f>+(F543*G543*(1+H543))</f>
        <v>2207.5500000000002</v>
      </c>
    </row>
    <row r="544" spans="1:12" ht="15" hidden="1" x14ac:dyDescent="0.25">
      <c r="B544" s="223"/>
      <c r="C544" s="223"/>
      <c r="D544" s="169" t="s">
        <v>92</v>
      </c>
      <c r="E544" s="170" t="s">
        <v>91</v>
      </c>
      <c r="F544" s="178">
        <v>0.05</v>
      </c>
      <c r="G544" s="205">
        <f>+K542</f>
        <v>22075.5</v>
      </c>
      <c r="H544" s="234"/>
      <c r="I544" s="225"/>
      <c r="J544" s="174">
        <f t="shared" si="5"/>
        <v>1103.7750000000001</v>
      </c>
      <c r="K544" s="227"/>
    </row>
    <row r="545" spans="1:12" ht="15.6" hidden="1" x14ac:dyDescent="0.25">
      <c r="B545" s="228"/>
      <c r="C545" s="228"/>
      <c r="D545" s="229" t="s">
        <v>93</v>
      </c>
      <c r="E545" s="182">
        <f>+ROUND(SUM(I545:K545),0)</f>
        <v>218492</v>
      </c>
      <c r="F545" s="183"/>
      <c r="G545" s="184"/>
      <c r="H545" s="196"/>
      <c r="I545" s="186">
        <f>+ROUND(SUM(I533:I544),0)</f>
        <v>11825</v>
      </c>
      <c r="J545" s="186">
        <f>+ROUND(SUM(J533:J544),0)</f>
        <v>182384</v>
      </c>
      <c r="K545" s="186">
        <f>+ROUND(SUM(K533:K544),0)</f>
        <v>24283</v>
      </c>
    </row>
    <row r="546" spans="1:12" hidden="1" x14ac:dyDescent="0.25">
      <c r="B546" s="268"/>
      <c r="C546" s="269"/>
      <c r="D546" s="269"/>
      <c r="E546" s="268"/>
      <c r="F546" s="269"/>
      <c r="G546" s="270"/>
      <c r="H546" s="269"/>
      <c r="I546" s="269"/>
      <c r="J546" s="269"/>
      <c r="K546" s="269"/>
    </row>
    <row r="547" spans="1:12" ht="15.75" hidden="1" customHeight="1" x14ac:dyDescent="0.25">
      <c r="A547" s="315"/>
      <c r="B547" s="217" t="s">
        <v>351</v>
      </c>
      <c r="C547" s="218"/>
      <c r="D547" s="316" t="s">
        <v>352</v>
      </c>
      <c r="E547" s="317"/>
      <c r="F547" s="163"/>
      <c r="G547" s="220"/>
      <c r="H547" s="222"/>
      <c r="I547" s="222"/>
      <c r="J547" s="222"/>
      <c r="K547" s="222"/>
      <c r="L547" s="193">
        <f>+E554</f>
        <v>62404</v>
      </c>
    </row>
    <row r="548" spans="1:12" ht="15" hidden="1" x14ac:dyDescent="0.25">
      <c r="B548" s="223"/>
      <c r="C548" s="223" t="s">
        <v>353</v>
      </c>
      <c r="D548" s="169" t="s">
        <v>354</v>
      </c>
      <c r="E548" s="170" t="s">
        <v>35</v>
      </c>
      <c r="F548" s="176">
        <v>1.03</v>
      </c>
      <c r="G548" s="171">
        <f>+VLOOKUP(C548,'[112]Insumos-Equipo M_L'!$A$2:$D$166,4,FALSE)</f>
        <v>18812.5</v>
      </c>
      <c r="H548" s="234">
        <v>0.05</v>
      </c>
      <c r="I548" s="225"/>
      <c r="J548" s="174">
        <f>+(F548*G548*(1+H548))</f>
        <v>20345.71875</v>
      </c>
      <c r="K548" s="225"/>
    </row>
    <row r="549" spans="1:12" ht="15" hidden="1" x14ac:dyDescent="0.25">
      <c r="B549" s="223"/>
      <c r="C549" s="223" t="s">
        <v>355</v>
      </c>
      <c r="D549" s="169" t="s">
        <v>356</v>
      </c>
      <c r="E549" s="170" t="s">
        <v>47</v>
      </c>
      <c r="F549" s="176">
        <v>1.1499999999999999</v>
      </c>
      <c r="G549" s="171">
        <f>+VLOOKUP(C549,'[112]Insumos-Equipo M_L'!$A$2:$D$166,4,FALSE)</f>
        <v>8469.9249999999993</v>
      </c>
      <c r="H549" s="234">
        <v>0.03</v>
      </c>
      <c r="I549" s="225"/>
      <c r="J549" s="174">
        <f>+(F549*G549*(1+H549))</f>
        <v>10032.626162499999</v>
      </c>
      <c r="K549" s="225"/>
    </row>
    <row r="550" spans="1:12" ht="15" hidden="1" x14ac:dyDescent="0.25">
      <c r="B550" s="223"/>
      <c r="C550" s="223" t="s">
        <v>333</v>
      </c>
      <c r="D550" s="169" t="s">
        <v>334</v>
      </c>
      <c r="E550" s="170" t="s">
        <v>87</v>
      </c>
      <c r="F550" s="175">
        <v>0.5</v>
      </c>
      <c r="G550" s="171">
        <f>+VLOOKUP(C550,'[112]Insumos-Equipo M_L'!$A$2:$D$166,4,FALSE)</f>
        <v>13278.615</v>
      </c>
      <c r="H550" s="224"/>
      <c r="I550" s="174">
        <f>+(F550*G550*(1+H550))</f>
        <v>6639.3074999999999</v>
      </c>
      <c r="J550" s="225"/>
      <c r="K550" s="225"/>
    </row>
    <row r="551" spans="1:12" ht="15" hidden="1" x14ac:dyDescent="0.25">
      <c r="B551" s="223"/>
      <c r="C551" s="223" t="s">
        <v>88</v>
      </c>
      <c r="D551" s="169" t="s">
        <v>120</v>
      </c>
      <c r="E551" s="170" t="s">
        <v>87</v>
      </c>
      <c r="F551" s="273">
        <v>0.05</v>
      </c>
      <c r="G551" s="275">
        <f>+VLOOKUP(C551,'[113]Mano de Obra'!$A$7:$G$35,4,FALSE)</f>
        <v>441510</v>
      </c>
      <c r="H551" s="234"/>
      <c r="I551" s="225"/>
      <c r="J551" s="225"/>
      <c r="K551" s="174">
        <f>+(F551*G551*(1+H551))</f>
        <v>22075.5</v>
      </c>
    </row>
    <row r="552" spans="1:12" ht="15" hidden="1" x14ac:dyDescent="0.25">
      <c r="B552" s="223"/>
      <c r="C552" s="223"/>
      <c r="D552" s="169" t="s">
        <v>90</v>
      </c>
      <c r="E552" s="170" t="s">
        <v>91</v>
      </c>
      <c r="F552" s="178">
        <v>0.1</v>
      </c>
      <c r="G552" s="205">
        <f>+K551</f>
        <v>22075.5</v>
      </c>
      <c r="H552" s="234"/>
      <c r="I552" s="225"/>
      <c r="J552" s="225"/>
      <c r="K552" s="174">
        <f>+(F552*G552*(1+H552))</f>
        <v>2207.5500000000002</v>
      </c>
    </row>
    <row r="553" spans="1:12" ht="15" hidden="1" x14ac:dyDescent="0.25">
      <c r="B553" s="223"/>
      <c r="C553" s="223"/>
      <c r="D553" s="169" t="s">
        <v>92</v>
      </c>
      <c r="E553" s="170" t="s">
        <v>91</v>
      </c>
      <c r="F553" s="178">
        <v>0.05</v>
      </c>
      <c r="G553" s="205">
        <f>+K551</f>
        <v>22075.5</v>
      </c>
      <c r="H553" s="234"/>
      <c r="I553" s="225"/>
      <c r="J553" s="174">
        <f>+(F553*G553*(1+H553))</f>
        <v>1103.7750000000001</v>
      </c>
      <c r="K553" s="227"/>
    </row>
    <row r="554" spans="1:12" ht="15.6" hidden="1" x14ac:dyDescent="0.25">
      <c r="B554" s="228"/>
      <c r="C554" s="228"/>
      <c r="D554" s="229" t="s">
        <v>93</v>
      </c>
      <c r="E554" s="321">
        <f>ROUND(SUM(I554:K554),0)</f>
        <v>62404</v>
      </c>
      <c r="F554" s="230"/>
      <c r="G554" s="231"/>
      <c r="H554" s="322"/>
      <c r="I554" s="321">
        <f>+ROUND(SUM(I548:I553),0)</f>
        <v>6639</v>
      </c>
      <c r="J554" s="321">
        <f>+ROUND(SUM(J548:J553),0)</f>
        <v>31482</v>
      </c>
      <c r="K554" s="321">
        <f>+ROUND(SUM(K548:K553),0)</f>
        <v>24283</v>
      </c>
    </row>
    <row r="555" spans="1:12" hidden="1" x14ac:dyDescent="0.25"/>
    <row r="556" spans="1:12" hidden="1" x14ac:dyDescent="0.25"/>
    <row r="557" spans="1:12" hidden="1" x14ac:dyDescent="0.25"/>
    <row r="558" spans="1:12" ht="15.6" hidden="1" x14ac:dyDescent="0.25">
      <c r="B558" s="159" t="s">
        <v>357</v>
      </c>
      <c r="C558" s="160"/>
      <c r="D558" s="161" t="s">
        <v>358</v>
      </c>
      <c r="E558" s="162"/>
      <c r="F558" s="163"/>
      <c r="G558" s="201"/>
      <c r="H558" s="203"/>
      <c r="I558" s="203"/>
      <c r="J558" s="203"/>
      <c r="K558" s="203"/>
      <c r="L558" s="166">
        <f>+E565</f>
        <v>15250</v>
      </c>
    </row>
    <row r="559" spans="1:12" ht="15" hidden="1" x14ac:dyDescent="0.25">
      <c r="B559" s="168"/>
      <c r="C559" s="168" t="s">
        <v>113</v>
      </c>
      <c r="D559" s="169" t="s">
        <v>114</v>
      </c>
      <c r="E559" s="170" t="s">
        <v>97</v>
      </c>
      <c r="F559" s="170">
        <v>1</v>
      </c>
      <c r="G559" s="171">
        <f>+VLOOKUP(C559,'[112]Insumos-Equipo M_L'!$A$2:$D$166,4,FALSE)</f>
        <v>6296.2749999999996</v>
      </c>
      <c r="H559" s="172">
        <v>0.03</v>
      </c>
      <c r="I559" s="174"/>
      <c r="J559" s="174">
        <f>+(F559*G559*(1+H559))</f>
        <v>6485.1632499999996</v>
      </c>
      <c r="K559" s="174"/>
    </row>
    <row r="560" spans="1:12" ht="15" hidden="1" x14ac:dyDescent="0.25">
      <c r="B560" s="168"/>
      <c r="C560" s="168" t="s">
        <v>115</v>
      </c>
      <c r="D560" s="169" t="s">
        <v>116</v>
      </c>
      <c r="E560" s="170" t="s">
        <v>97</v>
      </c>
      <c r="F560" s="170">
        <v>0.05</v>
      </c>
      <c r="G560" s="171">
        <f>+VLOOKUP(C560,'[112]Insumos-Equipo M_L'!$A$2:$D$166,4,FALSE)</f>
        <v>9491.1610680000013</v>
      </c>
      <c r="H560" s="172"/>
      <c r="I560" s="174"/>
      <c r="J560" s="174">
        <f>+(F560*G560*(1+H560))</f>
        <v>474.55805340000006</v>
      </c>
      <c r="K560" s="174"/>
    </row>
    <row r="561" spans="2:12" ht="15" hidden="1" x14ac:dyDescent="0.25">
      <c r="B561" s="168"/>
      <c r="C561" s="168" t="s">
        <v>117</v>
      </c>
      <c r="D561" s="169" t="s">
        <v>118</v>
      </c>
      <c r="E561" s="170" t="s">
        <v>87</v>
      </c>
      <c r="F561" s="262">
        <v>6.6666666666666671E-3</v>
      </c>
      <c r="G561" s="171">
        <f>+VLOOKUP(C561,'[112]Insumos-Equipo M_L'!$A$2:$D$166,4,FALSE)</f>
        <v>50458.737000000001</v>
      </c>
      <c r="H561" s="172"/>
      <c r="I561" s="174">
        <f>+(F561*G561*(1+H561))</f>
        <v>336.39158000000003</v>
      </c>
      <c r="J561" s="174"/>
      <c r="K561" s="174"/>
    </row>
    <row r="562" spans="2:12" ht="15" hidden="1" x14ac:dyDescent="0.25">
      <c r="B562" s="168"/>
      <c r="C562" s="168" t="s">
        <v>139</v>
      </c>
      <c r="D562" s="169" t="s">
        <v>140</v>
      </c>
      <c r="E562" s="170" t="s">
        <v>87</v>
      </c>
      <c r="F562" s="177">
        <v>2.5000000000000001E-2</v>
      </c>
      <c r="G562" s="171">
        <f>+VLOOKUP(C562,'[113]Mano de Obra'!$A$7:$G$35,4,FALSE)</f>
        <v>289265</v>
      </c>
      <c r="H562" s="172"/>
      <c r="I562" s="174"/>
      <c r="J562" s="174"/>
      <c r="K562" s="174">
        <f>+(F562*G562*(1+H562))</f>
        <v>7231.625</v>
      </c>
    </row>
    <row r="563" spans="2:12" ht="15" hidden="1" x14ac:dyDescent="0.25">
      <c r="B563" s="168"/>
      <c r="C563" s="168"/>
      <c r="D563" s="169" t="s">
        <v>90</v>
      </c>
      <c r="E563" s="170" t="s">
        <v>91</v>
      </c>
      <c r="F563" s="178">
        <v>0.05</v>
      </c>
      <c r="G563" s="205">
        <f>+K562</f>
        <v>7231.625</v>
      </c>
      <c r="H563" s="172"/>
      <c r="I563" s="174"/>
      <c r="J563" s="174"/>
      <c r="K563" s="174">
        <f>+(F563*G563*(1+H563))</f>
        <v>361.58125000000001</v>
      </c>
    </row>
    <row r="564" spans="2:12" ht="15" hidden="1" x14ac:dyDescent="0.25">
      <c r="B564" s="168"/>
      <c r="C564" s="168"/>
      <c r="D564" s="169" t="s">
        <v>92</v>
      </c>
      <c r="E564" s="170" t="s">
        <v>91</v>
      </c>
      <c r="F564" s="178">
        <v>0.05</v>
      </c>
      <c r="G564" s="205">
        <f>+K562</f>
        <v>7231.625</v>
      </c>
      <c r="H564" s="172"/>
      <c r="I564" s="174"/>
      <c r="J564" s="174">
        <f>+(F564*G564*(1+H564))</f>
        <v>361.58125000000001</v>
      </c>
      <c r="K564" s="179"/>
    </row>
    <row r="565" spans="2:12" ht="15.6" hidden="1" x14ac:dyDescent="0.25">
      <c r="B565" s="180"/>
      <c r="C565" s="180"/>
      <c r="D565" s="181" t="s">
        <v>93</v>
      </c>
      <c r="E565" s="182">
        <f>+ROUND(SUM(I565:K565),0)</f>
        <v>15250</v>
      </c>
      <c r="F565" s="183"/>
      <c r="G565" s="184"/>
      <c r="H565" s="196"/>
      <c r="I565" s="186">
        <f>+ROUND(SUM(I559:I564),0)</f>
        <v>336</v>
      </c>
      <c r="J565" s="186">
        <f>+ROUND(SUM(J559:J564),0)</f>
        <v>7321</v>
      </c>
      <c r="K565" s="186">
        <f>+ROUND(SUM(K559:K564),0)</f>
        <v>7593</v>
      </c>
    </row>
    <row r="566" spans="2:12" hidden="1" x14ac:dyDescent="0.25"/>
    <row r="567" spans="2:12" ht="15.6" hidden="1" x14ac:dyDescent="0.25">
      <c r="B567" s="159">
        <v>11.042999999999999</v>
      </c>
      <c r="C567" s="160"/>
      <c r="D567" s="161" t="s">
        <v>359</v>
      </c>
      <c r="E567" s="162"/>
      <c r="F567" s="264"/>
      <c r="G567" s="201"/>
      <c r="H567" s="202"/>
      <c r="I567" s="203"/>
      <c r="J567" s="203"/>
      <c r="K567" s="203"/>
      <c r="L567" s="166">
        <f>+E576</f>
        <v>22928</v>
      </c>
    </row>
    <row r="568" spans="2:12" ht="15" hidden="1" x14ac:dyDescent="0.25">
      <c r="B568" s="168"/>
      <c r="C568" s="168" t="s">
        <v>299</v>
      </c>
      <c r="D568" s="169" t="s">
        <v>300</v>
      </c>
      <c r="E568" s="170" t="s">
        <v>87</v>
      </c>
      <c r="F568" s="170">
        <v>0.1</v>
      </c>
      <c r="G568" s="171">
        <f>+VLOOKUP(C568,'[112]Insumos-Equipo M_L'!$A$2:$D$166,4,FALSE)</f>
        <v>1593.4338</v>
      </c>
      <c r="H568" s="204"/>
      <c r="I568" s="174">
        <f>+(F568*G568*(1+H568))</f>
        <v>159.34338000000002</v>
      </c>
      <c r="J568" s="174"/>
      <c r="K568" s="174"/>
    </row>
    <row r="569" spans="2:12" ht="15" hidden="1" x14ac:dyDescent="0.25">
      <c r="B569" s="168"/>
      <c r="C569" s="168" t="s">
        <v>360</v>
      </c>
      <c r="D569" s="169" t="s">
        <v>361</v>
      </c>
      <c r="E569" s="170" t="s">
        <v>47</v>
      </c>
      <c r="F569" s="175">
        <v>1</v>
      </c>
      <c r="G569" s="171">
        <f>+VLOOKUP(C569,'[112]Insumos-Equipo M_L'!$A$2:$D$166,4,FALSE)</f>
        <v>15480</v>
      </c>
      <c r="H569" s="204">
        <v>0.05</v>
      </c>
      <c r="I569" s="174"/>
      <c r="J569" s="174">
        <f>+(F569*G569*(1+H569))</f>
        <v>16254</v>
      </c>
      <c r="K569" s="174"/>
    </row>
    <row r="570" spans="2:12" ht="15" hidden="1" x14ac:dyDescent="0.25">
      <c r="B570" s="168"/>
      <c r="C570" s="168" t="s">
        <v>264</v>
      </c>
      <c r="D570" s="169" t="s">
        <v>265</v>
      </c>
      <c r="E570" s="170" t="s">
        <v>266</v>
      </c>
      <c r="F570" s="175">
        <v>2.5000000000000001E-2</v>
      </c>
      <c r="G570" s="171">
        <f>+VLOOKUP(C570,'[112]Insumos-Equipo M_L'!$A$2:$D$166,4,FALSE)</f>
        <v>53915.0677335</v>
      </c>
      <c r="H570" s="204"/>
      <c r="I570" s="174"/>
      <c r="J570" s="174">
        <f>+(F570*G570*(1+H570))</f>
        <v>1347.8766933375</v>
      </c>
      <c r="K570" s="174"/>
    </row>
    <row r="571" spans="2:12" ht="15" hidden="1" x14ac:dyDescent="0.25">
      <c r="B571" s="168"/>
      <c r="C571" s="168" t="s">
        <v>253</v>
      </c>
      <c r="D571" s="169" t="s">
        <v>254</v>
      </c>
      <c r="E571" s="170" t="s">
        <v>255</v>
      </c>
      <c r="F571" s="175">
        <v>0.01</v>
      </c>
      <c r="G571" s="171">
        <f>+VLOOKUP(C571,'[112]Insumos-Equipo M_L'!$A$2:$D$166,4,FALSE)</f>
        <v>24387.011077499999</v>
      </c>
      <c r="H571" s="204"/>
      <c r="I571" s="174"/>
      <c r="J571" s="174">
        <f>+(F571*G571*(1+H571))</f>
        <v>243.870110775</v>
      </c>
      <c r="K571" s="174"/>
    </row>
    <row r="572" spans="2:12" ht="15" hidden="1" x14ac:dyDescent="0.25">
      <c r="B572" s="168"/>
      <c r="C572" s="168" t="s">
        <v>258</v>
      </c>
      <c r="D572" s="169" t="s">
        <v>259</v>
      </c>
      <c r="E572" s="170" t="s">
        <v>87</v>
      </c>
      <c r="F572" s="175">
        <v>2E-3</v>
      </c>
      <c r="G572" s="171">
        <f>+VLOOKUP(C572,'[112]Insumos-Equipo M_L'!$A$2:$D$166,4,FALSE)</f>
        <v>69629.040000000008</v>
      </c>
      <c r="H572" s="204"/>
      <c r="I572" s="174">
        <f>+(F572*G572*(1+H572))</f>
        <v>139.25808000000001</v>
      </c>
      <c r="J572" s="174"/>
      <c r="K572" s="174"/>
    </row>
    <row r="573" spans="2:12" ht="15" hidden="1" x14ac:dyDescent="0.25">
      <c r="B573" s="168"/>
      <c r="C573" s="168" t="s">
        <v>267</v>
      </c>
      <c r="D573" s="169" t="s">
        <v>268</v>
      </c>
      <c r="E573" s="170" t="s">
        <v>87</v>
      </c>
      <c r="F573" s="175">
        <v>1.0999999999999999E-2</v>
      </c>
      <c r="G573" s="171">
        <f>+VLOOKUP(C573,'[113]Mano de Obra'!$A$7:$G$35,4,FALSE)</f>
        <v>137020</v>
      </c>
      <c r="H573" s="204"/>
      <c r="I573" s="174"/>
      <c r="J573" s="174"/>
      <c r="K573" s="174">
        <f>+(F573*G573*(1+H573))</f>
        <v>1507.2199999999998</v>
      </c>
    </row>
    <row r="574" spans="2:12" ht="15" hidden="1" x14ac:dyDescent="0.25">
      <c r="B574" s="168"/>
      <c r="C574" s="168" t="s">
        <v>139</v>
      </c>
      <c r="D574" s="169" t="s">
        <v>140</v>
      </c>
      <c r="E574" s="170" t="s">
        <v>87</v>
      </c>
      <c r="F574" s="175">
        <v>1.0999999999999999E-2</v>
      </c>
      <c r="G574" s="171">
        <f>+VLOOKUP(C574,'[113]Mano de Obra'!$A$7:$G$35,4,FALSE)</f>
        <v>289265</v>
      </c>
      <c r="H574" s="204"/>
      <c r="I574" s="174"/>
      <c r="J574" s="174"/>
      <c r="K574" s="174">
        <f>+(F574*G574*(1+H574))</f>
        <v>3181.915</v>
      </c>
    </row>
    <row r="575" spans="2:12" ht="15" hidden="1" x14ac:dyDescent="0.25">
      <c r="B575" s="168"/>
      <c r="C575" s="168"/>
      <c r="D575" s="169" t="s">
        <v>92</v>
      </c>
      <c r="E575" s="170" t="s">
        <v>91</v>
      </c>
      <c r="F575" s="178">
        <v>0.02</v>
      </c>
      <c r="G575" s="205">
        <f>+K573+K574</f>
        <v>4689.1350000000002</v>
      </c>
      <c r="H575" s="204"/>
      <c r="I575" s="174"/>
      <c r="J575" s="174">
        <f>+(F575*G575*(1+H575))</f>
        <v>93.782700000000006</v>
      </c>
      <c r="K575" s="179"/>
    </row>
    <row r="576" spans="2:12" ht="15.6" hidden="1" x14ac:dyDescent="0.25">
      <c r="B576" s="180"/>
      <c r="C576" s="180"/>
      <c r="D576" s="181" t="s">
        <v>93</v>
      </c>
      <c r="E576" s="182">
        <f>+ROUND(SUM(I576:K576),0)</f>
        <v>22928</v>
      </c>
      <c r="F576" s="183"/>
      <c r="G576" s="184"/>
      <c r="H576" s="185"/>
      <c r="I576" s="186">
        <f>+ROUND(SUM(I568:I575),0)</f>
        <v>299</v>
      </c>
      <c r="J576" s="186">
        <f>+ROUND(SUM(J568:J575),0)</f>
        <v>17940</v>
      </c>
      <c r="K576" s="186">
        <f>+ROUND(SUM(K568:K575),0)</f>
        <v>4689</v>
      </c>
    </row>
    <row r="577" spans="2:12" hidden="1" x14ac:dyDescent="0.25"/>
    <row r="578" spans="2:12" ht="15.6" hidden="1" x14ac:dyDescent="0.25">
      <c r="B578" s="257" t="s">
        <v>362</v>
      </c>
      <c r="C578" s="160"/>
      <c r="D578" s="161" t="s">
        <v>363</v>
      </c>
      <c r="E578" s="162"/>
      <c r="F578" s="163"/>
      <c r="G578" s="201"/>
      <c r="H578" s="203"/>
      <c r="I578" s="203"/>
      <c r="J578" s="203"/>
      <c r="K578" s="203"/>
      <c r="L578" s="166">
        <f>+E594</f>
        <v>1501568</v>
      </c>
    </row>
    <row r="579" spans="2:12" ht="15" hidden="1" x14ac:dyDescent="0.25">
      <c r="B579" s="168"/>
      <c r="C579" s="168" t="s">
        <v>111</v>
      </c>
      <c r="D579" s="169" t="s">
        <v>112</v>
      </c>
      <c r="E579" s="170" t="s">
        <v>37</v>
      </c>
      <c r="F579" s="176">
        <v>1</v>
      </c>
      <c r="G579" s="171">
        <f>+VLOOKUP(C579,'[112]Insumos-Equipo M_L'!$A$2:$D$166,4,FALSE)</f>
        <v>645000</v>
      </c>
      <c r="H579" s="172">
        <v>0.05</v>
      </c>
      <c r="I579" s="174"/>
      <c r="J579" s="174">
        <f>+(F579*G579*(1+H579))</f>
        <v>677250</v>
      </c>
      <c r="K579" s="174"/>
    </row>
    <row r="580" spans="2:12" ht="30" hidden="1" x14ac:dyDescent="0.25">
      <c r="B580" s="168"/>
      <c r="C580" s="168" t="s">
        <v>364</v>
      </c>
      <c r="D580" s="169" t="s">
        <v>365</v>
      </c>
      <c r="E580" s="170" t="s">
        <v>366</v>
      </c>
      <c r="F580" s="170">
        <v>1</v>
      </c>
      <c r="G580" s="171">
        <f>+VLOOKUP(C580,'[112]Insumos-Equipo M_L'!$A$2:$D$166,4,FALSE)</f>
        <v>44160.263302500003</v>
      </c>
      <c r="H580" s="172">
        <v>0.02</v>
      </c>
      <c r="I580" s="174"/>
      <c r="J580" s="174">
        <f>+(F580*G580*(1+H580))</f>
        <v>45043.468568550001</v>
      </c>
      <c r="K580" s="174"/>
    </row>
    <row r="581" spans="2:12" ht="15" hidden="1" x14ac:dyDescent="0.25">
      <c r="B581" s="168"/>
      <c r="C581" s="323" t="s">
        <v>258</v>
      </c>
      <c r="D581" s="169" t="s">
        <v>259</v>
      </c>
      <c r="E581" s="170" t="s">
        <v>87</v>
      </c>
      <c r="F581" s="170">
        <v>0.2</v>
      </c>
      <c r="G581" s="171">
        <f>+VLOOKUP(C581,'[112]Insumos-Equipo M_L'!$A$2:$D$166,4,FALSE)</f>
        <v>69629.040000000008</v>
      </c>
      <c r="H581" s="172"/>
      <c r="I581" s="174">
        <f>+(F581*G581*(1+H581))</f>
        <v>13925.808000000003</v>
      </c>
      <c r="J581" s="174"/>
      <c r="K581" s="174"/>
    </row>
    <row r="582" spans="2:12" ht="15" hidden="1" x14ac:dyDescent="0.25">
      <c r="B582" s="168"/>
      <c r="C582" s="168" t="s">
        <v>267</v>
      </c>
      <c r="D582" s="169" t="s">
        <v>268</v>
      </c>
      <c r="E582" s="170" t="s">
        <v>87</v>
      </c>
      <c r="F582" s="175">
        <v>0.2</v>
      </c>
      <c r="G582" s="171">
        <f>+VLOOKUP(C582,'[113]Mano de Obra'!$A$7:$G$35,4,FALSE)</f>
        <v>137020</v>
      </c>
      <c r="H582" s="172"/>
      <c r="I582" s="174"/>
      <c r="J582" s="174"/>
      <c r="K582" s="174">
        <f>+(F582*G582*(1+H582))</f>
        <v>27404</v>
      </c>
    </row>
    <row r="583" spans="2:12" ht="15" hidden="1" x14ac:dyDescent="0.25">
      <c r="B583" s="168"/>
      <c r="C583" s="168" t="s">
        <v>367</v>
      </c>
      <c r="D583" s="169" t="s">
        <v>368</v>
      </c>
      <c r="E583" s="170" t="s">
        <v>87</v>
      </c>
      <c r="F583" s="176">
        <v>1</v>
      </c>
      <c r="G583" s="171">
        <f>+VLOOKUP(C583,'[112]Insumos-Equipo M_L'!$A$2:$D$166,4,FALSE)</f>
        <v>331.96537499999999</v>
      </c>
      <c r="H583" s="172"/>
      <c r="I583" s="174">
        <f>+(F583*G583*(1+H583))</f>
        <v>331.96537499999999</v>
      </c>
      <c r="J583" s="174"/>
      <c r="K583" s="174"/>
    </row>
    <row r="584" spans="2:12" ht="15" hidden="1" x14ac:dyDescent="0.25">
      <c r="B584" s="168"/>
      <c r="C584" s="323" t="s">
        <v>369</v>
      </c>
      <c r="D584" s="169" t="s">
        <v>370</v>
      </c>
      <c r="E584" s="170" t="s">
        <v>87</v>
      </c>
      <c r="F584" s="176">
        <v>2</v>
      </c>
      <c r="G584" s="171">
        <f>+VLOOKUP(C584,'[112]Insumos-Equipo M_L'!$A$2:$D$166,4,FALSE)</f>
        <v>242.13945000000001</v>
      </c>
      <c r="H584" s="172"/>
      <c r="I584" s="174">
        <f>+(F584*G584*(1+H584))</f>
        <v>484.27890000000002</v>
      </c>
      <c r="J584" s="174"/>
      <c r="K584" s="174"/>
    </row>
    <row r="585" spans="2:12" ht="15" hidden="1" x14ac:dyDescent="0.25">
      <c r="B585" s="168"/>
      <c r="C585" s="323" t="s">
        <v>371</v>
      </c>
      <c r="D585" s="169" t="s">
        <v>372</v>
      </c>
      <c r="E585" s="170" t="s">
        <v>87</v>
      </c>
      <c r="F585" s="176">
        <v>5</v>
      </c>
      <c r="G585" s="171">
        <f>+VLOOKUP(C585,'[112]Insumos-Equipo M_L'!$A$2:$D$166,4,FALSE)</f>
        <v>531.14459999999997</v>
      </c>
      <c r="H585" s="172"/>
      <c r="I585" s="174">
        <f>+(F585*G585*(1+H585))</f>
        <v>2655.723</v>
      </c>
      <c r="J585" s="174"/>
      <c r="K585" s="174"/>
    </row>
    <row r="586" spans="2:12" ht="15" hidden="1" x14ac:dyDescent="0.25">
      <c r="B586" s="168"/>
      <c r="C586" s="168" t="s">
        <v>373</v>
      </c>
      <c r="D586" s="169" t="s">
        <v>374</v>
      </c>
      <c r="E586" s="170" t="s">
        <v>97</v>
      </c>
      <c r="F586" s="170">
        <v>0.3</v>
      </c>
      <c r="G586" s="171">
        <f>+VLOOKUP(C586,'[112]Insumos-Equipo M_L'!$A$2:$D$166,4,FALSE)</f>
        <v>18349.578064800004</v>
      </c>
      <c r="H586" s="172"/>
      <c r="I586" s="174"/>
      <c r="J586" s="174">
        <f>+(F586*G586*(1+H586))</f>
        <v>5504.8734194400013</v>
      </c>
      <c r="K586" s="174"/>
    </row>
    <row r="587" spans="2:12" ht="15" hidden="1" x14ac:dyDescent="0.25">
      <c r="B587" s="168"/>
      <c r="C587" s="168" t="s">
        <v>233</v>
      </c>
      <c r="D587" s="169" t="s">
        <v>234</v>
      </c>
      <c r="E587" s="170" t="s">
        <v>97</v>
      </c>
      <c r="F587" s="170">
        <v>1.5</v>
      </c>
      <c r="G587" s="171">
        <f>+VLOOKUP(C587,'[112]Insumos-Equipo M_L'!$A$2:$D$166,4,FALSE)</f>
        <v>7432.1064029700001</v>
      </c>
      <c r="H587" s="172"/>
      <c r="I587" s="174"/>
      <c r="J587" s="174">
        <f>+(F587*G587*(1+H587))</f>
        <v>11148.159604455001</v>
      </c>
      <c r="K587" s="174"/>
    </row>
    <row r="588" spans="2:12" ht="15" hidden="1" x14ac:dyDescent="0.25">
      <c r="B588" s="168"/>
      <c r="C588" s="168" t="s">
        <v>275</v>
      </c>
      <c r="D588" s="169" t="s">
        <v>276</v>
      </c>
      <c r="E588" s="170" t="s">
        <v>87</v>
      </c>
      <c r="F588" s="170">
        <v>0.12</v>
      </c>
      <c r="G588" s="171">
        <f>+VLOOKUP(C588,'[112]Insumos-Equipo M_L'!$A$2:$D$166,4,FALSE)</f>
        <v>50458.737000000001</v>
      </c>
      <c r="H588" s="172"/>
      <c r="I588" s="174">
        <f>+(F588*G588*(1+H588))</f>
        <v>6055.0484399999996</v>
      </c>
      <c r="J588" s="174"/>
      <c r="K588" s="174"/>
    </row>
    <row r="589" spans="2:12" ht="15" hidden="1" x14ac:dyDescent="0.25">
      <c r="B589" s="168"/>
      <c r="C589" s="168" t="s">
        <v>280</v>
      </c>
      <c r="D589" s="169" t="s">
        <v>281</v>
      </c>
      <c r="E589" s="170" t="s">
        <v>87</v>
      </c>
      <c r="F589" s="170">
        <v>0.25</v>
      </c>
      <c r="G589" s="171">
        <f>+VLOOKUP(C589,'[112]Insumos-Equipo M_L'!$A$2:$D$166,4,FALSE)</f>
        <v>79671.689999999988</v>
      </c>
      <c r="H589" s="172"/>
      <c r="I589" s="174">
        <f>+(F589*G589*(1+H589))</f>
        <v>19917.922499999997</v>
      </c>
      <c r="J589" s="174"/>
      <c r="K589" s="174"/>
    </row>
    <row r="590" spans="2:12" ht="15" hidden="1" x14ac:dyDescent="0.25">
      <c r="B590" s="168"/>
      <c r="C590" s="168" t="s">
        <v>375</v>
      </c>
      <c r="D590" s="169" t="s">
        <v>376</v>
      </c>
      <c r="E590" s="170" t="s">
        <v>200</v>
      </c>
      <c r="F590" s="170">
        <v>1</v>
      </c>
      <c r="G590" s="171">
        <f>+VLOOKUP(C590,'[112]Insumos-Equipo M_L'!$A$2:$D$166,4,FALSE)</f>
        <v>109053.375</v>
      </c>
      <c r="H590" s="172"/>
      <c r="I590" s="174">
        <f>+(F590*G590*(1+H590))</f>
        <v>109053.375</v>
      </c>
      <c r="J590" s="174"/>
      <c r="K590" s="174"/>
    </row>
    <row r="591" spans="2:12" ht="15" hidden="1" x14ac:dyDescent="0.25">
      <c r="B591" s="168"/>
      <c r="C591" s="168" t="s">
        <v>88</v>
      </c>
      <c r="D591" s="169" t="s">
        <v>89</v>
      </c>
      <c r="E591" s="170" t="s">
        <v>87</v>
      </c>
      <c r="F591" s="250">
        <v>1.2</v>
      </c>
      <c r="G591" s="171">
        <f>+VLOOKUP(C591,'[113]Mano de Obra'!$A$7:$G$35,4,FALSE)</f>
        <v>441510</v>
      </c>
      <c r="H591" s="172"/>
      <c r="I591" s="174"/>
      <c r="J591" s="174"/>
      <c r="K591" s="174">
        <f>+(F591*G591*(1+H591))</f>
        <v>529812</v>
      </c>
    </row>
    <row r="592" spans="2:12" ht="15" hidden="1" x14ac:dyDescent="0.25">
      <c r="B592" s="168"/>
      <c r="C592" s="168"/>
      <c r="D592" s="169" t="s">
        <v>90</v>
      </c>
      <c r="E592" s="170" t="s">
        <v>91</v>
      </c>
      <c r="F592" s="178">
        <v>0.05</v>
      </c>
      <c r="G592" s="205">
        <f>+K591</f>
        <v>529812</v>
      </c>
      <c r="H592" s="172"/>
      <c r="I592" s="174"/>
      <c r="J592" s="174"/>
      <c r="K592" s="174">
        <f>+(F592*G592*(1+H592))</f>
        <v>26490.600000000002</v>
      </c>
    </row>
    <row r="593" spans="2:12" ht="15" hidden="1" x14ac:dyDescent="0.25">
      <c r="B593" s="168"/>
      <c r="C593" s="168"/>
      <c r="D593" s="169" t="s">
        <v>92</v>
      </c>
      <c r="E593" s="170" t="s">
        <v>91</v>
      </c>
      <c r="F593" s="178">
        <v>0.05</v>
      </c>
      <c r="G593" s="205">
        <f>+K591</f>
        <v>529812</v>
      </c>
      <c r="H593" s="172"/>
      <c r="I593" s="174"/>
      <c r="J593" s="174">
        <f>+(F593*G593*(1+H593))</f>
        <v>26490.600000000002</v>
      </c>
      <c r="K593" s="179"/>
    </row>
    <row r="594" spans="2:12" ht="15.6" hidden="1" x14ac:dyDescent="0.25">
      <c r="B594" s="180"/>
      <c r="C594" s="180"/>
      <c r="D594" s="181" t="s">
        <v>93</v>
      </c>
      <c r="E594" s="182">
        <f>+ROUND(SUM(I594:K594),0)</f>
        <v>1501568</v>
      </c>
      <c r="F594" s="183"/>
      <c r="G594" s="184"/>
      <c r="H594" s="196"/>
      <c r="I594" s="186">
        <f>+ROUND(SUM(I579:I593),0)</f>
        <v>152424</v>
      </c>
      <c r="J594" s="186">
        <f>+ROUND(SUM(J579:J593),0)</f>
        <v>765437</v>
      </c>
      <c r="K594" s="186">
        <f>+ROUND(SUM(K579:K593),0)</f>
        <v>583707</v>
      </c>
    </row>
    <row r="595" spans="2:12" hidden="1" x14ac:dyDescent="0.25"/>
    <row r="596" spans="2:12" ht="15.6" hidden="1" x14ac:dyDescent="0.25">
      <c r="B596" s="159">
        <v>5.0140000000000002</v>
      </c>
      <c r="C596" s="160"/>
      <c r="D596" s="161" t="s">
        <v>46</v>
      </c>
      <c r="E596" s="162"/>
      <c r="F596" s="163"/>
      <c r="G596" s="201"/>
      <c r="H596" s="203"/>
      <c r="I596" s="203"/>
      <c r="J596" s="203"/>
      <c r="K596" s="203"/>
      <c r="L596" s="166">
        <f>+E603</f>
        <v>8771</v>
      </c>
    </row>
    <row r="597" spans="2:12" ht="15" hidden="1" x14ac:dyDescent="0.25">
      <c r="B597" s="168"/>
      <c r="C597" s="168" t="s">
        <v>113</v>
      </c>
      <c r="D597" s="169" t="s">
        <v>114</v>
      </c>
      <c r="E597" s="170" t="s">
        <v>97</v>
      </c>
      <c r="F597" s="170">
        <v>1</v>
      </c>
      <c r="G597" s="171">
        <f>+VLOOKUP(C597,'[112]Insumos-Equipo M_L'!$A$2:$D$166,4,FALSE)</f>
        <v>6296.2749999999996</v>
      </c>
      <c r="H597" s="172">
        <v>0.03</v>
      </c>
      <c r="I597" s="174"/>
      <c r="J597" s="174">
        <f>+(F597*G597*(1+H597))</f>
        <v>6485.1632499999996</v>
      </c>
      <c r="K597" s="174"/>
    </row>
    <row r="598" spans="2:12" ht="15" hidden="1" x14ac:dyDescent="0.25">
      <c r="B598" s="168"/>
      <c r="C598" s="168" t="s">
        <v>115</v>
      </c>
      <c r="D598" s="169" t="s">
        <v>116</v>
      </c>
      <c r="E598" s="170" t="s">
        <v>97</v>
      </c>
      <c r="F598" s="170">
        <v>0.05</v>
      </c>
      <c r="G598" s="171">
        <f>+VLOOKUP(C598,'[112]Insumos-Equipo M_L'!$A$2:$D$166,4,FALSE)</f>
        <v>9491.1610680000013</v>
      </c>
      <c r="H598" s="172"/>
      <c r="I598" s="174"/>
      <c r="J598" s="174">
        <f>+(F598*G598*(1+H598))</f>
        <v>474.55805340000006</v>
      </c>
      <c r="K598" s="174"/>
    </row>
    <row r="599" spans="2:12" ht="15" hidden="1" x14ac:dyDescent="0.25">
      <c r="B599" s="168"/>
      <c r="C599" s="168" t="s">
        <v>117</v>
      </c>
      <c r="D599" s="169" t="s">
        <v>118</v>
      </c>
      <c r="E599" s="170" t="s">
        <v>87</v>
      </c>
      <c r="F599" s="199">
        <v>6.6666666666666671E-3</v>
      </c>
      <c r="G599" s="171">
        <f>+VLOOKUP(C599,'[112]Insumos-Equipo M_L'!$A$2:$D$166,4,FALSE)</f>
        <v>50458.737000000001</v>
      </c>
      <c r="H599" s="172"/>
      <c r="I599" s="174">
        <f>+(F599*G599*(1+H599))</f>
        <v>336.39158000000003</v>
      </c>
      <c r="J599" s="174"/>
      <c r="K599" s="174"/>
    </row>
    <row r="600" spans="2:12" ht="15" hidden="1" x14ac:dyDescent="0.25">
      <c r="B600" s="168"/>
      <c r="C600" s="168" t="s">
        <v>119</v>
      </c>
      <c r="D600" s="169" t="s">
        <v>120</v>
      </c>
      <c r="E600" s="170" t="s">
        <v>87</v>
      </c>
      <c r="F600" s="200">
        <v>6.2899999999999996E-3</v>
      </c>
      <c r="G600" s="171">
        <f>+VLOOKUP(C600,'[113]Mano de Obra'!$A$7:$G$35,4,FALSE)</f>
        <v>213143</v>
      </c>
      <c r="H600" s="172"/>
      <c r="I600" s="174"/>
      <c r="J600" s="174"/>
      <c r="K600" s="174">
        <f>+(F600*G600*(1+H600))</f>
        <v>1340.6694699999998</v>
      </c>
    </row>
    <row r="601" spans="2:12" ht="15" hidden="1" x14ac:dyDescent="0.25">
      <c r="B601" s="168"/>
      <c r="C601" s="168"/>
      <c r="D601" s="169" t="s">
        <v>90</v>
      </c>
      <c r="E601" s="170" t="s">
        <v>91</v>
      </c>
      <c r="F601" s="178">
        <v>0.05</v>
      </c>
      <c r="G601" s="205">
        <f>+K600</f>
        <v>1340.6694699999998</v>
      </c>
      <c r="H601" s="172"/>
      <c r="I601" s="174"/>
      <c r="J601" s="174"/>
      <c r="K601" s="174">
        <f>+(F601*G601*(1+H601))</f>
        <v>67.033473499999999</v>
      </c>
    </row>
    <row r="602" spans="2:12" ht="15" hidden="1" x14ac:dyDescent="0.25">
      <c r="B602" s="168"/>
      <c r="C602" s="168"/>
      <c r="D602" s="169" t="s">
        <v>92</v>
      </c>
      <c r="E602" s="170" t="s">
        <v>91</v>
      </c>
      <c r="F602" s="178">
        <v>0.05</v>
      </c>
      <c r="G602" s="205">
        <f>+K600</f>
        <v>1340.6694699999998</v>
      </c>
      <c r="H602" s="172"/>
      <c r="I602" s="174"/>
      <c r="J602" s="174">
        <f>+(F602*G602*(1+H602))</f>
        <v>67.033473499999999</v>
      </c>
      <c r="K602" s="179"/>
    </row>
    <row r="603" spans="2:12" ht="15.6" hidden="1" x14ac:dyDescent="0.25">
      <c r="B603" s="180"/>
      <c r="C603" s="180"/>
      <c r="D603" s="181" t="s">
        <v>93</v>
      </c>
      <c r="E603" s="182">
        <f>+ROUND(SUM(I603:K603),0)</f>
        <v>8771</v>
      </c>
      <c r="F603" s="183"/>
      <c r="G603" s="184"/>
      <c r="H603" s="196"/>
      <c r="I603" s="186">
        <f>+ROUND(SUM(I597:I602),0)</f>
        <v>336</v>
      </c>
      <c r="J603" s="186">
        <f>+ROUND(SUM(J597:J602),0)</f>
        <v>7027</v>
      </c>
      <c r="K603" s="186">
        <f>+ROUND(SUM(K597:K602),0)</f>
        <v>1408</v>
      </c>
    </row>
    <row r="604" spans="2:12" hidden="1" x14ac:dyDescent="0.25"/>
    <row r="605" spans="2:12" ht="15.6" hidden="1" x14ac:dyDescent="0.25">
      <c r="B605" s="159">
        <v>13.037000000000001</v>
      </c>
      <c r="C605" s="160"/>
      <c r="D605" s="161" t="s">
        <v>377</v>
      </c>
      <c r="E605" s="162"/>
      <c r="F605" s="163"/>
      <c r="G605" s="201"/>
      <c r="H605" s="203"/>
      <c r="I605" s="203"/>
      <c r="J605" s="203"/>
      <c r="K605" s="203"/>
      <c r="L605" s="166">
        <f>+E611</f>
        <v>4643</v>
      </c>
    </row>
    <row r="606" spans="2:12" ht="15" hidden="1" x14ac:dyDescent="0.25">
      <c r="B606" s="168"/>
      <c r="C606" s="168" t="s">
        <v>378</v>
      </c>
      <c r="D606" s="169" t="s">
        <v>379</v>
      </c>
      <c r="E606" s="170" t="s">
        <v>380</v>
      </c>
      <c r="F606" s="175">
        <v>0.125</v>
      </c>
      <c r="G606" s="171">
        <f>+VLOOKUP(C606,'[112]Insumos-Equipo M_L'!$A$2:$D$166,4,FALSE)</f>
        <v>17268.640276499998</v>
      </c>
      <c r="H606" s="172"/>
      <c r="I606" s="174"/>
      <c r="J606" s="174">
        <f>+(F606*G606*(1+H606))</f>
        <v>2158.5800345624998</v>
      </c>
      <c r="K606" s="174"/>
    </row>
    <row r="607" spans="2:12" ht="15" hidden="1" x14ac:dyDescent="0.25">
      <c r="B607" s="168"/>
      <c r="C607" s="168" t="s">
        <v>381</v>
      </c>
      <c r="D607" s="169" t="s">
        <v>382</v>
      </c>
      <c r="E607" s="170" t="s">
        <v>196</v>
      </c>
      <c r="F607" s="175">
        <v>5.0000000000000001E-3</v>
      </c>
      <c r="G607" s="171">
        <f>+VLOOKUP(C607,'[112]Insumos-Equipo M_L'!$A$2:$D$166,4,FALSE)</f>
        <v>83711.06700000001</v>
      </c>
      <c r="H607" s="172"/>
      <c r="I607" s="174">
        <f>+(F607*G607*(1+H607))</f>
        <v>418.55533500000007</v>
      </c>
      <c r="J607" s="174"/>
      <c r="K607" s="174"/>
    </row>
    <row r="608" spans="2:12" ht="15" hidden="1" x14ac:dyDescent="0.25">
      <c r="B608" s="168"/>
      <c r="C608" s="168" t="s">
        <v>383</v>
      </c>
      <c r="D608" s="169" t="s">
        <v>384</v>
      </c>
      <c r="E608" s="170" t="s">
        <v>196</v>
      </c>
      <c r="F608" s="175">
        <v>5.0000000000000001E-3</v>
      </c>
      <c r="G608" s="171">
        <f>+VLOOKUP(C608,'[112]Insumos-Equipo M_L'!$A$2:$D$166,4,FALSE)</f>
        <v>118168.51499999998</v>
      </c>
      <c r="H608" s="172"/>
      <c r="I608" s="174">
        <f>+(F608*G608*(1+H608))</f>
        <v>590.8425749999999</v>
      </c>
      <c r="J608" s="174"/>
      <c r="K608" s="174"/>
    </row>
    <row r="609" spans="2:12" ht="15" hidden="1" x14ac:dyDescent="0.25">
      <c r="B609" s="168"/>
      <c r="C609" s="168" t="s">
        <v>139</v>
      </c>
      <c r="D609" s="169" t="s">
        <v>140</v>
      </c>
      <c r="E609" s="170" t="s">
        <v>87</v>
      </c>
      <c r="F609" s="200">
        <v>5.0000000000000001E-3</v>
      </c>
      <c r="G609" s="171">
        <f>+VLOOKUP(C609,'[113]Mano de Obra'!$A$7:$G$35,4,FALSE)</f>
        <v>289265</v>
      </c>
      <c r="H609" s="172"/>
      <c r="I609" s="174"/>
      <c r="J609" s="174"/>
      <c r="K609" s="174">
        <f>+(F609*G609*(1+H609))</f>
        <v>1446.325</v>
      </c>
    </row>
    <row r="610" spans="2:12" ht="15" hidden="1" x14ac:dyDescent="0.25">
      <c r="B610" s="168"/>
      <c r="C610" s="168"/>
      <c r="D610" s="169" t="s">
        <v>92</v>
      </c>
      <c r="E610" s="170" t="s">
        <v>91</v>
      </c>
      <c r="F610" s="178">
        <v>0.02</v>
      </c>
      <c r="G610" s="205">
        <f>+K609</f>
        <v>1446.325</v>
      </c>
      <c r="H610" s="172"/>
      <c r="I610" s="174"/>
      <c r="J610" s="174">
        <f>+(F610*G610*(1+H610))</f>
        <v>28.926500000000001</v>
      </c>
      <c r="K610" s="179"/>
    </row>
    <row r="611" spans="2:12" ht="15.6" hidden="1" x14ac:dyDescent="0.25">
      <c r="B611" s="180"/>
      <c r="C611" s="180"/>
      <c r="D611" s="181" t="s">
        <v>93</v>
      </c>
      <c r="E611" s="182">
        <f>+ROUND(SUM(I611:K611),0)</f>
        <v>4643</v>
      </c>
      <c r="F611" s="183"/>
      <c r="G611" s="184"/>
      <c r="H611" s="196"/>
      <c r="I611" s="186">
        <f>+ROUND(SUM(I606:I610),0)</f>
        <v>1009</v>
      </c>
      <c r="J611" s="186">
        <f>+ROUND(SUM(J606:J610),0)</f>
        <v>2188</v>
      </c>
      <c r="K611" s="186">
        <f>+ROUND(SUM(K606:K610),0)</f>
        <v>1446</v>
      </c>
    </row>
    <row r="612" spans="2:12" hidden="1" x14ac:dyDescent="0.25"/>
    <row r="613" spans="2:12" ht="31.5" hidden="1" customHeight="1" x14ac:dyDescent="0.25">
      <c r="B613" s="159">
        <v>13.026</v>
      </c>
      <c r="C613" s="160"/>
      <c r="D613" s="161" t="s">
        <v>385</v>
      </c>
      <c r="E613" s="162"/>
      <c r="F613" s="163"/>
      <c r="G613" s="201"/>
      <c r="H613" s="203"/>
      <c r="I613" s="203"/>
      <c r="J613" s="203"/>
      <c r="K613" s="203"/>
      <c r="L613" s="166">
        <f>+E622</f>
        <v>1059465</v>
      </c>
    </row>
    <row r="614" spans="2:12" ht="31.5" hidden="1" customHeight="1" x14ac:dyDescent="0.25">
      <c r="B614" s="168"/>
      <c r="C614" s="168" t="s">
        <v>220</v>
      </c>
      <c r="D614" s="169" t="s">
        <v>221</v>
      </c>
      <c r="E614" s="170" t="s">
        <v>196</v>
      </c>
      <c r="F614" s="177">
        <v>7.0000000000000007E-2</v>
      </c>
      <c r="G614" s="171">
        <f>+VLOOKUP(C614,'[112]Insumos-Equipo M_L'!$A$2:$D$166,4,FALSE)</f>
        <v>118250</v>
      </c>
      <c r="H614" s="204"/>
      <c r="I614" s="174">
        <f>+(F614*G614*(1+H614))</f>
        <v>8277.5</v>
      </c>
      <c r="J614" s="174"/>
      <c r="K614" s="174"/>
    </row>
    <row r="615" spans="2:12" ht="15" hidden="1" x14ac:dyDescent="0.25">
      <c r="B615" s="168"/>
      <c r="C615" s="168" t="s">
        <v>386</v>
      </c>
      <c r="D615" s="169" t="s">
        <v>387</v>
      </c>
      <c r="E615" s="170" t="s">
        <v>37</v>
      </c>
      <c r="F615" s="176">
        <v>1.25</v>
      </c>
      <c r="G615" s="171">
        <f>+VLOOKUP(C615,'[112]Insumos-Equipo M_L'!$A$2:$D$166,4,FALSE)</f>
        <v>767553.76249999995</v>
      </c>
      <c r="H615" s="172">
        <v>0.03</v>
      </c>
      <c r="I615" s="174"/>
      <c r="J615" s="174">
        <f>+(F615*G615*(1+H615))</f>
        <v>988225.46921875002</v>
      </c>
      <c r="K615" s="174"/>
    </row>
    <row r="616" spans="2:12" ht="15" hidden="1" x14ac:dyDescent="0.25">
      <c r="B616" s="168"/>
      <c r="C616" s="168" t="s">
        <v>388</v>
      </c>
      <c r="D616" s="179" t="s">
        <v>389</v>
      </c>
      <c r="E616" s="168" t="s">
        <v>196</v>
      </c>
      <c r="F616" s="177">
        <v>7.0000000000000007E-2</v>
      </c>
      <c r="G616" s="171">
        <f>+VLOOKUP(C616,'[112]Insumos-Equipo M_L'!$A$2:$D$166,4,FALSE)</f>
        <v>170925</v>
      </c>
      <c r="H616" s="172"/>
      <c r="I616" s="174">
        <f>+(F616*G616*(1+H616))</f>
        <v>11964.750000000002</v>
      </c>
      <c r="J616" s="174"/>
      <c r="K616" s="174"/>
    </row>
    <row r="617" spans="2:12" ht="15" hidden="1" x14ac:dyDescent="0.25">
      <c r="B617" s="168"/>
      <c r="C617" s="168" t="s">
        <v>224</v>
      </c>
      <c r="D617" s="169" t="s">
        <v>225</v>
      </c>
      <c r="E617" s="170" t="s">
        <v>196</v>
      </c>
      <c r="F617" s="170">
        <v>0.02</v>
      </c>
      <c r="G617" s="171">
        <f>+VLOOKUP(C617,'[112]Insumos-Equipo M_L'!$A$2:$D$166,4,FALSE)</f>
        <v>96750</v>
      </c>
      <c r="H617" s="204"/>
      <c r="I617" s="174">
        <f>+(F617*G617*(1+H617))</f>
        <v>1935</v>
      </c>
      <c r="J617" s="174"/>
      <c r="K617" s="174"/>
    </row>
    <row r="618" spans="2:12" ht="15" hidden="1" x14ac:dyDescent="0.25">
      <c r="B618" s="168"/>
      <c r="C618" s="168" t="s">
        <v>390</v>
      </c>
      <c r="D618" s="169" t="s">
        <v>391</v>
      </c>
      <c r="E618" s="170" t="s">
        <v>196</v>
      </c>
      <c r="F618" s="177">
        <v>7.0000000000000007E-2</v>
      </c>
      <c r="G618" s="171">
        <f>+VLOOKUP(C618,'[112]Insumos-Equipo M_L'!$A$2:$D$166,4,FALSE)</f>
        <v>118250</v>
      </c>
      <c r="H618" s="204"/>
      <c r="I618" s="174">
        <f>+(F618*G618*(1+H618))</f>
        <v>8277.5</v>
      </c>
      <c r="J618" s="174"/>
      <c r="K618" s="174"/>
    </row>
    <row r="619" spans="2:12" ht="15" hidden="1" x14ac:dyDescent="0.25">
      <c r="B619" s="168"/>
      <c r="C619" s="168" t="s">
        <v>392</v>
      </c>
      <c r="D619" s="169" t="s">
        <v>393</v>
      </c>
      <c r="E619" s="170" t="s">
        <v>196</v>
      </c>
      <c r="F619" s="177">
        <v>7.0000000000000007E-2</v>
      </c>
      <c r="G619" s="171">
        <f>+VLOOKUP(C619,'[112]Insumos-Equipo M_L'!$A$2:$D$166,4,FALSE)</f>
        <v>119044.42499999999</v>
      </c>
      <c r="H619" s="204"/>
      <c r="I619" s="174">
        <f>+(F619*G619*(1+H619))</f>
        <v>8333.1097499999996</v>
      </c>
      <c r="J619" s="174"/>
      <c r="K619" s="174"/>
    </row>
    <row r="620" spans="2:12" ht="15" hidden="1" x14ac:dyDescent="0.25">
      <c r="B620" s="168"/>
      <c r="C620" s="312" t="s">
        <v>88</v>
      </c>
      <c r="D620" s="169" t="s">
        <v>89</v>
      </c>
      <c r="E620" s="170" t="s">
        <v>87</v>
      </c>
      <c r="F620" s="177">
        <v>7.0000000000000007E-2</v>
      </c>
      <c r="G620" s="171">
        <f>+VLOOKUP(C620,'[113]Mano de Obra'!$A$7:$G$35,4,FALSE)</f>
        <v>441510</v>
      </c>
      <c r="H620" s="172"/>
      <c r="I620" s="174"/>
      <c r="J620" s="174"/>
      <c r="K620" s="174">
        <f>+(F620*G620*(1+H620))</f>
        <v>30905.700000000004</v>
      </c>
    </row>
    <row r="621" spans="2:12" ht="15" hidden="1" x14ac:dyDescent="0.25">
      <c r="B621" s="168"/>
      <c r="C621" s="168"/>
      <c r="D621" s="169" t="s">
        <v>92</v>
      </c>
      <c r="E621" s="170" t="s">
        <v>91</v>
      </c>
      <c r="F621" s="178">
        <v>0.05</v>
      </c>
      <c r="G621" s="205">
        <f>+K620</f>
        <v>30905.700000000004</v>
      </c>
      <c r="H621" s="172"/>
      <c r="I621" s="174"/>
      <c r="J621" s="174">
        <f>+(F621*G621*(1+H621))</f>
        <v>1545.2850000000003</v>
      </c>
      <c r="K621" s="179"/>
    </row>
    <row r="622" spans="2:12" ht="15.6" hidden="1" x14ac:dyDescent="0.25">
      <c r="B622" s="180"/>
      <c r="C622" s="180"/>
      <c r="D622" s="181" t="s">
        <v>93</v>
      </c>
      <c r="E622" s="182">
        <f>+ROUND(SUM(I622:K622),0)</f>
        <v>1059465</v>
      </c>
      <c r="F622" s="183"/>
      <c r="G622" s="184"/>
      <c r="H622" s="196"/>
      <c r="I622" s="186">
        <f>+ROUND(SUM(I614:I621),0)</f>
        <v>38788</v>
      </c>
      <c r="J622" s="186">
        <f>+ROUND(SUM(J614:J621),0)</f>
        <v>989771</v>
      </c>
      <c r="K622" s="186">
        <f>+ROUND(SUM(K614:K621),0)</f>
        <v>30906</v>
      </c>
    </row>
    <row r="623" spans="2:12" hidden="1" x14ac:dyDescent="0.25"/>
    <row r="624" spans="2:12" ht="15.6" hidden="1" x14ac:dyDescent="0.25">
      <c r="B624" s="257">
        <v>5.2750000000000004</v>
      </c>
      <c r="C624" s="160"/>
      <c r="D624" s="161" t="s">
        <v>394</v>
      </c>
      <c r="E624" s="162"/>
      <c r="F624" s="163"/>
      <c r="G624" s="201"/>
      <c r="H624" s="203"/>
      <c r="I624" s="203"/>
      <c r="J624" s="203"/>
      <c r="K624" s="203"/>
      <c r="L624" s="166">
        <f>+E634</f>
        <v>954416</v>
      </c>
    </row>
    <row r="625" spans="2:12" ht="15" hidden="1" x14ac:dyDescent="0.25">
      <c r="B625" s="168"/>
      <c r="C625" s="168" t="s">
        <v>111</v>
      </c>
      <c r="D625" s="169" t="s">
        <v>112</v>
      </c>
      <c r="E625" s="170" t="s">
        <v>37</v>
      </c>
      <c r="F625" s="176">
        <v>1</v>
      </c>
      <c r="G625" s="171">
        <f>+VLOOKUP(C625,'[112]Insumos-Equipo M_L'!$A$2:$D$166,4,FALSE)</f>
        <v>645000</v>
      </c>
      <c r="H625" s="172">
        <v>0.05</v>
      </c>
      <c r="I625" s="174"/>
      <c r="J625" s="174">
        <f>+(F625*G625*(1+H625))</f>
        <v>677250</v>
      </c>
      <c r="K625" s="174"/>
    </row>
    <row r="626" spans="2:12" ht="15" hidden="1" x14ac:dyDescent="0.25">
      <c r="B626" s="168"/>
      <c r="C626" s="323" t="s">
        <v>395</v>
      </c>
      <c r="D626" s="169" t="s">
        <v>396</v>
      </c>
      <c r="E626" s="170" t="s">
        <v>87</v>
      </c>
      <c r="F626" s="176">
        <v>6</v>
      </c>
      <c r="G626" s="171">
        <f>+VLOOKUP(C626,'[112]Insumos-Equipo M_L'!$A$2:$D$166,4,FALSE)</f>
        <v>2257.3645500000002</v>
      </c>
      <c r="H626" s="172"/>
      <c r="I626" s="174">
        <f>+(F626*G626*(1+H626))</f>
        <v>13544.187300000001</v>
      </c>
      <c r="J626" s="174"/>
      <c r="K626" s="174"/>
    </row>
    <row r="627" spans="2:12" ht="15" hidden="1" x14ac:dyDescent="0.25">
      <c r="B627" s="168"/>
      <c r="C627" s="168" t="s">
        <v>373</v>
      </c>
      <c r="D627" s="169" t="s">
        <v>374</v>
      </c>
      <c r="E627" s="170" t="s">
        <v>97</v>
      </c>
      <c r="F627" s="170">
        <v>0.1</v>
      </c>
      <c r="G627" s="171">
        <f>+VLOOKUP(C627,'[112]Insumos-Equipo M_L'!$A$2:$D$166,4,FALSE)</f>
        <v>18349.578064800004</v>
      </c>
      <c r="H627" s="172"/>
      <c r="I627" s="174"/>
      <c r="J627" s="174">
        <f>+(F627*G627*(1+H627))</f>
        <v>1834.9578064800005</v>
      </c>
      <c r="K627" s="174"/>
    </row>
    <row r="628" spans="2:12" ht="15" hidden="1" x14ac:dyDescent="0.25">
      <c r="B628" s="168"/>
      <c r="C628" s="168" t="s">
        <v>233</v>
      </c>
      <c r="D628" s="169" t="s">
        <v>234</v>
      </c>
      <c r="E628" s="170" t="s">
        <v>97</v>
      </c>
      <c r="F628" s="170">
        <v>1.5</v>
      </c>
      <c r="G628" s="171">
        <f>+VLOOKUP(C628,'[112]Insumos-Equipo M_L'!$A$2:$D$166,4,FALSE)</f>
        <v>7432.1064029700001</v>
      </c>
      <c r="H628" s="172"/>
      <c r="I628" s="174"/>
      <c r="J628" s="174">
        <f>+(F628*G628*(1+H628))</f>
        <v>11148.159604455001</v>
      </c>
      <c r="K628" s="174"/>
    </row>
    <row r="629" spans="2:12" ht="15" hidden="1" x14ac:dyDescent="0.25">
      <c r="B629" s="168"/>
      <c r="C629" s="168" t="s">
        <v>275</v>
      </c>
      <c r="D629" s="169" t="s">
        <v>276</v>
      </c>
      <c r="E629" s="170" t="s">
        <v>87</v>
      </c>
      <c r="F629" s="170">
        <v>0.06</v>
      </c>
      <c r="G629" s="171">
        <f>+VLOOKUP(C629,'[112]Insumos-Equipo M_L'!$A$2:$D$166,4,FALSE)</f>
        <v>50458.737000000001</v>
      </c>
      <c r="H629" s="172"/>
      <c r="I629" s="174">
        <f>+(F629*G629*(1+H629))</f>
        <v>3027.5242199999998</v>
      </c>
      <c r="J629" s="174"/>
      <c r="K629" s="174"/>
    </row>
    <row r="630" spans="2:12" ht="15" hidden="1" x14ac:dyDescent="0.25">
      <c r="B630" s="168"/>
      <c r="C630" s="168" t="s">
        <v>280</v>
      </c>
      <c r="D630" s="169" t="s">
        <v>281</v>
      </c>
      <c r="E630" s="170" t="s">
        <v>87</v>
      </c>
      <c r="F630" s="170">
        <v>0.06</v>
      </c>
      <c r="G630" s="171">
        <f>+VLOOKUP(C630,'[112]Insumos-Equipo M_L'!$A$2:$D$166,4,FALSE)</f>
        <v>79671.689999999988</v>
      </c>
      <c r="H630" s="172"/>
      <c r="I630" s="174">
        <f>+(F630*G630*(1+H630))</f>
        <v>4780.3013999999994</v>
      </c>
      <c r="J630" s="174"/>
      <c r="K630" s="174"/>
    </row>
    <row r="631" spans="2:12" ht="15" hidden="1" x14ac:dyDescent="0.25">
      <c r="B631" s="168"/>
      <c r="C631" s="168" t="s">
        <v>88</v>
      </c>
      <c r="D631" s="169" t="s">
        <v>89</v>
      </c>
      <c r="E631" s="170" t="s">
        <v>87</v>
      </c>
      <c r="F631" s="250">
        <v>0.5</v>
      </c>
      <c r="G631" s="171">
        <f>+VLOOKUP(C631,'[113]Mano de Obra'!$A$7:$G$35,4,FALSE)</f>
        <v>441510</v>
      </c>
      <c r="H631" s="172"/>
      <c r="I631" s="174"/>
      <c r="J631" s="174"/>
      <c r="K631" s="174">
        <f>+(F631*G631*(1+H631))</f>
        <v>220755</v>
      </c>
    </row>
    <row r="632" spans="2:12" ht="15" hidden="1" x14ac:dyDescent="0.25">
      <c r="B632" s="168"/>
      <c r="C632" s="168"/>
      <c r="D632" s="169" t="s">
        <v>90</v>
      </c>
      <c r="E632" s="170" t="s">
        <v>91</v>
      </c>
      <c r="F632" s="178">
        <v>0.05</v>
      </c>
      <c r="G632" s="205">
        <f>+K631</f>
        <v>220755</v>
      </c>
      <c r="H632" s="172"/>
      <c r="I632" s="174"/>
      <c r="J632" s="174"/>
      <c r="K632" s="174">
        <f>+(F632*G632*(1+H632))</f>
        <v>11037.75</v>
      </c>
    </row>
    <row r="633" spans="2:12" ht="15" hidden="1" x14ac:dyDescent="0.25">
      <c r="B633" s="168"/>
      <c r="C633" s="168"/>
      <c r="D633" s="169" t="s">
        <v>92</v>
      </c>
      <c r="E633" s="170" t="s">
        <v>91</v>
      </c>
      <c r="F633" s="178">
        <v>0.05</v>
      </c>
      <c r="G633" s="205">
        <f>+K631</f>
        <v>220755</v>
      </c>
      <c r="H633" s="172"/>
      <c r="I633" s="174"/>
      <c r="J633" s="174">
        <f>+(F633*G633*(1+H633))</f>
        <v>11037.75</v>
      </c>
      <c r="K633" s="179"/>
    </row>
    <row r="634" spans="2:12" ht="15.6" hidden="1" x14ac:dyDescent="0.25">
      <c r="B634" s="180"/>
      <c r="C634" s="180"/>
      <c r="D634" s="181" t="s">
        <v>93</v>
      </c>
      <c r="E634" s="182">
        <f>+ROUND(SUM(I634:K634),0)</f>
        <v>954416</v>
      </c>
      <c r="F634" s="183"/>
      <c r="G634" s="184"/>
      <c r="H634" s="196"/>
      <c r="I634" s="186">
        <f>+ROUND(SUM(I625:I633),0)</f>
        <v>21352</v>
      </c>
      <c r="J634" s="186">
        <f>+ROUND(SUM(J625:J633),0)</f>
        <v>701271</v>
      </c>
      <c r="K634" s="186">
        <f>+ROUND(SUM(K625:K633),0)</f>
        <v>231793</v>
      </c>
    </row>
    <row r="635" spans="2:12" hidden="1" x14ac:dyDescent="0.25"/>
    <row r="636" spans="2:12" ht="15.6" hidden="1" x14ac:dyDescent="0.25">
      <c r="B636" s="159">
        <v>12.004</v>
      </c>
      <c r="C636" s="160"/>
      <c r="D636" s="161" t="s">
        <v>397</v>
      </c>
      <c r="E636" s="162"/>
      <c r="F636" s="163"/>
      <c r="G636" s="201"/>
      <c r="H636" s="203"/>
      <c r="I636" s="203"/>
      <c r="J636" s="203"/>
      <c r="K636" s="203"/>
      <c r="L636" s="166">
        <f>+E647</f>
        <v>882541</v>
      </c>
    </row>
    <row r="637" spans="2:12" ht="15" hidden="1" x14ac:dyDescent="0.25">
      <c r="B637" s="168"/>
      <c r="C637" s="168">
        <v>5.008</v>
      </c>
      <c r="D637" s="169" t="s">
        <v>246</v>
      </c>
      <c r="E637" s="170" t="s">
        <v>37</v>
      </c>
      <c r="F637" s="170">
        <v>1</v>
      </c>
      <c r="G637" s="205">
        <f>+E93</f>
        <v>493303</v>
      </c>
      <c r="H637" s="172">
        <v>0.05</v>
      </c>
      <c r="I637" s="174"/>
      <c r="J637" s="174">
        <f t="shared" ref="J637:J643" si="6">+(F637*G637*(1+H637))</f>
        <v>517968.15</v>
      </c>
      <c r="K637" s="174"/>
    </row>
    <row r="638" spans="2:12" ht="15" hidden="1" x14ac:dyDescent="0.25">
      <c r="B638" s="168"/>
      <c r="C638" s="168" t="s">
        <v>122</v>
      </c>
      <c r="D638" s="169" t="s">
        <v>123</v>
      </c>
      <c r="E638" s="170" t="s">
        <v>124</v>
      </c>
      <c r="F638" s="189">
        <v>6</v>
      </c>
      <c r="G638" s="171">
        <f>+VLOOKUP(C638,'[112]Insumos-Equipo M_L'!$A$2:$D$166,4,FALSE)</f>
        <v>17200</v>
      </c>
      <c r="H638" s="172">
        <v>3.3E-3</v>
      </c>
      <c r="I638" s="174"/>
      <c r="J638" s="174">
        <f t="shared" si="6"/>
        <v>103540.56000000001</v>
      </c>
      <c r="K638" s="174"/>
    </row>
    <row r="639" spans="2:12" ht="15" hidden="1" x14ac:dyDescent="0.25">
      <c r="B639" s="168"/>
      <c r="C639" s="168"/>
      <c r="D639" s="169"/>
      <c r="E639" s="170"/>
      <c r="F639" s="189"/>
      <c r="G639" s="171"/>
      <c r="H639" s="172"/>
      <c r="I639" s="174"/>
      <c r="J639" s="174"/>
      <c r="K639" s="174"/>
    </row>
    <row r="640" spans="2:12" ht="15" hidden="1" x14ac:dyDescent="0.25">
      <c r="B640" s="168"/>
      <c r="C640" s="168" t="s">
        <v>149</v>
      </c>
      <c r="D640" s="169" t="s">
        <v>150</v>
      </c>
      <c r="E640" s="170" t="s">
        <v>124</v>
      </c>
      <c r="F640" s="175">
        <v>1.333</v>
      </c>
      <c r="G640" s="171">
        <f>+VLOOKUP(C640,'[112]Insumos-Equipo M_L'!$A$2:$D$166,4,FALSE)</f>
        <v>6261.5298712499998</v>
      </c>
      <c r="H640" s="172">
        <v>3.3E-3</v>
      </c>
      <c r="I640" s="174"/>
      <c r="J640" s="174">
        <f t="shared" si="6"/>
        <v>8374.1631621268916</v>
      </c>
      <c r="K640" s="174"/>
    </row>
    <row r="641" spans="2:12" ht="15" hidden="1" x14ac:dyDescent="0.25">
      <c r="B641" s="168"/>
      <c r="C641" s="168" t="s">
        <v>157</v>
      </c>
      <c r="D641" s="169" t="s">
        <v>158</v>
      </c>
      <c r="E641" s="170" t="s">
        <v>124</v>
      </c>
      <c r="F641" s="175">
        <v>2.3330000000000002</v>
      </c>
      <c r="G641" s="171">
        <f>+VLOOKUP(C641,'[112]Insumos-Equipo M_L'!$A$2:$D$166,4,FALSE)</f>
        <v>2285.7879572100001</v>
      </c>
      <c r="H641" s="172"/>
      <c r="I641" s="174"/>
      <c r="J641" s="174">
        <f t="shared" si="6"/>
        <v>5332.743304170931</v>
      </c>
      <c r="K641" s="174"/>
    </row>
    <row r="642" spans="2:12" ht="15" hidden="1" x14ac:dyDescent="0.25">
      <c r="B642" s="168"/>
      <c r="C642" s="168" t="s">
        <v>398</v>
      </c>
      <c r="D642" s="169" t="s">
        <v>399</v>
      </c>
      <c r="E642" s="170" t="s">
        <v>400</v>
      </c>
      <c r="F642" s="175">
        <v>0.6</v>
      </c>
      <c r="G642" s="171">
        <f>+VLOOKUP(C642,'[112]Insumos-Equipo M_L'!$A$2:$D$166,4,FALSE)</f>
        <v>3031.8986745000002</v>
      </c>
      <c r="H642" s="172"/>
      <c r="I642" s="174"/>
      <c r="J642" s="174">
        <f t="shared" si="6"/>
        <v>1819.1392047000002</v>
      </c>
      <c r="K642" s="174"/>
    </row>
    <row r="643" spans="2:12" ht="15" hidden="1" x14ac:dyDescent="0.25">
      <c r="B643" s="168"/>
      <c r="C643" s="168" t="s">
        <v>233</v>
      </c>
      <c r="D643" s="169" t="s">
        <v>234</v>
      </c>
      <c r="E643" s="170" t="s">
        <v>97</v>
      </c>
      <c r="F643" s="175">
        <v>0.36</v>
      </c>
      <c r="G643" s="171">
        <f>+VLOOKUP(C643,'[112]Insumos-Equipo M_L'!$A$2:$D$166,4,FALSE)</f>
        <v>7432.1064029700001</v>
      </c>
      <c r="H643" s="172"/>
      <c r="I643" s="174"/>
      <c r="J643" s="174">
        <f t="shared" si="6"/>
        <v>2675.5583050691998</v>
      </c>
      <c r="K643" s="174"/>
    </row>
    <row r="644" spans="2:12" ht="15" hidden="1" x14ac:dyDescent="0.25">
      <c r="B644" s="168"/>
      <c r="C644" s="168" t="s">
        <v>88</v>
      </c>
      <c r="D644" s="169" t="s">
        <v>89</v>
      </c>
      <c r="E644" s="170" t="s">
        <v>87</v>
      </c>
      <c r="F644" s="263">
        <v>0.5</v>
      </c>
      <c r="G644" s="171">
        <f>+VLOOKUP(C644,'[113]Mano de Obra'!$A$7:$G$35,4,FALSE)</f>
        <v>441510</v>
      </c>
      <c r="H644" s="172"/>
      <c r="I644" s="174"/>
      <c r="J644" s="174"/>
      <c r="K644" s="174">
        <f>+(F644*G644*(1+H644))</f>
        <v>220755</v>
      </c>
    </row>
    <row r="645" spans="2:12" ht="15" hidden="1" x14ac:dyDescent="0.25">
      <c r="B645" s="168"/>
      <c r="C645" s="168"/>
      <c r="D645" s="169" t="s">
        <v>90</v>
      </c>
      <c r="E645" s="170" t="s">
        <v>91</v>
      </c>
      <c r="F645" s="178">
        <v>0.05</v>
      </c>
      <c r="G645" s="205">
        <f>+K644</f>
        <v>220755</v>
      </c>
      <c r="H645" s="172"/>
      <c r="I645" s="174"/>
      <c r="J645" s="174"/>
      <c r="K645" s="174">
        <f>+(F645*G645*(1+H645))</f>
        <v>11037.75</v>
      </c>
    </row>
    <row r="646" spans="2:12" ht="15" hidden="1" x14ac:dyDescent="0.25">
      <c r="B646" s="168"/>
      <c r="C646" s="168"/>
      <c r="D646" s="169" t="s">
        <v>92</v>
      </c>
      <c r="E646" s="170" t="s">
        <v>91</v>
      </c>
      <c r="F646" s="178">
        <v>0.05</v>
      </c>
      <c r="G646" s="205">
        <f>+K644</f>
        <v>220755</v>
      </c>
      <c r="H646" s="172"/>
      <c r="I646" s="174"/>
      <c r="J646" s="174">
        <f>+(F646*G646*(1+H646))</f>
        <v>11037.75</v>
      </c>
      <c r="K646" s="179"/>
    </row>
    <row r="647" spans="2:12" ht="15.6" hidden="1" x14ac:dyDescent="0.25">
      <c r="B647" s="180"/>
      <c r="C647" s="180"/>
      <c r="D647" s="181"/>
      <c r="E647" s="182">
        <f>+ROUND(SUM(I647:K647),0)</f>
        <v>882541</v>
      </c>
      <c r="F647" s="183"/>
      <c r="G647" s="184"/>
      <c r="H647" s="196"/>
      <c r="I647" s="186">
        <f>+ROUND(SUM(I637:I646),0)</f>
        <v>0</v>
      </c>
      <c r="J647" s="186">
        <f>+ROUND(SUM(J637:J646),0)</f>
        <v>650748</v>
      </c>
      <c r="K647" s="186">
        <f>+ROUND(SUM(K637:K646),0)</f>
        <v>231793</v>
      </c>
    </row>
    <row r="648" spans="2:12" hidden="1" x14ac:dyDescent="0.25"/>
    <row r="649" spans="2:12" ht="15.6" hidden="1" x14ac:dyDescent="0.25">
      <c r="B649" s="159">
        <v>5.1689999999999996</v>
      </c>
      <c r="C649" s="324"/>
      <c r="D649" s="161" t="s">
        <v>42</v>
      </c>
      <c r="E649" s="162"/>
      <c r="F649" s="163"/>
      <c r="G649" s="201"/>
      <c r="H649" s="203"/>
      <c r="I649" s="203"/>
      <c r="J649" s="203"/>
      <c r="K649" s="187"/>
      <c r="L649" s="166">
        <f>+E660</f>
        <v>1228444</v>
      </c>
    </row>
    <row r="650" spans="2:12" ht="15" hidden="1" x14ac:dyDescent="0.25">
      <c r="B650" s="168"/>
      <c r="C650" s="168">
        <v>5.008</v>
      </c>
      <c r="D650" s="169" t="s">
        <v>246</v>
      </c>
      <c r="E650" s="170" t="s">
        <v>37</v>
      </c>
      <c r="F650" s="170">
        <v>1</v>
      </c>
      <c r="G650" s="205">
        <f>+E93</f>
        <v>493303</v>
      </c>
      <c r="H650" s="172">
        <v>0.03</v>
      </c>
      <c r="I650" s="174"/>
      <c r="J650" s="174">
        <f>+(F650*G650*(1+H650))</f>
        <v>508102.09</v>
      </c>
      <c r="K650" s="174"/>
    </row>
    <row r="651" spans="2:12" ht="15" hidden="1" x14ac:dyDescent="0.25">
      <c r="B651" s="168"/>
      <c r="C651" s="168" t="s">
        <v>275</v>
      </c>
      <c r="D651" s="169" t="s">
        <v>276</v>
      </c>
      <c r="E651" s="170" t="s">
        <v>87</v>
      </c>
      <c r="F651" s="170">
        <v>0.25</v>
      </c>
      <c r="G651" s="171">
        <f>+VLOOKUP(C651,'[112]Insumos-Equipo M_L'!$A$2:$D$166,4,FALSE)</f>
        <v>50458.737000000001</v>
      </c>
      <c r="H651" s="172"/>
      <c r="I651" s="174">
        <f>+(F651*G651*(1+H651))</f>
        <v>12614.68425</v>
      </c>
      <c r="J651" s="174"/>
      <c r="K651" s="174"/>
    </row>
    <row r="652" spans="2:12" ht="15" hidden="1" x14ac:dyDescent="0.25">
      <c r="B652" s="168"/>
      <c r="C652" s="168" t="s">
        <v>122</v>
      </c>
      <c r="D652" s="169" t="s">
        <v>123</v>
      </c>
      <c r="E652" s="170" t="s">
        <v>124</v>
      </c>
      <c r="F652" s="176">
        <v>6.666666666666667</v>
      </c>
      <c r="G652" s="171">
        <f>+VLOOKUP(C652,'[112]Insumos-Equipo M_L'!$A$2:$D$166,4,FALSE)</f>
        <v>17200</v>
      </c>
      <c r="H652" s="172"/>
      <c r="I652" s="174"/>
      <c r="J652" s="174">
        <f>+(F652*G652*(1+H652))</f>
        <v>114666.66666666667</v>
      </c>
      <c r="K652" s="174"/>
    </row>
    <row r="653" spans="2:12" ht="15" hidden="1" x14ac:dyDescent="0.25">
      <c r="B653" s="168"/>
      <c r="C653" s="168" t="s">
        <v>401</v>
      </c>
      <c r="D653" s="169" t="s">
        <v>402</v>
      </c>
      <c r="E653" s="170" t="s">
        <v>36</v>
      </c>
      <c r="F653" s="176">
        <v>4</v>
      </c>
      <c r="G653" s="171">
        <f>+VLOOKUP(C653,'[112]Insumos-Equipo M_L'!$A$2:$D$166,4,FALSE)</f>
        <v>2420.24607234</v>
      </c>
      <c r="H653" s="172"/>
      <c r="I653" s="174"/>
      <c r="J653" s="174">
        <f>+(F653*G653*(1+H653))</f>
        <v>9680.9842893599998</v>
      </c>
      <c r="K653" s="174"/>
    </row>
    <row r="654" spans="2:12" ht="15" hidden="1" x14ac:dyDescent="0.25">
      <c r="B654" s="168"/>
      <c r="C654" s="168" t="s">
        <v>149</v>
      </c>
      <c r="D654" s="169" t="s">
        <v>150</v>
      </c>
      <c r="E654" s="170" t="s">
        <v>124</v>
      </c>
      <c r="F654" s="176">
        <v>4</v>
      </c>
      <c r="G654" s="171">
        <f>+VLOOKUP(C654,'[112]Insumos-Equipo M_L'!$A$2:$D$166,4,FALSE)</f>
        <v>6261.5298712499998</v>
      </c>
      <c r="H654" s="172"/>
      <c r="I654" s="174"/>
      <c r="J654" s="174">
        <f>+(F654*G654*(1+H654))</f>
        <v>25046.119484999999</v>
      </c>
      <c r="K654" s="174"/>
    </row>
    <row r="655" spans="2:12" ht="15" hidden="1" x14ac:dyDescent="0.25">
      <c r="B655" s="168"/>
      <c r="C655" s="168" t="s">
        <v>130</v>
      </c>
      <c r="D655" s="169" t="s">
        <v>131</v>
      </c>
      <c r="E655" s="170" t="s">
        <v>132</v>
      </c>
      <c r="F655" s="175">
        <v>0.5</v>
      </c>
      <c r="G655" s="171">
        <f>+VLOOKUP(C655,'[112]Insumos-Equipo M_L'!$A$2:$D$166,4,FALSE)</f>
        <v>3031.8986745000002</v>
      </c>
      <c r="H655" s="172"/>
      <c r="I655" s="174"/>
      <c r="J655" s="174">
        <f>+(F655*G655*(1+H655))</f>
        <v>1515.9493372500001</v>
      </c>
      <c r="K655" s="174"/>
    </row>
    <row r="656" spans="2:12" ht="15" hidden="1" x14ac:dyDescent="0.25">
      <c r="B656" s="168"/>
      <c r="C656" s="168" t="s">
        <v>233</v>
      </c>
      <c r="D656" s="169" t="s">
        <v>234</v>
      </c>
      <c r="E656" s="170" t="s">
        <v>97</v>
      </c>
      <c r="F656" s="176">
        <v>5</v>
      </c>
      <c r="G656" s="171">
        <f>+VLOOKUP(C656,'[112]Insumos-Equipo M_L'!$A$2:$D$166,4,FALSE)</f>
        <v>7432.1064029700001</v>
      </c>
      <c r="H656" s="172"/>
      <c r="I656" s="174"/>
      <c r="J656" s="174">
        <f>+(F656*G656*(1+H656))</f>
        <v>37160.532014850003</v>
      </c>
      <c r="K656" s="174"/>
    </row>
    <row r="657" spans="2:12" ht="15" hidden="1" x14ac:dyDescent="0.25">
      <c r="B657" s="168"/>
      <c r="C657" s="168" t="s">
        <v>88</v>
      </c>
      <c r="D657" s="169" t="s">
        <v>89</v>
      </c>
      <c r="E657" s="170" t="s">
        <v>87</v>
      </c>
      <c r="F657" s="177">
        <v>1.07</v>
      </c>
      <c r="G657" s="171">
        <f>+VLOOKUP(C657,'[113]Mano de Obra'!$A$7:$G$35,4,FALSE)</f>
        <v>441510</v>
      </c>
      <c r="H657" s="172"/>
      <c r="I657" s="174"/>
      <c r="J657" s="174"/>
      <c r="K657" s="174">
        <f>+(F657*G657*(1+H657))</f>
        <v>472415.7</v>
      </c>
    </row>
    <row r="658" spans="2:12" ht="15" hidden="1" x14ac:dyDescent="0.25">
      <c r="B658" s="168"/>
      <c r="C658" s="168"/>
      <c r="D658" s="169" t="s">
        <v>90</v>
      </c>
      <c r="E658" s="170" t="s">
        <v>91</v>
      </c>
      <c r="F658" s="178">
        <v>0.05</v>
      </c>
      <c r="G658" s="205">
        <f>+K657</f>
        <v>472415.7</v>
      </c>
      <c r="H658" s="172"/>
      <c r="I658" s="174"/>
      <c r="J658" s="174"/>
      <c r="K658" s="174">
        <f>+(F658*G658*(1+H658))</f>
        <v>23620.785000000003</v>
      </c>
    </row>
    <row r="659" spans="2:12" ht="15" hidden="1" x14ac:dyDescent="0.25">
      <c r="B659" s="168"/>
      <c r="C659" s="168"/>
      <c r="D659" s="169" t="s">
        <v>92</v>
      </c>
      <c r="E659" s="170" t="s">
        <v>91</v>
      </c>
      <c r="F659" s="178">
        <v>0.05</v>
      </c>
      <c r="G659" s="205">
        <f>+K657</f>
        <v>472415.7</v>
      </c>
      <c r="H659" s="172"/>
      <c r="I659" s="174"/>
      <c r="J659" s="174">
        <f>+(F659*G659*(1+H659))</f>
        <v>23620.785000000003</v>
      </c>
      <c r="K659" s="179"/>
    </row>
    <row r="660" spans="2:12" ht="15.6" hidden="1" x14ac:dyDescent="0.25">
      <c r="B660" s="180"/>
      <c r="C660" s="180"/>
      <c r="D660" s="181" t="s">
        <v>93</v>
      </c>
      <c r="E660" s="182">
        <f>+ROUND(SUM(I660:K660),0)</f>
        <v>1228444</v>
      </c>
      <c r="F660" s="183"/>
      <c r="G660" s="184"/>
      <c r="H660" s="196"/>
      <c r="I660" s="186">
        <f>+ROUND(SUM(I650:I659),0)</f>
        <v>12615</v>
      </c>
      <c r="J660" s="186">
        <f>+ROUND(SUM(J650:J659),0)</f>
        <v>719793</v>
      </c>
      <c r="K660" s="186">
        <f>+ROUND(SUM(K650:K659),0)</f>
        <v>496036</v>
      </c>
    </row>
    <row r="661" spans="2:12" hidden="1" x14ac:dyDescent="0.25"/>
    <row r="662" spans="2:12" ht="15.6" hidden="1" x14ac:dyDescent="0.25">
      <c r="B662" s="159" t="s">
        <v>403</v>
      </c>
      <c r="C662" s="324"/>
      <c r="D662" s="161" t="s">
        <v>43</v>
      </c>
      <c r="E662" s="162"/>
      <c r="F662" s="163"/>
      <c r="G662" s="201"/>
      <c r="H662" s="203"/>
      <c r="I662" s="203"/>
      <c r="J662" s="203"/>
      <c r="K662" s="187"/>
      <c r="L662" s="166">
        <f>+E667</f>
        <v>733031</v>
      </c>
    </row>
    <row r="663" spans="2:12" ht="15" hidden="1" x14ac:dyDescent="0.25">
      <c r="B663" s="168"/>
      <c r="C663" s="168">
        <v>5.0010000000000003</v>
      </c>
      <c r="D663" s="169" t="s">
        <v>404</v>
      </c>
      <c r="E663" s="170" t="s">
        <v>37</v>
      </c>
      <c r="F663" s="189">
        <v>1</v>
      </c>
      <c r="G663" s="205">
        <f>+E12</f>
        <v>475645</v>
      </c>
      <c r="H663" s="172">
        <v>0.05</v>
      </c>
      <c r="I663" s="174"/>
      <c r="J663" s="174">
        <f>+(F663*G663*(1+H663))</f>
        <v>499427.25</v>
      </c>
      <c r="K663" s="174"/>
    </row>
    <row r="664" spans="2:12" ht="15" hidden="1" x14ac:dyDescent="0.25">
      <c r="B664" s="168"/>
      <c r="C664" s="168" t="s">
        <v>88</v>
      </c>
      <c r="D664" s="169" t="s">
        <v>89</v>
      </c>
      <c r="E664" s="170" t="s">
        <v>87</v>
      </c>
      <c r="F664" s="189">
        <v>0.48099999999999998</v>
      </c>
      <c r="G664" s="171">
        <f>+VLOOKUP(C664,'[113]Mano de Obra'!$A$7:$G$35,4,FALSE)</f>
        <v>441510</v>
      </c>
      <c r="H664" s="172"/>
      <c r="I664" s="174"/>
      <c r="J664" s="174"/>
      <c r="K664" s="174">
        <f>+(F664*G664*(1+H664))</f>
        <v>212366.31</v>
      </c>
    </row>
    <row r="665" spans="2:12" ht="15" hidden="1" x14ac:dyDescent="0.25">
      <c r="B665" s="168"/>
      <c r="C665" s="168"/>
      <c r="D665" s="169" t="s">
        <v>90</v>
      </c>
      <c r="E665" s="170" t="s">
        <v>91</v>
      </c>
      <c r="F665" s="189">
        <v>0.05</v>
      </c>
      <c r="G665" s="205">
        <f>+K664</f>
        <v>212366.31</v>
      </c>
      <c r="H665" s="172"/>
      <c r="I665" s="174"/>
      <c r="J665" s="174"/>
      <c r="K665" s="174">
        <f>+(F665*G665*(1+H665))</f>
        <v>10618.315500000001</v>
      </c>
    </row>
    <row r="666" spans="2:12" ht="15" hidden="1" x14ac:dyDescent="0.25">
      <c r="B666" s="168"/>
      <c r="C666" s="168"/>
      <c r="D666" s="169" t="s">
        <v>92</v>
      </c>
      <c r="E666" s="170" t="s">
        <v>91</v>
      </c>
      <c r="F666" s="189">
        <v>0.05</v>
      </c>
      <c r="G666" s="205">
        <f>+K664</f>
        <v>212366.31</v>
      </c>
      <c r="H666" s="172"/>
      <c r="I666" s="174"/>
      <c r="J666" s="174">
        <f>+(F666*G666*(1+H666))</f>
        <v>10618.315500000001</v>
      </c>
      <c r="K666" s="174"/>
    </row>
    <row r="667" spans="2:12" ht="15.6" hidden="1" x14ac:dyDescent="0.25">
      <c r="B667" s="180"/>
      <c r="C667" s="180"/>
      <c r="D667" s="181" t="s">
        <v>93</v>
      </c>
      <c r="E667" s="182">
        <f>+ROUND(SUM(I667:K667),0)</f>
        <v>733031</v>
      </c>
      <c r="F667" s="183"/>
      <c r="G667" s="184"/>
      <c r="H667" s="196"/>
      <c r="I667" s="186">
        <f>+ROUND(SUM(I663:I666),0)</f>
        <v>0</v>
      </c>
      <c r="J667" s="186">
        <f>+ROUND(SUM(J663:J666),0)</f>
        <v>510046</v>
      </c>
      <c r="K667" s="186">
        <f>+ROUND(SUM(K663:K666),0)</f>
        <v>222985</v>
      </c>
    </row>
    <row r="668" spans="2:12" hidden="1" x14ac:dyDescent="0.25"/>
    <row r="669" spans="2:12" ht="15.6" hidden="1" x14ac:dyDescent="0.25">
      <c r="B669" s="159">
        <v>5.1609999999999996</v>
      </c>
      <c r="C669" s="324"/>
      <c r="D669" s="161" t="s">
        <v>45</v>
      </c>
      <c r="E669" s="162"/>
      <c r="F669" s="163"/>
      <c r="G669" s="201"/>
      <c r="H669" s="203"/>
      <c r="I669" s="203"/>
      <c r="J669" s="203"/>
      <c r="K669" s="187"/>
      <c r="L669" s="166">
        <f>+E673</f>
        <v>62600</v>
      </c>
    </row>
    <row r="670" spans="2:12" ht="15" hidden="1" x14ac:dyDescent="0.25">
      <c r="B670" s="168"/>
      <c r="C670" s="168" t="s">
        <v>405</v>
      </c>
      <c r="D670" s="169" t="s">
        <v>406</v>
      </c>
      <c r="E670" s="170" t="s">
        <v>36</v>
      </c>
      <c r="F670" s="175">
        <v>1</v>
      </c>
      <c r="G670" s="171">
        <f>+VLOOKUP(C670,'[112]Insumos-Equipo M_L'!$A$2:$D$166,4,FALSE)</f>
        <v>51410.455784999998</v>
      </c>
      <c r="H670" s="172"/>
      <c r="I670" s="174"/>
      <c r="J670" s="174">
        <f>+(F670*G670*(1+H670))</f>
        <v>51410.455784999998</v>
      </c>
      <c r="K670" s="174"/>
    </row>
    <row r="671" spans="2:12" ht="15" hidden="1" x14ac:dyDescent="0.25">
      <c r="B671" s="168"/>
      <c r="C671" s="168" t="s">
        <v>119</v>
      </c>
      <c r="D671" s="169" t="s">
        <v>120</v>
      </c>
      <c r="E671" s="170" t="s">
        <v>87</v>
      </c>
      <c r="F671" s="177">
        <v>0.05</v>
      </c>
      <c r="G671" s="171">
        <f>+VLOOKUP(C671,'[113]Mano de Obra'!$A$7:$G$35,4,FALSE)</f>
        <v>213143</v>
      </c>
      <c r="H671" s="172"/>
      <c r="I671" s="174"/>
      <c r="J671" s="174"/>
      <c r="K671" s="174">
        <f>+(F671*G671*(1+H671))</f>
        <v>10657.150000000001</v>
      </c>
    </row>
    <row r="672" spans="2:12" ht="15" hidden="1" x14ac:dyDescent="0.25">
      <c r="B672" s="168"/>
      <c r="C672" s="168"/>
      <c r="D672" s="169" t="s">
        <v>92</v>
      </c>
      <c r="E672" s="170" t="s">
        <v>91</v>
      </c>
      <c r="F672" s="178">
        <v>0.05</v>
      </c>
      <c r="G672" s="205">
        <f>+K671</f>
        <v>10657.150000000001</v>
      </c>
      <c r="H672" s="172"/>
      <c r="I672" s="174"/>
      <c r="J672" s="174">
        <f>+(F672*G672*(1+H672))</f>
        <v>532.85750000000007</v>
      </c>
      <c r="K672" s="179"/>
    </row>
    <row r="673" spans="2:12" ht="15.6" hidden="1" x14ac:dyDescent="0.25">
      <c r="B673" s="180"/>
      <c r="C673" s="180"/>
      <c r="D673" s="181" t="s">
        <v>93</v>
      </c>
      <c r="E673" s="182">
        <f>+ROUND(SUM(I673:K673),0)</f>
        <v>62600</v>
      </c>
      <c r="F673" s="183"/>
      <c r="G673" s="184"/>
      <c r="H673" s="196"/>
      <c r="I673" s="186">
        <f>+ROUND(SUM(I669:I672),0)</f>
        <v>0</v>
      </c>
      <c r="J673" s="186">
        <f>+ROUND(SUM(J670:J672),0)</f>
        <v>51943</v>
      </c>
      <c r="K673" s="186">
        <f>+ROUND(SUM(K670:K672),0)</f>
        <v>10657</v>
      </c>
    </row>
    <row r="674" spans="2:12" hidden="1" x14ac:dyDescent="0.25"/>
    <row r="675" spans="2:12" ht="15.6" hidden="1" x14ac:dyDescent="0.25">
      <c r="B675" s="159" t="s">
        <v>407</v>
      </c>
      <c r="C675" s="160"/>
      <c r="D675" s="161" t="s">
        <v>408</v>
      </c>
      <c r="E675" s="162"/>
      <c r="F675" s="163"/>
      <c r="G675" s="201"/>
      <c r="H675" s="203"/>
      <c r="I675" s="203"/>
      <c r="J675" s="203"/>
      <c r="K675" s="203"/>
      <c r="L675" s="166">
        <f>+E683</f>
        <v>1112708</v>
      </c>
    </row>
    <row r="676" spans="2:12" ht="15" hidden="1" x14ac:dyDescent="0.25">
      <c r="B676" s="168"/>
      <c r="C676" s="168">
        <v>5.008</v>
      </c>
      <c r="D676" s="169" t="s">
        <v>409</v>
      </c>
      <c r="E676" s="170" t="s">
        <v>37</v>
      </c>
      <c r="F676" s="170">
        <v>1</v>
      </c>
      <c r="G676" s="205">
        <f>+E104</f>
        <v>512948</v>
      </c>
      <c r="H676" s="172">
        <v>0.05</v>
      </c>
      <c r="I676" s="174"/>
      <c r="J676" s="174">
        <f>+(F676*G676*(1+H676))</f>
        <v>538595.4</v>
      </c>
      <c r="K676" s="174"/>
    </row>
    <row r="677" spans="2:12" ht="15" hidden="1" x14ac:dyDescent="0.25">
      <c r="B677" s="168"/>
      <c r="C677" s="168" t="s">
        <v>284</v>
      </c>
      <c r="D677" s="169" t="s">
        <v>285</v>
      </c>
      <c r="E677" s="170" t="s">
        <v>286</v>
      </c>
      <c r="F677" s="170">
        <v>100</v>
      </c>
      <c r="G677" s="171">
        <f>+VLOOKUP(C677,'[112]Insumos-Equipo M_L'!$A$2:$D$166,4,FALSE)</f>
        <v>1673.7749999999999</v>
      </c>
      <c r="H677" s="172"/>
      <c r="I677" s="174">
        <f>+(F677*G677*(1+H677))</f>
        <v>167377.5</v>
      </c>
      <c r="J677" s="174"/>
      <c r="K677" s="174"/>
    </row>
    <row r="678" spans="2:12" ht="15" hidden="1" x14ac:dyDescent="0.25">
      <c r="B678" s="168"/>
      <c r="C678" s="168" t="s">
        <v>233</v>
      </c>
      <c r="D678" s="169" t="s">
        <v>234</v>
      </c>
      <c r="E678" s="170" t="s">
        <v>97</v>
      </c>
      <c r="F678" s="170">
        <v>5</v>
      </c>
      <c r="G678" s="171">
        <f>+VLOOKUP(C678,'[112]Insumos-Equipo M_L'!$A$2:$D$166,4,FALSE)</f>
        <v>7432.1064029700001</v>
      </c>
      <c r="H678" s="172"/>
      <c r="I678" s="174"/>
      <c r="J678" s="174">
        <f>+(F678*G678*(1+H678))</f>
        <v>37160.532014850003</v>
      </c>
      <c r="K678" s="174"/>
    </row>
    <row r="679" spans="2:12" ht="15" hidden="1" x14ac:dyDescent="0.25">
      <c r="B679" s="168"/>
      <c r="C679" s="168" t="s">
        <v>275</v>
      </c>
      <c r="D679" s="169" t="s">
        <v>276</v>
      </c>
      <c r="E679" s="170" t="s">
        <v>87</v>
      </c>
      <c r="F679" s="170">
        <v>0.25</v>
      </c>
      <c r="G679" s="171">
        <f>+VLOOKUP(C679,'[112]Insumos-Equipo M_L'!$A$2:$D$166,4,FALSE)</f>
        <v>50458.737000000001</v>
      </c>
      <c r="H679" s="172"/>
      <c r="I679" s="174">
        <f>+(F679*G679*(1+H679))</f>
        <v>12614.68425</v>
      </c>
      <c r="J679" s="174"/>
      <c r="K679" s="174"/>
    </row>
    <row r="680" spans="2:12" ht="15" hidden="1" x14ac:dyDescent="0.25">
      <c r="B680" s="168"/>
      <c r="C680" s="168" t="s">
        <v>88</v>
      </c>
      <c r="D680" s="169" t="s">
        <v>89</v>
      </c>
      <c r="E680" s="170" t="s">
        <v>87</v>
      </c>
      <c r="F680" s="177">
        <v>0.73499999999999999</v>
      </c>
      <c r="G680" s="171">
        <f>+VLOOKUP(C680,'[113]Mano de Obra'!$A$7:$G$35,4,FALSE)</f>
        <v>441510</v>
      </c>
      <c r="H680" s="172"/>
      <c r="I680" s="174"/>
      <c r="J680" s="174"/>
      <c r="K680" s="174">
        <f>+(F680*G680*(1+H680))</f>
        <v>324509.84999999998</v>
      </c>
    </row>
    <row r="681" spans="2:12" ht="15" hidden="1" x14ac:dyDescent="0.25">
      <c r="B681" s="168"/>
      <c r="C681" s="168"/>
      <c r="D681" s="169" t="s">
        <v>90</v>
      </c>
      <c r="E681" s="170" t="s">
        <v>91</v>
      </c>
      <c r="F681" s="178">
        <v>0.05</v>
      </c>
      <c r="G681" s="205">
        <f>+K680</f>
        <v>324509.84999999998</v>
      </c>
      <c r="H681" s="172"/>
      <c r="I681" s="174"/>
      <c r="J681" s="174"/>
      <c r="K681" s="174">
        <f>+(F681*G681*(1+H681))</f>
        <v>16225.4925</v>
      </c>
    </row>
    <row r="682" spans="2:12" ht="15" hidden="1" x14ac:dyDescent="0.25">
      <c r="B682" s="168"/>
      <c r="C682" s="168"/>
      <c r="D682" s="169" t="s">
        <v>92</v>
      </c>
      <c r="E682" s="170" t="s">
        <v>91</v>
      </c>
      <c r="F682" s="178">
        <v>0.05</v>
      </c>
      <c r="G682" s="205">
        <f>+K680</f>
        <v>324509.84999999998</v>
      </c>
      <c r="H682" s="172"/>
      <c r="I682" s="174"/>
      <c r="J682" s="174">
        <f>+(F682*G682*(1+H682))</f>
        <v>16225.4925</v>
      </c>
      <c r="K682" s="179"/>
    </row>
    <row r="683" spans="2:12" ht="15.6" hidden="1" x14ac:dyDescent="0.25">
      <c r="B683" s="180"/>
      <c r="C683" s="180"/>
      <c r="D683" s="181" t="s">
        <v>93</v>
      </c>
      <c r="E683" s="182">
        <f>+ROUND(SUM(I683:K683),0)</f>
        <v>1112708</v>
      </c>
      <c r="F683" s="183"/>
      <c r="G683" s="184"/>
      <c r="H683" s="196"/>
      <c r="I683" s="186">
        <f>+ROUND(SUM(I676:I682),0)</f>
        <v>179992</v>
      </c>
      <c r="J683" s="186">
        <f>+ROUND(SUM(J676:J682),0)</f>
        <v>591981</v>
      </c>
      <c r="K683" s="186">
        <f>+ROUND(SUM(K676:K682),0)</f>
        <v>340735</v>
      </c>
    </row>
    <row r="684" spans="2:12" hidden="1" x14ac:dyDescent="0.25"/>
    <row r="685" spans="2:12" ht="48.75" hidden="1" customHeight="1" x14ac:dyDescent="0.25">
      <c r="B685" s="208">
        <v>8.1999999999999993</v>
      </c>
      <c r="C685" s="160"/>
      <c r="D685" s="161" t="s">
        <v>317</v>
      </c>
      <c r="E685" s="162"/>
      <c r="F685" s="286"/>
      <c r="G685" s="301"/>
      <c r="H685" s="299"/>
      <c r="I685" s="243"/>
      <c r="J685" s="243"/>
      <c r="K685" s="243"/>
      <c r="L685" s="166">
        <f>+E698</f>
        <v>612672</v>
      </c>
    </row>
    <row r="686" spans="2:12" ht="15" hidden="1" x14ac:dyDescent="0.25">
      <c r="B686" s="298"/>
      <c r="C686" s="244">
        <v>5.01</v>
      </c>
      <c r="D686" s="243" t="s">
        <v>318</v>
      </c>
      <c r="E686" s="242" t="s">
        <v>37</v>
      </c>
      <c r="F686" s="286">
        <f>+((0.7*0.2*0.2)*3)-(0.2*0.2*0.2)</f>
        <v>7.5999999999999984E-2</v>
      </c>
      <c r="G686" s="287">
        <f>+E115</f>
        <v>578092</v>
      </c>
      <c r="H686" s="297">
        <v>0.05</v>
      </c>
      <c r="I686" s="289"/>
      <c r="J686" s="174">
        <f t="shared" ref="J686:J693" si="7">+(F686*G686*(1+H686))</f>
        <v>46131.741599999994</v>
      </c>
      <c r="K686" s="289"/>
    </row>
    <row r="687" spans="2:12" ht="15" hidden="1" x14ac:dyDescent="0.25">
      <c r="B687" s="298"/>
      <c r="C687" s="286" t="s">
        <v>122</v>
      </c>
      <c r="D687" s="291" t="s">
        <v>123</v>
      </c>
      <c r="E687" s="242" t="s">
        <v>124</v>
      </c>
      <c r="F687" s="286">
        <v>9</v>
      </c>
      <c r="G687" s="171">
        <f>+VLOOKUP(C687,'[112]Insumos-Equipo M_L'!$A$2:$D$166,4,FALSE)</f>
        <v>17200</v>
      </c>
      <c r="H687" s="299"/>
      <c r="I687" s="289"/>
      <c r="J687" s="174">
        <f t="shared" si="7"/>
        <v>154800</v>
      </c>
      <c r="K687" s="289"/>
    </row>
    <row r="688" spans="2:12" ht="15" hidden="1" x14ac:dyDescent="0.25">
      <c r="B688" s="298"/>
      <c r="C688" s="286" t="s">
        <v>149</v>
      </c>
      <c r="D688" s="243" t="s">
        <v>150</v>
      </c>
      <c r="E688" s="242" t="s">
        <v>124</v>
      </c>
      <c r="F688" s="286">
        <v>3</v>
      </c>
      <c r="G688" s="171">
        <f>+VLOOKUP(C688,'[112]Insumos-Equipo M_L'!$A$2:$D$166,4,FALSE)</f>
        <v>6261.5298712499998</v>
      </c>
      <c r="H688" s="299"/>
      <c r="I688" s="289"/>
      <c r="J688" s="174">
        <f t="shared" si="7"/>
        <v>18784.589613749999</v>
      </c>
      <c r="K688" s="289"/>
    </row>
    <row r="689" spans="2:12" ht="15" hidden="1" x14ac:dyDescent="0.25">
      <c r="B689" s="298"/>
      <c r="C689" s="286" t="s">
        <v>130</v>
      </c>
      <c r="D689" s="243" t="s">
        <v>131</v>
      </c>
      <c r="E689" s="242" t="s">
        <v>132</v>
      </c>
      <c r="F689" s="286">
        <v>1</v>
      </c>
      <c r="G689" s="171">
        <f>+VLOOKUP(C689,'[112]Insumos-Equipo M_L'!$A$2:$D$166,4,FALSE)</f>
        <v>3031.8986745000002</v>
      </c>
      <c r="H689" s="299"/>
      <c r="I689" s="289"/>
      <c r="J689" s="174">
        <f t="shared" si="7"/>
        <v>3031.8986745000002</v>
      </c>
      <c r="K689" s="289"/>
    </row>
    <row r="690" spans="2:12" ht="15" hidden="1" x14ac:dyDescent="0.25">
      <c r="B690" s="298"/>
      <c r="C690" s="286" t="s">
        <v>115</v>
      </c>
      <c r="D690" s="243" t="s">
        <v>116</v>
      </c>
      <c r="E690" s="242" t="s">
        <v>97</v>
      </c>
      <c r="F690" s="286">
        <v>2</v>
      </c>
      <c r="G690" s="171">
        <f>+VLOOKUP(C690,'[112]Insumos-Equipo M_L'!$A$2:$D$166,4,FALSE)</f>
        <v>9491.1610680000013</v>
      </c>
      <c r="H690" s="299"/>
      <c r="I690" s="289"/>
      <c r="J690" s="174">
        <f t="shared" si="7"/>
        <v>18982.322136000003</v>
      </c>
      <c r="K690" s="289"/>
    </row>
    <row r="691" spans="2:12" ht="15" hidden="1" x14ac:dyDescent="0.25">
      <c r="B691" s="298"/>
      <c r="C691" s="286" t="s">
        <v>233</v>
      </c>
      <c r="D691" s="243" t="s">
        <v>234</v>
      </c>
      <c r="E691" s="242" t="s">
        <v>97</v>
      </c>
      <c r="F691" s="286">
        <v>1.2</v>
      </c>
      <c r="G691" s="171">
        <f>+VLOOKUP(C691,'[112]Insumos-Equipo M_L'!$A$2:$D$166,4,FALSE)</f>
        <v>7432.1064029700001</v>
      </c>
      <c r="H691" s="299"/>
      <c r="I691" s="289"/>
      <c r="J691" s="174">
        <f t="shared" si="7"/>
        <v>8918.5276835639997</v>
      </c>
      <c r="K691" s="289"/>
    </row>
    <row r="692" spans="2:12" ht="30" hidden="1" x14ac:dyDescent="0.25">
      <c r="B692" s="298"/>
      <c r="C692" s="286"/>
      <c r="D692" s="291" t="s">
        <v>320</v>
      </c>
      <c r="E692" s="242" t="s">
        <v>36</v>
      </c>
      <c r="F692" s="286">
        <v>1</v>
      </c>
      <c r="G692" s="287">
        <v>28000</v>
      </c>
      <c r="H692" s="297">
        <v>0.05</v>
      </c>
      <c r="I692" s="289"/>
      <c r="J692" s="174">
        <f t="shared" si="7"/>
        <v>29400</v>
      </c>
      <c r="K692" s="289"/>
    </row>
    <row r="693" spans="2:12" ht="15" hidden="1" x14ac:dyDescent="0.25">
      <c r="B693" s="298"/>
      <c r="C693" s="244">
        <v>5.0140000000000002</v>
      </c>
      <c r="D693" s="291" t="s">
        <v>46</v>
      </c>
      <c r="E693" s="242" t="s">
        <v>97</v>
      </c>
      <c r="F693" s="286">
        <v>6</v>
      </c>
      <c r="G693" s="205">
        <f>+E152</f>
        <v>8763</v>
      </c>
      <c r="H693" s="286"/>
      <c r="I693" s="289"/>
      <c r="J693" s="174">
        <f t="shared" si="7"/>
        <v>52578</v>
      </c>
      <c r="K693" s="289"/>
    </row>
    <row r="694" spans="2:12" ht="15" hidden="1" x14ac:dyDescent="0.25">
      <c r="B694" s="298"/>
      <c r="C694" s="286" t="s">
        <v>275</v>
      </c>
      <c r="D694" s="291" t="s">
        <v>276</v>
      </c>
      <c r="E694" s="242" t="s">
        <v>87</v>
      </c>
      <c r="F694" s="286">
        <v>0.3</v>
      </c>
      <c r="G694" s="171">
        <f>+VLOOKUP(C694,'[112]Insumos-Equipo M_L'!$A$2:$D$166,4,FALSE)</f>
        <v>50458.737000000001</v>
      </c>
      <c r="H694" s="286"/>
      <c r="I694" s="174">
        <f>+(F694*G694*(1+H694))</f>
        <v>15137.6211</v>
      </c>
      <c r="J694" s="289"/>
      <c r="K694" s="289"/>
    </row>
    <row r="695" spans="2:12" ht="15" hidden="1" x14ac:dyDescent="0.25">
      <c r="B695" s="298"/>
      <c r="C695" s="286" t="s">
        <v>88</v>
      </c>
      <c r="D695" s="291" t="s">
        <v>89</v>
      </c>
      <c r="E695" s="242" t="s">
        <v>87</v>
      </c>
      <c r="F695" s="286">
        <v>0.5</v>
      </c>
      <c r="G695" s="171">
        <f>+VLOOKUP(C695,'[113]Mano de Obra'!$A$7:$G$35,4,FALSE)</f>
        <v>441510</v>
      </c>
      <c r="H695" s="286"/>
      <c r="I695" s="289"/>
      <c r="J695" s="289"/>
      <c r="K695" s="174">
        <f>+(F695*G695*(1+H695))</f>
        <v>220755</v>
      </c>
    </row>
    <row r="696" spans="2:12" ht="15" hidden="1" x14ac:dyDescent="0.25">
      <c r="B696" s="298"/>
      <c r="C696" s="286"/>
      <c r="D696" s="243" t="s">
        <v>90</v>
      </c>
      <c r="E696" s="242" t="s">
        <v>91</v>
      </c>
      <c r="F696" s="297">
        <v>0.1</v>
      </c>
      <c r="G696" s="287">
        <f>+K695</f>
        <v>220755</v>
      </c>
      <c r="H696" s="299"/>
      <c r="I696" s="289"/>
      <c r="J696" s="289"/>
      <c r="K696" s="174">
        <f>+(F696*G696*(1+H696))</f>
        <v>22075.5</v>
      </c>
    </row>
    <row r="697" spans="2:12" ht="15" hidden="1" x14ac:dyDescent="0.25">
      <c r="B697" s="298"/>
      <c r="C697" s="286"/>
      <c r="D697" s="243" t="s">
        <v>92</v>
      </c>
      <c r="E697" s="242" t="s">
        <v>91</v>
      </c>
      <c r="F697" s="297">
        <v>0.1</v>
      </c>
      <c r="G697" s="287">
        <f>+K695</f>
        <v>220755</v>
      </c>
      <c r="H697" s="299"/>
      <c r="I697" s="289"/>
      <c r="J697" s="174">
        <f>+(F697*G697*(1+H697))</f>
        <v>22075.5</v>
      </c>
      <c r="K697" s="289"/>
    </row>
    <row r="698" spans="2:12" ht="15.6" hidden="1" x14ac:dyDescent="0.25">
      <c r="B698" s="308"/>
      <c r="C698" s="309"/>
      <c r="D698" s="181" t="s">
        <v>93</v>
      </c>
      <c r="E698" s="182">
        <f>+ROUND(SUM(I698:K698),0)</f>
        <v>612672</v>
      </c>
      <c r="F698" s="247"/>
      <c r="G698" s="184"/>
      <c r="H698" s="310"/>
      <c r="I698" s="186">
        <f>+ROUND(SUM(I686:I697),0)</f>
        <v>15138</v>
      </c>
      <c r="J698" s="186">
        <f>+ROUND(SUM(J686:J697),0)</f>
        <v>354703</v>
      </c>
      <c r="K698" s="186">
        <f>+ROUND(SUM(K686:K697),0)</f>
        <v>242831</v>
      </c>
    </row>
    <row r="699" spans="2:12" hidden="1" x14ac:dyDescent="0.25"/>
    <row r="700" spans="2:12" ht="15.6" hidden="1" x14ac:dyDescent="0.25">
      <c r="B700" s="208">
        <v>8.3000000000000007</v>
      </c>
      <c r="C700" s="160"/>
      <c r="D700" s="161" t="s">
        <v>410</v>
      </c>
      <c r="E700" s="162"/>
      <c r="F700" s="286"/>
      <c r="G700" s="301"/>
      <c r="H700" s="299"/>
      <c r="I700" s="243"/>
      <c r="J700" s="243"/>
      <c r="K700" s="243"/>
      <c r="L700" s="166">
        <f>+E707</f>
        <v>214252</v>
      </c>
    </row>
    <row r="701" spans="2:12" ht="15" hidden="1" x14ac:dyDescent="0.25">
      <c r="B701" s="244"/>
      <c r="C701" s="299"/>
      <c r="D701" s="243" t="s">
        <v>322</v>
      </c>
      <c r="E701" s="242" t="s">
        <v>124</v>
      </c>
      <c r="F701" s="286">
        <v>0.5</v>
      </c>
      <c r="G701" s="325">
        <v>151080</v>
      </c>
      <c r="H701" s="299"/>
      <c r="I701" s="243"/>
      <c r="J701" s="174">
        <f>+(F701*G701*(1+H701))</f>
        <v>75540</v>
      </c>
      <c r="K701" s="243"/>
    </row>
    <row r="702" spans="2:12" ht="15" hidden="1" x14ac:dyDescent="0.25">
      <c r="B702" s="244"/>
      <c r="C702" s="299"/>
      <c r="D702" s="243" t="s">
        <v>324</v>
      </c>
      <c r="E702" s="242" t="s">
        <v>124</v>
      </c>
      <c r="F702" s="286">
        <v>2</v>
      </c>
      <c r="G702" s="325">
        <v>40000</v>
      </c>
      <c r="H702" s="299"/>
      <c r="I702" s="243"/>
      <c r="J702" s="174">
        <f>+(F702*G702*(1+H702))</f>
        <v>80000</v>
      </c>
      <c r="K702" s="243"/>
    </row>
    <row r="703" spans="2:12" ht="15" hidden="1" x14ac:dyDescent="0.25">
      <c r="B703" s="244"/>
      <c r="C703" s="299"/>
      <c r="D703" s="243" t="s">
        <v>326</v>
      </c>
      <c r="E703" s="242" t="s">
        <v>124</v>
      </c>
      <c r="F703" s="286">
        <v>2</v>
      </c>
      <c r="G703" s="325">
        <v>12000</v>
      </c>
      <c r="H703" s="299"/>
      <c r="I703" s="243"/>
      <c r="J703" s="174">
        <f>+(F703*G703*(1+H703))</f>
        <v>24000</v>
      </c>
      <c r="K703" s="243"/>
    </row>
    <row r="704" spans="2:12" ht="15" hidden="1" x14ac:dyDescent="0.25">
      <c r="B704" s="244"/>
      <c r="C704" s="168" t="s">
        <v>139</v>
      </c>
      <c r="D704" s="169" t="s">
        <v>120</v>
      </c>
      <c r="E704" s="170" t="s">
        <v>87</v>
      </c>
      <c r="F704" s="177">
        <v>0.1</v>
      </c>
      <c r="G704" s="171">
        <f>+VLOOKUP(C704,'[113]Mano de Obra'!$A$7:$G$35,4,FALSE)</f>
        <v>289265</v>
      </c>
      <c r="H704" s="244"/>
      <c r="I704" s="243"/>
      <c r="J704" s="243"/>
      <c r="K704" s="174">
        <f>+(F704*G704*(1+H704))</f>
        <v>28926.5</v>
      </c>
    </row>
    <row r="705" spans="2:12" ht="15" hidden="1" x14ac:dyDescent="0.25">
      <c r="B705" s="244"/>
      <c r="C705" s="286"/>
      <c r="D705" s="243" t="s">
        <v>329</v>
      </c>
      <c r="E705" s="242" t="s">
        <v>91</v>
      </c>
      <c r="F705" s="297">
        <v>0.1</v>
      </c>
      <c r="G705" s="325">
        <f>+K704</f>
        <v>28926.5</v>
      </c>
      <c r="H705" s="286"/>
      <c r="I705" s="243"/>
      <c r="J705" s="243"/>
      <c r="K705" s="174">
        <f>+(F705*G705*(1+H705))</f>
        <v>2892.65</v>
      </c>
    </row>
    <row r="706" spans="2:12" ht="15" hidden="1" x14ac:dyDescent="0.25">
      <c r="B706" s="244"/>
      <c r="C706" s="299"/>
      <c r="D706" s="243" t="s">
        <v>92</v>
      </c>
      <c r="E706" s="242" t="s">
        <v>91</v>
      </c>
      <c r="F706" s="288">
        <v>0.1</v>
      </c>
      <c r="G706" s="325">
        <f>+K704</f>
        <v>28926.5</v>
      </c>
      <c r="H706" s="299"/>
      <c r="I706" s="243"/>
      <c r="J706" s="243">
        <f>ROUND(PRODUCT(F706:H706),0)</f>
        <v>2893</v>
      </c>
      <c r="K706" s="243"/>
    </row>
    <row r="707" spans="2:12" ht="15.6" hidden="1" x14ac:dyDescent="0.25">
      <c r="B707" s="308"/>
      <c r="C707" s="309"/>
      <c r="D707" s="181" t="s">
        <v>93</v>
      </c>
      <c r="E707" s="182">
        <f>+ROUND(SUM(I707:K707),0)</f>
        <v>214252</v>
      </c>
      <c r="F707" s="247"/>
      <c r="G707" s="184"/>
      <c r="H707" s="310"/>
      <c r="I707" s="186">
        <f>+ROUND(SUM(I700:I706),0)</f>
        <v>0</v>
      </c>
      <c r="J707" s="186">
        <f>+ROUND(SUM(J700:J706),0)</f>
        <v>182433</v>
      </c>
      <c r="K707" s="186">
        <f>+ROUND(SUM(K700:K706),0)</f>
        <v>31819</v>
      </c>
    </row>
    <row r="708" spans="2:12" hidden="1" x14ac:dyDescent="0.25"/>
    <row r="709" spans="2:12" ht="15.6" hidden="1" x14ac:dyDescent="0.25">
      <c r="B709" s="208">
        <v>8.5</v>
      </c>
      <c r="C709" s="160"/>
      <c r="D709" s="161" t="s">
        <v>411</v>
      </c>
      <c r="E709" s="162" t="s">
        <v>289</v>
      </c>
      <c r="F709" s="286"/>
      <c r="G709" s="301"/>
      <c r="H709" s="299"/>
      <c r="I709" s="243"/>
      <c r="J709" s="243"/>
      <c r="K709" s="243"/>
      <c r="L709" s="166">
        <f>+E716</f>
        <v>298791</v>
      </c>
    </row>
    <row r="710" spans="2:12" ht="15" hidden="1" x14ac:dyDescent="0.25">
      <c r="C710" s="168" t="s">
        <v>280</v>
      </c>
      <c r="D710" s="169" t="s">
        <v>281</v>
      </c>
      <c r="E710" s="170" t="s">
        <v>87</v>
      </c>
      <c r="F710" s="176">
        <v>0.35</v>
      </c>
      <c r="G710" s="171">
        <f>+VLOOKUP(C710,'[112]Insumos-Equipo M_L'!$A$2:$D$166,4,FALSE)</f>
        <v>79671.689999999988</v>
      </c>
      <c r="H710" s="172"/>
      <c r="I710" s="174">
        <f>+(F710*G710*(1+H710))</f>
        <v>27885.091499999995</v>
      </c>
      <c r="J710" s="174"/>
      <c r="K710" s="174"/>
    </row>
    <row r="711" spans="2:12" ht="15" hidden="1" x14ac:dyDescent="0.25">
      <c r="C711" s="168" t="s">
        <v>292</v>
      </c>
      <c r="D711" s="169" t="s">
        <v>293</v>
      </c>
      <c r="E711" s="170" t="s">
        <v>87</v>
      </c>
      <c r="F711" s="302">
        <v>0.25</v>
      </c>
      <c r="G711" s="171">
        <f>+VLOOKUP(C711,'[112]Insumos-Equipo M_L'!$A$2:$D$166,4,FALSE)</f>
        <v>200853</v>
      </c>
      <c r="H711" s="172"/>
      <c r="I711" s="174">
        <f>+(F711*G711*(1+H711))</f>
        <v>50213.25</v>
      </c>
      <c r="J711" s="174"/>
      <c r="K711" s="174"/>
    </row>
    <row r="712" spans="2:12" ht="15" hidden="1" x14ac:dyDescent="0.25">
      <c r="C712" s="179"/>
      <c r="D712" s="169" t="s">
        <v>295</v>
      </c>
      <c r="E712" s="170" t="s">
        <v>87</v>
      </c>
      <c r="F712" s="176">
        <v>0.25</v>
      </c>
      <c r="G712" s="313">
        <v>475000</v>
      </c>
      <c r="H712" s="172"/>
      <c r="I712" s="174">
        <f>+(F712*G712*(1+H712))</f>
        <v>118750</v>
      </c>
      <c r="J712" s="174"/>
      <c r="K712" s="179"/>
    </row>
    <row r="713" spans="2:12" ht="15" hidden="1" x14ac:dyDescent="0.25">
      <c r="C713" s="304" t="s">
        <v>301</v>
      </c>
      <c r="D713" s="179" t="s">
        <v>302</v>
      </c>
      <c r="E713" s="260" t="s">
        <v>87</v>
      </c>
      <c r="F713" s="326">
        <v>0.2</v>
      </c>
      <c r="G713" s="171">
        <f>+VLOOKUP(C713,'[113]Mano de Obra'!$A$7:$G$35,4,FALSE)</f>
        <v>471959</v>
      </c>
      <c r="H713" s="303"/>
      <c r="I713" s="305"/>
      <c r="J713" s="174"/>
      <c r="K713" s="174">
        <f>+(F713*G713*(1+H713))</f>
        <v>94391.8</v>
      </c>
    </row>
    <row r="714" spans="2:12" ht="15" hidden="1" x14ac:dyDescent="0.25">
      <c r="C714" s="168"/>
      <c r="D714" s="169" t="s">
        <v>90</v>
      </c>
      <c r="E714" s="170" t="s">
        <v>91</v>
      </c>
      <c r="F714" s="306">
        <v>0.05</v>
      </c>
      <c r="G714" s="205">
        <f>+K713</f>
        <v>94391.8</v>
      </c>
      <c r="H714" s="172"/>
      <c r="I714" s="174"/>
      <c r="J714" s="174"/>
      <c r="K714" s="174">
        <f>+(F714*G714*(1+H714))</f>
        <v>4719.59</v>
      </c>
    </row>
    <row r="715" spans="2:12" ht="15" hidden="1" x14ac:dyDescent="0.25">
      <c r="C715" s="168"/>
      <c r="D715" s="169" t="s">
        <v>92</v>
      </c>
      <c r="E715" s="170" t="s">
        <v>91</v>
      </c>
      <c r="F715" s="307">
        <v>0.03</v>
      </c>
      <c r="G715" s="205">
        <f>+K713</f>
        <v>94391.8</v>
      </c>
      <c r="H715" s="172"/>
      <c r="I715" s="174"/>
      <c r="J715" s="174">
        <f>+(F715*G715*(1+H715))</f>
        <v>2831.7539999999999</v>
      </c>
      <c r="K715" s="174"/>
    </row>
    <row r="716" spans="2:12" ht="15.6" hidden="1" x14ac:dyDescent="0.25">
      <c r="B716" s="308"/>
      <c r="C716" s="309"/>
      <c r="D716" s="181" t="s">
        <v>93</v>
      </c>
      <c r="E716" s="182">
        <f>+ROUND(SUM(I716:K716),0)</f>
        <v>298791</v>
      </c>
      <c r="F716" s="247"/>
      <c r="G716" s="184"/>
      <c r="H716" s="310"/>
      <c r="I716" s="186">
        <f>+ROUND(SUM(I709:I715),0)</f>
        <v>196848</v>
      </c>
      <c r="J716" s="186">
        <f>+ROUND(SUM(J709:J715),0)</f>
        <v>2832</v>
      </c>
      <c r="K716" s="186">
        <f>+ROUND(SUM(K709:K715),0)</f>
        <v>99111</v>
      </c>
    </row>
    <row r="717" spans="2:12" hidden="1" x14ac:dyDescent="0.25"/>
    <row r="718" spans="2:12" ht="15.6" hidden="1" x14ac:dyDescent="0.25">
      <c r="B718" s="159">
        <v>1.0049999999999999</v>
      </c>
      <c r="C718" s="160"/>
      <c r="D718" s="161" t="s">
        <v>412</v>
      </c>
      <c r="E718" s="162"/>
      <c r="F718" s="163"/>
      <c r="G718" s="201"/>
      <c r="H718" s="202"/>
      <c r="I718" s="203"/>
      <c r="J718" s="203"/>
      <c r="K718" s="203"/>
      <c r="L718" s="166">
        <f>+E723</f>
        <v>19261</v>
      </c>
    </row>
    <row r="719" spans="2:12" ht="15" hidden="1" x14ac:dyDescent="0.25">
      <c r="B719" s="168"/>
      <c r="C719" s="168" t="s">
        <v>381</v>
      </c>
      <c r="D719" s="169" t="s">
        <v>382</v>
      </c>
      <c r="E719" s="170" t="s">
        <v>196</v>
      </c>
      <c r="F719" s="175">
        <v>0.125</v>
      </c>
      <c r="G719" s="171">
        <f>+VLOOKUP(C719,'[112]Insumos-Equipo M_L'!$A$2:$D$166,4,FALSE)</f>
        <v>83711.06700000001</v>
      </c>
      <c r="H719" s="204"/>
      <c r="I719" s="174">
        <f>+(F719*G719*(1+H719))</f>
        <v>10463.883375000001</v>
      </c>
      <c r="J719" s="174"/>
      <c r="K719" s="174"/>
    </row>
    <row r="720" spans="2:12" ht="15" hidden="1" x14ac:dyDescent="0.25">
      <c r="B720" s="168"/>
      <c r="C720" s="168" t="s">
        <v>169</v>
      </c>
      <c r="D720" s="169" t="s">
        <v>170</v>
      </c>
      <c r="E720" s="170" t="s">
        <v>87</v>
      </c>
      <c r="F720" s="177">
        <v>5.8999999999999997E-2</v>
      </c>
      <c r="G720" s="171">
        <f>+VLOOKUP(C720,'[113]Mano de Obra'!$A$7:$G$35,4,FALSE)</f>
        <v>135540</v>
      </c>
      <c r="H720" s="204"/>
      <c r="I720" s="174"/>
      <c r="J720" s="174"/>
      <c r="K720" s="174">
        <f>+(F720*G720*(1+H720))</f>
        <v>7996.86</v>
      </c>
    </row>
    <row r="721" spans="2:12" ht="15" hidden="1" x14ac:dyDescent="0.25">
      <c r="B721" s="168"/>
      <c r="C721" s="168"/>
      <c r="D721" s="169" t="s">
        <v>90</v>
      </c>
      <c r="E721" s="170" t="s">
        <v>91</v>
      </c>
      <c r="F721" s="178">
        <v>0.05</v>
      </c>
      <c r="G721" s="205">
        <f>+K720</f>
        <v>7996.86</v>
      </c>
      <c r="H721" s="204"/>
      <c r="I721" s="174"/>
      <c r="J721" s="174"/>
      <c r="K721" s="174">
        <f>+(F721*G721*(1+H721))</f>
        <v>399.84300000000002</v>
      </c>
    </row>
    <row r="722" spans="2:12" ht="15" hidden="1" x14ac:dyDescent="0.25">
      <c r="B722" s="168"/>
      <c r="C722" s="168"/>
      <c r="D722" s="169" t="s">
        <v>92</v>
      </c>
      <c r="E722" s="170" t="s">
        <v>91</v>
      </c>
      <c r="F722" s="178">
        <v>0.05</v>
      </c>
      <c r="G722" s="205">
        <f>+K720</f>
        <v>7996.86</v>
      </c>
      <c r="H722" s="204"/>
      <c r="I722" s="174"/>
      <c r="J722" s="174">
        <f>+(F722*G722*(1+H722))</f>
        <v>399.84300000000002</v>
      </c>
      <c r="K722" s="179"/>
    </row>
    <row r="723" spans="2:12" ht="15.6" hidden="1" x14ac:dyDescent="0.25">
      <c r="B723" s="180"/>
      <c r="C723" s="180"/>
      <c r="D723" s="181" t="s">
        <v>93</v>
      </c>
      <c r="E723" s="182">
        <f>+ROUND(SUM(I723:K723),0)</f>
        <v>19261</v>
      </c>
      <c r="F723" s="183"/>
      <c r="G723" s="184"/>
      <c r="H723" s="185"/>
      <c r="I723" s="186">
        <f>+ROUND(SUM(I719:I722),0)</f>
        <v>10464</v>
      </c>
      <c r="J723" s="186">
        <f>+ROUND(SUM(J719:J722),0)</f>
        <v>400</v>
      </c>
      <c r="K723" s="186">
        <f>+ROUND(SUM(K719:K722),0)</f>
        <v>8397</v>
      </c>
    </row>
    <row r="724" spans="2:12" hidden="1" x14ac:dyDescent="0.25"/>
    <row r="725" spans="2:12" ht="15.6" hidden="1" x14ac:dyDescent="0.25">
      <c r="B725" s="159">
        <v>1.034</v>
      </c>
      <c r="C725" s="160"/>
      <c r="D725" s="161" t="s">
        <v>413</v>
      </c>
      <c r="E725" s="162"/>
      <c r="F725" s="163"/>
      <c r="G725" s="201"/>
      <c r="H725" s="202"/>
      <c r="I725" s="203"/>
      <c r="J725" s="203"/>
      <c r="K725" s="203"/>
      <c r="L725" s="166">
        <f>+E729</f>
        <v>11756</v>
      </c>
    </row>
    <row r="726" spans="2:12" ht="15" hidden="1" x14ac:dyDescent="0.25">
      <c r="B726" s="168"/>
      <c r="C726" s="168" t="s">
        <v>144</v>
      </c>
      <c r="D726" s="169" t="s">
        <v>145</v>
      </c>
      <c r="E726" s="170" t="s">
        <v>87</v>
      </c>
      <c r="F726" s="177">
        <v>0.14299999999999999</v>
      </c>
      <c r="G726" s="171">
        <f>+VLOOKUP(C726,'[113]Mano de Obra'!$A$7:$G$35,4,FALSE)</f>
        <v>76122</v>
      </c>
      <c r="H726" s="204"/>
      <c r="I726" s="174"/>
      <c r="J726" s="174"/>
      <c r="K726" s="174">
        <f>+(F726*G726*(1+H726))</f>
        <v>10885.446</v>
      </c>
    </row>
    <row r="727" spans="2:12" ht="15" hidden="1" x14ac:dyDescent="0.25">
      <c r="B727" s="168"/>
      <c r="C727" s="168"/>
      <c r="D727" s="169" t="s">
        <v>90</v>
      </c>
      <c r="E727" s="170" t="s">
        <v>91</v>
      </c>
      <c r="F727" s="178">
        <v>0.03</v>
      </c>
      <c r="G727" s="205">
        <f>+K726</f>
        <v>10885.446</v>
      </c>
      <c r="H727" s="204"/>
      <c r="I727" s="174"/>
      <c r="J727" s="174"/>
      <c r="K727" s="174">
        <f>+(F727*G727*(1+H727))</f>
        <v>326.56338</v>
      </c>
    </row>
    <row r="728" spans="2:12" ht="15" hidden="1" x14ac:dyDescent="0.25">
      <c r="B728" s="168"/>
      <c r="C728" s="168"/>
      <c r="D728" s="169" t="s">
        <v>92</v>
      </c>
      <c r="E728" s="170" t="s">
        <v>91</v>
      </c>
      <c r="F728" s="178">
        <v>0.05</v>
      </c>
      <c r="G728" s="205">
        <f>+K726</f>
        <v>10885.446</v>
      </c>
      <c r="H728" s="204"/>
      <c r="I728" s="174"/>
      <c r="J728" s="174">
        <f>+(F728*G728*(1+H728))</f>
        <v>544.27229999999997</v>
      </c>
      <c r="K728" s="179"/>
    </row>
    <row r="729" spans="2:12" ht="15.6" hidden="1" x14ac:dyDescent="0.25">
      <c r="B729" s="180"/>
      <c r="C729" s="180"/>
      <c r="D729" s="181" t="s">
        <v>93</v>
      </c>
      <c r="E729" s="182">
        <f>+ROUND(SUM(I729:K729),0)</f>
        <v>11756</v>
      </c>
      <c r="F729" s="183"/>
      <c r="G729" s="184"/>
      <c r="H729" s="185"/>
      <c r="I729" s="186">
        <f>+ROUND(SUM(I726:I728),0)</f>
        <v>0</v>
      </c>
      <c r="J729" s="186">
        <f>+ROUND(SUM(J726:J728),0)</f>
        <v>544</v>
      </c>
      <c r="K729" s="186">
        <f>+ROUND(SUM(K726:K728),0)</f>
        <v>11212</v>
      </c>
    </row>
    <row r="730" spans="2:12" hidden="1" x14ac:dyDescent="0.25"/>
    <row r="731" spans="2:12" ht="15.6" hidden="1" x14ac:dyDescent="0.25">
      <c r="B731" s="159">
        <v>1.008</v>
      </c>
      <c r="C731" s="160"/>
      <c r="D731" s="161" t="s">
        <v>414</v>
      </c>
      <c r="E731" s="162"/>
      <c r="F731" s="163"/>
      <c r="G731" s="201"/>
      <c r="H731" s="202"/>
      <c r="I731" s="203"/>
      <c r="J731" s="203"/>
      <c r="K731" s="203"/>
      <c r="L731" s="166">
        <f>+E735</f>
        <v>4941</v>
      </c>
    </row>
    <row r="732" spans="2:12" ht="15" hidden="1" x14ac:dyDescent="0.25">
      <c r="B732" s="168"/>
      <c r="C732" s="168" t="s">
        <v>144</v>
      </c>
      <c r="D732" s="169" t="s">
        <v>145</v>
      </c>
      <c r="E732" s="170" t="s">
        <v>87</v>
      </c>
      <c r="F732" s="177">
        <v>5.8999999999999997E-2</v>
      </c>
      <c r="G732" s="171">
        <f>+VLOOKUP(C732,'[113]Mano de Obra'!$A$7:$G$35,4,FALSE)</f>
        <v>76122</v>
      </c>
      <c r="H732" s="204"/>
      <c r="I732" s="174"/>
      <c r="J732" s="174"/>
      <c r="K732" s="174">
        <f>+(F732*G732*(1+H732))</f>
        <v>4491.1979999999994</v>
      </c>
    </row>
    <row r="733" spans="2:12" ht="15" hidden="1" x14ac:dyDescent="0.25">
      <c r="B733" s="168"/>
      <c r="C733" s="168"/>
      <c r="D733" s="169" t="s">
        <v>90</v>
      </c>
      <c r="E733" s="170" t="s">
        <v>91</v>
      </c>
      <c r="F733" s="178">
        <v>0.05</v>
      </c>
      <c r="G733" s="205">
        <f>+K732</f>
        <v>4491.1979999999994</v>
      </c>
      <c r="H733" s="204"/>
      <c r="I733" s="174"/>
      <c r="J733" s="174"/>
      <c r="K733" s="174">
        <f>+(F733*G733*(1+H733))</f>
        <v>224.55989999999997</v>
      </c>
    </row>
    <row r="734" spans="2:12" ht="15" hidden="1" x14ac:dyDescent="0.25">
      <c r="B734" s="168"/>
      <c r="C734" s="168"/>
      <c r="D734" s="169" t="s">
        <v>92</v>
      </c>
      <c r="E734" s="170" t="s">
        <v>91</v>
      </c>
      <c r="F734" s="178">
        <v>0.05</v>
      </c>
      <c r="G734" s="205">
        <f>+K732</f>
        <v>4491.1979999999994</v>
      </c>
      <c r="H734" s="204"/>
      <c r="I734" s="174"/>
      <c r="J734" s="174">
        <f>+(F734*G734*(1+H734))</f>
        <v>224.55989999999997</v>
      </c>
      <c r="K734" s="179"/>
    </row>
    <row r="735" spans="2:12" ht="15.6" hidden="1" x14ac:dyDescent="0.25">
      <c r="B735" s="180"/>
      <c r="C735" s="180"/>
      <c r="D735" s="181" t="s">
        <v>93</v>
      </c>
      <c r="E735" s="182">
        <f>+ROUND(SUM(I735:K735),0)</f>
        <v>4941</v>
      </c>
      <c r="F735" s="183"/>
      <c r="G735" s="184"/>
      <c r="H735" s="185"/>
      <c r="I735" s="186">
        <f>+ROUND(SUM(I732:I734),0)</f>
        <v>0</v>
      </c>
      <c r="J735" s="186">
        <f>+ROUND(SUM(J732:J734),0)</f>
        <v>225</v>
      </c>
      <c r="K735" s="186">
        <f>+ROUND(SUM(K732:K734),0)</f>
        <v>4716</v>
      </c>
    </row>
    <row r="736" spans="2:12" hidden="1" x14ac:dyDescent="0.25"/>
    <row r="737" spans="2:12" ht="15.6" hidden="1" x14ac:dyDescent="0.25">
      <c r="B737" s="159" t="s">
        <v>415</v>
      </c>
      <c r="C737" s="160"/>
      <c r="D737" s="161" t="s">
        <v>416</v>
      </c>
      <c r="E737" s="162"/>
      <c r="F737" s="163"/>
      <c r="G737" s="201"/>
      <c r="H737" s="202"/>
      <c r="I737" s="203"/>
      <c r="J737" s="203"/>
      <c r="K737" s="203"/>
      <c r="L737" s="166">
        <f>+E742</f>
        <v>424043</v>
      </c>
    </row>
    <row r="738" spans="2:12" ht="15" hidden="1" x14ac:dyDescent="0.25">
      <c r="B738" s="213"/>
      <c r="C738" s="327" t="s">
        <v>417</v>
      </c>
      <c r="D738" s="328" t="str">
        <f>+VLOOKUP(C738,'[112]Insumos-Equipo M_L'!A2:D161,2,FALSE)</f>
        <v>Retroexcavadora con martillo</v>
      </c>
      <c r="E738" s="170" t="s">
        <v>196</v>
      </c>
      <c r="F738" s="176">
        <v>0.65</v>
      </c>
      <c r="G738" s="171">
        <f>+VLOOKUP(C738,'[112]Insumos-Equipo M_L'!$A$2:$D$166,4,FALSE)</f>
        <v>252625</v>
      </c>
      <c r="H738" s="204"/>
      <c r="I738" s="174">
        <f>+(F738*G738*(1+H738))</f>
        <v>164206.25</v>
      </c>
      <c r="J738" s="174"/>
      <c r="K738" s="174"/>
    </row>
    <row r="739" spans="2:12" ht="15" hidden="1" x14ac:dyDescent="0.25">
      <c r="B739" s="213"/>
      <c r="C739" s="312" t="s">
        <v>169</v>
      </c>
      <c r="D739" s="210" t="s">
        <v>418</v>
      </c>
      <c r="E739" s="211" t="s">
        <v>87</v>
      </c>
      <c r="F739" s="329">
        <v>1.667</v>
      </c>
      <c r="G739" s="171">
        <f>+VLOOKUP(C739,'[113]Mano de Obra'!$A$7:$G$35,4,FALSE)</f>
        <v>135540</v>
      </c>
      <c r="H739" s="172"/>
      <c r="I739" s="174"/>
      <c r="J739" s="330"/>
      <c r="K739" s="174">
        <f>+(F739*G739*(1+H739))</f>
        <v>225945.18</v>
      </c>
    </row>
    <row r="740" spans="2:12" ht="15" hidden="1" x14ac:dyDescent="0.25">
      <c r="B740" s="213"/>
      <c r="C740" s="213"/>
      <c r="D740" s="210" t="s">
        <v>90</v>
      </c>
      <c r="E740" s="211" t="s">
        <v>91</v>
      </c>
      <c r="F740" s="331">
        <v>0.1</v>
      </c>
      <c r="G740" s="205">
        <f>+K739</f>
        <v>225945.18</v>
      </c>
      <c r="H740" s="204"/>
      <c r="I740" s="174"/>
      <c r="J740" s="174"/>
      <c r="K740" s="174">
        <f>+(F740*G740*(1+H740))</f>
        <v>22594.518</v>
      </c>
    </row>
    <row r="741" spans="2:12" ht="15" hidden="1" x14ac:dyDescent="0.25">
      <c r="B741" s="213"/>
      <c r="C741" s="213"/>
      <c r="D741" s="210" t="s">
        <v>92</v>
      </c>
      <c r="E741" s="211" t="s">
        <v>91</v>
      </c>
      <c r="F741" s="331">
        <v>0.05</v>
      </c>
      <c r="G741" s="205">
        <f>+K739</f>
        <v>225945.18</v>
      </c>
      <c r="H741" s="204"/>
      <c r="I741" s="174"/>
      <c r="J741" s="174">
        <f>+(F741*G741*(1+H741))</f>
        <v>11297.259</v>
      </c>
      <c r="K741" s="215"/>
    </row>
    <row r="742" spans="2:12" ht="15.6" hidden="1" x14ac:dyDescent="0.25">
      <c r="B742" s="180"/>
      <c r="C742" s="180"/>
      <c r="D742" s="181" t="s">
        <v>93</v>
      </c>
      <c r="E742" s="182">
        <f>+ROUND(SUM(I742:K742),0)</f>
        <v>424043</v>
      </c>
      <c r="F742" s="183"/>
      <c r="G742" s="184"/>
      <c r="H742" s="185"/>
      <c r="I742" s="186">
        <f>+ROUND(SUM(I738:I741),0)</f>
        <v>164206</v>
      </c>
      <c r="J742" s="186">
        <f>+ROUND(SUM(J738:J741),0)</f>
        <v>11297</v>
      </c>
      <c r="K742" s="186">
        <f>+ROUND(SUM(K738:K741),0)</f>
        <v>248540</v>
      </c>
    </row>
    <row r="743" spans="2:12" hidden="1" x14ac:dyDescent="0.25"/>
    <row r="744" spans="2:12" ht="15.6" hidden="1" x14ac:dyDescent="0.25">
      <c r="B744" s="159" t="s">
        <v>419</v>
      </c>
      <c r="C744" s="160"/>
      <c r="D744" s="161" t="s">
        <v>420</v>
      </c>
      <c r="E744" s="162"/>
      <c r="F744" s="163"/>
      <c r="G744" s="164"/>
      <c r="H744" s="202"/>
      <c r="I744" s="165"/>
      <c r="J744" s="165"/>
      <c r="K744" s="165"/>
      <c r="L744" s="166">
        <f>+E749</f>
        <v>95233</v>
      </c>
    </row>
    <row r="745" spans="2:12" ht="15" hidden="1" x14ac:dyDescent="0.25">
      <c r="B745" s="168"/>
      <c r="C745" s="168" t="s">
        <v>421</v>
      </c>
      <c r="D745" s="169" t="s">
        <v>422</v>
      </c>
      <c r="E745" s="170" t="s">
        <v>87</v>
      </c>
      <c r="F745" s="175">
        <v>0.4</v>
      </c>
      <c r="G745" s="171">
        <f>+VLOOKUP(C745,'[112]Insumos-Equipo M_L'!$A$2:$D$166,4,FALSE)</f>
        <v>83151.25</v>
      </c>
      <c r="H745" s="204"/>
      <c r="I745" s="174">
        <f>+(F745*G745*(1+H745))</f>
        <v>33260.5</v>
      </c>
      <c r="J745" s="173"/>
      <c r="K745" s="173"/>
    </row>
    <row r="746" spans="2:12" ht="15" hidden="1" x14ac:dyDescent="0.25">
      <c r="B746" s="168"/>
      <c r="C746" s="327" t="s">
        <v>117</v>
      </c>
      <c r="D746" s="243" t="s">
        <v>118</v>
      </c>
      <c r="E746" s="242" t="s">
        <v>208</v>
      </c>
      <c r="F746" s="175">
        <v>0.1</v>
      </c>
      <c r="G746" s="171">
        <f>+VLOOKUP(C746,'[112]Insumos-Equipo M_L'!$A$2:$D$166,4,FALSE)</f>
        <v>50458.737000000001</v>
      </c>
      <c r="H746" s="204"/>
      <c r="I746" s="174">
        <f>+(F746*G746*(1+H746))</f>
        <v>5045.8737000000001</v>
      </c>
      <c r="J746" s="173"/>
      <c r="K746" s="173"/>
    </row>
    <row r="747" spans="2:12" ht="15" hidden="1" x14ac:dyDescent="0.25">
      <c r="B747" s="168"/>
      <c r="C747" s="312" t="s">
        <v>169</v>
      </c>
      <c r="D747" s="210" t="s">
        <v>418</v>
      </c>
      <c r="E747" s="211" t="s">
        <v>87</v>
      </c>
      <c r="F747" s="329">
        <v>0.4</v>
      </c>
      <c r="G747" s="171">
        <f>+VLOOKUP(C747,'[113]Mano de Obra'!$A$7:$G$35,4,FALSE)</f>
        <v>135540</v>
      </c>
      <c r="H747" s="204"/>
      <c r="I747" s="173"/>
      <c r="J747" s="173"/>
      <c r="K747" s="174">
        <f>+(F747*G747*(1+H747))</f>
        <v>54216</v>
      </c>
    </row>
    <row r="748" spans="2:12" ht="15" hidden="1" x14ac:dyDescent="0.25">
      <c r="B748" s="168"/>
      <c r="C748" s="168"/>
      <c r="D748" s="169" t="s">
        <v>92</v>
      </c>
      <c r="E748" s="170" t="s">
        <v>91</v>
      </c>
      <c r="F748" s="178">
        <v>0.05</v>
      </c>
      <c r="G748" s="171">
        <f>+K747</f>
        <v>54216</v>
      </c>
      <c r="H748" s="204"/>
      <c r="I748" s="173"/>
      <c r="J748" s="174">
        <f>+(F748*G748*(1+H748))</f>
        <v>2710.8</v>
      </c>
      <c r="K748" s="179"/>
    </row>
    <row r="749" spans="2:12" ht="15.6" hidden="1" x14ac:dyDescent="0.25">
      <c r="B749" s="180"/>
      <c r="C749" s="180"/>
      <c r="D749" s="181" t="s">
        <v>93</v>
      </c>
      <c r="E749" s="182">
        <f>+ROUND(SUM(I749:K749),0)</f>
        <v>95233</v>
      </c>
      <c r="F749" s="183"/>
      <c r="G749" s="195"/>
      <c r="H749" s="185"/>
      <c r="I749" s="186">
        <f>+ROUND(SUM(I745:I748),0)</f>
        <v>38306</v>
      </c>
      <c r="J749" s="186">
        <f>+ROUND(SUM(J745:J748),0)</f>
        <v>2711</v>
      </c>
      <c r="K749" s="186">
        <f>+ROUND(SUM(K745:K748),0)</f>
        <v>54216</v>
      </c>
    </row>
    <row r="750" spans="2:12" hidden="1" x14ac:dyDescent="0.25"/>
    <row r="751" spans="2:12" ht="15.6" hidden="1" x14ac:dyDescent="0.25">
      <c r="B751" s="159" t="s">
        <v>423</v>
      </c>
      <c r="C751" s="160"/>
      <c r="D751" s="161" t="s">
        <v>424</v>
      </c>
      <c r="E751" s="162"/>
      <c r="F751" s="163"/>
      <c r="G751" s="164"/>
      <c r="H751" s="202"/>
      <c r="I751" s="165"/>
      <c r="J751" s="165"/>
      <c r="K751" s="165"/>
      <c r="L751" s="166">
        <f>+E755</f>
        <v>216135</v>
      </c>
    </row>
    <row r="752" spans="2:12" ht="15" hidden="1" x14ac:dyDescent="0.25">
      <c r="B752" s="168"/>
      <c r="C752" s="168" t="s">
        <v>381</v>
      </c>
      <c r="D752" s="169" t="s">
        <v>382</v>
      </c>
      <c r="E752" s="170" t="s">
        <v>196</v>
      </c>
      <c r="F752" s="175">
        <v>2.2000000000000002</v>
      </c>
      <c r="G752" s="171">
        <f>+VLOOKUP(C752,'[112]Insumos-Equipo M_L'!$A$2:$D$166,4,FALSE)</f>
        <v>83711.06700000001</v>
      </c>
      <c r="H752" s="204"/>
      <c r="I752" s="174">
        <f>+(F752*G752*(1+H752))</f>
        <v>184164.34740000003</v>
      </c>
      <c r="J752" s="173"/>
      <c r="K752" s="173"/>
    </row>
    <row r="753" spans="1:12" ht="15" hidden="1" x14ac:dyDescent="0.25">
      <c r="B753" s="168"/>
      <c r="C753" s="168" t="s">
        <v>144</v>
      </c>
      <c r="D753" s="169" t="s">
        <v>145</v>
      </c>
      <c r="E753" s="211" t="s">
        <v>87</v>
      </c>
      <c r="F753" s="329">
        <v>0.4</v>
      </c>
      <c r="G753" s="171">
        <f>+VLOOKUP(C753,'[113]Mano de Obra'!$A$7:$G$35,4,FALSE)</f>
        <v>76122</v>
      </c>
      <c r="H753" s="204"/>
      <c r="I753" s="173"/>
      <c r="J753" s="173"/>
      <c r="K753" s="174">
        <f>+(F753*G753*(1+H753))</f>
        <v>30448.800000000003</v>
      </c>
    </row>
    <row r="754" spans="1:12" ht="15" hidden="1" x14ac:dyDescent="0.25">
      <c r="B754" s="168"/>
      <c r="C754" s="168"/>
      <c r="D754" s="169" t="s">
        <v>92</v>
      </c>
      <c r="E754" s="170" t="s">
        <v>91</v>
      </c>
      <c r="F754" s="178">
        <v>0.05</v>
      </c>
      <c r="G754" s="171">
        <f>+K753</f>
        <v>30448.800000000003</v>
      </c>
      <c r="H754" s="204"/>
      <c r="I754" s="173"/>
      <c r="J754" s="174">
        <f>+(F754*G754*(1+H754))</f>
        <v>1522.4400000000003</v>
      </c>
      <c r="K754" s="179"/>
    </row>
    <row r="755" spans="1:12" ht="15.6" hidden="1" x14ac:dyDescent="0.25">
      <c r="B755" s="180"/>
      <c r="C755" s="180"/>
      <c r="D755" s="181" t="s">
        <v>93</v>
      </c>
      <c r="E755" s="182">
        <f>+ROUND(SUM(I755:K755),0)</f>
        <v>216135</v>
      </c>
      <c r="F755" s="183"/>
      <c r="G755" s="195"/>
      <c r="H755" s="185"/>
      <c r="I755" s="186">
        <f>+ROUND(SUM(I752:I754),0)</f>
        <v>184164</v>
      </c>
      <c r="J755" s="186">
        <f>+ROUND(SUM(J752:J754),0)</f>
        <v>1522</v>
      </c>
      <c r="K755" s="186">
        <f>+ROUND(SUM(K752:K754),0)</f>
        <v>30449</v>
      </c>
    </row>
    <row r="756" spans="1:12" hidden="1" x14ac:dyDescent="0.25"/>
    <row r="757" spans="1:12" ht="26.4" hidden="1" customHeight="1" x14ac:dyDescent="0.25">
      <c r="A757" s="216"/>
      <c r="B757" s="159" t="s">
        <v>287</v>
      </c>
      <c r="C757" s="160"/>
      <c r="D757" s="271" t="s">
        <v>59</v>
      </c>
      <c r="E757" s="272" t="s">
        <v>339</v>
      </c>
      <c r="F757" s="163"/>
      <c r="G757" s="201"/>
      <c r="H757" s="203"/>
      <c r="I757" s="203"/>
      <c r="J757" s="203"/>
      <c r="K757" s="203"/>
      <c r="L757" s="166">
        <f>+E763</f>
        <v>60639</v>
      </c>
    </row>
    <row r="758" spans="1:12" ht="15" hidden="1" x14ac:dyDescent="0.25">
      <c r="B758" s="223"/>
      <c r="C758" s="274" t="s">
        <v>299</v>
      </c>
      <c r="D758" s="169" t="s">
        <v>300</v>
      </c>
      <c r="E758" s="170" t="s">
        <v>87</v>
      </c>
      <c r="F758" s="170">
        <v>0.25</v>
      </c>
      <c r="G758" s="171">
        <f>+VLOOKUP(C758,'[112]Insumos-Equipo M_L'!$A$2:$D$166,4,FALSE)</f>
        <v>1593.4338</v>
      </c>
      <c r="H758" s="281"/>
      <c r="I758" s="174">
        <f>+(F758*G758*(1+H758))</f>
        <v>398.35845</v>
      </c>
      <c r="J758" s="225"/>
      <c r="K758" s="225"/>
    </row>
    <row r="759" spans="1:12" ht="15" hidden="1" x14ac:dyDescent="0.25">
      <c r="B759" s="223"/>
      <c r="C759" s="223" t="s">
        <v>425</v>
      </c>
      <c r="D759" s="169" t="s">
        <v>426</v>
      </c>
      <c r="E759" s="170" t="s">
        <v>36</v>
      </c>
      <c r="F759" s="176">
        <v>1</v>
      </c>
      <c r="G759" s="171">
        <f>+VLOOKUP(C759,'[112]Insumos-Equipo M_L'!$A$2:$D$166,4,FALSE)</f>
        <v>10941.199564500001</v>
      </c>
      <c r="H759" s="234"/>
      <c r="I759" s="225"/>
      <c r="J759" s="174">
        <f>+(F759*G759*(1+H759))</f>
        <v>10941.199564500001</v>
      </c>
      <c r="K759" s="225"/>
    </row>
    <row r="760" spans="1:12" ht="15" hidden="1" x14ac:dyDescent="0.25">
      <c r="B760" s="223"/>
      <c r="C760" s="223" t="s">
        <v>427</v>
      </c>
      <c r="D760" s="169" t="s">
        <v>428</v>
      </c>
      <c r="E760" s="170" t="s">
        <v>35</v>
      </c>
      <c r="F760" s="175">
        <v>0.47899999999999998</v>
      </c>
      <c r="G760" s="171">
        <f>+VLOOKUP(C760,'[112]Insumos-Equipo M_L'!$A$2:$D$166,4,FALSE)</f>
        <v>5272.86726</v>
      </c>
      <c r="H760" s="234"/>
      <c r="I760" s="225"/>
      <c r="J760" s="174">
        <f>+(F760*G760*(1+H760))</f>
        <v>2525.7034175399999</v>
      </c>
      <c r="K760" s="225"/>
    </row>
    <row r="761" spans="1:12" ht="15" hidden="1" x14ac:dyDescent="0.25">
      <c r="B761" s="223"/>
      <c r="C761" s="223" t="s">
        <v>139</v>
      </c>
      <c r="D761" s="169" t="s">
        <v>140</v>
      </c>
      <c r="E761" s="170" t="s">
        <v>87</v>
      </c>
      <c r="F761" s="273">
        <v>0.14699999999999999</v>
      </c>
      <c r="G761" s="275">
        <f>+VLOOKUP(C761,'[113]Mano de Obra'!$A$7:$G$35,4,FALSE)</f>
        <v>289265</v>
      </c>
      <c r="H761" s="234"/>
      <c r="I761" s="225"/>
      <c r="J761" s="225"/>
      <c r="K761" s="174">
        <f>+(F761*G761*(1+H761))</f>
        <v>42521.954999999994</v>
      </c>
    </row>
    <row r="762" spans="1:12" ht="15" hidden="1" x14ac:dyDescent="0.25">
      <c r="B762" s="223"/>
      <c r="C762" s="223"/>
      <c r="D762" s="169" t="s">
        <v>92</v>
      </c>
      <c r="E762" s="170" t="s">
        <v>91</v>
      </c>
      <c r="F762" s="178">
        <v>0.1</v>
      </c>
      <c r="G762" s="205">
        <f>+K761</f>
        <v>42521.954999999994</v>
      </c>
      <c r="H762" s="234"/>
      <c r="I762" s="225"/>
      <c r="J762" s="174">
        <f>+(F762*G762*(1+H762))</f>
        <v>4252.1954999999998</v>
      </c>
      <c r="K762" s="227"/>
    </row>
    <row r="763" spans="1:12" ht="15.6" hidden="1" x14ac:dyDescent="0.25">
      <c r="B763" s="228"/>
      <c r="C763" s="228"/>
      <c r="D763" s="229" t="s">
        <v>93</v>
      </c>
      <c r="E763" s="182">
        <f>+ROUND(SUM(I763:K763),0)</f>
        <v>60639</v>
      </c>
      <c r="F763" s="183"/>
      <c r="G763" s="184"/>
      <c r="H763" s="196"/>
      <c r="I763" s="186">
        <f>+ROUND(SUM(I758:I762),0)</f>
        <v>398</v>
      </c>
      <c r="J763" s="186">
        <f>+ROUND(SUM(J758:J762),0)</f>
        <v>17719</v>
      </c>
      <c r="K763" s="186">
        <f>+ROUND(SUM(K758:K762),0)</f>
        <v>42522</v>
      </c>
    </row>
    <row r="764" spans="1:12" hidden="1" x14ac:dyDescent="0.25"/>
    <row r="765" spans="1:12" ht="15.6" hidden="1" x14ac:dyDescent="0.25">
      <c r="B765" s="159" t="s">
        <v>287</v>
      </c>
      <c r="C765" s="160"/>
      <c r="D765" s="161" t="s">
        <v>429</v>
      </c>
      <c r="E765" s="162"/>
      <c r="F765" s="163"/>
      <c r="G765" s="164"/>
      <c r="H765" s="202"/>
      <c r="I765" s="165"/>
      <c r="J765" s="165"/>
      <c r="K765" s="165"/>
      <c r="L765" s="166">
        <f>+E781</f>
        <v>1936251</v>
      </c>
    </row>
    <row r="766" spans="1:12" ht="30" hidden="1" x14ac:dyDescent="0.25">
      <c r="B766" s="168"/>
      <c r="C766" s="168" t="s">
        <v>430</v>
      </c>
      <c r="D766" s="169" t="s">
        <v>431</v>
      </c>
      <c r="E766" s="170" t="s">
        <v>196</v>
      </c>
      <c r="F766" s="175">
        <v>1.2</v>
      </c>
      <c r="G766" s="171">
        <f>+VLOOKUP(C766,'[114]Insumos-Equipo M_L'!$A$2:$D$135,4,FALSE)</f>
        <v>195650</v>
      </c>
      <c r="H766" s="204"/>
      <c r="I766" s="174">
        <f>+(F766*G766*(1+H766))</f>
        <v>234780</v>
      </c>
      <c r="J766" s="173"/>
      <c r="K766" s="173"/>
    </row>
    <row r="767" spans="1:12" ht="15" hidden="1" x14ac:dyDescent="0.25">
      <c r="B767" s="168"/>
      <c r="C767" s="168" t="s">
        <v>432</v>
      </c>
      <c r="D767" s="169" t="s">
        <v>433</v>
      </c>
      <c r="E767" s="170" t="s">
        <v>196</v>
      </c>
      <c r="F767" s="175">
        <v>1.2</v>
      </c>
      <c r="G767" s="171">
        <f>+VLOOKUP(C767,'[114]Insumos-Equipo M_L'!$A$2:$D$135,4,FALSE)</f>
        <v>98040</v>
      </c>
      <c r="H767" s="204"/>
      <c r="I767" s="174">
        <f>+(F767*G767*(1+H767))</f>
        <v>117648</v>
      </c>
      <c r="J767" s="173"/>
      <c r="K767" s="173"/>
    </row>
    <row r="768" spans="1:12" ht="15" hidden="1" x14ac:dyDescent="0.25">
      <c r="B768" s="168"/>
      <c r="C768" s="168" t="s">
        <v>434</v>
      </c>
      <c r="D768" s="169" t="s">
        <v>435</v>
      </c>
      <c r="E768" s="170" t="s">
        <v>196</v>
      </c>
      <c r="F768" s="175">
        <v>1.2</v>
      </c>
      <c r="G768" s="171">
        <f>+VLOOKUP(C768,'[114]Insumos-Equipo M_L'!$A$2:$D$135,4,FALSE)</f>
        <v>79166.7</v>
      </c>
      <c r="H768" s="204"/>
      <c r="I768" s="174">
        <f>+(F768*G768*(1+H768))</f>
        <v>95000.04</v>
      </c>
      <c r="J768" s="173"/>
      <c r="K768" s="173"/>
    </row>
    <row r="769" spans="2:12" ht="15" hidden="1" x14ac:dyDescent="0.25">
      <c r="B769" s="168"/>
      <c r="C769" s="168" t="s">
        <v>436</v>
      </c>
      <c r="D769" s="169" t="s">
        <v>437</v>
      </c>
      <c r="E769" s="170" t="s">
        <v>196</v>
      </c>
      <c r="F769" s="175">
        <v>1.2</v>
      </c>
      <c r="G769" s="171">
        <f>+VLOOKUP(C769,'[114]Insumos-Equipo M_L'!$A$2:$D$135,4,FALSE)</f>
        <v>15265</v>
      </c>
      <c r="H769" s="204"/>
      <c r="I769" s="174">
        <f>+(F769*G769*(1+H769))</f>
        <v>18318</v>
      </c>
      <c r="J769" s="173"/>
      <c r="K769" s="173"/>
    </row>
    <row r="770" spans="2:12" ht="15" hidden="1" x14ac:dyDescent="0.25">
      <c r="B770" s="168"/>
      <c r="C770" s="168"/>
      <c r="D770" s="169" t="s">
        <v>438</v>
      </c>
      <c r="E770" s="211" t="s">
        <v>49</v>
      </c>
      <c r="F770" s="329">
        <v>60</v>
      </c>
      <c r="G770" s="171">
        <v>490</v>
      </c>
      <c r="H770" s="204"/>
      <c r="I770" s="173"/>
      <c r="J770" s="174">
        <f>+(F770*G770*(1+H770))</f>
        <v>29400</v>
      </c>
      <c r="K770" s="174"/>
    </row>
    <row r="771" spans="2:12" ht="30" hidden="1" x14ac:dyDescent="0.25">
      <c r="B771" s="168"/>
      <c r="C771" s="168" t="s">
        <v>439</v>
      </c>
      <c r="D771" s="169" t="s">
        <v>440</v>
      </c>
      <c r="E771" s="211" t="s">
        <v>37</v>
      </c>
      <c r="F771" s="329">
        <v>1</v>
      </c>
      <c r="G771" s="171">
        <f>+VLOOKUP(C771,'[114]Insumos-Equipo M_L'!$A$2:$D$135,4,FALSE)</f>
        <v>763250</v>
      </c>
      <c r="H771" s="204">
        <v>0.2</v>
      </c>
      <c r="I771" s="173"/>
      <c r="J771" s="174">
        <f>+(F771*G771*(1+H771))</f>
        <v>915900</v>
      </c>
      <c r="K771" s="174"/>
    </row>
    <row r="772" spans="2:12" ht="15" hidden="1" x14ac:dyDescent="0.25">
      <c r="B772" s="168"/>
      <c r="C772" s="168" t="s">
        <v>441</v>
      </c>
      <c r="D772" s="169" t="s">
        <v>442</v>
      </c>
      <c r="E772" s="211" t="s">
        <v>47</v>
      </c>
      <c r="F772" s="329">
        <v>20</v>
      </c>
      <c r="G772" s="171">
        <f>+VLOOKUP(C772,'[114]Insumos-Equipo M_L'!$A$2:$D$135,4,FALSE)</f>
        <v>9728.6424999999999</v>
      </c>
      <c r="H772" s="204"/>
      <c r="I772" s="174"/>
      <c r="J772" s="174">
        <f>+(F772*G772*(1+H772))</f>
        <v>194572.85</v>
      </c>
      <c r="K772" s="174"/>
    </row>
    <row r="773" spans="2:12" ht="15" hidden="1" x14ac:dyDescent="0.25">
      <c r="B773" s="168"/>
      <c r="C773" s="168" t="s">
        <v>443</v>
      </c>
      <c r="D773" s="169" t="s">
        <v>444</v>
      </c>
      <c r="E773" s="211" t="s">
        <v>241</v>
      </c>
      <c r="F773" s="329">
        <v>15</v>
      </c>
      <c r="G773" s="171">
        <f>+VLOOKUP(C773,'[114]Insumos-Equipo M_L'!$A$2:$D$135,4,FALSE)</f>
        <v>2257.5</v>
      </c>
      <c r="H773" s="204"/>
      <c r="I773" s="174">
        <f t="shared" ref="I773:I779" si="8">+(F773*G773*(1+H773))</f>
        <v>33862.5</v>
      </c>
      <c r="J773" s="174"/>
      <c r="K773" s="174"/>
    </row>
    <row r="774" spans="2:12" ht="15" hidden="1" customHeight="1" x14ac:dyDescent="0.25">
      <c r="B774" s="168"/>
      <c r="C774" s="168" t="s">
        <v>445</v>
      </c>
      <c r="D774" s="169" t="s">
        <v>446</v>
      </c>
      <c r="E774" s="211" t="s">
        <v>49</v>
      </c>
      <c r="F774" s="329">
        <v>7</v>
      </c>
      <c r="G774" s="171">
        <f>+VLOOKUP(C774,'[114]Insumos-Equipo M_L'!$A$2:$D$135,4,FALSE)</f>
        <v>4759.9924999999994</v>
      </c>
      <c r="H774" s="204"/>
      <c r="I774" s="174">
        <f t="shared" si="8"/>
        <v>33319.947499999995</v>
      </c>
      <c r="J774" s="173"/>
      <c r="K774" s="174"/>
    </row>
    <row r="775" spans="2:12" ht="15" hidden="1" x14ac:dyDescent="0.25">
      <c r="B775" s="168"/>
      <c r="C775" s="332" t="s">
        <v>447</v>
      </c>
      <c r="D775" s="169" t="s">
        <v>448</v>
      </c>
      <c r="E775" s="211" t="s">
        <v>49</v>
      </c>
      <c r="F775" s="329">
        <v>6</v>
      </c>
      <c r="G775" s="171">
        <f>+VLOOKUP(C775,'[114]Insumos-Equipo M_L'!$A$2:$D$135,4,FALSE)</f>
        <v>16125</v>
      </c>
      <c r="H775" s="204"/>
      <c r="I775" s="174">
        <f t="shared" si="8"/>
        <v>96750</v>
      </c>
      <c r="J775" s="173"/>
      <c r="K775" s="174"/>
    </row>
    <row r="776" spans="2:12" ht="15" hidden="1" x14ac:dyDescent="0.25">
      <c r="B776" s="168"/>
      <c r="C776" s="327" t="s">
        <v>449</v>
      </c>
      <c r="D776" s="243" t="s">
        <v>450</v>
      </c>
      <c r="E776" s="211" t="s">
        <v>200</v>
      </c>
      <c r="F776" s="329">
        <v>0.25</v>
      </c>
      <c r="G776" s="171">
        <f>+VLOOKUP(C776,'[114]Mano de Obra'!$A$7:$G$37,4,FALSE)</f>
        <v>487184</v>
      </c>
      <c r="H776" s="204"/>
      <c r="I776" s="173"/>
      <c r="J776" s="173"/>
      <c r="K776" s="174">
        <f>+(F776*G776*(1+H776))</f>
        <v>121796</v>
      </c>
    </row>
    <row r="777" spans="2:12" ht="15" hidden="1" x14ac:dyDescent="0.25">
      <c r="B777" s="168"/>
      <c r="C777" s="333" t="s">
        <v>451</v>
      </c>
      <c r="D777" s="334" t="s">
        <v>452</v>
      </c>
      <c r="E777" s="211" t="s">
        <v>49</v>
      </c>
      <c r="F777" s="329">
        <v>0.05</v>
      </c>
      <c r="G777" s="171">
        <f>+VLOOKUP(C777,'[114]Insumos-Equipo M_L'!$A$2:$D$135,4,FALSE)</f>
        <v>261800</v>
      </c>
      <c r="H777" s="204"/>
      <c r="I777" s="174">
        <f t="shared" si="8"/>
        <v>13090</v>
      </c>
      <c r="J777" s="173"/>
      <c r="K777" s="174"/>
    </row>
    <row r="778" spans="2:12" ht="15" hidden="1" x14ac:dyDescent="0.25">
      <c r="B778" s="168"/>
      <c r="C778" s="333" t="s">
        <v>453</v>
      </c>
      <c r="D778" s="243" t="s">
        <v>454</v>
      </c>
      <c r="E778" s="211" t="s">
        <v>49</v>
      </c>
      <c r="F778" s="329">
        <v>0.05</v>
      </c>
      <c r="G778" s="171">
        <f>+VLOOKUP(C778,'[114]Insumos-Equipo M_L'!$A$2:$D$135,4,FALSE)</f>
        <v>261800</v>
      </c>
      <c r="H778" s="204"/>
      <c r="I778" s="174">
        <f t="shared" si="8"/>
        <v>13090</v>
      </c>
      <c r="J778" s="173"/>
      <c r="K778" s="174"/>
    </row>
    <row r="779" spans="2:12" ht="15" hidden="1" x14ac:dyDescent="0.25">
      <c r="B779" s="168"/>
      <c r="C779" s="333" t="s">
        <v>455</v>
      </c>
      <c r="D779" s="243" t="s">
        <v>456</v>
      </c>
      <c r="E779" s="211" t="s">
        <v>49</v>
      </c>
      <c r="F779" s="329">
        <v>0.05</v>
      </c>
      <c r="G779" s="171">
        <f>+VLOOKUP(C779,'[114]Insumos-Equipo M_L'!$A$2:$D$135,4,FALSE)</f>
        <v>130900</v>
      </c>
      <c r="H779" s="204"/>
      <c r="I779" s="174">
        <f t="shared" si="8"/>
        <v>6545</v>
      </c>
      <c r="J779" s="173"/>
      <c r="K779" s="174"/>
    </row>
    <row r="780" spans="2:12" ht="15" hidden="1" x14ac:dyDescent="0.25">
      <c r="B780" s="168"/>
      <c r="C780" s="168"/>
      <c r="D780" s="169" t="s">
        <v>92</v>
      </c>
      <c r="E780" s="170" t="s">
        <v>91</v>
      </c>
      <c r="F780" s="178">
        <v>0.1</v>
      </c>
      <c r="G780" s="171">
        <f>+K776</f>
        <v>121796</v>
      </c>
      <c r="H780" s="204"/>
      <c r="I780" s="173"/>
      <c r="J780" s="174">
        <f>+(F780*G780*(1+H780))</f>
        <v>12179.6</v>
      </c>
      <c r="K780" s="179"/>
    </row>
    <row r="781" spans="2:12" ht="15.6" hidden="1" x14ac:dyDescent="0.25">
      <c r="B781" s="180"/>
      <c r="C781" s="180"/>
      <c r="D781" s="181" t="s">
        <v>93</v>
      </c>
      <c r="E781" s="182">
        <f>+ROUND(SUM(I781:K781),0)</f>
        <v>1936251</v>
      </c>
      <c r="F781" s="183"/>
      <c r="G781" s="195"/>
      <c r="H781" s="185"/>
      <c r="I781" s="186">
        <f>+ROUND(SUM(I766:I780),0)</f>
        <v>662403</v>
      </c>
      <c r="J781" s="186">
        <f>+ROUND(SUM(J766:J780),0)</f>
        <v>1152052</v>
      </c>
      <c r="K781" s="186">
        <f>+ROUND(SUM(K766:K780),0)</f>
        <v>121796</v>
      </c>
    </row>
    <row r="782" spans="2:12" hidden="1" x14ac:dyDescent="0.25"/>
    <row r="783" spans="2:12" ht="15.6" hidden="1" x14ac:dyDescent="0.25">
      <c r="B783" s="159" t="s">
        <v>457</v>
      </c>
      <c r="C783" s="160"/>
      <c r="D783" s="161" t="s">
        <v>458</v>
      </c>
      <c r="E783" s="162"/>
      <c r="F783" s="163"/>
      <c r="G783" s="164"/>
      <c r="H783" s="202"/>
      <c r="I783" s="165"/>
      <c r="J783" s="165"/>
      <c r="K783" s="165"/>
      <c r="L783" s="166">
        <f>+E788</f>
        <v>84064</v>
      </c>
    </row>
    <row r="784" spans="2:12" ht="15" hidden="1" x14ac:dyDescent="0.25">
      <c r="B784" s="168"/>
      <c r="C784" s="168" t="s">
        <v>88</v>
      </c>
      <c r="D784" s="169" t="s">
        <v>89</v>
      </c>
      <c r="E784" s="211" t="s">
        <v>87</v>
      </c>
      <c r="F784" s="329">
        <v>0.14000000000000001</v>
      </c>
      <c r="G784" s="171">
        <f>+VLOOKUP(C784,'[114]Mano de Obra'!$A$7:$G$37,4,FALSE)</f>
        <v>441510</v>
      </c>
      <c r="H784" s="204"/>
      <c r="I784" s="173"/>
      <c r="J784" s="173"/>
      <c r="K784" s="174">
        <f>+(F784*G784*(1+H784))</f>
        <v>61811.400000000009</v>
      </c>
    </row>
    <row r="785" spans="2:12" ht="15" hidden="1" x14ac:dyDescent="0.25">
      <c r="B785" s="168"/>
      <c r="C785" s="168"/>
      <c r="D785" s="169" t="s">
        <v>459</v>
      </c>
      <c r="E785" s="211" t="s">
        <v>91</v>
      </c>
      <c r="F785" s="306">
        <v>0.12</v>
      </c>
      <c r="G785" s="171">
        <f>K784</f>
        <v>61811.400000000009</v>
      </c>
      <c r="H785" s="204"/>
      <c r="I785" s="173"/>
      <c r="J785" s="174">
        <f>+(F785*G785*(1+H785))</f>
        <v>7417.3680000000004</v>
      </c>
      <c r="K785" s="174"/>
    </row>
    <row r="786" spans="2:12" ht="15" hidden="1" x14ac:dyDescent="0.25">
      <c r="B786" s="168"/>
      <c r="C786" s="168"/>
      <c r="D786" s="210" t="s">
        <v>90</v>
      </c>
      <c r="E786" s="211" t="s">
        <v>91</v>
      </c>
      <c r="F786" s="331">
        <v>0.12</v>
      </c>
      <c r="G786" s="205">
        <f>+K784</f>
        <v>61811.400000000009</v>
      </c>
      <c r="H786" s="204"/>
      <c r="I786" s="173"/>
      <c r="J786" s="173"/>
      <c r="K786" s="174">
        <f>+(F786*G786*(1+H786))</f>
        <v>7417.3680000000004</v>
      </c>
    </row>
    <row r="787" spans="2:12" ht="15" hidden="1" x14ac:dyDescent="0.25">
      <c r="B787" s="168"/>
      <c r="C787" s="168"/>
      <c r="D787" s="169" t="s">
        <v>92</v>
      </c>
      <c r="E787" s="170" t="s">
        <v>91</v>
      </c>
      <c r="F787" s="178">
        <v>0.12</v>
      </c>
      <c r="G787" s="171">
        <f>+K784</f>
        <v>61811.400000000009</v>
      </c>
      <c r="H787" s="204"/>
      <c r="I787" s="173"/>
      <c r="J787" s="174">
        <f>+(F787*G787*(1+H787))</f>
        <v>7417.3680000000004</v>
      </c>
      <c r="K787" s="179"/>
    </row>
    <row r="788" spans="2:12" ht="15.6" hidden="1" x14ac:dyDescent="0.25">
      <c r="B788" s="180"/>
      <c r="C788" s="180"/>
      <c r="D788" s="181" t="s">
        <v>93</v>
      </c>
      <c r="E788" s="182">
        <f>+ROUND(SUM(I788:K788),0)</f>
        <v>84064</v>
      </c>
      <c r="F788" s="183"/>
      <c r="G788" s="195"/>
      <c r="H788" s="185"/>
      <c r="I788" s="186">
        <f>+ROUND(SUM(I784:I787),0)</f>
        <v>0</v>
      </c>
      <c r="J788" s="186">
        <f>+ROUND(SUM(J784:J787),0)</f>
        <v>14835</v>
      </c>
      <c r="K788" s="186">
        <f>+ROUND(SUM(K784:K787),0)</f>
        <v>69229</v>
      </c>
    </row>
    <row r="789" spans="2:12" hidden="1" x14ac:dyDescent="0.25"/>
    <row r="790" spans="2:12" ht="31.95" hidden="1" customHeight="1" x14ac:dyDescent="0.25">
      <c r="B790" s="335" t="s">
        <v>460</v>
      </c>
      <c r="C790" s="160"/>
      <c r="D790" s="161" t="s">
        <v>461</v>
      </c>
      <c r="E790" s="162"/>
      <c r="F790" s="163"/>
      <c r="G790" s="164"/>
      <c r="H790" s="202"/>
      <c r="I790" s="165"/>
      <c r="J790" s="165"/>
      <c r="K790" s="165"/>
      <c r="L790" s="166">
        <f>+E798</f>
        <v>211621</v>
      </c>
    </row>
    <row r="791" spans="2:12" ht="15" hidden="1" x14ac:dyDescent="0.25">
      <c r="B791" s="168"/>
      <c r="C791" s="336" t="s">
        <v>427</v>
      </c>
      <c r="D791" s="169" t="s">
        <v>462</v>
      </c>
      <c r="E791" s="170" t="s">
        <v>366</v>
      </c>
      <c r="F791" s="175">
        <v>7</v>
      </c>
      <c r="G791" s="171">
        <f>+VLOOKUP(C791,'[114]Insumos-Equipo M_L'!$A$2:$D$135,4,FALSE)</f>
        <v>5272.86726</v>
      </c>
      <c r="H791" s="204">
        <v>0.05</v>
      </c>
      <c r="I791" s="174"/>
      <c r="J791" s="174">
        <f>+(F791*G791*(1+H791))</f>
        <v>38755.574360999999</v>
      </c>
      <c r="K791" s="173"/>
    </row>
    <row r="792" spans="2:12" ht="15" hidden="1" x14ac:dyDescent="0.25">
      <c r="B792" s="168"/>
      <c r="C792" s="168" t="s">
        <v>463</v>
      </c>
      <c r="D792" s="169" t="s">
        <v>464</v>
      </c>
      <c r="E792" s="211" t="s">
        <v>465</v>
      </c>
      <c r="F792" s="329">
        <v>1</v>
      </c>
      <c r="G792" s="171">
        <f>+VLOOKUP(C792,'[114]Insumos-Equipo M_L'!$A$2:$D$135,4,FALSE)</f>
        <v>91375</v>
      </c>
      <c r="H792" s="204"/>
      <c r="I792" s="173"/>
      <c r="J792" s="174">
        <f>+(F792*G792*(1+H792))</f>
        <v>91375</v>
      </c>
      <c r="K792" s="174"/>
    </row>
    <row r="793" spans="2:12" ht="15" hidden="1" x14ac:dyDescent="0.25">
      <c r="B793" s="168"/>
      <c r="C793" s="337" t="s">
        <v>466</v>
      </c>
      <c r="D793" s="338" t="s">
        <v>467</v>
      </c>
      <c r="E793" s="211" t="s">
        <v>306</v>
      </c>
      <c r="F793" s="329">
        <v>1.85</v>
      </c>
      <c r="G793" s="171">
        <f>+VLOOKUP(C793,'[114]Insumos-Equipo M_L'!$A$2:$D$135,4,FALSE)</f>
        <v>18274.104166666668</v>
      </c>
      <c r="H793" s="204"/>
      <c r="I793" s="173"/>
      <c r="J793" s="174">
        <f>+(F793*G793*(1+H793))</f>
        <v>33807.092708333337</v>
      </c>
      <c r="K793" s="174"/>
    </row>
    <row r="794" spans="2:12" ht="15" hidden="1" x14ac:dyDescent="0.25">
      <c r="B794" s="168"/>
      <c r="C794" s="168" t="s">
        <v>88</v>
      </c>
      <c r="D794" s="169" t="s">
        <v>89</v>
      </c>
      <c r="E794" s="211" t="s">
        <v>200</v>
      </c>
      <c r="F794" s="329">
        <v>0.08</v>
      </c>
      <c r="G794" s="171">
        <f>+VLOOKUP(C794,'[114]Mano de Obra'!$A$7:$G$37,4,FALSE)</f>
        <v>441510</v>
      </c>
      <c r="H794" s="204"/>
      <c r="I794" s="173"/>
      <c r="J794" s="173"/>
      <c r="K794" s="174">
        <f>+(F794*G794*(1+H794))</f>
        <v>35320.800000000003</v>
      </c>
    </row>
    <row r="795" spans="2:12" ht="15" hidden="1" x14ac:dyDescent="0.25">
      <c r="B795" s="168"/>
      <c r="C795" s="168"/>
      <c r="D795" s="210" t="s">
        <v>90</v>
      </c>
      <c r="E795" s="211" t="s">
        <v>91</v>
      </c>
      <c r="F795" s="331">
        <v>0.1</v>
      </c>
      <c r="G795" s="205">
        <f>+K794</f>
        <v>35320.800000000003</v>
      </c>
      <c r="H795" s="204"/>
      <c r="I795" s="173"/>
      <c r="J795" s="173"/>
      <c r="K795" s="174">
        <f>+(F795*G795*(1+H795))</f>
        <v>3532.0800000000004</v>
      </c>
    </row>
    <row r="796" spans="2:12" ht="15" hidden="1" x14ac:dyDescent="0.25">
      <c r="B796" s="168"/>
      <c r="C796" s="179"/>
      <c r="D796" s="169" t="s">
        <v>214</v>
      </c>
      <c r="E796" s="170" t="s">
        <v>91</v>
      </c>
      <c r="F796" s="178">
        <v>0.15</v>
      </c>
      <c r="G796" s="205">
        <f>+K794</f>
        <v>35320.800000000003</v>
      </c>
      <c r="H796" s="172"/>
      <c r="I796" s="174"/>
      <c r="J796" s="174"/>
      <c r="K796" s="174">
        <f>+(F796*G796*(1+H796))</f>
        <v>5298.12</v>
      </c>
    </row>
    <row r="797" spans="2:12" ht="15" hidden="1" x14ac:dyDescent="0.25">
      <c r="B797" s="168"/>
      <c r="C797" s="168"/>
      <c r="D797" s="169" t="s">
        <v>92</v>
      </c>
      <c r="E797" s="170" t="s">
        <v>91</v>
      </c>
      <c r="F797" s="178">
        <v>0.1</v>
      </c>
      <c r="G797" s="171">
        <f>+K794</f>
        <v>35320.800000000003</v>
      </c>
      <c r="H797" s="204"/>
      <c r="I797" s="173"/>
      <c r="J797" s="174">
        <f>+(F797*G797*(1+H797))</f>
        <v>3532.0800000000004</v>
      </c>
      <c r="K797" s="179"/>
    </row>
    <row r="798" spans="2:12" ht="15.6" hidden="1" x14ac:dyDescent="0.25">
      <c r="B798" s="180"/>
      <c r="C798" s="180"/>
      <c r="D798" s="181" t="s">
        <v>93</v>
      </c>
      <c r="E798" s="182">
        <f>+ROUND(SUM(I798:K798),0)</f>
        <v>211621</v>
      </c>
      <c r="F798" s="183"/>
      <c r="G798" s="195"/>
      <c r="H798" s="185"/>
      <c r="I798" s="186">
        <f>+ROUND(SUM(I791:I797),0)</f>
        <v>0</v>
      </c>
      <c r="J798" s="186">
        <f>+ROUND(SUM(J791:J797),0)</f>
        <v>167470</v>
      </c>
      <c r="K798" s="186">
        <f>+ROUND(SUM(K791:K797),0)</f>
        <v>44151</v>
      </c>
    </row>
    <row r="799" spans="2:12" hidden="1" x14ac:dyDescent="0.25"/>
    <row r="800" spans="2:12" hidden="1" x14ac:dyDescent="0.25">
      <c r="H800" s="167"/>
    </row>
    <row r="801" spans="2:15" hidden="1" x14ac:dyDescent="0.25"/>
    <row r="802" spans="2:15" ht="31.95" hidden="1" customHeight="1" x14ac:dyDescent="0.25">
      <c r="B802" s="335">
        <v>11.005000000000001</v>
      </c>
      <c r="C802" s="160"/>
      <c r="D802" s="161" t="s">
        <v>468</v>
      </c>
      <c r="E802" s="162"/>
      <c r="F802" s="163"/>
      <c r="G802" s="164"/>
      <c r="H802" s="202"/>
      <c r="I802" s="165"/>
      <c r="J802" s="165"/>
      <c r="K802" s="165"/>
      <c r="L802" s="166">
        <f>+E816</f>
        <v>381175</v>
      </c>
    </row>
    <row r="803" spans="2:15" ht="15" hidden="1" x14ac:dyDescent="0.25">
      <c r="B803" s="168"/>
      <c r="C803" s="336" t="s">
        <v>249</v>
      </c>
      <c r="D803" s="169" t="s">
        <v>250</v>
      </c>
      <c r="E803" s="170" t="s">
        <v>87</v>
      </c>
      <c r="F803" s="175">
        <v>2.5000000000000001E-2</v>
      </c>
      <c r="G803" s="171">
        <v>37056.6</v>
      </c>
      <c r="H803" s="204"/>
      <c r="I803" s="174">
        <v>926.41499999999996</v>
      </c>
      <c r="J803" s="174"/>
      <c r="K803" s="173"/>
    </row>
    <row r="804" spans="2:15" ht="15" hidden="1" x14ac:dyDescent="0.25">
      <c r="B804" s="168"/>
      <c r="C804" s="336" t="s">
        <v>175</v>
      </c>
      <c r="D804" s="169" t="s">
        <v>176</v>
      </c>
      <c r="E804" s="170" t="s">
        <v>36</v>
      </c>
      <c r="F804" s="175">
        <v>3.5</v>
      </c>
      <c r="G804" s="171">
        <v>52626.485249999998</v>
      </c>
      <c r="H804" s="204"/>
      <c r="I804" s="174"/>
      <c r="J804" s="174">
        <v>184192.69837499998</v>
      </c>
      <c r="K804" s="173"/>
    </row>
    <row r="805" spans="2:15" ht="15" hidden="1" x14ac:dyDescent="0.25">
      <c r="B805" s="168"/>
      <c r="C805" s="336" t="s">
        <v>253</v>
      </c>
      <c r="D805" s="169" t="s">
        <v>254</v>
      </c>
      <c r="E805" s="170" t="s">
        <v>255</v>
      </c>
      <c r="F805" s="175">
        <v>0.1</v>
      </c>
      <c r="G805" s="171">
        <v>22685.591700000001</v>
      </c>
      <c r="H805" s="204"/>
      <c r="I805" s="174"/>
      <c r="J805" s="174">
        <v>2268.55917</v>
      </c>
      <c r="K805" s="173"/>
    </row>
    <row r="806" spans="2:15" ht="15" hidden="1" x14ac:dyDescent="0.25">
      <c r="B806" s="168"/>
      <c r="C806" s="336" t="s">
        <v>256</v>
      </c>
      <c r="D806" s="169" t="s">
        <v>257</v>
      </c>
      <c r="E806" s="170" t="s">
        <v>35</v>
      </c>
      <c r="F806" s="175">
        <v>1.0000000000000002E-2</v>
      </c>
      <c r="G806" s="171">
        <v>349315.193493</v>
      </c>
      <c r="H806" s="204"/>
      <c r="I806" s="174"/>
      <c r="J806" s="174">
        <v>3493.1519349300006</v>
      </c>
      <c r="K806" s="173"/>
    </row>
    <row r="807" spans="2:15" ht="15" hidden="1" x14ac:dyDescent="0.25">
      <c r="B807" s="168"/>
      <c r="C807" s="336" t="s">
        <v>258</v>
      </c>
      <c r="D807" s="169" t="s">
        <v>259</v>
      </c>
      <c r="E807" s="170" t="s">
        <v>87</v>
      </c>
      <c r="F807" s="175">
        <v>2.5000000000000001E-2</v>
      </c>
      <c r="G807" s="171">
        <v>64771.200000000004</v>
      </c>
      <c r="H807" s="204"/>
      <c r="I807" s="174">
        <v>1619.2800000000002</v>
      </c>
      <c r="J807" s="174"/>
      <c r="K807" s="173"/>
    </row>
    <row r="808" spans="2:15" ht="15" hidden="1" x14ac:dyDescent="0.25">
      <c r="B808" s="168"/>
      <c r="C808" s="168" t="s">
        <v>260</v>
      </c>
      <c r="D808" s="169" t="s">
        <v>261</v>
      </c>
      <c r="E808" s="211" t="s">
        <v>124</v>
      </c>
      <c r="F808" s="329">
        <v>2</v>
      </c>
      <c r="G808" s="171">
        <v>1839.3723</v>
      </c>
      <c r="H808" s="204"/>
      <c r="I808" s="173"/>
      <c r="J808" s="174">
        <v>3678.7446</v>
      </c>
      <c r="K808" s="174"/>
      <c r="M808" s="190"/>
      <c r="N808" s="190"/>
      <c r="O808" s="190"/>
    </row>
    <row r="809" spans="2:15" ht="15" hidden="1" x14ac:dyDescent="0.25">
      <c r="B809" s="168"/>
      <c r="C809" s="168" t="s">
        <v>262</v>
      </c>
      <c r="D809" s="169" t="s">
        <v>263</v>
      </c>
      <c r="E809" s="211" t="s">
        <v>79</v>
      </c>
      <c r="F809" s="329">
        <v>0.1</v>
      </c>
      <c r="G809" s="171">
        <v>7112.23956</v>
      </c>
      <c r="H809" s="204"/>
      <c r="I809" s="173"/>
      <c r="J809" s="174">
        <v>711.22395600000004</v>
      </c>
      <c r="K809" s="174"/>
      <c r="M809" s="190"/>
      <c r="N809" s="190"/>
      <c r="O809" s="190"/>
    </row>
    <row r="810" spans="2:15" ht="15" hidden="1" x14ac:dyDescent="0.25">
      <c r="B810" s="168"/>
      <c r="C810" s="168" t="s">
        <v>264</v>
      </c>
      <c r="D810" s="169" t="s">
        <v>265</v>
      </c>
      <c r="E810" s="211" t="s">
        <v>266</v>
      </c>
      <c r="F810" s="329">
        <v>0.1</v>
      </c>
      <c r="G810" s="171">
        <v>50153.551380000004</v>
      </c>
      <c r="H810" s="204"/>
      <c r="I810" s="173"/>
      <c r="J810" s="174">
        <v>5015.3551380000008</v>
      </c>
      <c r="K810" s="174"/>
      <c r="M810" s="190"/>
      <c r="N810" s="190"/>
      <c r="O810" s="190"/>
    </row>
    <row r="811" spans="2:15" ht="15" hidden="1" x14ac:dyDescent="0.25">
      <c r="B811" s="168"/>
      <c r="C811" s="168" t="s">
        <v>267</v>
      </c>
      <c r="D811" s="169" t="s">
        <v>268</v>
      </c>
      <c r="E811" s="211" t="s">
        <v>87</v>
      </c>
      <c r="F811" s="329">
        <v>2.5000000000000001E-2</v>
      </c>
      <c r="G811" s="171">
        <v>121986</v>
      </c>
      <c r="H811" s="204"/>
      <c r="I811" s="173"/>
      <c r="J811" s="174"/>
      <c r="K811" s="174">
        <v>3049.65</v>
      </c>
      <c r="M811" s="190"/>
      <c r="N811" s="190"/>
      <c r="O811" s="190"/>
    </row>
    <row r="812" spans="2:15" ht="15" hidden="1" x14ac:dyDescent="0.25">
      <c r="B812" s="168"/>
      <c r="C812" s="339" t="s">
        <v>139</v>
      </c>
      <c r="D812" s="338" t="s">
        <v>140</v>
      </c>
      <c r="E812" s="211" t="s">
        <v>87</v>
      </c>
      <c r="F812" s="329">
        <v>0.621</v>
      </c>
      <c r="G812" s="171">
        <v>257525</v>
      </c>
      <c r="H812" s="204"/>
      <c r="I812" s="173"/>
      <c r="J812" s="174"/>
      <c r="K812" s="174">
        <v>159923.02499999999</v>
      </c>
      <c r="M812" s="190"/>
      <c r="N812" s="190"/>
      <c r="O812" s="190"/>
    </row>
    <row r="813" spans="2:15" ht="15" hidden="1" x14ac:dyDescent="0.25">
      <c r="B813" s="168"/>
      <c r="C813" s="168"/>
      <c r="D813" s="169" t="s">
        <v>90</v>
      </c>
      <c r="E813" s="211" t="s">
        <v>91</v>
      </c>
      <c r="F813" s="329">
        <v>0.05</v>
      </c>
      <c r="G813" s="171">
        <v>162972.67499999999</v>
      </c>
      <c r="H813" s="204"/>
      <c r="I813" s="173"/>
      <c r="J813" s="173"/>
      <c r="K813" s="174">
        <v>8148.63375</v>
      </c>
    </row>
    <row r="814" spans="2:15" ht="15" hidden="1" x14ac:dyDescent="0.25">
      <c r="B814" s="168"/>
      <c r="C814" s="168"/>
      <c r="D814" s="169" t="s">
        <v>92</v>
      </c>
      <c r="E814" s="211" t="s">
        <v>91</v>
      </c>
      <c r="F814" s="329">
        <v>0.05</v>
      </c>
      <c r="G814" s="171">
        <v>162972.67499999999</v>
      </c>
      <c r="H814" s="204"/>
      <c r="I814" s="173"/>
      <c r="J814" s="173">
        <v>8148.63375</v>
      </c>
      <c r="K814" s="174"/>
    </row>
    <row r="815" spans="2:15" ht="15" hidden="1" x14ac:dyDescent="0.25">
      <c r="B815" s="168"/>
      <c r="C815" s="168"/>
      <c r="D815" s="169"/>
      <c r="E815" s="170" t="s">
        <v>91</v>
      </c>
      <c r="F815" s="178"/>
      <c r="G815" s="171">
        <f>+K813</f>
        <v>8148.63375</v>
      </c>
      <c r="H815" s="204"/>
      <c r="I815" s="173"/>
      <c r="J815" s="174">
        <f>+(F815*G815*(1+H815))</f>
        <v>0</v>
      </c>
      <c r="K815" s="179"/>
    </row>
    <row r="816" spans="2:15" ht="15.6" hidden="1" x14ac:dyDescent="0.25">
      <c r="B816" s="180"/>
      <c r="C816" s="180"/>
      <c r="D816" s="181" t="s">
        <v>93</v>
      </c>
      <c r="E816" s="182">
        <f>+ROUND(SUM(I816:K816),0)</f>
        <v>381175</v>
      </c>
      <c r="F816" s="183"/>
      <c r="G816" s="195"/>
      <c r="H816" s="185"/>
      <c r="I816" s="186">
        <f>+ROUND(SUM(I803:I815),0)</f>
        <v>2546</v>
      </c>
      <c r="J816" s="186">
        <f>+ROUND(SUM(J803:J815),0)</f>
        <v>207508</v>
      </c>
      <c r="K816" s="186">
        <f>+ROUND(SUM(K803:K815),0)</f>
        <v>171121</v>
      </c>
    </row>
    <row r="817" spans="1:12" hidden="1" x14ac:dyDescent="0.25">
      <c r="L817" s="158"/>
    </row>
    <row r="818" spans="1:12" ht="15.6" x14ac:dyDescent="0.25">
      <c r="B818" s="152" t="s">
        <v>63</v>
      </c>
      <c r="C818" s="152" t="s">
        <v>64</v>
      </c>
      <c r="D818" s="152" t="s">
        <v>4</v>
      </c>
      <c r="E818" s="152" t="s">
        <v>65</v>
      </c>
      <c r="F818" s="153" t="s">
        <v>66</v>
      </c>
      <c r="G818" s="153" t="s">
        <v>67</v>
      </c>
      <c r="H818" s="155" t="s">
        <v>68</v>
      </c>
      <c r="I818" s="156" t="s">
        <v>69</v>
      </c>
      <c r="J818" s="156" t="s">
        <v>70</v>
      </c>
      <c r="K818" s="156" t="s">
        <v>71</v>
      </c>
    </row>
    <row r="819" spans="1:12" ht="15.6" x14ac:dyDescent="0.3">
      <c r="A819" s="158">
        <v>1</v>
      </c>
      <c r="B819" s="340">
        <v>1.01</v>
      </c>
      <c r="C819" s="160"/>
      <c r="D819" s="235" t="s">
        <v>469</v>
      </c>
      <c r="E819" s="160" t="s">
        <v>470</v>
      </c>
      <c r="F819" s="163"/>
      <c r="G819" s="164"/>
      <c r="H819" s="202"/>
      <c r="I819" s="165"/>
      <c r="J819" s="165"/>
      <c r="K819" s="165"/>
      <c r="L819" s="166">
        <f>+E827</f>
        <v>122716</v>
      </c>
    </row>
    <row r="820" spans="1:12" ht="15" x14ac:dyDescent="0.25">
      <c r="B820" s="168"/>
      <c r="C820" s="168" t="s">
        <v>471</v>
      </c>
      <c r="D820" s="169" t="s">
        <v>472</v>
      </c>
      <c r="E820" s="170" t="s">
        <v>97</v>
      </c>
      <c r="F820" s="176">
        <v>0.5</v>
      </c>
      <c r="G820" s="171">
        <f>+VLOOKUP(C820,'[115]Insumos-Equipo M_L'!$A$2:$D$171,4,FALSE)</f>
        <v>11400</v>
      </c>
      <c r="H820" s="204">
        <v>0.03</v>
      </c>
      <c r="I820" s="174"/>
      <c r="J820" s="174">
        <f>+(F820*G820*(1+H820))</f>
        <v>5871</v>
      </c>
      <c r="K820" s="173"/>
    </row>
    <row r="821" spans="1:12" ht="15" x14ac:dyDescent="0.25">
      <c r="B821" s="168"/>
      <c r="C821" s="168" t="s">
        <v>115</v>
      </c>
      <c r="D821" s="169" t="s">
        <v>116</v>
      </c>
      <c r="E821" s="170" t="s">
        <v>97</v>
      </c>
      <c r="F821" s="176">
        <v>0.5</v>
      </c>
      <c r="G821" s="171">
        <v>9491.1610680000013</v>
      </c>
      <c r="H821" s="204">
        <v>0.03</v>
      </c>
      <c r="I821" s="174"/>
      <c r="J821" s="174">
        <f>+(F821*G821*(1+H821))</f>
        <v>4887.9479500200005</v>
      </c>
      <c r="K821" s="174"/>
    </row>
    <row r="822" spans="1:12" ht="15" x14ac:dyDescent="0.25">
      <c r="B822" s="168"/>
      <c r="C822" s="168"/>
      <c r="D822" s="169" t="s">
        <v>473</v>
      </c>
      <c r="E822" s="211" t="s">
        <v>298</v>
      </c>
      <c r="F822" s="329">
        <v>1</v>
      </c>
      <c r="G822" s="171">
        <f>[116]COTIZACIONES!F66</f>
        <v>10710</v>
      </c>
      <c r="H822" s="204">
        <v>0.03</v>
      </c>
      <c r="I822" s="173"/>
      <c r="J822" s="174">
        <f>+(F822*G822*(1+H822))</f>
        <v>11031.300000000001</v>
      </c>
      <c r="K822" s="174"/>
    </row>
    <row r="823" spans="1:12" ht="15" x14ac:dyDescent="0.25">
      <c r="B823" s="168"/>
      <c r="C823" s="274" t="s">
        <v>155</v>
      </c>
      <c r="D823" s="169" t="s">
        <v>474</v>
      </c>
      <c r="E823" s="211" t="s">
        <v>298</v>
      </c>
      <c r="F823" s="329">
        <v>4.5</v>
      </c>
      <c r="G823" s="171">
        <v>8691.375</v>
      </c>
      <c r="H823" s="204">
        <v>0.03</v>
      </c>
      <c r="I823" s="173"/>
      <c r="J823" s="174">
        <f>+(F823*G823*(1+H823))</f>
        <v>40284.523125</v>
      </c>
      <c r="K823" s="174"/>
    </row>
    <row r="824" spans="1:12" ht="15" x14ac:dyDescent="0.25">
      <c r="B824" s="168"/>
      <c r="C824" s="168" t="s">
        <v>130</v>
      </c>
      <c r="D824" s="169" t="s">
        <v>131</v>
      </c>
      <c r="E824" s="170" t="s">
        <v>132</v>
      </c>
      <c r="F824" s="177">
        <v>0.8</v>
      </c>
      <c r="G824" s="171">
        <f>+VLOOKUP(C824,'[114]Insumos-Equipo M_L'!$A$2:$D$135,4,FALSE)</f>
        <v>3031.8986745000002</v>
      </c>
      <c r="H824" s="204">
        <v>0.1</v>
      </c>
      <c r="I824" s="174"/>
      <c r="J824" s="174">
        <f>+(F824*G824*(1+H824))</f>
        <v>2668.0708335600002</v>
      </c>
      <c r="K824" s="174"/>
    </row>
    <row r="825" spans="1:12" ht="15" x14ac:dyDescent="0.25">
      <c r="B825" s="168"/>
      <c r="C825" s="341" t="s">
        <v>119</v>
      </c>
      <c r="D825" s="252" t="s">
        <v>120</v>
      </c>
      <c r="E825" s="211" t="s">
        <v>200</v>
      </c>
      <c r="F825" s="329">
        <v>0.24726633482678942</v>
      </c>
      <c r="G825" s="171">
        <f>+VLOOKUP(C825,'[115]Mano de Obra'!$A$7:$G$35,4,FALSE)</f>
        <v>213143</v>
      </c>
      <c r="H825" s="204"/>
      <c r="I825" s="173"/>
      <c r="J825" s="173"/>
      <c r="K825" s="174">
        <f>+(F825*G825*(1+H825))</f>
        <v>52703.088403986374</v>
      </c>
    </row>
    <row r="826" spans="1:12" ht="15" x14ac:dyDescent="0.25">
      <c r="B826" s="168"/>
      <c r="C826" s="168"/>
      <c r="D826" s="169" t="s">
        <v>92</v>
      </c>
      <c r="E826" s="170" t="s">
        <v>91</v>
      </c>
      <c r="F826" s="178">
        <v>0.1</v>
      </c>
      <c r="G826" s="171">
        <f>+K825</f>
        <v>52703.088403986374</v>
      </c>
      <c r="H826" s="204"/>
      <c r="I826" s="173"/>
      <c r="J826" s="174">
        <f>+(F826*G826*(1+H826))</f>
        <v>5270.3088403986376</v>
      </c>
      <c r="K826" s="179"/>
    </row>
    <row r="827" spans="1:12" ht="15.6" x14ac:dyDescent="0.25">
      <c r="D827" s="181" t="s">
        <v>93</v>
      </c>
      <c r="E827" s="182">
        <f>+ROUND(SUM(I827:K827),0)</f>
        <v>122716</v>
      </c>
      <c r="F827" s="342"/>
      <c r="G827" s="195"/>
      <c r="H827" s="185"/>
      <c r="I827" s="186">
        <f>+ROUND(SUM(I820:I826),0)</f>
        <v>0</v>
      </c>
      <c r="J827" s="186">
        <f>+ROUND(SUM(J820:J826),0)</f>
        <v>70013</v>
      </c>
      <c r="K827" s="186">
        <f>+ROUND(SUM(K820:K826),0)</f>
        <v>52703</v>
      </c>
    </row>
    <row r="828" spans="1:12" x14ac:dyDescent="0.25">
      <c r="L828" s="158"/>
    </row>
    <row r="829" spans="1:12" s="343" customFormat="1" ht="42" customHeight="1" x14ac:dyDescent="0.3">
      <c r="A829" s="343">
        <v>4</v>
      </c>
      <c r="B829" s="340">
        <v>2.0099999999999998</v>
      </c>
      <c r="C829" s="160"/>
      <c r="D829" s="237" t="s">
        <v>29</v>
      </c>
      <c r="E829" s="272" t="s">
        <v>475</v>
      </c>
      <c r="F829" s="344"/>
      <c r="G829" s="345"/>
      <c r="H829" s="346"/>
      <c r="I829" s="346"/>
      <c r="J829" s="346"/>
      <c r="K829" s="346"/>
      <c r="L829" s="166">
        <f>+E835</f>
        <v>228821</v>
      </c>
    </row>
    <row r="830" spans="1:12" ht="15" x14ac:dyDescent="0.25">
      <c r="B830" s="347"/>
      <c r="C830" s="168" t="s">
        <v>476</v>
      </c>
      <c r="D830" s="169" t="s">
        <v>477</v>
      </c>
      <c r="E830" s="170" t="s">
        <v>366</v>
      </c>
      <c r="F830" s="175">
        <v>1</v>
      </c>
      <c r="G830" s="171">
        <f>+VLOOKUP(C830,'[115]Insumos-Equipo M_L'!$A$2:$D$171,4,FALSE)</f>
        <v>14190</v>
      </c>
      <c r="H830" s="204">
        <v>0.05</v>
      </c>
      <c r="I830" s="174"/>
      <c r="J830" s="174">
        <f>+(F830*G830*(1+H830))</f>
        <v>14899.5</v>
      </c>
      <c r="K830" s="173"/>
    </row>
    <row r="831" spans="1:12" ht="15" x14ac:dyDescent="0.25">
      <c r="B831" s="347"/>
      <c r="C831" s="168" t="s">
        <v>478</v>
      </c>
      <c r="D831" s="169" t="s">
        <v>479</v>
      </c>
      <c r="E831" s="211" t="s">
        <v>366</v>
      </c>
      <c r="F831" s="329">
        <v>1.5</v>
      </c>
      <c r="G831" s="171">
        <f>+VLOOKUP(C831,'[115]Insumos-Equipo M_L'!$A$2:$D$171,4,FALSE)</f>
        <v>3050</v>
      </c>
      <c r="H831" s="204"/>
      <c r="I831" s="173"/>
      <c r="J831" s="174">
        <f>+(F831*G831*(1+H831))</f>
        <v>4575</v>
      </c>
      <c r="K831" s="174"/>
    </row>
    <row r="832" spans="1:12" ht="15" x14ac:dyDescent="0.25">
      <c r="B832" s="347"/>
      <c r="C832" s="168">
        <v>5.0030000000000001</v>
      </c>
      <c r="D832" s="338" t="s">
        <v>98</v>
      </c>
      <c r="E832" s="211" t="s">
        <v>465</v>
      </c>
      <c r="F832" s="329">
        <v>0.13571446153846153</v>
      </c>
      <c r="G832" s="348">
        <v>700922</v>
      </c>
      <c r="H832" s="204">
        <v>0.03</v>
      </c>
      <c r="I832" s="173"/>
      <c r="J832" s="174">
        <f>+(F832*G832*(1+H832))</f>
        <v>97979.009364775382</v>
      </c>
      <c r="K832" s="174"/>
    </row>
    <row r="833" spans="1:12" ht="15" x14ac:dyDescent="0.25">
      <c r="B833" s="347"/>
      <c r="C833" s="168" t="s">
        <v>139</v>
      </c>
      <c r="D833" s="169" t="s">
        <v>140</v>
      </c>
      <c r="E833" s="211" t="s">
        <v>200</v>
      </c>
      <c r="F833" s="329">
        <v>0.35</v>
      </c>
      <c r="G833" s="171">
        <f>+VLOOKUP(C833,'[117]Mano de Obra'!$A$7:$G$37,4,FALSE)</f>
        <v>289265</v>
      </c>
      <c r="H833" s="204"/>
      <c r="I833" s="173"/>
      <c r="J833" s="173"/>
      <c r="K833" s="174">
        <f>+(F833*G833*(1+H833))</f>
        <v>101242.75</v>
      </c>
    </row>
    <row r="834" spans="1:12" ht="15" x14ac:dyDescent="0.25">
      <c r="B834" s="347"/>
      <c r="C834" s="168"/>
      <c r="D834" s="169" t="s">
        <v>92</v>
      </c>
      <c r="E834" s="170" t="s">
        <v>91</v>
      </c>
      <c r="F834" s="178">
        <v>0.1</v>
      </c>
      <c r="G834" s="171">
        <f>+K833</f>
        <v>101242.75</v>
      </c>
      <c r="H834" s="204"/>
      <c r="I834" s="173"/>
      <c r="J834" s="174">
        <f>+(F834*G834*(1+H834))</f>
        <v>10124.275000000001</v>
      </c>
      <c r="K834" s="179"/>
    </row>
    <row r="835" spans="1:12" ht="15.6" x14ac:dyDescent="0.25">
      <c r="B835" s="347"/>
      <c r="C835" s="180"/>
      <c r="D835" s="181" t="s">
        <v>93</v>
      </c>
      <c r="E835" s="182">
        <f>+ROUND(SUM(I835:K835),0)</f>
        <v>228821</v>
      </c>
      <c r="F835" s="342"/>
      <c r="G835" s="195"/>
      <c r="H835" s="185"/>
      <c r="I835" s="186">
        <f>+ROUND(SUM(I830:I834),0)</f>
        <v>0</v>
      </c>
      <c r="J835" s="186">
        <f>+ROUND(SUM(J830:J834),0)</f>
        <v>127578</v>
      </c>
      <c r="K835" s="186">
        <f>+ROUND(SUM(K830:K834),0)</f>
        <v>101243</v>
      </c>
    </row>
    <row r="836" spans="1:12" x14ac:dyDescent="0.25">
      <c r="L836" s="158"/>
    </row>
    <row r="837" spans="1:12" ht="37.5" customHeight="1" x14ac:dyDescent="0.3">
      <c r="A837" s="158">
        <v>5</v>
      </c>
      <c r="B837" s="340">
        <v>2.02</v>
      </c>
      <c r="C837" s="160"/>
      <c r="D837" s="237" t="s">
        <v>30</v>
      </c>
      <c r="E837" s="272" t="s">
        <v>480</v>
      </c>
      <c r="F837" s="163"/>
      <c r="G837" s="201"/>
      <c r="H837" s="203"/>
      <c r="I837" s="203"/>
      <c r="J837" s="203"/>
      <c r="K837" s="203"/>
      <c r="L837" s="166">
        <f>+E850</f>
        <v>1425622</v>
      </c>
    </row>
    <row r="838" spans="1:12" ht="15" x14ac:dyDescent="0.25">
      <c r="B838" s="168"/>
      <c r="C838" s="168"/>
      <c r="D838" s="169" t="s">
        <v>481</v>
      </c>
      <c r="E838" s="170" t="s">
        <v>49</v>
      </c>
      <c r="F838" s="349">
        <v>6</v>
      </c>
      <c r="G838" s="171">
        <f>[116]COTIZACIONES!F80</f>
        <v>20825</v>
      </c>
      <c r="H838" s="204"/>
      <c r="I838" s="174"/>
      <c r="J838" s="174">
        <f>+(F838*G838*(1+H838))</f>
        <v>124950</v>
      </c>
      <c r="K838" s="174"/>
    </row>
    <row r="839" spans="1:12" ht="15" x14ac:dyDescent="0.25">
      <c r="B839" s="168"/>
      <c r="C839" s="168" t="s">
        <v>115</v>
      </c>
      <c r="D839" s="169" t="s">
        <v>116</v>
      </c>
      <c r="E839" s="170" t="s">
        <v>97</v>
      </c>
      <c r="F839" s="176">
        <v>0.5</v>
      </c>
      <c r="G839" s="171">
        <v>9491.1610680000013</v>
      </c>
      <c r="H839" s="204">
        <v>0.05</v>
      </c>
      <c r="I839" s="174"/>
      <c r="J839" s="174">
        <f>+(F839*G839*(1+H839))</f>
        <v>4982.8595607000007</v>
      </c>
      <c r="K839" s="174"/>
    </row>
    <row r="840" spans="1:12" ht="15" x14ac:dyDescent="0.25">
      <c r="B840" s="168"/>
      <c r="C840" s="168" t="s">
        <v>233</v>
      </c>
      <c r="D840" s="169" t="s">
        <v>234</v>
      </c>
      <c r="E840" s="170" t="s">
        <v>97</v>
      </c>
      <c r="F840" s="189">
        <v>1</v>
      </c>
      <c r="G840" s="171">
        <f>+VLOOKUP(C840,'[114]Insumos-Equipo M_L'!$A$2:$D$135,4,FALSE)</f>
        <v>7432.1064029700001</v>
      </c>
      <c r="H840" s="350"/>
      <c r="I840" s="174"/>
      <c r="J840" s="174">
        <f>+(F840*G840*(1+H840))</f>
        <v>7432.1064029700001</v>
      </c>
      <c r="K840" s="174"/>
    </row>
    <row r="841" spans="1:12" ht="15" x14ac:dyDescent="0.25">
      <c r="B841" s="168"/>
      <c r="C841" s="168"/>
      <c r="D841" s="169" t="s">
        <v>482</v>
      </c>
      <c r="E841" s="170" t="s">
        <v>87</v>
      </c>
      <c r="F841" s="170">
        <v>6</v>
      </c>
      <c r="G841" s="171">
        <f>[116]COTIZACIONES!F85</f>
        <v>890</v>
      </c>
      <c r="H841" s="350"/>
      <c r="I841" s="174">
        <f>+(F841*G841)</f>
        <v>5340</v>
      </c>
      <c r="J841" s="174"/>
      <c r="K841" s="174"/>
    </row>
    <row r="842" spans="1:12" ht="15" x14ac:dyDescent="0.25">
      <c r="B842" s="223"/>
      <c r="C842" s="336"/>
      <c r="D842" s="252" t="s">
        <v>483</v>
      </c>
      <c r="E842" s="170" t="s">
        <v>124</v>
      </c>
      <c r="F842" s="176">
        <v>11</v>
      </c>
      <c r="G842" s="171">
        <f>[116]COTIZACIONES!F70</f>
        <v>14637</v>
      </c>
      <c r="H842" s="351"/>
      <c r="I842" s="174"/>
      <c r="J842" s="174">
        <f>+(F842*G842)</f>
        <v>161007</v>
      </c>
      <c r="K842" s="225"/>
    </row>
    <row r="843" spans="1:12" ht="15" x14ac:dyDescent="0.25">
      <c r="B843" s="168"/>
      <c r="C843" s="168"/>
      <c r="D843" s="169" t="s">
        <v>473</v>
      </c>
      <c r="E843" s="170" t="s">
        <v>124</v>
      </c>
      <c r="F843" s="170">
        <v>0.4</v>
      </c>
      <c r="G843" s="171">
        <f>[116]COTIZACIONES!F66</f>
        <v>10710</v>
      </c>
      <c r="H843" s="204"/>
      <c r="I843" s="174"/>
      <c r="J843" s="174">
        <f>+(F843*G843)</f>
        <v>4284</v>
      </c>
      <c r="K843" s="174"/>
      <c r="L843" s="352"/>
    </row>
    <row r="844" spans="1:12" ht="15" x14ac:dyDescent="0.25">
      <c r="B844" s="168"/>
      <c r="C844" s="168" t="s">
        <v>130</v>
      </c>
      <c r="D844" s="169" t="s">
        <v>131</v>
      </c>
      <c r="E844" s="170" t="s">
        <v>132</v>
      </c>
      <c r="F844" s="349">
        <v>2</v>
      </c>
      <c r="G844" s="171">
        <f>+VLOOKUP(C844,'[114]Insumos-Equipo M_L'!$A$2:$D$135,4,FALSE)</f>
        <v>3031.8986745000002</v>
      </c>
      <c r="H844" s="204"/>
      <c r="I844" s="174"/>
      <c r="J844" s="174">
        <f>+(F844*G844*(1+H844))</f>
        <v>6063.7973490000004</v>
      </c>
      <c r="K844" s="174"/>
    </row>
    <row r="845" spans="1:12" ht="15" x14ac:dyDescent="0.25">
      <c r="B845" s="168"/>
      <c r="C845" s="223">
        <v>5.0030000000000001</v>
      </c>
      <c r="D845" s="169" t="s">
        <v>484</v>
      </c>
      <c r="E845" s="170" t="s">
        <v>465</v>
      </c>
      <c r="F845" s="349">
        <v>1</v>
      </c>
      <c r="G845" s="171">
        <f>E115</f>
        <v>578092</v>
      </c>
      <c r="H845" s="172">
        <v>0.05</v>
      </c>
      <c r="I845" s="174"/>
      <c r="J845" s="174">
        <f>+(F845*G845*(1+H845))</f>
        <v>606996.6</v>
      </c>
      <c r="K845" s="174"/>
    </row>
    <row r="846" spans="1:12" ht="15" x14ac:dyDescent="0.25">
      <c r="B846" s="168"/>
      <c r="C846" s="168" t="s">
        <v>88</v>
      </c>
      <c r="D846" s="169" t="s">
        <v>89</v>
      </c>
      <c r="E846" s="170" t="s">
        <v>87</v>
      </c>
      <c r="F846" s="177">
        <v>0.87909051351526446</v>
      </c>
      <c r="G846" s="171">
        <f>+VLOOKUP(C846,'[114]Mano de Obra'!$A$7:$G$37,4,FALSE)</f>
        <v>441510</v>
      </c>
      <c r="H846" s="172"/>
      <c r="I846" s="174"/>
      <c r="J846" s="174"/>
      <c r="K846" s="174">
        <f>+(F846*G846*(1+H846))</f>
        <v>388127.25262212439</v>
      </c>
    </row>
    <row r="847" spans="1:12" ht="15" x14ac:dyDescent="0.25">
      <c r="B847" s="168"/>
      <c r="C847" s="168"/>
      <c r="D847" s="169" t="s">
        <v>90</v>
      </c>
      <c r="E847" s="170" t="s">
        <v>91</v>
      </c>
      <c r="F847" s="307">
        <v>0.1</v>
      </c>
      <c r="G847" s="171">
        <f>K846</f>
        <v>388127.25262212439</v>
      </c>
      <c r="H847" s="172"/>
      <c r="I847" s="174"/>
      <c r="J847" s="174">
        <f>+(F847*G847*(1+H847))</f>
        <v>38812.725262212443</v>
      </c>
      <c r="K847" s="174"/>
    </row>
    <row r="848" spans="1:12" ht="15" x14ac:dyDescent="0.25">
      <c r="B848" s="223"/>
      <c r="C848" s="223"/>
      <c r="D848" s="169" t="s">
        <v>485</v>
      </c>
      <c r="E848" s="170" t="s">
        <v>91</v>
      </c>
      <c r="F848" s="353">
        <v>0.1</v>
      </c>
      <c r="G848" s="171">
        <f>K846</f>
        <v>388127.25262212439</v>
      </c>
      <c r="H848" s="234"/>
      <c r="I848" s="225"/>
      <c r="J848" s="174">
        <f>+(F848*G848*(1+H848))</f>
        <v>38812.725262212443</v>
      </c>
      <c r="K848" s="225"/>
      <c r="L848" s="158"/>
    </row>
    <row r="849" spans="1:12" ht="15" x14ac:dyDescent="0.25">
      <c r="B849" s="168"/>
      <c r="C849" s="168"/>
      <c r="D849" s="169" t="s">
        <v>92</v>
      </c>
      <c r="E849" s="170" t="s">
        <v>91</v>
      </c>
      <c r="F849" s="306">
        <v>0.1</v>
      </c>
      <c r="G849" s="205">
        <f>K846</f>
        <v>388127.25262212439</v>
      </c>
      <c r="H849" s="172"/>
      <c r="I849" s="174"/>
      <c r="J849" s="174">
        <f>+(F849*G849*(1+H849))</f>
        <v>38812.725262212443</v>
      </c>
      <c r="K849" s="179"/>
    </row>
    <row r="850" spans="1:12" ht="15.6" x14ac:dyDescent="0.25">
      <c r="B850" s="180"/>
      <c r="C850" s="180"/>
      <c r="D850" s="181" t="s">
        <v>93</v>
      </c>
      <c r="E850" s="182">
        <f>+ROUND(SUM(I850:K850),0)</f>
        <v>1425622</v>
      </c>
      <c r="F850" s="342"/>
      <c r="G850" s="195"/>
      <c r="H850" s="196"/>
      <c r="I850" s="186">
        <f>+ROUND(SUM(I838:I849),0)</f>
        <v>5340</v>
      </c>
      <c r="J850" s="186">
        <f t="shared" ref="J850:K850" si="9">+ROUND(SUM(J838:J849),0)</f>
        <v>1032155</v>
      </c>
      <c r="K850" s="186">
        <f t="shared" si="9"/>
        <v>388127</v>
      </c>
    </row>
    <row r="853" spans="1:12" ht="21" customHeight="1" x14ac:dyDescent="0.3">
      <c r="A853" s="158">
        <v>6</v>
      </c>
      <c r="B853" s="340">
        <v>2.0299999999999998</v>
      </c>
      <c r="C853" s="160"/>
      <c r="D853" s="237" t="s">
        <v>31</v>
      </c>
      <c r="E853" s="272" t="s">
        <v>486</v>
      </c>
      <c r="F853" s="163"/>
      <c r="G853" s="201"/>
      <c r="H853" s="203"/>
      <c r="I853" s="203"/>
      <c r="J853" s="203"/>
      <c r="K853" s="203"/>
      <c r="L853" s="166">
        <f>+E863</f>
        <v>396982</v>
      </c>
    </row>
    <row r="854" spans="1:12" ht="15" x14ac:dyDescent="0.25">
      <c r="B854" s="168"/>
      <c r="C854" s="168" t="s">
        <v>233</v>
      </c>
      <c r="D854" s="169" t="s">
        <v>234</v>
      </c>
      <c r="E854" s="170" t="s">
        <v>97</v>
      </c>
      <c r="F854" s="176">
        <v>1</v>
      </c>
      <c r="G854" s="171">
        <f>+VLOOKUP(C854,'[114]Insumos-Equipo M_L'!$A$2:$D$135,4,FALSE)</f>
        <v>7432.1064029700001</v>
      </c>
      <c r="H854" s="172">
        <v>0.03</v>
      </c>
      <c r="I854" s="174"/>
      <c r="J854" s="174">
        <f>+(F854*G854*(1+H854))</f>
        <v>7655.0695950591007</v>
      </c>
      <c r="K854" s="174"/>
    </row>
    <row r="855" spans="1:12" ht="15" x14ac:dyDescent="0.25">
      <c r="B855" s="168"/>
      <c r="C855" s="168" t="s">
        <v>115</v>
      </c>
      <c r="D855" s="169" t="s">
        <v>116</v>
      </c>
      <c r="E855" s="170" t="s">
        <v>97</v>
      </c>
      <c r="F855" s="176">
        <v>1</v>
      </c>
      <c r="G855" s="171">
        <v>9491.1610680000013</v>
      </c>
      <c r="H855" s="172">
        <v>0.03</v>
      </c>
      <c r="I855" s="174"/>
      <c r="J855" s="174">
        <f t="shared" ref="J855:J857" si="10">+(F855*G855*(1+H855))</f>
        <v>9775.8959000400009</v>
      </c>
      <c r="K855" s="174"/>
    </row>
    <row r="856" spans="1:12" ht="15" x14ac:dyDescent="0.25">
      <c r="B856" s="223"/>
      <c r="C856" s="223">
        <v>5.0030000000000001</v>
      </c>
      <c r="D856" s="169" t="s">
        <v>487</v>
      </c>
      <c r="E856" s="170" t="s">
        <v>465</v>
      </c>
      <c r="F856" s="176">
        <v>0.13</v>
      </c>
      <c r="G856" s="171">
        <f>E93</f>
        <v>493303</v>
      </c>
      <c r="H856" s="234">
        <v>0.03</v>
      </c>
      <c r="I856" s="174"/>
      <c r="J856" s="174">
        <f t="shared" si="10"/>
        <v>66053.271699999998</v>
      </c>
      <c r="K856" s="225"/>
    </row>
    <row r="857" spans="1:12" ht="15" x14ac:dyDescent="0.25">
      <c r="B857" s="168"/>
      <c r="C857" s="168" t="s">
        <v>488</v>
      </c>
      <c r="D857" s="169" t="s">
        <v>114</v>
      </c>
      <c r="E857" s="170" t="s">
        <v>97</v>
      </c>
      <c r="F857" s="170">
        <v>12</v>
      </c>
      <c r="G857" s="171">
        <f>+VLOOKUP(C857,'[114]Insumos-Equipo M_L'!$A$2:$D$135,4,FALSE)</f>
        <v>6296.2749999999996</v>
      </c>
      <c r="H857" s="172"/>
      <c r="I857" s="174"/>
      <c r="J857" s="174">
        <f t="shared" si="10"/>
        <v>75555.299999999988</v>
      </c>
      <c r="K857" s="174"/>
    </row>
    <row r="858" spans="1:12" ht="15" x14ac:dyDescent="0.25">
      <c r="B858" s="168"/>
      <c r="C858" s="223"/>
      <c r="D858" s="169" t="s">
        <v>295</v>
      </c>
      <c r="E858" s="253" t="s">
        <v>165</v>
      </c>
      <c r="F858" s="177">
        <v>0.2</v>
      </c>
      <c r="G858" s="171">
        <v>510625</v>
      </c>
      <c r="H858" s="350"/>
      <c r="I858" s="174">
        <f>+(F858*G858)</f>
        <v>102125</v>
      </c>
      <c r="J858" s="174"/>
      <c r="K858" s="174"/>
    </row>
    <row r="859" spans="1:12" ht="15" x14ac:dyDescent="0.25">
      <c r="B859" s="168"/>
      <c r="C859" s="168" t="s">
        <v>275</v>
      </c>
      <c r="D859" s="169" t="s">
        <v>276</v>
      </c>
      <c r="E859" s="170" t="s">
        <v>87</v>
      </c>
      <c r="F859" s="177">
        <v>0.2</v>
      </c>
      <c r="G859" s="171">
        <f>+VLOOKUP(C859,'[115]Insumos-Equipo M_L'!$A$2:$D$171,4,FALSE)</f>
        <v>50458.737000000001</v>
      </c>
      <c r="H859" s="350"/>
      <c r="I859" s="174">
        <f>+(F859*G859)</f>
        <v>10091.7474</v>
      </c>
      <c r="J859" s="174"/>
      <c r="K859" s="174"/>
    </row>
    <row r="860" spans="1:12" ht="15" x14ac:dyDescent="0.25">
      <c r="B860" s="168"/>
      <c r="C860" s="168" t="s">
        <v>88</v>
      </c>
      <c r="D860" s="169" t="s">
        <v>89</v>
      </c>
      <c r="E860" s="170" t="s">
        <v>87</v>
      </c>
      <c r="F860" s="177">
        <v>0.253613301894626</v>
      </c>
      <c r="G860" s="171">
        <f>+VLOOKUP(C860,'[114]Mano de Obra'!$A$7:$G$37,4,FALSE)</f>
        <v>441510</v>
      </c>
      <c r="H860" s="354"/>
      <c r="I860" s="174"/>
      <c r="J860" s="174"/>
      <c r="K860" s="174">
        <f>+(F860*G860)</f>
        <v>111972.80891949632</v>
      </c>
    </row>
    <row r="861" spans="1:12" ht="15" x14ac:dyDescent="0.25">
      <c r="B861" s="168"/>
      <c r="C861" s="168"/>
      <c r="D861" s="169" t="s">
        <v>489</v>
      </c>
      <c r="E861" s="170" t="s">
        <v>490</v>
      </c>
      <c r="F861" s="177">
        <v>7.2826960626542245E-2</v>
      </c>
      <c r="G861" s="205">
        <f>+K860</f>
        <v>111972.80891949632</v>
      </c>
      <c r="H861" s="350"/>
      <c r="I861" s="174"/>
      <c r="J861" s="174">
        <f>+(F861*G861*(1+H861))</f>
        <v>8154.639346423497</v>
      </c>
      <c r="K861" s="174"/>
    </row>
    <row r="862" spans="1:12" ht="15" x14ac:dyDescent="0.25">
      <c r="B862" s="168"/>
      <c r="C862" s="168"/>
      <c r="D862" s="169" t="s">
        <v>90</v>
      </c>
      <c r="E862" s="170" t="s">
        <v>91</v>
      </c>
      <c r="F862" s="349">
        <v>0.05</v>
      </c>
      <c r="G862" s="171">
        <f>K860</f>
        <v>111972.80891949632</v>
      </c>
      <c r="H862" s="172"/>
      <c r="I862" s="174"/>
      <c r="J862" s="174"/>
      <c r="K862" s="174">
        <f>+(F862*G862)</f>
        <v>5598.6404459748164</v>
      </c>
    </row>
    <row r="863" spans="1:12" ht="15.6" x14ac:dyDescent="0.25">
      <c r="B863" s="180"/>
      <c r="C863" s="180"/>
      <c r="D863" s="181" t="s">
        <v>93</v>
      </c>
      <c r="E863" s="182">
        <f>+ROUND(SUM(I863:K863),0)</f>
        <v>396982</v>
      </c>
      <c r="F863" s="342"/>
      <c r="G863" s="195"/>
      <c r="H863" s="196"/>
      <c r="I863" s="186">
        <f>+ROUND(SUM(I854:I862),0)</f>
        <v>112217</v>
      </c>
      <c r="J863" s="186">
        <f>+ROUND(SUM(J854:J862),0)</f>
        <v>167194</v>
      </c>
      <c r="K863" s="186">
        <f>+ROUND(SUM(K854:K862),0)</f>
        <v>117571</v>
      </c>
    </row>
    <row r="866" spans="1:12" ht="24.75" customHeight="1" x14ac:dyDescent="0.3">
      <c r="A866" s="158">
        <v>7</v>
      </c>
      <c r="B866" s="340">
        <v>2.04</v>
      </c>
      <c r="C866" s="160"/>
      <c r="D866" s="237" t="s">
        <v>491</v>
      </c>
      <c r="E866" s="272" t="s">
        <v>492</v>
      </c>
      <c r="F866" s="163"/>
      <c r="G866" s="201"/>
      <c r="H866" s="203"/>
      <c r="I866" s="203"/>
      <c r="J866" s="203"/>
      <c r="K866" s="203"/>
      <c r="L866" s="166">
        <f>+E873</f>
        <v>964892</v>
      </c>
    </row>
    <row r="867" spans="1:12" ht="15" x14ac:dyDescent="0.25">
      <c r="B867" s="168"/>
      <c r="C867" s="223">
        <v>5.0030000000000001</v>
      </c>
      <c r="D867" s="266" t="str">
        <f>D106</f>
        <v>Concreto simple 27.6 MPa  (m3)</v>
      </c>
      <c r="E867" s="170" t="s">
        <v>465</v>
      </c>
      <c r="F867" s="176">
        <v>1.1000000000000001</v>
      </c>
      <c r="G867" s="171">
        <f>E115</f>
        <v>578092</v>
      </c>
      <c r="H867" s="172">
        <v>0.05</v>
      </c>
      <c r="I867" s="174"/>
      <c r="J867" s="174">
        <f>+(F867*G867*(1+H867))</f>
        <v>667696.26000000013</v>
      </c>
      <c r="K867" s="174"/>
    </row>
    <row r="868" spans="1:12" ht="15" x14ac:dyDescent="0.25">
      <c r="B868" s="168"/>
      <c r="C868" s="168"/>
      <c r="D868" s="169" t="s">
        <v>493</v>
      </c>
      <c r="E868" s="170" t="s">
        <v>87</v>
      </c>
      <c r="F868" s="253">
        <v>2</v>
      </c>
      <c r="G868" s="171">
        <v>47600</v>
      </c>
      <c r="H868" s="172"/>
      <c r="I868" s="174">
        <f>+(F868*G868*(1+H868))</f>
        <v>95200</v>
      </c>
      <c r="J868" s="174"/>
      <c r="K868" s="174"/>
    </row>
    <row r="869" spans="1:12" ht="15" x14ac:dyDescent="0.25">
      <c r="B869" s="223"/>
      <c r="C869" s="168" t="s">
        <v>275</v>
      </c>
      <c r="D869" s="169" t="s">
        <v>276</v>
      </c>
      <c r="E869" s="170" t="s">
        <v>87</v>
      </c>
      <c r="F869" s="176">
        <v>0.53509855493527803</v>
      </c>
      <c r="G869" s="171">
        <v>50458.737000000001</v>
      </c>
      <c r="H869" s="355"/>
      <c r="I869" s="174">
        <f>+(F869*G869*(1+H869))</f>
        <v>27000.397252559247</v>
      </c>
      <c r="J869" s="174"/>
      <c r="K869" s="225"/>
    </row>
    <row r="870" spans="1:12" ht="15" x14ac:dyDescent="0.25">
      <c r="B870" s="168"/>
      <c r="C870" s="168"/>
      <c r="D870" s="169" t="s">
        <v>489</v>
      </c>
      <c r="E870" s="170" t="s">
        <v>490</v>
      </c>
      <c r="F870" s="170">
        <v>0.1</v>
      </c>
      <c r="G870" s="171">
        <f>K871</f>
        <v>159086.73516203486</v>
      </c>
      <c r="H870" s="172"/>
      <c r="I870" s="174"/>
      <c r="J870" s="174">
        <f>+(F870*G870*(1+H870))</f>
        <v>15908.673516203487</v>
      </c>
      <c r="K870" s="174"/>
    </row>
    <row r="871" spans="1:12" ht="15" x14ac:dyDescent="0.25">
      <c r="B871" s="168"/>
      <c r="C871" s="168" t="s">
        <v>88</v>
      </c>
      <c r="D871" s="169" t="s">
        <v>89</v>
      </c>
      <c r="E871" s="170" t="s">
        <v>87</v>
      </c>
      <c r="F871" s="177">
        <v>0.36032419460948761</v>
      </c>
      <c r="G871" s="171">
        <f>+VLOOKUP(C871,'[114]Mano de Obra'!$A$7:$G$37,4,FALSE)</f>
        <v>441510</v>
      </c>
      <c r="H871" s="172"/>
      <c r="I871" s="174"/>
      <c r="J871" s="174"/>
      <c r="K871" s="174">
        <f>+(F871*G871*(1+H871))</f>
        <v>159086.73516203486</v>
      </c>
    </row>
    <row r="872" spans="1:12" ht="15" x14ac:dyDescent="0.25">
      <c r="B872" s="168"/>
      <c r="C872" s="168"/>
      <c r="D872" s="169"/>
      <c r="E872" s="170"/>
      <c r="F872" s="178"/>
      <c r="G872" s="205"/>
      <c r="H872" s="172"/>
      <c r="I872" s="174"/>
      <c r="J872" s="174"/>
      <c r="K872" s="179"/>
    </row>
    <row r="873" spans="1:12" ht="15.6" x14ac:dyDescent="0.25">
      <c r="B873" s="180"/>
      <c r="C873" s="180"/>
      <c r="D873" s="181" t="s">
        <v>93</v>
      </c>
      <c r="E873" s="182">
        <f>+ROUND(SUM(I873:K873),0)</f>
        <v>964892</v>
      </c>
      <c r="F873" s="342"/>
      <c r="G873" s="195"/>
      <c r="H873" s="196"/>
      <c r="I873" s="186">
        <f>+ROUND(SUM(I867:I872),0)</f>
        <v>122200</v>
      </c>
      <c r="J873" s="186">
        <f>+ROUND(SUM(J867:J872),0)</f>
        <v>683605</v>
      </c>
      <c r="K873" s="186">
        <f>+ROUND(SUM(K867:K872),0)</f>
        <v>159087</v>
      </c>
    </row>
    <row r="876" spans="1:12" ht="29.25" customHeight="1" x14ac:dyDescent="0.3">
      <c r="A876" s="158">
        <v>8</v>
      </c>
      <c r="B876" s="340">
        <v>2.0499999999999998</v>
      </c>
      <c r="C876" s="160"/>
      <c r="D876" s="237" t="s">
        <v>33</v>
      </c>
      <c r="E876" s="272" t="s">
        <v>494</v>
      </c>
      <c r="F876" s="163"/>
      <c r="G876" s="201"/>
      <c r="H876" s="203"/>
      <c r="I876" s="203"/>
      <c r="J876" s="203"/>
      <c r="K876" s="203"/>
      <c r="L876" s="166">
        <f>+E883</f>
        <v>1278497</v>
      </c>
    </row>
    <row r="877" spans="1:12" ht="15" x14ac:dyDescent="0.25">
      <c r="B877" s="168"/>
      <c r="C877" s="223">
        <v>5.0030000000000001</v>
      </c>
      <c r="D877" s="266" t="str">
        <f>D106</f>
        <v>Concreto simple 27.6 MPa  (m3)</v>
      </c>
      <c r="E877" s="170" t="s">
        <v>465</v>
      </c>
      <c r="F877" s="176">
        <v>1.5</v>
      </c>
      <c r="G877" s="171">
        <f>E115</f>
        <v>578092</v>
      </c>
      <c r="H877" s="172">
        <v>0.05</v>
      </c>
      <c r="I877" s="174"/>
      <c r="J877" s="174">
        <f>+(F877*G877*(1+H877))</f>
        <v>910494.9</v>
      </c>
      <c r="K877" s="174"/>
    </row>
    <row r="878" spans="1:12" ht="15" x14ac:dyDescent="0.25">
      <c r="B878" s="168"/>
      <c r="C878" s="168"/>
      <c r="D878" s="169" t="s">
        <v>493</v>
      </c>
      <c r="E878" s="170" t="s">
        <v>87</v>
      </c>
      <c r="F878" s="170">
        <v>2</v>
      </c>
      <c r="G878" s="171">
        <v>47600</v>
      </c>
      <c r="H878" s="172"/>
      <c r="I878" s="174">
        <f>+(F878*G878*(1+H878))</f>
        <v>95200</v>
      </c>
      <c r="J878" s="174"/>
      <c r="K878" s="174"/>
    </row>
    <row r="879" spans="1:12" ht="15" x14ac:dyDescent="0.25">
      <c r="B879" s="223"/>
      <c r="C879" s="168" t="s">
        <v>275</v>
      </c>
      <c r="D879" s="169" t="s">
        <v>276</v>
      </c>
      <c r="E879" s="170" t="s">
        <v>87</v>
      </c>
      <c r="F879" s="176">
        <v>0.53509855493527803</v>
      </c>
      <c r="G879" s="171">
        <v>50458.737000000001</v>
      </c>
      <c r="H879" s="355"/>
      <c r="I879" s="174">
        <f>+(F879*G879*(1+H879))</f>
        <v>27000.397252559247</v>
      </c>
      <c r="J879" s="174"/>
      <c r="K879" s="225"/>
    </row>
    <row r="880" spans="1:12" ht="15" x14ac:dyDescent="0.25">
      <c r="B880" s="168"/>
      <c r="C880" s="168"/>
      <c r="D880" s="169" t="s">
        <v>489</v>
      </c>
      <c r="E880" s="170" t="s">
        <v>490</v>
      </c>
      <c r="F880" s="170">
        <v>0.1</v>
      </c>
      <c r="G880" s="171">
        <f>K881</f>
        <v>223456.19918210109</v>
      </c>
      <c r="H880" s="172"/>
      <c r="I880" s="174"/>
      <c r="J880" s="174">
        <f>+(F880*G880*(1+H880))</f>
        <v>22345.619918210112</v>
      </c>
      <c r="K880" s="174"/>
    </row>
    <row r="881" spans="1:12" ht="15" x14ac:dyDescent="0.25">
      <c r="B881" s="168"/>
      <c r="C881" s="168" t="s">
        <v>88</v>
      </c>
      <c r="D881" s="169" t="s">
        <v>89</v>
      </c>
      <c r="E881" s="170" t="s">
        <v>87</v>
      </c>
      <c r="F881" s="349">
        <v>0.50611809286788767</v>
      </c>
      <c r="G881" s="171">
        <f>+VLOOKUP(C881,'[114]Mano de Obra'!$A$7:$G$37,4,FALSE)</f>
        <v>441510</v>
      </c>
      <c r="H881" s="172"/>
      <c r="I881" s="174"/>
      <c r="J881" s="174"/>
      <c r="K881" s="174">
        <f>+(F881*G881*(1+H881))</f>
        <v>223456.19918210109</v>
      </c>
    </row>
    <row r="882" spans="1:12" ht="15" x14ac:dyDescent="0.25">
      <c r="B882" s="168"/>
      <c r="C882" s="168"/>
      <c r="D882" s="169"/>
      <c r="E882" s="170"/>
      <c r="F882" s="178"/>
      <c r="G882" s="205"/>
      <c r="H882" s="172"/>
      <c r="I882" s="174"/>
      <c r="J882" s="174"/>
      <c r="K882" s="179"/>
    </row>
    <row r="883" spans="1:12" ht="15.6" x14ac:dyDescent="0.25">
      <c r="B883" s="180"/>
      <c r="C883" s="180"/>
      <c r="D883" s="181" t="s">
        <v>93</v>
      </c>
      <c r="E883" s="182">
        <f>+ROUND(SUM(I883:K883),0)</f>
        <v>1278497</v>
      </c>
      <c r="F883" s="342"/>
      <c r="G883" s="195"/>
      <c r="H883" s="196"/>
      <c r="I883" s="186">
        <f>+ROUND(SUM(I877:I882),0)</f>
        <v>122200</v>
      </c>
      <c r="J883" s="186">
        <f>+ROUND(SUM(J877:J882),0)</f>
        <v>932841</v>
      </c>
      <c r="K883" s="186">
        <f>+ROUND(SUM(K877:K882),0)</f>
        <v>223456</v>
      </c>
    </row>
    <row r="885" spans="1:12" hidden="1" x14ac:dyDescent="0.25"/>
    <row r="886" spans="1:12" ht="28.5" customHeight="1" x14ac:dyDescent="0.3">
      <c r="A886" s="158">
        <v>9</v>
      </c>
      <c r="B886" s="340">
        <v>2.06</v>
      </c>
      <c r="C886" s="160"/>
      <c r="D886" s="237" t="s">
        <v>34</v>
      </c>
      <c r="E886" s="272" t="s">
        <v>495</v>
      </c>
      <c r="F886" s="163"/>
      <c r="G886" s="201"/>
      <c r="H886" s="203"/>
      <c r="I886" s="203"/>
      <c r="J886" s="203"/>
      <c r="K886" s="203"/>
      <c r="L886" s="166">
        <f>+E898</f>
        <v>884097</v>
      </c>
    </row>
    <row r="887" spans="1:12" ht="15" x14ac:dyDescent="0.25">
      <c r="B887" s="168"/>
      <c r="C887" s="223">
        <v>5.0030000000000001</v>
      </c>
      <c r="D887" s="169" t="s">
        <v>484</v>
      </c>
      <c r="E887" s="170" t="s">
        <v>465</v>
      </c>
      <c r="F887" s="176">
        <v>1</v>
      </c>
      <c r="G887" s="171">
        <f>E115</f>
        <v>578092</v>
      </c>
      <c r="H887" s="172">
        <v>0.05</v>
      </c>
      <c r="I887" s="174"/>
      <c r="J887" s="174">
        <f t="shared" ref="J887:J892" si="11">+(F887*G887*(1+H887))</f>
        <v>606996.6</v>
      </c>
      <c r="K887" s="174"/>
    </row>
    <row r="888" spans="1:12" ht="15" x14ac:dyDescent="0.25">
      <c r="B888" s="168"/>
      <c r="C888" s="168"/>
      <c r="D888" s="169" t="s">
        <v>496</v>
      </c>
      <c r="E888" s="170" t="s">
        <v>266</v>
      </c>
      <c r="F888" s="189">
        <v>1.5626358381502892</v>
      </c>
      <c r="G888" s="171">
        <f>[116]COTIZACIONES!F83</f>
        <v>10808</v>
      </c>
      <c r="H888" s="172"/>
      <c r="I888" s="174"/>
      <c r="J888" s="174">
        <f t="shared" si="11"/>
        <v>16888.968138728324</v>
      </c>
      <c r="K888" s="174"/>
    </row>
    <row r="889" spans="1:12" ht="15" x14ac:dyDescent="0.25">
      <c r="B889" s="168"/>
      <c r="C889" s="168"/>
      <c r="D889" s="169" t="s">
        <v>497</v>
      </c>
      <c r="E889" s="170" t="s">
        <v>97</v>
      </c>
      <c r="F889" s="176">
        <v>0.5</v>
      </c>
      <c r="G889" s="171">
        <v>9491.1610680000013</v>
      </c>
      <c r="H889" s="172"/>
      <c r="I889" s="174"/>
      <c r="J889" s="174">
        <f t="shared" si="11"/>
        <v>4745.5805340000006</v>
      </c>
      <c r="K889" s="174"/>
    </row>
    <row r="890" spans="1:12" ht="15" x14ac:dyDescent="0.25">
      <c r="B890" s="168"/>
      <c r="C890" s="168"/>
      <c r="D890" s="252" t="s">
        <v>483</v>
      </c>
      <c r="E890" s="170" t="s">
        <v>124</v>
      </c>
      <c r="F890" s="189">
        <v>1</v>
      </c>
      <c r="G890" s="171">
        <f>[116]COTIZACIONES!F70</f>
        <v>14637</v>
      </c>
      <c r="H890" s="204"/>
      <c r="I890" s="174"/>
      <c r="J890" s="174">
        <f>+(F890*G890)</f>
        <v>14637</v>
      </c>
      <c r="K890" s="174"/>
    </row>
    <row r="891" spans="1:12" ht="15" x14ac:dyDescent="0.25">
      <c r="B891" s="168"/>
      <c r="C891" s="168"/>
      <c r="D891" s="169" t="s">
        <v>473</v>
      </c>
      <c r="E891" s="170" t="s">
        <v>38</v>
      </c>
      <c r="F891" s="189">
        <v>1</v>
      </c>
      <c r="G891" s="171">
        <f>[116]COTIZACIONES!F66</f>
        <v>10710</v>
      </c>
      <c r="H891" s="204"/>
      <c r="I891" s="174"/>
      <c r="J891" s="174">
        <f>+(F891*G891)</f>
        <v>10710</v>
      </c>
      <c r="K891" s="174"/>
    </row>
    <row r="892" spans="1:12" ht="15" x14ac:dyDescent="0.25">
      <c r="B892" s="168"/>
      <c r="C892" s="168"/>
      <c r="D892" s="169" t="s">
        <v>131</v>
      </c>
      <c r="E892" s="170" t="s">
        <v>132</v>
      </c>
      <c r="F892" s="170">
        <v>0.6</v>
      </c>
      <c r="G892" s="171">
        <v>3031.8986745000002</v>
      </c>
      <c r="H892" s="204"/>
      <c r="I892" s="174"/>
      <c r="J892" s="174">
        <f t="shared" si="11"/>
        <v>1819.1392047000002</v>
      </c>
      <c r="K892" s="174"/>
    </row>
    <row r="893" spans="1:12" ht="15" x14ac:dyDescent="0.25">
      <c r="B893" s="168"/>
      <c r="C893" s="286"/>
      <c r="D893" s="169" t="s">
        <v>481</v>
      </c>
      <c r="E893" s="170" t="s">
        <v>49</v>
      </c>
      <c r="F893" s="170">
        <v>3</v>
      </c>
      <c r="G893" s="171">
        <f>[116]COTIZACIONES!F80</f>
        <v>20825</v>
      </c>
      <c r="H893" s="204"/>
      <c r="I893" s="174"/>
      <c r="J893" s="174">
        <f>+(F893*G893)</f>
        <v>62475</v>
      </c>
      <c r="K893" s="174"/>
    </row>
    <row r="894" spans="1:12" ht="15" x14ac:dyDescent="0.25">
      <c r="B894" s="223"/>
      <c r="C894" s="168" t="s">
        <v>275</v>
      </c>
      <c r="D894" s="169" t="s">
        <v>276</v>
      </c>
      <c r="E894" s="170" t="s">
        <v>87</v>
      </c>
      <c r="F894" s="176">
        <v>0.64264875436976809</v>
      </c>
      <c r="G894" s="171">
        <v>50458.737000000001</v>
      </c>
      <c r="H894" s="351"/>
      <c r="I894" s="174">
        <f>+(F894*G894)</f>
        <v>32427.244480121728</v>
      </c>
      <c r="J894" s="174"/>
      <c r="K894" s="225"/>
    </row>
    <row r="895" spans="1:12" ht="15" x14ac:dyDescent="0.25">
      <c r="B895" s="168"/>
      <c r="C895" s="168"/>
      <c r="D895" s="169" t="s">
        <v>489</v>
      </c>
      <c r="E895" s="170" t="s">
        <v>490</v>
      </c>
      <c r="F895" s="170">
        <v>0.1</v>
      </c>
      <c r="G895" s="171">
        <f>K896</f>
        <v>121270.72788966222</v>
      </c>
      <c r="H895" s="172"/>
      <c r="I895" s="174"/>
      <c r="J895" s="174">
        <f>+(F895*G895*(1+H895))</f>
        <v>12127.072788966223</v>
      </c>
      <c r="K895" s="174"/>
    </row>
    <row r="896" spans="1:12" ht="15" x14ac:dyDescent="0.25">
      <c r="B896" s="168"/>
      <c r="C896" s="168" t="s">
        <v>88</v>
      </c>
      <c r="D896" s="169" t="s">
        <v>89</v>
      </c>
      <c r="E896" s="170" t="s">
        <v>87</v>
      </c>
      <c r="F896" s="177">
        <v>0.27467266401590501</v>
      </c>
      <c r="G896" s="171">
        <f>+VLOOKUP(C896,'[114]Mano de Obra'!$A$7:$G$37,4,FALSE)</f>
        <v>441510</v>
      </c>
      <c r="H896" s="354"/>
      <c r="I896" s="174"/>
      <c r="J896" s="174"/>
      <c r="K896" s="174">
        <f>+(F896*G896)</f>
        <v>121270.72788966222</v>
      </c>
    </row>
    <row r="897" spans="2:12" ht="15" x14ac:dyDescent="0.25">
      <c r="B897" s="168"/>
      <c r="C897" s="168"/>
      <c r="D897" s="169"/>
      <c r="E897" s="170"/>
      <c r="F897" s="178"/>
      <c r="G897" s="205"/>
      <c r="H897" s="172"/>
      <c r="I897" s="174"/>
      <c r="J897" s="174"/>
      <c r="K897" s="179"/>
    </row>
    <row r="898" spans="2:12" ht="15.6" x14ac:dyDescent="0.25">
      <c r="B898" s="180"/>
      <c r="C898" s="180"/>
      <c r="D898" s="181" t="s">
        <v>93</v>
      </c>
      <c r="E898" s="182">
        <f>+ROUND(SUM(I898:K898),0)</f>
        <v>884097</v>
      </c>
      <c r="F898" s="342"/>
      <c r="G898" s="195"/>
      <c r="H898" s="196"/>
      <c r="I898" s="186">
        <f>+ROUND(SUM(I887:I897),0)</f>
        <v>32427</v>
      </c>
      <c r="J898" s="186">
        <f>+ROUND(SUM(J887:J897),0)</f>
        <v>730399</v>
      </c>
      <c r="K898" s="186">
        <f>+ROUND(SUM(K887:K897),0)</f>
        <v>121271</v>
      </c>
    </row>
    <row r="899" spans="2:12" s="356" customFormat="1" x14ac:dyDescent="0.3">
      <c r="E899" s="190"/>
      <c r="G899" s="357"/>
      <c r="L899" s="358"/>
    </row>
    <row r="900" spans="2:12" s="356" customFormat="1" ht="15.6" x14ac:dyDescent="0.3">
      <c r="B900" s="340">
        <v>3.01</v>
      </c>
      <c r="C900" s="359"/>
      <c r="D900" s="360" t="s">
        <v>498</v>
      </c>
      <c r="E900" s="160" t="s">
        <v>480</v>
      </c>
      <c r="F900" s="361"/>
      <c r="G900" s="362"/>
      <c r="H900" s="363"/>
      <c r="I900" s="363"/>
      <c r="J900" s="363"/>
      <c r="K900" s="364"/>
      <c r="L900" s="365">
        <f>+E911</f>
        <v>1228444</v>
      </c>
    </row>
    <row r="901" spans="2:12" s="356" customFormat="1" ht="15.6" x14ac:dyDescent="0.3">
      <c r="B901" s="366"/>
      <c r="C901" s="367">
        <v>5.008</v>
      </c>
      <c r="D901" s="368" t="s">
        <v>246</v>
      </c>
      <c r="E901" s="170" t="s">
        <v>37</v>
      </c>
      <c r="F901" s="369">
        <v>1</v>
      </c>
      <c r="G901" s="370">
        <v>493303</v>
      </c>
      <c r="H901" s="371">
        <v>0.03</v>
      </c>
      <c r="I901" s="372"/>
      <c r="J901" s="372">
        <f t="shared" ref="J901" si="12">+(F901*G901*(1+H901))</f>
        <v>508102.09</v>
      </c>
      <c r="K901" s="372"/>
      <c r="L901" s="358"/>
    </row>
    <row r="902" spans="2:12" s="356" customFormat="1" ht="15.6" x14ac:dyDescent="0.3">
      <c r="B902" s="366"/>
      <c r="C902" s="367" t="s">
        <v>275</v>
      </c>
      <c r="D902" s="368" t="s">
        <v>276</v>
      </c>
      <c r="E902" s="170" t="s">
        <v>87</v>
      </c>
      <c r="F902" s="369">
        <v>0.25</v>
      </c>
      <c r="G902" s="373">
        <f>+VLOOKUP(C902,'[112]Insumos-Equipo M_L'!$A$2:$D$166,4,FALSE)</f>
        <v>50458.737000000001</v>
      </c>
      <c r="H902" s="371"/>
      <c r="I902" s="372">
        <f t="shared" ref="I902" si="13">+(F902*G902*(1+H902))</f>
        <v>12614.68425</v>
      </c>
      <c r="J902" s="372"/>
      <c r="K902" s="372"/>
      <c r="L902" s="358"/>
    </row>
    <row r="903" spans="2:12" s="356" customFormat="1" ht="15.6" x14ac:dyDescent="0.3">
      <c r="B903" s="366"/>
      <c r="C903" s="367" t="s">
        <v>122</v>
      </c>
      <c r="D903" s="368" t="s">
        <v>123</v>
      </c>
      <c r="E903" s="170" t="s">
        <v>124</v>
      </c>
      <c r="F903" s="374">
        <v>6.666666666666667</v>
      </c>
      <c r="G903" s="373">
        <f>+VLOOKUP(C903,'[112]Insumos-Equipo M_L'!$A$2:$D$166,4,FALSE)</f>
        <v>17200</v>
      </c>
      <c r="H903" s="371"/>
      <c r="I903" s="372"/>
      <c r="J903" s="372">
        <f t="shared" ref="J903:J907" si="14">+(F903*G903*(1+H903))</f>
        <v>114666.66666666667</v>
      </c>
      <c r="K903" s="372"/>
      <c r="L903" s="358"/>
    </row>
    <row r="904" spans="2:12" s="356" customFormat="1" ht="15.6" x14ac:dyDescent="0.3">
      <c r="B904" s="366"/>
      <c r="C904" s="367" t="s">
        <v>401</v>
      </c>
      <c r="D904" s="368" t="s">
        <v>402</v>
      </c>
      <c r="E904" s="170" t="s">
        <v>36</v>
      </c>
      <c r="F904" s="374">
        <v>4</v>
      </c>
      <c r="G904" s="373">
        <f>+VLOOKUP(C904,'[112]Insumos-Equipo M_L'!$A$2:$D$166,4,FALSE)</f>
        <v>2420.24607234</v>
      </c>
      <c r="H904" s="371"/>
      <c r="I904" s="372"/>
      <c r="J904" s="372">
        <f t="shared" si="14"/>
        <v>9680.9842893599998</v>
      </c>
      <c r="K904" s="372"/>
      <c r="L904" s="358"/>
    </row>
    <row r="905" spans="2:12" s="356" customFormat="1" ht="15.6" x14ac:dyDescent="0.3">
      <c r="B905" s="366"/>
      <c r="C905" s="367" t="s">
        <v>149</v>
      </c>
      <c r="D905" s="368" t="s">
        <v>150</v>
      </c>
      <c r="E905" s="170" t="s">
        <v>124</v>
      </c>
      <c r="F905" s="374">
        <v>4</v>
      </c>
      <c r="G905" s="373">
        <f>+VLOOKUP(C905,'[112]Insumos-Equipo M_L'!$A$2:$D$166,4,FALSE)</f>
        <v>6261.5298712499998</v>
      </c>
      <c r="H905" s="371"/>
      <c r="I905" s="372"/>
      <c r="J905" s="372">
        <f t="shared" si="14"/>
        <v>25046.119484999999</v>
      </c>
      <c r="K905" s="372"/>
      <c r="L905" s="358"/>
    </row>
    <row r="906" spans="2:12" s="356" customFormat="1" ht="15.6" x14ac:dyDescent="0.3">
      <c r="B906" s="366"/>
      <c r="C906" s="367" t="s">
        <v>130</v>
      </c>
      <c r="D906" s="368" t="s">
        <v>131</v>
      </c>
      <c r="E906" s="170" t="s">
        <v>132</v>
      </c>
      <c r="F906" s="375">
        <v>0.5</v>
      </c>
      <c r="G906" s="373">
        <f>+VLOOKUP(C906,'[112]Insumos-Equipo M_L'!$A$2:$D$166,4,FALSE)</f>
        <v>3031.8986745000002</v>
      </c>
      <c r="H906" s="371"/>
      <c r="I906" s="372"/>
      <c r="J906" s="372">
        <f t="shared" si="14"/>
        <v>1515.9493372500001</v>
      </c>
      <c r="K906" s="372"/>
      <c r="L906" s="358"/>
    </row>
    <row r="907" spans="2:12" s="356" customFormat="1" ht="15.6" x14ac:dyDescent="0.3">
      <c r="B907" s="366"/>
      <c r="C907" s="367" t="s">
        <v>233</v>
      </c>
      <c r="D907" s="368" t="s">
        <v>234</v>
      </c>
      <c r="E907" s="170" t="s">
        <v>97</v>
      </c>
      <c r="F907" s="374">
        <v>5</v>
      </c>
      <c r="G907" s="373">
        <f>+VLOOKUP(C907,'[112]Insumos-Equipo M_L'!$A$2:$D$166,4,FALSE)</f>
        <v>7432.1064029700001</v>
      </c>
      <c r="H907" s="371"/>
      <c r="I907" s="372"/>
      <c r="J907" s="372">
        <f t="shared" si="14"/>
        <v>37160.532014850003</v>
      </c>
      <c r="K907" s="372"/>
      <c r="L907" s="358"/>
    </row>
    <row r="908" spans="2:12" s="356" customFormat="1" ht="15.6" x14ac:dyDescent="0.3">
      <c r="B908" s="366"/>
      <c r="C908" s="367" t="s">
        <v>88</v>
      </c>
      <c r="D908" s="368" t="s">
        <v>89</v>
      </c>
      <c r="E908" s="170" t="s">
        <v>87</v>
      </c>
      <c r="F908" s="376">
        <v>1.07</v>
      </c>
      <c r="G908" s="373">
        <f>+VLOOKUP(C908,'[113]Mano de Obra'!$A$7:$G$35,4,FALSE)</f>
        <v>441510</v>
      </c>
      <c r="H908" s="371"/>
      <c r="I908" s="372"/>
      <c r="J908" s="372"/>
      <c r="K908" s="372">
        <f>+(F908*G908*(1+H908))</f>
        <v>472415.7</v>
      </c>
      <c r="L908" s="358"/>
    </row>
    <row r="909" spans="2:12" s="356" customFormat="1" ht="15.6" x14ac:dyDescent="0.3">
      <c r="B909" s="366"/>
      <c r="C909" s="367"/>
      <c r="D909" s="368" t="s">
        <v>90</v>
      </c>
      <c r="E909" s="170" t="s">
        <v>91</v>
      </c>
      <c r="F909" s="377">
        <v>0.05</v>
      </c>
      <c r="G909" s="370">
        <f>+K908</f>
        <v>472415.7</v>
      </c>
      <c r="H909" s="371"/>
      <c r="I909" s="372"/>
      <c r="J909" s="372"/>
      <c r="K909" s="372">
        <f>+(F909*G909*(1+H909))</f>
        <v>23620.785000000003</v>
      </c>
      <c r="L909" s="358"/>
    </row>
    <row r="910" spans="2:12" s="356" customFormat="1" ht="15.6" x14ac:dyDescent="0.3">
      <c r="B910" s="366"/>
      <c r="C910" s="367"/>
      <c r="D910" s="368" t="s">
        <v>92</v>
      </c>
      <c r="E910" s="170" t="s">
        <v>91</v>
      </c>
      <c r="F910" s="377">
        <v>0.05</v>
      </c>
      <c r="G910" s="370">
        <f>+K908</f>
        <v>472415.7</v>
      </c>
      <c r="H910" s="371"/>
      <c r="I910" s="372"/>
      <c r="J910" s="372">
        <f t="shared" ref="J910" si="15">+(F910*G910*(1+H910))</f>
        <v>23620.785000000003</v>
      </c>
      <c r="K910" s="366"/>
      <c r="L910" s="358"/>
    </row>
    <row r="911" spans="2:12" s="356" customFormat="1" ht="15.6" x14ac:dyDescent="0.3">
      <c r="B911" s="364"/>
      <c r="C911" s="378"/>
      <c r="D911" s="379" t="s">
        <v>93</v>
      </c>
      <c r="E911" s="380">
        <f>+ROUND(SUM(I911:K911),0)</f>
        <v>1228444</v>
      </c>
      <c r="F911" s="381"/>
      <c r="G911" s="382"/>
      <c r="H911" s="383"/>
      <c r="I911" s="384">
        <f>+ROUND(SUM(I901:I910),0)</f>
        <v>12615</v>
      </c>
      <c r="J911" s="384">
        <f t="shared" ref="J911:K911" si="16">+ROUND(SUM(J901:J910),0)</f>
        <v>719793</v>
      </c>
      <c r="K911" s="384">
        <f t="shared" si="16"/>
        <v>496036</v>
      </c>
      <c r="L911" s="358"/>
    </row>
    <row r="912" spans="2:12" s="356" customFormat="1" ht="15.75" customHeight="1" x14ac:dyDescent="0.3">
      <c r="E912" s="190"/>
      <c r="G912" s="357"/>
      <c r="L912" s="358"/>
    </row>
    <row r="913" spans="2:12" s="356" customFormat="1" ht="15.75" customHeight="1" x14ac:dyDescent="0.3">
      <c r="E913" s="190"/>
      <c r="G913" s="357"/>
      <c r="L913" s="358"/>
    </row>
    <row r="914" spans="2:12" s="356" customFormat="1" ht="15.6" x14ac:dyDescent="0.3">
      <c r="B914" s="340">
        <v>3.02</v>
      </c>
      <c r="C914" s="359"/>
      <c r="D914" s="360" t="s">
        <v>499</v>
      </c>
      <c r="E914" s="389" t="s">
        <v>500</v>
      </c>
      <c r="F914" s="361"/>
      <c r="G914" s="362"/>
      <c r="H914" s="363"/>
      <c r="I914" s="363"/>
      <c r="J914" s="363"/>
      <c r="K914" s="364"/>
      <c r="L914" s="365">
        <f>+E919</f>
        <v>733031</v>
      </c>
    </row>
    <row r="915" spans="2:12" s="356" customFormat="1" ht="15.6" x14ac:dyDescent="0.3">
      <c r="B915" s="366"/>
      <c r="C915" s="367">
        <v>5.0010000000000003</v>
      </c>
      <c r="D915" s="368" t="s">
        <v>404</v>
      </c>
      <c r="E915" s="170" t="s">
        <v>37</v>
      </c>
      <c r="F915" s="390">
        <v>1</v>
      </c>
      <c r="G915" s="370">
        <v>475645</v>
      </c>
      <c r="H915" s="371">
        <v>0.05</v>
      </c>
      <c r="I915" s="372"/>
      <c r="J915" s="372">
        <f t="shared" ref="J915" si="17">+(F915*G915*(1+H915))</f>
        <v>499427.25</v>
      </c>
      <c r="K915" s="372"/>
      <c r="L915" s="358"/>
    </row>
    <row r="916" spans="2:12" s="356" customFormat="1" ht="15.6" x14ac:dyDescent="0.3">
      <c r="B916" s="366"/>
      <c r="C916" s="367" t="s">
        <v>88</v>
      </c>
      <c r="D916" s="368" t="s">
        <v>89</v>
      </c>
      <c r="E916" s="170" t="s">
        <v>87</v>
      </c>
      <c r="F916" s="390">
        <v>0.48099999999999998</v>
      </c>
      <c r="G916" s="373">
        <f>+VLOOKUP(C916,'[113]Mano de Obra'!$A$7:$G$35,4,FALSE)</f>
        <v>441510</v>
      </c>
      <c r="H916" s="371"/>
      <c r="I916" s="372"/>
      <c r="J916" s="372"/>
      <c r="K916" s="372">
        <f>+(F916*G916*(1+H916))</f>
        <v>212366.31</v>
      </c>
      <c r="L916" s="358"/>
    </row>
    <row r="917" spans="2:12" s="356" customFormat="1" ht="15.6" x14ac:dyDescent="0.3">
      <c r="B917" s="366"/>
      <c r="C917" s="367"/>
      <c r="D917" s="368" t="s">
        <v>90</v>
      </c>
      <c r="E917" s="170" t="s">
        <v>91</v>
      </c>
      <c r="F917" s="390">
        <v>0.05</v>
      </c>
      <c r="G917" s="370">
        <f>+K916</f>
        <v>212366.31</v>
      </c>
      <c r="H917" s="371"/>
      <c r="I917" s="372"/>
      <c r="J917" s="372"/>
      <c r="K917" s="372">
        <f>+(F917*G917*(1+H917))</f>
        <v>10618.315500000001</v>
      </c>
      <c r="L917" s="358"/>
    </row>
    <row r="918" spans="2:12" s="356" customFormat="1" ht="15.6" x14ac:dyDescent="0.3">
      <c r="B918" s="366"/>
      <c r="C918" s="367"/>
      <c r="D918" s="368" t="s">
        <v>92</v>
      </c>
      <c r="E918" s="170" t="s">
        <v>91</v>
      </c>
      <c r="F918" s="390">
        <v>0.05</v>
      </c>
      <c r="G918" s="370">
        <f>+K916</f>
        <v>212366.31</v>
      </c>
      <c r="H918" s="371"/>
      <c r="I918" s="372"/>
      <c r="J918" s="372">
        <f t="shared" ref="J918" si="18">+(F918*G918*(1+H918))</f>
        <v>10618.315500000001</v>
      </c>
      <c r="K918" s="372"/>
      <c r="L918" s="358"/>
    </row>
    <row r="919" spans="2:12" s="356" customFormat="1" ht="15.6" x14ac:dyDescent="0.3">
      <c r="B919" s="364"/>
      <c r="C919" s="378"/>
      <c r="D919" s="379" t="s">
        <v>93</v>
      </c>
      <c r="E919" s="380">
        <f>+ROUND(SUM(I919:K919),0)</f>
        <v>733031</v>
      </c>
      <c r="F919" s="381"/>
      <c r="G919" s="382"/>
      <c r="H919" s="383"/>
      <c r="I919" s="384">
        <f>+ROUND(SUM(I915:I918),0)</f>
        <v>0</v>
      </c>
      <c r="J919" s="384">
        <f t="shared" ref="J919:K919" si="19">+ROUND(SUM(J915:J918),0)</f>
        <v>510046</v>
      </c>
      <c r="K919" s="384">
        <f t="shared" si="19"/>
        <v>222985</v>
      </c>
      <c r="L919" s="358"/>
    </row>
    <row r="920" spans="2:12" ht="15.6" x14ac:dyDescent="0.25">
      <c r="B920" s="391"/>
      <c r="C920" s="343"/>
      <c r="D920" s="343"/>
      <c r="E920" s="391"/>
      <c r="F920" s="342"/>
      <c r="G920" s="195"/>
      <c r="H920" s="343"/>
      <c r="I920" s="343"/>
      <c r="J920" s="343"/>
      <c r="K920" s="343"/>
    </row>
    <row r="921" spans="2:12" s="356" customFormat="1" ht="15.6" x14ac:dyDescent="0.3">
      <c r="B921" s="340">
        <v>3.03</v>
      </c>
      <c r="C921" s="340"/>
      <c r="D921" s="360" t="s">
        <v>501</v>
      </c>
      <c r="E921" s="160" t="s">
        <v>495</v>
      </c>
      <c r="F921" s="361"/>
      <c r="G921" s="362"/>
      <c r="H921" s="363"/>
      <c r="I921" s="363"/>
      <c r="J921" s="363"/>
      <c r="K921" s="363"/>
      <c r="L921" s="365">
        <f>+E929</f>
        <v>142297</v>
      </c>
    </row>
    <row r="922" spans="2:12" s="356" customFormat="1" ht="15.6" x14ac:dyDescent="0.3">
      <c r="B922" s="366"/>
      <c r="C922" s="367" t="s">
        <v>218</v>
      </c>
      <c r="D922" s="368" t="s">
        <v>219</v>
      </c>
      <c r="E922" s="170" t="s">
        <v>196</v>
      </c>
      <c r="F922" s="375">
        <v>7.0999999999999994E-2</v>
      </c>
      <c r="G922" s="373">
        <f>+VLOOKUP(C922,'[112]Insumos-Equipo M_L'!$A$2:$D$166,4,FALSE)</f>
        <v>198316.11502500001</v>
      </c>
      <c r="H922" s="392"/>
      <c r="I922" s="372">
        <f t="shared" ref="I922:I923" si="20">+(F922*G922*(1+H922))</f>
        <v>14080.444166775</v>
      </c>
      <c r="J922" s="372"/>
      <c r="K922" s="372"/>
      <c r="L922" s="358"/>
    </row>
    <row r="923" spans="2:12" s="356" customFormat="1" ht="15.6" x14ac:dyDescent="0.3">
      <c r="B923" s="366"/>
      <c r="C923" s="367" t="s">
        <v>220</v>
      </c>
      <c r="D923" s="368" t="s">
        <v>221</v>
      </c>
      <c r="E923" s="170" t="s">
        <v>196</v>
      </c>
      <c r="F923" s="375">
        <v>7.0999999999999994E-2</v>
      </c>
      <c r="G923" s="373">
        <f>+VLOOKUP(C923,'[112]Insumos-Equipo M_L'!$A$2:$D$166,4,FALSE)</f>
        <v>118250</v>
      </c>
      <c r="H923" s="392"/>
      <c r="I923" s="372">
        <f t="shared" si="20"/>
        <v>8395.75</v>
      </c>
      <c r="J923" s="372"/>
      <c r="K923" s="372"/>
      <c r="L923" s="358"/>
    </row>
    <row r="924" spans="2:12" s="356" customFormat="1" ht="15.6" x14ac:dyDescent="0.3">
      <c r="B924" s="366"/>
      <c r="C924" s="367" t="s">
        <v>222</v>
      </c>
      <c r="D924" s="368" t="s">
        <v>223</v>
      </c>
      <c r="E924" s="170" t="s">
        <v>37</v>
      </c>
      <c r="F924" s="374">
        <v>1</v>
      </c>
      <c r="G924" s="373">
        <f>+VLOOKUP(C924,'[112]Insumos-Equipo M_L'!$A$2:$D$166,4,FALSE)</f>
        <v>86000</v>
      </c>
      <c r="H924" s="371">
        <v>0.3</v>
      </c>
      <c r="I924" s="372"/>
      <c r="J924" s="372">
        <f t="shared" ref="J924" si="21">+(F924*G924*(1+H924))</f>
        <v>111800</v>
      </c>
      <c r="K924" s="372"/>
      <c r="L924" s="358"/>
    </row>
    <row r="925" spans="2:12" s="356" customFormat="1" ht="15.6" x14ac:dyDescent="0.3">
      <c r="B925" s="366"/>
      <c r="C925" s="367" t="s">
        <v>224</v>
      </c>
      <c r="D925" s="368" t="s">
        <v>225</v>
      </c>
      <c r="E925" s="170" t="s">
        <v>196</v>
      </c>
      <c r="F925" s="369">
        <v>0.01</v>
      </c>
      <c r="G925" s="373">
        <f>+VLOOKUP(C925,'[112]Insumos-Equipo M_L'!$A$2:$D$166,4,FALSE)</f>
        <v>96750</v>
      </c>
      <c r="H925" s="392"/>
      <c r="I925" s="372">
        <f t="shared" ref="I925" si="22">+(F925*G925*(1+H925))</f>
        <v>967.5</v>
      </c>
      <c r="J925" s="372"/>
      <c r="K925" s="372"/>
      <c r="L925" s="358"/>
    </row>
    <row r="926" spans="2:12" s="356" customFormat="1" ht="15.6" x14ac:dyDescent="0.3">
      <c r="B926" s="366"/>
      <c r="C926" s="367" t="s">
        <v>226</v>
      </c>
      <c r="D926" s="368" t="s">
        <v>227</v>
      </c>
      <c r="E926" s="170" t="s">
        <v>124</v>
      </c>
      <c r="F926" s="375">
        <v>1.2999999999999999E-2</v>
      </c>
      <c r="G926" s="373">
        <f>+VLOOKUP(C926,'[112]Insumos-Equipo M_L'!$A$2:$D$166,4,FALSE)</f>
        <v>75296.544472800015</v>
      </c>
      <c r="H926" s="371"/>
      <c r="I926" s="372"/>
      <c r="J926" s="372">
        <f t="shared" ref="J926" si="23">+(F926*G926*(1+H926))</f>
        <v>978.85507814640016</v>
      </c>
      <c r="K926" s="372"/>
      <c r="L926" s="358"/>
    </row>
    <row r="927" spans="2:12" s="356" customFormat="1" ht="15.6" x14ac:dyDescent="0.3">
      <c r="B927" s="393"/>
      <c r="C927" s="394" t="s">
        <v>139</v>
      </c>
      <c r="D927" s="395" t="s">
        <v>140</v>
      </c>
      <c r="E927" s="253" t="s">
        <v>87</v>
      </c>
      <c r="F927" s="396">
        <v>0.02</v>
      </c>
      <c r="G927" s="373">
        <f>+VLOOKUP(C927,'[113]Mano de Obra'!$A$7:$G$35,4,FALSE)</f>
        <v>289265</v>
      </c>
      <c r="H927" s="397"/>
      <c r="I927" s="398"/>
      <c r="J927" s="398"/>
      <c r="K927" s="372">
        <f t="shared" ref="K927" si="24">+(F927*G927*(1+H927))</f>
        <v>5785.3</v>
      </c>
      <c r="L927" s="358"/>
    </row>
    <row r="928" spans="2:12" s="356" customFormat="1" ht="15.6" x14ac:dyDescent="0.3">
      <c r="B928" s="366"/>
      <c r="C928" s="367"/>
      <c r="D928" s="368" t="s">
        <v>92</v>
      </c>
      <c r="E928" s="170" t="s">
        <v>91</v>
      </c>
      <c r="F928" s="377">
        <v>0.05</v>
      </c>
      <c r="G928" s="370">
        <f>+K927</f>
        <v>5785.3</v>
      </c>
      <c r="H928" s="371"/>
      <c r="I928" s="372"/>
      <c r="J928" s="372">
        <f t="shared" ref="J928" si="25">+(F928*G928*(1+H928))</f>
        <v>289.26500000000004</v>
      </c>
      <c r="K928" s="366"/>
      <c r="L928" s="358"/>
    </row>
    <row r="929" spans="2:12" s="356" customFormat="1" ht="15.6" x14ac:dyDescent="0.3">
      <c r="B929" s="364"/>
      <c r="C929" s="378"/>
      <c r="D929" s="379" t="s">
        <v>93</v>
      </c>
      <c r="E929" s="380">
        <f>+ROUND(SUM(I929:K929),0)</f>
        <v>142297</v>
      </c>
      <c r="F929" s="381"/>
      <c r="G929" s="382"/>
      <c r="H929" s="383"/>
      <c r="I929" s="384">
        <f>+ROUND(SUM(I922:I928),0)</f>
        <v>23444</v>
      </c>
      <c r="J929" s="384">
        <f t="shared" ref="J929:K929" si="26">+ROUND(SUM(J922:J928),0)</f>
        <v>113068</v>
      </c>
      <c r="K929" s="384">
        <f t="shared" si="26"/>
        <v>5785</v>
      </c>
      <c r="L929" s="358"/>
    </row>
    <row r="930" spans="2:12" s="356" customFormat="1" x14ac:dyDescent="0.3">
      <c r="E930" s="190"/>
      <c r="G930" s="357"/>
      <c r="L930" s="358"/>
    </row>
    <row r="931" spans="2:12" s="356" customFormat="1" ht="15.6" x14ac:dyDescent="0.3">
      <c r="B931" s="340">
        <v>3.04</v>
      </c>
      <c r="C931" s="359"/>
      <c r="D931" s="360" t="s">
        <v>502</v>
      </c>
      <c r="E931" s="160" t="s">
        <v>486</v>
      </c>
      <c r="F931" s="361"/>
      <c r="G931" s="362"/>
      <c r="H931" s="363"/>
      <c r="I931" s="363"/>
      <c r="J931" s="363"/>
      <c r="K931" s="364"/>
      <c r="L931" s="365">
        <f>+E935</f>
        <v>62600</v>
      </c>
    </row>
    <row r="932" spans="2:12" s="356" customFormat="1" ht="15.6" x14ac:dyDescent="0.3">
      <c r="B932" s="366"/>
      <c r="C932" s="367" t="s">
        <v>405</v>
      </c>
      <c r="D932" s="368" t="s">
        <v>406</v>
      </c>
      <c r="E932" s="170" t="s">
        <v>36</v>
      </c>
      <c r="F932" s="375">
        <v>1</v>
      </c>
      <c r="G932" s="373">
        <f>+VLOOKUP(C932,'[112]Insumos-Equipo M_L'!$A$2:$D$166,4,FALSE)</f>
        <v>51410.455784999998</v>
      </c>
      <c r="H932" s="371"/>
      <c r="I932" s="372"/>
      <c r="J932" s="372">
        <f t="shared" ref="J932" si="27">+(F932*G932*(1+H932))</f>
        <v>51410.455784999998</v>
      </c>
      <c r="K932" s="372"/>
      <c r="L932" s="358"/>
    </row>
    <row r="933" spans="2:12" s="356" customFormat="1" ht="15.6" x14ac:dyDescent="0.3">
      <c r="B933" s="366"/>
      <c r="C933" s="367" t="s">
        <v>119</v>
      </c>
      <c r="D933" s="368" t="s">
        <v>120</v>
      </c>
      <c r="E933" s="170" t="s">
        <v>87</v>
      </c>
      <c r="F933" s="376">
        <v>0.05</v>
      </c>
      <c r="G933" s="373">
        <f>+VLOOKUP(C933,'[113]Mano de Obra'!$A$7:$G$35,4,FALSE)</f>
        <v>213143</v>
      </c>
      <c r="H933" s="371"/>
      <c r="I933" s="372"/>
      <c r="J933" s="372"/>
      <c r="K933" s="372">
        <f>+(F933*G933*(1+H933))</f>
        <v>10657.150000000001</v>
      </c>
      <c r="L933" s="358"/>
    </row>
    <row r="934" spans="2:12" s="356" customFormat="1" ht="15.6" x14ac:dyDescent="0.3">
      <c r="B934" s="366"/>
      <c r="C934" s="367"/>
      <c r="D934" s="368" t="s">
        <v>92</v>
      </c>
      <c r="E934" s="170" t="s">
        <v>91</v>
      </c>
      <c r="F934" s="377">
        <v>0.05</v>
      </c>
      <c r="G934" s="370">
        <f>+K933</f>
        <v>10657.150000000001</v>
      </c>
      <c r="H934" s="371"/>
      <c r="I934" s="372"/>
      <c r="J934" s="372">
        <f t="shared" ref="J934" si="28">+(F934*G934*(1+H934))</f>
        <v>532.85750000000007</v>
      </c>
      <c r="K934" s="366"/>
      <c r="L934" s="358"/>
    </row>
    <row r="935" spans="2:12" s="356" customFormat="1" ht="15.6" x14ac:dyDescent="0.3">
      <c r="B935" s="364"/>
      <c r="C935" s="378"/>
      <c r="D935" s="379" t="s">
        <v>93</v>
      </c>
      <c r="E935" s="380">
        <f>+ROUND(SUM(I935:K935),0)</f>
        <v>62600</v>
      </c>
      <c r="F935" s="381"/>
      <c r="G935" s="382"/>
      <c r="H935" s="383"/>
      <c r="I935" s="384">
        <f>+ROUND(SUM(I931:I934),0)</f>
        <v>0</v>
      </c>
      <c r="J935" s="384">
        <f>+ROUND(SUM(J932:J934),0)</f>
        <v>51943</v>
      </c>
      <c r="K935" s="384">
        <f>+ROUND(SUM(K932:K934),0)</f>
        <v>10657</v>
      </c>
      <c r="L935" s="358"/>
    </row>
    <row r="936" spans="2:12" s="356" customFormat="1" x14ac:dyDescent="0.3">
      <c r="E936" s="190"/>
      <c r="G936" s="357"/>
      <c r="L936" s="358"/>
    </row>
    <row r="937" spans="2:12" s="356" customFormat="1" ht="15.6" x14ac:dyDescent="0.3">
      <c r="B937" s="340">
        <v>3.05</v>
      </c>
      <c r="C937" s="340"/>
      <c r="D937" s="360" t="s">
        <v>503</v>
      </c>
      <c r="E937" s="160" t="s">
        <v>504</v>
      </c>
      <c r="F937" s="361"/>
      <c r="G937" s="399"/>
      <c r="H937" s="400"/>
      <c r="I937" s="400"/>
      <c r="J937" s="400"/>
      <c r="K937" s="400"/>
      <c r="L937" s="365">
        <f>+E944</f>
        <v>8763</v>
      </c>
    </row>
    <row r="938" spans="2:12" s="356" customFormat="1" ht="15.6" x14ac:dyDescent="0.3">
      <c r="B938" s="366"/>
      <c r="C938" s="367" t="s">
        <v>113</v>
      </c>
      <c r="D938" s="368" t="s">
        <v>114</v>
      </c>
      <c r="E938" s="170" t="s">
        <v>97</v>
      </c>
      <c r="F938" s="369">
        <v>1</v>
      </c>
      <c r="G938" s="373">
        <f>+VLOOKUP(C938,'[112]Insumos-Equipo M_L'!$A$2:$D$166,4,FALSE)</f>
        <v>6296.2749999999996</v>
      </c>
      <c r="H938" s="371">
        <v>0.03</v>
      </c>
      <c r="I938" s="401"/>
      <c r="J938" s="372">
        <f t="shared" ref="J938:J939" si="29">+($F938*$G938*(1+$H938))</f>
        <v>6485.1632499999996</v>
      </c>
      <c r="K938" s="401"/>
      <c r="L938" s="358"/>
    </row>
    <row r="939" spans="2:12" s="356" customFormat="1" ht="15.6" x14ac:dyDescent="0.3">
      <c r="B939" s="366"/>
      <c r="C939" s="367" t="s">
        <v>115</v>
      </c>
      <c r="D939" s="368" t="s">
        <v>116</v>
      </c>
      <c r="E939" s="170" t="s">
        <v>97</v>
      </c>
      <c r="F939" s="369">
        <v>0.05</v>
      </c>
      <c r="G939" s="373">
        <f>+VLOOKUP(C939,'[112]Insumos-Equipo M_L'!$A$2:$D$166,4,FALSE)</f>
        <v>9491.1610680000013</v>
      </c>
      <c r="H939" s="371"/>
      <c r="I939" s="401"/>
      <c r="J939" s="372">
        <f t="shared" si="29"/>
        <v>474.55805340000006</v>
      </c>
      <c r="K939" s="401"/>
      <c r="L939" s="358"/>
    </row>
    <row r="940" spans="2:12" s="356" customFormat="1" ht="15.6" x14ac:dyDescent="0.3">
      <c r="B940" s="366"/>
      <c r="C940" s="367" t="s">
        <v>117</v>
      </c>
      <c r="D940" s="368" t="s">
        <v>118</v>
      </c>
      <c r="E940" s="170" t="s">
        <v>87</v>
      </c>
      <c r="F940" s="402">
        <v>6.6666666666666671E-3</v>
      </c>
      <c r="G940" s="373">
        <f>+VLOOKUP(C940,'[112]Insumos-Equipo M_L'!$A$2:$D$166,4,FALSE)</f>
        <v>50458.737000000001</v>
      </c>
      <c r="H940" s="371"/>
      <c r="I940" s="372">
        <f t="shared" ref="I940" si="30">+($F940*$G940*(1+$H940))</f>
        <v>336.39158000000003</v>
      </c>
      <c r="J940" s="401"/>
      <c r="K940" s="401"/>
      <c r="L940" s="358"/>
    </row>
    <row r="941" spans="2:12" s="356" customFormat="1" ht="15.6" x14ac:dyDescent="0.3">
      <c r="B941" s="366"/>
      <c r="C941" s="367" t="s">
        <v>119</v>
      </c>
      <c r="D941" s="368" t="s">
        <v>120</v>
      </c>
      <c r="E941" s="170" t="s">
        <v>87</v>
      </c>
      <c r="F941" s="403">
        <v>6.2899999999999996E-3</v>
      </c>
      <c r="G941" s="373">
        <f>+VLOOKUP(C941,'[113]Mano de Obra'!$A$7:$G$35,4,FALSE)</f>
        <v>213143</v>
      </c>
      <c r="H941" s="371"/>
      <c r="I941" s="401"/>
      <c r="J941" s="401"/>
      <c r="K941" s="372">
        <f t="shared" ref="K941:K942" si="31">+($F941*$G941*(1+$H941))</f>
        <v>1340.6694699999998</v>
      </c>
      <c r="L941" s="358"/>
    </row>
    <row r="942" spans="2:12" s="356" customFormat="1" ht="15.6" x14ac:dyDescent="0.3">
      <c r="B942" s="366"/>
      <c r="C942" s="367"/>
      <c r="D942" s="368" t="s">
        <v>90</v>
      </c>
      <c r="E942" s="170" t="s">
        <v>91</v>
      </c>
      <c r="F942" s="377">
        <v>0.05</v>
      </c>
      <c r="G942" s="373">
        <f>+K941</f>
        <v>1340.6694699999998</v>
      </c>
      <c r="H942" s="371"/>
      <c r="I942" s="401"/>
      <c r="J942" s="401"/>
      <c r="K942" s="372">
        <f t="shared" si="31"/>
        <v>67.033473499999999</v>
      </c>
      <c r="L942" s="358"/>
    </row>
    <row r="943" spans="2:12" s="356" customFormat="1" ht="15.6" x14ac:dyDescent="0.3">
      <c r="B943" s="366"/>
      <c r="C943" s="367"/>
      <c r="D943" s="368" t="s">
        <v>92</v>
      </c>
      <c r="E943" s="170" t="s">
        <v>91</v>
      </c>
      <c r="F943" s="377">
        <v>0.05</v>
      </c>
      <c r="G943" s="373">
        <f>+K941</f>
        <v>1340.6694699999998</v>
      </c>
      <c r="H943" s="371"/>
      <c r="I943" s="401"/>
      <c r="J943" s="401">
        <v>59.678261999999997</v>
      </c>
      <c r="K943" s="366"/>
      <c r="L943" s="358"/>
    </row>
    <row r="944" spans="2:12" s="356" customFormat="1" ht="15.6" x14ac:dyDescent="0.3">
      <c r="B944" s="364"/>
      <c r="C944" s="378"/>
      <c r="D944" s="379" t="s">
        <v>93</v>
      </c>
      <c r="E944" s="380">
        <f>+ROUND(SUM(I944:K944),0)</f>
        <v>8763</v>
      </c>
      <c r="F944" s="381"/>
      <c r="G944" s="382"/>
      <c r="H944" s="404"/>
      <c r="I944" s="384">
        <f>+ROUND(SUM(I938:I943),0)</f>
        <v>336</v>
      </c>
      <c r="J944" s="384">
        <f t="shared" ref="J944:K944" si="32">+ROUND(SUM(J938:J943),0)</f>
        <v>7019</v>
      </c>
      <c r="K944" s="384">
        <f t="shared" si="32"/>
        <v>1408</v>
      </c>
      <c r="L944" s="358"/>
    </row>
    <row r="945" spans="1:12" s="356" customFormat="1" x14ac:dyDescent="0.3">
      <c r="E945" s="190"/>
      <c r="G945" s="357"/>
      <c r="L945" s="358"/>
    </row>
    <row r="946" spans="1:12" ht="40.5" customHeight="1" x14ac:dyDescent="0.3">
      <c r="A946" s="158">
        <v>4</v>
      </c>
      <c r="B946" s="340">
        <v>3.06</v>
      </c>
      <c r="C946" s="160"/>
      <c r="D946" s="405" t="s">
        <v>505</v>
      </c>
      <c r="E946" s="160" t="s">
        <v>494</v>
      </c>
      <c r="F946" s="163"/>
      <c r="G946" s="201"/>
      <c r="H946" s="203"/>
      <c r="I946" s="203"/>
      <c r="J946" s="203"/>
      <c r="K946" s="203"/>
      <c r="L946" s="166">
        <f>+E953</f>
        <v>528000</v>
      </c>
    </row>
    <row r="947" spans="1:12" ht="30" x14ac:dyDescent="0.25">
      <c r="B947" s="168"/>
      <c r="C947" s="168"/>
      <c r="D947" s="169" t="s">
        <v>506</v>
      </c>
      <c r="E947" s="170" t="s">
        <v>124</v>
      </c>
      <c r="F947" s="176">
        <v>1</v>
      </c>
      <c r="G947" s="171">
        <v>412738.90548700583</v>
      </c>
      <c r="H947" s="350"/>
      <c r="I947" s="174"/>
      <c r="J947" s="174">
        <f>+(F947*G947*(1+H947))</f>
        <v>412738.90548700583</v>
      </c>
      <c r="K947" s="174"/>
    </row>
    <row r="948" spans="1:12" ht="15" x14ac:dyDescent="0.25">
      <c r="B948" s="168"/>
      <c r="C948" s="168"/>
      <c r="D948" s="169" t="s">
        <v>507</v>
      </c>
      <c r="E948" s="170" t="s">
        <v>124</v>
      </c>
      <c r="F948" s="170">
        <v>1</v>
      </c>
      <c r="G948" s="171">
        <v>47100</v>
      </c>
      <c r="H948" s="350"/>
      <c r="I948" s="174"/>
      <c r="J948" s="174">
        <f>+(F948*G948*(1+H948))</f>
        <v>47100</v>
      </c>
      <c r="K948" s="174"/>
    </row>
    <row r="949" spans="1:12" ht="15" x14ac:dyDescent="0.25">
      <c r="B949" s="168"/>
      <c r="C949" s="168"/>
      <c r="D949" s="169" t="s">
        <v>508</v>
      </c>
      <c r="E949" s="170" t="s">
        <v>465</v>
      </c>
      <c r="F949" s="170">
        <v>2.7E-2</v>
      </c>
      <c r="G949" s="171">
        <v>434881</v>
      </c>
      <c r="H949" s="172">
        <v>0.05</v>
      </c>
      <c r="I949" s="174"/>
      <c r="J949" s="174">
        <f>+(F949*G949*(1+H949))</f>
        <v>12328.87635</v>
      </c>
      <c r="K949" s="174"/>
    </row>
    <row r="950" spans="1:12" ht="30" x14ac:dyDescent="0.25">
      <c r="B950" s="168"/>
      <c r="C950" s="168"/>
      <c r="D950" s="169" t="s">
        <v>509</v>
      </c>
      <c r="E950" s="170" t="s">
        <v>87</v>
      </c>
      <c r="F950" s="170">
        <v>0.02</v>
      </c>
      <c r="G950" s="171">
        <v>298427</v>
      </c>
      <c r="H950" s="350"/>
      <c r="I950" s="174"/>
      <c r="J950" s="174">
        <f>+(F950*G950*(1+H950))</f>
        <v>5968.54</v>
      </c>
      <c r="K950" s="174"/>
    </row>
    <row r="951" spans="1:12" ht="15" x14ac:dyDescent="0.25">
      <c r="B951" s="168"/>
      <c r="C951" s="168" t="s">
        <v>119</v>
      </c>
      <c r="D951" s="169" t="s">
        <v>510</v>
      </c>
      <c r="E951" s="170" t="s">
        <v>87</v>
      </c>
      <c r="F951" s="176">
        <v>0.21267804008392435</v>
      </c>
      <c r="G951" s="171">
        <v>213143</v>
      </c>
      <c r="H951" s="350"/>
      <c r="I951" s="174"/>
      <c r="J951" s="174">
        <f>+(F951*G951)</f>
        <v>45330.835497607892</v>
      </c>
      <c r="K951" s="174"/>
    </row>
    <row r="952" spans="1:12" ht="15" x14ac:dyDescent="0.25">
      <c r="B952" s="168"/>
      <c r="C952" s="168"/>
      <c r="D952" s="169" t="s">
        <v>511</v>
      </c>
      <c r="E952" s="170" t="s">
        <v>512</v>
      </c>
      <c r="F952" s="170">
        <v>0.1</v>
      </c>
      <c r="G952" s="171">
        <f>J951</f>
        <v>45330.835497607892</v>
      </c>
      <c r="H952" s="350"/>
      <c r="I952" s="174"/>
      <c r="J952" s="174">
        <f>+(F952*G952*(1+H952))</f>
        <v>4533.0835497607895</v>
      </c>
      <c r="K952" s="174"/>
    </row>
    <row r="953" spans="1:12" ht="15.6" x14ac:dyDescent="0.25">
      <c r="B953" s="180"/>
      <c r="C953" s="180"/>
      <c r="D953" s="181" t="s">
        <v>93</v>
      </c>
      <c r="E953" s="182">
        <f>+ROUND(SUM(I953:K953),0)</f>
        <v>528000</v>
      </c>
      <c r="F953" s="342"/>
      <c r="G953" s="195"/>
      <c r="H953" s="196"/>
      <c r="I953" s="186">
        <f>+ROUND(SUM(I947:I952),0)</f>
        <v>0</v>
      </c>
      <c r="J953" s="186">
        <f>+ROUND(SUM(J947:J952),0)</f>
        <v>528000</v>
      </c>
      <c r="K953" s="186">
        <f>+ROUND(SUM(K947:K952),0)</f>
        <v>0</v>
      </c>
    </row>
    <row r="955" spans="1:12" ht="31.95" customHeight="1" x14ac:dyDescent="0.3">
      <c r="A955" s="158">
        <v>5</v>
      </c>
      <c r="B955" s="340">
        <v>3.07</v>
      </c>
      <c r="C955" s="160"/>
      <c r="D955" s="405" t="s">
        <v>50</v>
      </c>
      <c r="E955" s="160" t="s">
        <v>486</v>
      </c>
      <c r="F955" s="163"/>
      <c r="G955" s="201"/>
      <c r="H955" s="203"/>
      <c r="I955" s="203"/>
      <c r="J955" s="203"/>
      <c r="K955" s="203"/>
      <c r="L955" s="166">
        <f>+E962</f>
        <v>6200</v>
      </c>
    </row>
    <row r="956" spans="1:12" ht="15" x14ac:dyDescent="0.25">
      <c r="B956" s="168"/>
      <c r="C956" s="168"/>
      <c r="D956" s="169" t="s">
        <v>513</v>
      </c>
      <c r="E956" s="170" t="s">
        <v>514</v>
      </c>
      <c r="F956" s="175">
        <v>5.0000000000000001E-3</v>
      </c>
      <c r="G956" s="171">
        <v>57511.040000000001</v>
      </c>
      <c r="H956" s="406"/>
      <c r="I956" s="174"/>
      <c r="J956" s="174">
        <f>+(F956*G956)</f>
        <v>287.55520000000001</v>
      </c>
      <c r="K956" s="174"/>
    </row>
    <row r="957" spans="1:12" ht="15" x14ac:dyDescent="0.25">
      <c r="B957" s="168"/>
      <c r="C957" s="168"/>
      <c r="D957" s="169" t="s">
        <v>515</v>
      </c>
      <c r="E957" s="170" t="s">
        <v>97</v>
      </c>
      <c r="F957" s="170">
        <v>0.05</v>
      </c>
      <c r="G957" s="171">
        <v>37274.050000000003</v>
      </c>
      <c r="H957" s="406"/>
      <c r="I957" s="174"/>
      <c r="J957" s="174">
        <f>+(F957*G957)</f>
        <v>1863.7025000000003</v>
      </c>
      <c r="K957" s="174"/>
    </row>
    <row r="958" spans="1:12" ht="15" x14ac:dyDescent="0.25">
      <c r="B958" s="168"/>
      <c r="C958" s="168"/>
      <c r="D958" s="169" t="s">
        <v>516</v>
      </c>
      <c r="E958" s="170" t="s">
        <v>266</v>
      </c>
      <c r="F958" s="175">
        <v>1.1359321286190445E-2</v>
      </c>
      <c r="G958" s="171">
        <v>142900</v>
      </c>
      <c r="H958" s="406"/>
      <c r="I958" s="174"/>
      <c r="J958" s="174">
        <f>+(F958*G958)</f>
        <v>1623.2470117966145</v>
      </c>
      <c r="K958" s="174"/>
    </row>
    <row r="959" spans="1:12" ht="15" x14ac:dyDescent="0.25">
      <c r="B959" s="168"/>
      <c r="C959" s="251" t="s">
        <v>517</v>
      </c>
      <c r="D959" s="169" t="s">
        <v>518</v>
      </c>
      <c r="E959" s="170" t="s">
        <v>87</v>
      </c>
      <c r="F959" s="262">
        <v>6.6666666666666697E-4</v>
      </c>
      <c r="G959" s="171">
        <v>304490</v>
      </c>
      <c r="H959" s="406"/>
      <c r="I959" s="174"/>
      <c r="J959" s="174">
        <f>+(F959*G959)</f>
        <v>202.99333333333342</v>
      </c>
      <c r="K959" s="174"/>
    </row>
    <row r="960" spans="1:12" ht="15" x14ac:dyDescent="0.25">
      <c r="B960" s="168"/>
      <c r="C960" s="168"/>
      <c r="D960" s="169" t="s">
        <v>519</v>
      </c>
      <c r="E960" s="170" t="s">
        <v>196</v>
      </c>
      <c r="F960" s="262">
        <v>0.03</v>
      </c>
      <c r="G960" s="171">
        <v>73422.990000000005</v>
      </c>
      <c r="H960" s="407"/>
      <c r="I960" s="174"/>
      <c r="J960" s="174">
        <f>+(F960*G960)</f>
        <v>2202.6896999999999</v>
      </c>
      <c r="K960" s="174"/>
    </row>
    <row r="961" spans="1:12" ht="15" x14ac:dyDescent="0.25">
      <c r="B961" s="168"/>
      <c r="C961" s="168"/>
      <c r="D961" s="169" t="s">
        <v>511</v>
      </c>
      <c r="E961" s="170" t="s">
        <v>512</v>
      </c>
      <c r="F961" s="170">
        <v>0.1</v>
      </c>
      <c r="G961" s="171">
        <f>J959</f>
        <v>202.99333333333342</v>
      </c>
      <c r="H961" s="350"/>
      <c r="I961" s="174"/>
      <c r="J961" s="174">
        <f>+(F961*G961*(1+H961))</f>
        <v>20.299333333333344</v>
      </c>
      <c r="K961" s="174"/>
    </row>
    <row r="962" spans="1:12" ht="15.6" x14ac:dyDescent="0.25">
      <c r="B962" s="180"/>
      <c r="C962" s="180"/>
      <c r="D962" s="181" t="s">
        <v>93</v>
      </c>
      <c r="E962" s="182">
        <f>+ROUND(SUM(I962:K962),0)</f>
        <v>6200</v>
      </c>
      <c r="F962" s="342"/>
      <c r="G962" s="195"/>
      <c r="H962" s="196"/>
      <c r="I962" s="186">
        <f>+ROUND(SUM(I956:I961),0)</f>
        <v>0</v>
      </c>
      <c r="J962" s="186">
        <f>+ROUND(SUM(J956:J961),0)</f>
        <v>6200</v>
      </c>
      <c r="K962" s="186">
        <f>+ROUND(SUM(K956:K961),0)</f>
        <v>0</v>
      </c>
    </row>
    <row r="964" spans="1:12" ht="31.95" customHeight="1" x14ac:dyDescent="0.3">
      <c r="A964" s="158">
        <v>6</v>
      </c>
      <c r="B964" s="340">
        <v>3.08</v>
      </c>
      <c r="C964" s="160"/>
      <c r="D964" s="405" t="s">
        <v>51</v>
      </c>
      <c r="E964" s="160" t="s">
        <v>520</v>
      </c>
      <c r="F964" s="163"/>
      <c r="G964" s="201"/>
      <c r="H964" s="203"/>
      <c r="I964" s="203"/>
      <c r="J964" s="203"/>
      <c r="K964" s="203"/>
      <c r="L964" s="166">
        <f>+E970</f>
        <v>19897</v>
      </c>
    </row>
    <row r="965" spans="1:12" ht="45" x14ac:dyDescent="0.25">
      <c r="B965" s="168"/>
      <c r="C965" s="168"/>
      <c r="D965" s="169" t="s">
        <v>521</v>
      </c>
      <c r="E965" s="170" t="s">
        <v>124</v>
      </c>
      <c r="F965" s="176">
        <v>5.1432789432789436E-2</v>
      </c>
      <c r="G965" s="171">
        <v>99900</v>
      </c>
      <c r="H965" s="172">
        <v>0.05</v>
      </c>
      <c r="I965" s="174"/>
      <c r="J965" s="174">
        <f>+(F965*G965*(1+H965))</f>
        <v>5395.0424475524487</v>
      </c>
      <c r="K965" s="174"/>
    </row>
    <row r="966" spans="1:12" ht="15" x14ac:dyDescent="0.25">
      <c r="B966" s="168"/>
      <c r="C966" s="168"/>
      <c r="D966" s="169" t="s">
        <v>522</v>
      </c>
      <c r="E966" s="170" t="s">
        <v>124</v>
      </c>
      <c r="F966" s="170">
        <v>1</v>
      </c>
      <c r="G966" s="171">
        <v>12000</v>
      </c>
      <c r="H966" s="406"/>
      <c r="I966" s="174"/>
      <c r="J966" s="174">
        <f>+(F966*G966*(1+H966))</f>
        <v>12000</v>
      </c>
      <c r="K966" s="174"/>
    </row>
    <row r="967" spans="1:12" ht="15" x14ac:dyDescent="0.25">
      <c r="B967" s="168"/>
      <c r="C967" s="251" t="s">
        <v>144</v>
      </c>
      <c r="D967" s="169" t="s">
        <v>145</v>
      </c>
      <c r="E967" s="170" t="s">
        <v>87</v>
      </c>
      <c r="F967" s="170">
        <v>1.2999999999999999E-2</v>
      </c>
      <c r="G967" s="171">
        <v>76122</v>
      </c>
      <c r="H967" s="406"/>
      <c r="I967" s="174"/>
      <c r="J967" s="174">
        <f>+(F967*G967*(1+H967))</f>
        <v>989.5859999999999</v>
      </c>
      <c r="K967" s="174"/>
    </row>
    <row r="968" spans="1:12" ht="30" x14ac:dyDescent="0.25">
      <c r="B968" s="168"/>
      <c r="C968" s="168"/>
      <c r="D968" s="169" t="s">
        <v>509</v>
      </c>
      <c r="E968" s="170" t="s">
        <v>87</v>
      </c>
      <c r="F968" s="170">
        <v>5.0000000000000001E-3</v>
      </c>
      <c r="G968" s="171">
        <v>298427</v>
      </c>
      <c r="H968" s="406"/>
      <c r="I968" s="174">
        <f>+(F968*G968*(1+H968))</f>
        <v>1492.135</v>
      </c>
      <c r="J968" s="174"/>
      <c r="K968" s="174"/>
    </row>
    <row r="969" spans="1:12" ht="15" x14ac:dyDescent="0.25">
      <c r="B969" s="168"/>
      <c r="C969" s="168"/>
      <c r="D969" s="169" t="s">
        <v>511</v>
      </c>
      <c r="E969" s="170" t="s">
        <v>512</v>
      </c>
      <c r="F969" s="170">
        <v>0.05</v>
      </c>
      <c r="G969" s="171">
        <v>404.73500000000001</v>
      </c>
      <c r="H969" s="407"/>
      <c r="I969" s="174"/>
      <c r="J969" s="174">
        <f>+(F969*G969*(1+H969))</f>
        <v>20.236750000000001</v>
      </c>
      <c r="K969" s="174"/>
    </row>
    <row r="970" spans="1:12" ht="15.6" x14ac:dyDescent="0.25">
      <c r="B970" s="180"/>
      <c r="C970" s="180"/>
      <c r="D970" s="181" t="s">
        <v>93</v>
      </c>
      <c r="E970" s="182">
        <f>+ROUND(SUM(I970:K970),0)</f>
        <v>19897</v>
      </c>
      <c r="F970" s="342"/>
      <c r="G970" s="195"/>
      <c r="H970" s="196"/>
      <c r="I970" s="186">
        <f>+ROUND(SUM(I965:I969),0)</f>
        <v>1492</v>
      </c>
      <c r="J970" s="186">
        <f>+ROUND(SUM(J965:J969),0)</f>
        <v>18405</v>
      </c>
      <c r="K970" s="186">
        <f>+ROUND(SUM(K965:K969),0)</f>
        <v>0</v>
      </c>
    </row>
    <row r="973" spans="1:12" ht="39.75" customHeight="1" x14ac:dyDescent="0.3">
      <c r="A973" s="158">
        <v>8</v>
      </c>
      <c r="B973" s="340">
        <v>4.01</v>
      </c>
      <c r="C973" s="160"/>
      <c r="D973" s="237" t="s">
        <v>523</v>
      </c>
      <c r="E973" s="272" t="s">
        <v>495</v>
      </c>
      <c r="F973" s="344"/>
      <c r="G973" s="345"/>
      <c r="H973" s="346"/>
      <c r="I973" s="346"/>
      <c r="J973" s="346"/>
      <c r="K973" s="346"/>
      <c r="L973" s="166">
        <f>+E977</f>
        <v>657420</v>
      </c>
    </row>
    <row r="974" spans="1:12" ht="15" x14ac:dyDescent="0.25">
      <c r="B974" s="347"/>
      <c r="C974" s="408">
        <v>5.0010000000000003</v>
      </c>
      <c r="D974" s="409" t="s">
        <v>404</v>
      </c>
      <c r="E974" s="410" t="s">
        <v>37</v>
      </c>
      <c r="F974" s="411">
        <v>1</v>
      </c>
      <c r="G974" s="412">
        <v>475645</v>
      </c>
      <c r="H974" s="306">
        <v>0.05</v>
      </c>
      <c r="I974" s="413"/>
      <c r="J974" s="413">
        <f>+(F974*G974*(1+H974))</f>
        <v>499427.25</v>
      </c>
      <c r="K974" s="413"/>
    </row>
    <row r="975" spans="1:12" ht="15" x14ac:dyDescent="0.25">
      <c r="B975" s="347"/>
      <c r="C975" s="347" t="s">
        <v>88</v>
      </c>
      <c r="D975" s="169" t="s">
        <v>89</v>
      </c>
      <c r="E975" s="170" t="s">
        <v>87</v>
      </c>
      <c r="F975" s="411">
        <v>0.35430164833280375</v>
      </c>
      <c r="G975" s="171">
        <f>+VLOOKUP(C975,'[117]Mano de Obra'!$A$7:$G$37,4,FALSE)</f>
        <v>441510</v>
      </c>
      <c r="H975" s="414"/>
      <c r="I975" s="413"/>
      <c r="J975" s="413"/>
      <c r="K975" s="413">
        <f>+(F975*G975*(1+H975))</f>
        <v>156427.72075541617</v>
      </c>
    </row>
    <row r="976" spans="1:12" ht="15" x14ac:dyDescent="0.25">
      <c r="B976" s="347"/>
      <c r="C976" s="347"/>
      <c r="D976" s="169" t="s">
        <v>92</v>
      </c>
      <c r="E976" s="170" t="s">
        <v>91</v>
      </c>
      <c r="F976" s="175">
        <v>0.1</v>
      </c>
      <c r="G976" s="205">
        <f>K975*0.1</f>
        <v>15642.772075541618</v>
      </c>
      <c r="H976" s="414"/>
      <c r="I976" s="413"/>
      <c r="J976" s="413">
        <f>+(F976*G976*(1+H976))</f>
        <v>1564.2772075541618</v>
      </c>
      <c r="K976" s="415"/>
    </row>
    <row r="977" spans="1:12" ht="15.6" x14ac:dyDescent="0.25">
      <c r="B977" s="416"/>
      <c r="C977" s="416"/>
      <c r="D977" s="181" t="s">
        <v>93</v>
      </c>
      <c r="E977" s="182">
        <f>+ROUND(SUM(I977:K977),0)</f>
        <v>657420</v>
      </c>
      <c r="F977" s="342"/>
      <c r="G977" s="195"/>
      <c r="H977" s="417"/>
      <c r="I977" s="186">
        <f>+ROUND(SUM(I974:I976),0)</f>
        <v>0</v>
      </c>
      <c r="J977" s="186">
        <f>+ROUND(SUM(J974:J976),0)</f>
        <v>500992</v>
      </c>
      <c r="K977" s="186">
        <f>+ROUND(SUM(K974:K976),0)</f>
        <v>156428</v>
      </c>
    </row>
    <row r="978" spans="1:12" ht="15.6" x14ac:dyDescent="0.25">
      <c r="B978" s="391"/>
      <c r="C978" s="343"/>
      <c r="D978" s="343"/>
      <c r="E978" s="391"/>
      <c r="F978" s="342"/>
      <c r="G978" s="195"/>
      <c r="H978" s="343"/>
      <c r="I978" s="343"/>
      <c r="J978" s="343"/>
      <c r="K978" s="343"/>
    </row>
    <row r="979" spans="1:12" s="343" customFormat="1" ht="33" customHeight="1" x14ac:dyDescent="0.3">
      <c r="A979" s="343">
        <v>9</v>
      </c>
      <c r="B979" s="340">
        <v>4.0199999999999996</v>
      </c>
      <c r="C979" s="160"/>
      <c r="D979" s="237" t="s">
        <v>29</v>
      </c>
      <c r="E979" s="272" t="s">
        <v>475</v>
      </c>
      <c r="F979" s="344"/>
      <c r="G979" s="345"/>
      <c r="H979" s="346"/>
      <c r="I979" s="346"/>
      <c r="J979" s="346"/>
      <c r="K979" s="346"/>
      <c r="L979" s="418">
        <f>+E985</f>
        <v>228821</v>
      </c>
    </row>
    <row r="980" spans="1:12" ht="15" x14ac:dyDescent="0.25">
      <c r="B980" s="347"/>
      <c r="C980" s="168" t="s">
        <v>476</v>
      </c>
      <c r="D980" s="169" t="s">
        <v>477</v>
      </c>
      <c r="E980" s="170" t="s">
        <v>366</v>
      </c>
      <c r="F980" s="175">
        <v>1</v>
      </c>
      <c r="G980" s="171">
        <f>+VLOOKUP(C980,'[115]Insumos-Equipo M_L'!$A$2:$D$171,4,FALSE)</f>
        <v>14190</v>
      </c>
      <c r="H980" s="204">
        <v>0.05</v>
      </c>
      <c r="I980" s="174"/>
      <c r="J980" s="174">
        <f>+(F980*G980*(1+H980))</f>
        <v>14899.5</v>
      </c>
      <c r="K980" s="173"/>
    </row>
    <row r="981" spans="1:12" ht="15" x14ac:dyDescent="0.25">
      <c r="B981" s="347"/>
      <c r="C981" s="168" t="s">
        <v>478</v>
      </c>
      <c r="D981" s="169" t="s">
        <v>479</v>
      </c>
      <c r="E981" s="211" t="s">
        <v>366</v>
      </c>
      <c r="F981" s="329">
        <v>1.5</v>
      </c>
      <c r="G981" s="171">
        <f>+VLOOKUP(C981,'[115]Insumos-Equipo M_L'!$A$2:$D$171,4,FALSE)</f>
        <v>3050</v>
      </c>
      <c r="H981" s="204"/>
      <c r="I981" s="173"/>
      <c r="J981" s="174">
        <f>+(F981*G981*(1+H981))</f>
        <v>4575</v>
      </c>
      <c r="K981" s="174"/>
    </row>
    <row r="982" spans="1:12" ht="15" x14ac:dyDescent="0.25">
      <c r="B982" s="347"/>
      <c r="C982" s="168">
        <v>5.0030000000000001</v>
      </c>
      <c r="D982" s="338" t="s">
        <v>98</v>
      </c>
      <c r="E982" s="211" t="s">
        <v>465</v>
      </c>
      <c r="F982" s="329">
        <v>0.13500000000000001</v>
      </c>
      <c r="G982" s="348">
        <v>700922</v>
      </c>
      <c r="H982" s="204">
        <v>0.03</v>
      </c>
      <c r="I982" s="173"/>
      <c r="J982" s="174">
        <f>+(F982*G982*(1+H982))</f>
        <v>97463.204100000003</v>
      </c>
      <c r="K982" s="174"/>
    </row>
    <row r="983" spans="1:12" ht="15" x14ac:dyDescent="0.25">
      <c r="B983" s="347"/>
      <c r="C983" s="168" t="s">
        <v>139</v>
      </c>
      <c r="D983" s="169" t="s">
        <v>140</v>
      </c>
      <c r="E983" s="211" t="s">
        <v>200</v>
      </c>
      <c r="F983" s="329">
        <v>0.35162264150943395</v>
      </c>
      <c r="G983" s="171">
        <f>+VLOOKUP(C983,'[117]Mano de Obra'!$A$7:$G$37,4,FALSE)</f>
        <v>289265</v>
      </c>
      <c r="H983" s="204"/>
      <c r="I983" s="173"/>
      <c r="J983" s="173"/>
      <c r="K983" s="174">
        <f>+(F983*G983*(1+H983))</f>
        <v>101712.12339622641</v>
      </c>
    </row>
    <row r="984" spans="1:12" ht="15" x14ac:dyDescent="0.25">
      <c r="B984" s="347"/>
      <c r="C984" s="168"/>
      <c r="D984" s="169" t="s">
        <v>92</v>
      </c>
      <c r="E984" s="170" t="s">
        <v>91</v>
      </c>
      <c r="F984" s="178">
        <v>0.1</v>
      </c>
      <c r="G984" s="171">
        <f>+K983</f>
        <v>101712.12339622641</v>
      </c>
      <c r="H984" s="204"/>
      <c r="I984" s="173"/>
      <c r="J984" s="174">
        <f>+(F984*G984*(1+H984))</f>
        <v>10171.212339622642</v>
      </c>
      <c r="K984" s="179"/>
    </row>
    <row r="985" spans="1:12" ht="15.6" x14ac:dyDescent="0.25">
      <c r="B985" s="347"/>
      <c r="C985" s="180"/>
      <c r="D985" s="181" t="s">
        <v>93</v>
      </c>
      <c r="E985" s="182">
        <f>+ROUND(SUM(I985:K985),0)</f>
        <v>228821</v>
      </c>
      <c r="F985" s="342"/>
      <c r="G985" s="195"/>
      <c r="H985" s="185"/>
      <c r="I985" s="186">
        <f>+ROUND(SUM(I980:I984),0)</f>
        <v>0</v>
      </c>
      <c r="J985" s="186">
        <f>+ROUND(SUM(J980:J984),0)</f>
        <v>127109</v>
      </c>
      <c r="K985" s="186">
        <f>+ROUND(SUM(K980:K984),0)</f>
        <v>101712</v>
      </c>
    </row>
    <row r="986" spans="1:12" x14ac:dyDescent="0.25">
      <c r="B986" s="391"/>
      <c r="C986" s="343"/>
      <c r="D986" s="343"/>
      <c r="E986" s="391"/>
      <c r="F986" s="343"/>
      <c r="G986" s="419"/>
      <c r="H986" s="343"/>
      <c r="I986" s="343"/>
      <c r="J986" s="343"/>
      <c r="K986" s="343"/>
    </row>
    <row r="987" spans="1:12" ht="40.5" customHeight="1" x14ac:dyDescent="0.3">
      <c r="A987" s="158">
        <v>12</v>
      </c>
      <c r="B987" s="340">
        <v>4.03</v>
      </c>
      <c r="C987" s="160"/>
      <c r="D987" s="237" t="s">
        <v>56</v>
      </c>
      <c r="E987" s="160" t="s">
        <v>486</v>
      </c>
      <c r="F987" s="293"/>
      <c r="G987" s="420"/>
      <c r="H987" s="421"/>
      <c r="I987" s="291"/>
      <c r="J987" s="291"/>
      <c r="K987" s="291"/>
      <c r="L987" s="166">
        <f>E994</f>
        <v>434325</v>
      </c>
    </row>
    <row r="988" spans="1:12" ht="15" x14ac:dyDescent="0.25">
      <c r="B988" s="391"/>
      <c r="C988" s="347"/>
      <c r="D988" s="169" t="s">
        <v>524</v>
      </c>
      <c r="E988" s="170" t="s">
        <v>87</v>
      </c>
      <c r="F988" s="176">
        <v>0.35</v>
      </c>
      <c r="G988" s="171">
        <v>119071.34292565947</v>
      </c>
      <c r="H988" s="414"/>
      <c r="I988" s="413">
        <f>+(F988*G988*(1+H988))</f>
        <v>41674.970023980808</v>
      </c>
      <c r="J988" s="413"/>
      <c r="K988" s="413"/>
    </row>
    <row r="989" spans="1:12" ht="15" x14ac:dyDescent="0.25">
      <c r="B989" s="391"/>
      <c r="C989" s="347" t="s">
        <v>292</v>
      </c>
      <c r="D989" s="169" t="s">
        <v>293</v>
      </c>
      <c r="E989" s="170" t="s">
        <v>87</v>
      </c>
      <c r="F989" s="302">
        <v>0.25</v>
      </c>
      <c r="G989" s="171">
        <v>200853</v>
      </c>
      <c r="H989" s="414"/>
      <c r="I989" s="413">
        <f>+(F989*G989*(1+H989))</f>
        <v>50213.25</v>
      </c>
      <c r="J989" s="413"/>
      <c r="K989" s="413"/>
    </row>
    <row r="990" spans="1:12" ht="15" x14ac:dyDescent="0.25">
      <c r="B990" s="391"/>
      <c r="C990" s="422"/>
      <c r="D990" s="169" t="s">
        <v>525</v>
      </c>
      <c r="E990" s="170" t="s">
        <v>165</v>
      </c>
      <c r="F990" s="176">
        <v>2</v>
      </c>
      <c r="G990" s="171">
        <v>111562.5</v>
      </c>
      <c r="H990" s="414"/>
      <c r="I990" s="413">
        <f>+(F990*G990*(1+H990))</f>
        <v>223125</v>
      </c>
      <c r="J990" s="413"/>
      <c r="K990" s="415"/>
    </row>
    <row r="991" spans="1:12" ht="15" x14ac:dyDescent="0.25">
      <c r="B991" s="391"/>
      <c r="C991" s="347" t="s">
        <v>301</v>
      </c>
      <c r="D991" s="415" t="s">
        <v>302</v>
      </c>
      <c r="E991" s="170" t="s">
        <v>87</v>
      </c>
      <c r="F991" s="176">
        <v>0.2</v>
      </c>
      <c r="G991" s="171">
        <v>471959</v>
      </c>
      <c r="H991" s="414"/>
      <c r="I991" s="413"/>
      <c r="J991" s="413"/>
      <c r="K991" s="413">
        <f>+(F991*G991*(1+H991))</f>
        <v>94391.8</v>
      </c>
      <c r="L991" s="641">
        <v>434325</v>
      </c>
    </row>
    <row r="992" spans="1:12" ht="15" x14ac:dyDescent="0.25">
      <c r="B992" s="391"/>
      <c r="C992" s="347"/>
      <c r="D992" s="169" t="s">
        <v>90</v>
      </c>
      <c r="E992" s="170" t="s">
        <v>91</v>
      </c>
      <c r="F992" s="306">
        <v>0.23400194129151008</v>
      </c>
      <c r="G992" s="205">
        <v>94391.8</v>
      </c>
      <c r="H992" s="414"/>
      <c r="I992" s="413"/>
      <c r="J992" s="413"/>
      <c r="K992" s="413">
        <f>+(F992*G992*(1+H992))</f>
        <v>22087.864441999962</v>
      </c>
    </row>
    <row r="993" spans="1:12" ht="15" x14ac:dyDescent="0.25">
      <c r="B993" s="391"/>
      <c r="C993" s="347"/>
      <c r="D993" s="169" t="s">
        <v>92</v>
      </c>
      <c r="E993" s="170" t="s">
        <v>91</v>
      </c>
      <c r="F993" s="423">
        <v>0.03</v>
      </c>
      <c r="G993" s="205">
        <v>94391.8</v>
      </c>
      <c r="H993" s="414"/>
      <c r="I993" s="413"/>
      <c r="J993" s="413">
        <f>+(F993*G993*(1+H993))</f>
        <v>2831.7539999999999</v>
      </c>
      <c r="K993" s="413"/>
    </row>
    <row r="994" spans="1:12" ht="15.6" x14ac:dyDescent="0.25">
      <c r="B994" s="424"/>
      <c r="C994" s="421"/>
      <c r="D994" s="425" t="s">
        <v>93</v>
      </c>
      <c r="E994" s="182">
        <f>+ROUND(SUM(I994:K994),0)</f>
        <v>434325</v>
      </c>
      <c r="F994" s="342"/>
      <c r="G994" s="195"/>
      <c r="H994" s="426"/>
      <c r="I994" s="186">
        <f>+ROUND(SUM(I988:I993),0)</f>
        <v>315013</v>
      </c>
      <c r="J994" s="186">
        <f>+ROUND(SUM(J988:J993),0)</f>
        <v>2832</v>
      </c>
      <c r="K994" s="186">
        <f>+ROUND(SUM(K988:K993),0)</f>
        <v>116480</v>
      </c>
    </row>
    <row r="995" spans="1:12" s="356" customFormat="1" x14ac:dyDescent="0.3">
      <c r="E995" s="190"/>
      <c r="G995" s="357"/>
      <c r="L995" s="358"/>
    </row>
    <row r="996" spans="1:12" s="356" customFormat="1" ht="31.5" customHeight="1" x14ac:dyDescent="0.3">
      <c r="B996" s="340">
        <v>4.04</v>
      </c>
      <c r="C996" s="340"/>
      <c r="D996" s="360" t="s">
        <v>410</v>
      </c>
      <c r="E996" s="160" t="s">
        <v>526</v>
      </c>
      <c r="F996" s="427"/>
      <c r="G996" s="428"/>
      <c r="H996" s="429"/>
      <c r="I996" s="430"/>
      <c r="J996" s="430"/>
      <c r="K996" s="430"/>
      <c r="L996" s="365">
        <f>+E1003</f>
        <v>228083</v>
      </c>
    </row>
    <row r="997" spans="1:12" s="356" customFormat="1" ht="15.6" x14ac:dyDescent="0.3">
      <c r="B997" s="431"/>
      <c r="C997" s="429" t="s">
        <v>321</v>
      </c>
      <c r="D997" s="430" t="s">
        <v>322</v>
      </c>
      <c r="E997" s="242" t="s">
        <v>124</v>
      </c>
      <c r="F997" s="427">
        <v>0.5</v>
      </c>
      <c r="G997" s="373">
        <f>+VLOOKUP(C997,'[112]Insumos-Equipo M_L'!$A$2:$D$166,4,FALSE)</f>
        <v>162411</v>
      </c>
      <c r="H997" s="429"/>
      <c r="I997" s="430"/>
      <c r="J997" s="372">
        <f t="shared" ref="J997:J999" si="33">+(F997*G997*(1+H997))</f>
        <v>81205.5</v>
      </c>
      <c r="K997" s="430"/>
      <c r="L997" s="358"/>
    </row>
    <row r="998" spans="1:12" s="356" customFormat="1" ht="15.6" x14ac:dyDescent="0.3">
      <c r="B998" s="431"/>
      <c r="C998" s="429" t="s">
        <v>323</v>
      </c>
      <c r="D998" s="430" t="s">
        <v>324</v>
      </c>
      <c r="E998" s="242" t="s">
        <v>124</v>
      </c>
      <c r="F998" s="427">
        <v>2</v>
      </c>
      <c r="G998" s="373">
        <f>+VLOOKUP(C998,'[112]Insumos-Equipo M_L'!$A$2:$D$166,4,FALSE)</f>
        <v>43000</v>
      </c>
      <c r="H998" s="429"/>
      <c r="I998" s="430"/>
      <c r="J998" s="372">
        <f t="shared" si="33"/>
        <v>86000</v>
      </c>
      <c r="K998" s="430"/>
      <c r="L998" s="358"/>
    </row>
    <row r="999" spans="1:12" s="356" customFormat="1" ht="15.6" x14ac:dyDescent="0.3">
      <c r="B999" s="431"/>
      <c r="C999" s="429" t="s">
        <v>325</v>
      </c>
      <c r="D999" s="430" t="s">
        <v>326</v>
      </c>
      <c r="E999" s="242" t="s">
        <v>124</v>
      </c>
      <c r="F999" s="427">
        <v>2</v>
      </c>
      <c r="G999" s="373">
        <f>+VLOOKUP(C999,'[112]Insumos-Equipo M_L'!$A$2:$D$166,4,FALSE)</f>
        <v>12900</v>
      </c>
      <c r="H999" s="429"/>
      <c r="I999" s="430"/>
      <c r="J999" s="372">
        <f t="shared" si="33"/>
        <v>25800</v>
      </c>
      <c r="K999" s="430"/>
      <c r="L999" s="358"/>
    </row>
    <row r="1000" spans="1:12" s="356" customFormat="1" ht="15.6" x14ac:dyDescent="0.3">
      <c r="B1000" s="432"/>
      <c r="C1000" s="367" t="s">
        <v>327</v>
      </c>
      <c r="D1000" s="179" t="s">
        <v>328</v>
      </c>
      <c r="E1000" s="242" t="s">
        <v>87</v>
      </c>
      <c r="F1000" s="286">
        <v>0.08</v>
      </c>
      <c r="G1000" s="373">
        <f>+VLOOKUP(C1000,'[113]Mano de Obra'!$A$7:$G$35,4,FALSE)</f>
        <v>365388</v>
      </c>
      <c r="H1000" s="244"/>
      <c r="I1000" s="243"/>
      <c r="J1000" s="243"/>
      <c r="K1000" s="372">
        <f>+(F1000*G1000*(1+H1000))</f>
        <v>29231.040000000001</v>
      </c>
      <c r="L1000" s="358"/>
    </row>
    <row r="1001" spans="1:12" s="356" customFormat="1" ht="15.6" x14ac:dyDescent="0.3">
      <c r="B1001" s="431"/>
      <c r="C1001" s="427"/>
      <c r="D1001" s="430" t="s">
        <v>329</v>
      </c>
      <c r="E1001" s="242" t="s">
        <v>91</v>
      </c>
      <c r="F1001" s="433">
        <v>0.1</v>
      </c>
      <c r="G1001" s="434">
        <f>+K1000</f>
        <v>29231.040000000001</v>
      </c>
      <c r="H1001" s="427"/>
      <c r="I1001" s="430"/>
      <c r="J1001" s="430"/>
      <c r="K1001" s="372">
        <f>+(F1001*G1001*(1+H1001))</f>
        <v>2923.1040000000003</v>
      </c>
      <c r="L1001" s="358"/>
    </row>
    <row r="1002" spans="1:12" s="356" customFormat="1" ht="15.6" x14ac:dyDescent="0.3">
      <c r="B1002" s="431"/>
      <c r="C1002" s="429"/>
      <c r="D1002" s="430" t="s">
        <v>92</v>
      </c>
      <c r="E1002" s="242" t="s">
        <v>91</v>
      </c>
      <c r="F1002" s="435">
        <v>0.1</v>
      </c>
      <c r="G1002" s="434">
        <f>+K1000</f>
        <v>29231.040000000001</v>
      </c>
      <c r="H1002" s="429"/>
      <c r="I1002" s="430"/>
      <c r="J1002" s="430">
        <f t="shared" ref="J1002" si="34">ROUND(PRODUCT(F1002:H1002),0)</f>
        <v>2923</v>
      </c>
      <c r="K1002" s="430"/>
      <c r="L1002" s="358"/>
    </row>
    <row r="1003" spans="1:12" s="356" customFormat="1" ht="15.6" x14ac:dyDescent="0.3">
      <c r="B1003" s="436"/>
      <c r="C1003" s="437"/>
      <c r="D1003" s="379" t="s">
        <v>93</v>
      </c>
      <c r="E1003" s="380">
        <f>+ROUND(SUM(I1003:K1003),0)</f>
        <v>228083</v>
      </c>
      <c r="F1003" s="388"/>
      <c r="G1003" s="382"/>
      <c r="H1003" s="438"/>
      <c r="I1003" s="384">
        <f>+ROUND(SUM(I996:I1002),0)</f>
        <v>0</v>
      </c>
      <c r="J1003" s="384">
        <f t="shared" ref="J1003:K1003" si="35">+ROUND(SUM(J996:J1002),0)</f>
        <v>195929</v>
      </c>
      <c r="K1003" s="384">
        <f t="shared" si="35"/>
        <v>32154</v>
      </c>
      <c r="L1003" s="358"/>
    </row>
    <row r="1004" spans="1:12" s="356" customFormat="1" x14ac:dyDescent="0.3">
      <c r="E1004" s="190"/>
      <c r="G1004" s="357"/>
      <c r="L1004" s="358"/>
    </row>
    <row r="1005" spans="1:12" s="356" customFormat="1" ht="37.5" customHeight="1" x14ac:dyDescent="0.3">
      <c r="A1005" s="439"/>
      <c r="B1005" s="340">
        <v>4.05</v>
      </c>
      <c r="C1005" s="340"/>
      <c r="D1005" s="360" t="s">
        <v>58</v>
      </c>
      <c r="E1005" s="160" t="s">
        <v>475</v>
      </c>
      <c r="F1005" s="361"/>
      <c r="G1005" s="362"/>
      <c r="H1005" s="363"/>
      <c r="I1005" s="363"/>
      <c r="J1005" s="363"/>
      <c r="K1005" s="363"/>
      <c r="L1005" s="365">
        <f>+E1010</f>
        <v>190147</v>
      </c>
    </row>
    <row r="1006" spans="1:12" s="356" customFormat="1" ht="15.6" x14ac:dyDescent="0.3">
      <c r="B1006" s="440"/>
      <c r="C1006" s="441" t="s">
        <v>294</v>
      </c>
      <c r="D1006" s="368" t="s">
        <v>295</v>
      </c>
      <c r="E1006" s="170" t="s">
        <v>87</v>
      </c>
      <c r="F1006" s="442">
        <v>0.28000000000000003</v>
      </c>
      <c r="G1006" s="373">
        <f>+VLOOKUP(C1006,'[112]Insumos-Equipo M_L'!$A$2:$D$166,4,FALSE)</f>
        <v>510625</v>
      </c>
      <c r="H1006" s="385"/>
      <c r="I1006" s="372">
        <f t="shared" ref="I1006:I1007" si="36">+(F1006*G1006*(1+H1006))</f>
        <v>142975</v>
      </c>
      <c r="J1006" s="386"/>
      <c r="K1006" s="386"/>
      <c r="L1006" s="358"/>
    </row>
    <row r="1007" spans="1:12" s="356" customFormat="1" ht="15.6" x14ac:dyDescent="0.3">
      <c r="B1007" s="440"/>
      <c r="C1007" s="443" t="s">
        <v>299</v>
      </c>
      <c r="D1007" s="368" t="s">
        <v>300</v>
      </c>
      <c r="E1007" s="170" t="s">
        <v>87</v>
      </c>
      <c r="F1007" s="369">
        <v>0.25</v>
      </c>
      <c r="G1007" s="373">
        <f>+VLOOKUP(C1007,'[112]Insumos-Equipo M_L'!$A$2:$D$166,4,FALSE)</f>
        <v>1593.4338</v>
      </c>
      <c r="H1007" s="444"/>
      <c r="I1007" s="372">
        <f t="shared" si="36"/>
        <v>398.35845</v>
      </c>
      <c r="J1007" s="386"/>
      <c r="K1007" s="386"/>
      <c r="L1007" s="358"/>
    </row>
    <row r="1008" spans="1:12" s="356" customFormat="1" ht="15.6" x14ac:dyDescent="0.3">
      <c r="B1008" s="440"/>
      <c r="C1008" s="441" t="s">
        <v>139</v>
      </c>
      <c r="D1008" s="368" t="s">
        <v>140</v>
      </c>
      <c r="E1008" s="170" t="s">
        <v>87</v>
      </c>
      <c r="F1008" s="442">
        <v>0.14699999999999999</v>
      </c>
      <c r="G1008" s="445">
        <f>+VLOOKUP(C1008,'[113]Mano de Obra'!$A$7:$G$35,4,FALSE)</f>
        <v>289265</v>
      </c>
      <c r="H1008" s="385"/>
      <c r="I1008" s="386"/>
      <c r="J1008" s="386"/>
      <c r="K1008" s="372">
        <f>+(F1008*G1008*(1+H1008))</f>
        <v>42521.954999999994</v>
      </c>
      <c r="L1008" s="358"/>
    </row>
    <row r="1009" spans="1:12" s="356" customFormat="1" ht="15.6" x14ac:dyDescent="0.3">
      <c r="B1009" s="440"/>
      <c r="C1009" s="441"/>
      <c r="D1009" s="368" t="s">
        <v>92</v>
      </c>
      <c r="E1009" s="170" t="s">
        <v>91</v>
      </c>
      <c r="F1009" s="377">
        <v>0.1</v>
      </c>
      <c r="G1009" s="370">
        <f>+K1008</f>
        <v>42521.954999999994</v>
      </c>
      <c r="H1009" s="385"/>
      <c r="I1009" s="386"/>
      <c r="J1009" s="372">
        <f t="shared" ref="J1009" si="37">+(F1009*G1009*(1+H1009))</f>
        <v>4252.1954999999998</v>
      </c>
      <c r="K1009" s="440"/>
      <c r="L1009" s="358"/>
    </row>
    <row r="1010" spans="1:12" s="356" customFormat="1" ht="15.6" x14ac:dyDescent="0.3">
      <c r="B1010" s="446"/>
      <c r="C1010" s="447"/>
      <c r="D1010" s="387" t="s">
        <v>93</v>
      </c>
      <c r="E1010" s="380">
        <f>+ROUND(SUM(I1010:K1010),0)</f>
        <v>190147</v>
      </c>
      <c r="F1010" s="381"/>
      <c r="G1010" s="382"/>
      <c r="H1010" s="383"/>
      <c r="I1010" s="384">
        <f>+ROUND(SUM(I1006:I1009),0)</f>
        <v>143373</v>
      </c>
      <c r="J1010" s="384">
        <f>+ROUND(SUM(J1006:J1009),0)</f>
        <v>4252</v>
      </c>
      <c r="K1010" s="384">
        <f>+ROUND(SUM(K1006:K1009),0)</f>
        <v>42522</v>
      </c>
      <c r="L1010" s="358"/>
    </row>
    <row r="1011" spans="1:12" s="356" customFormat="1" x14ac:dyDescent="0.3">
      <c r="E1011" s="190"/>
      <c r="G1011" s="357"/>
      <c r="L1011" s="358"/>
    </row>
    <row r="1012" spans="1:12" s="356" customFormat="1" ht="34.5" customHeight="1" x14ac:dyDescent="0.3">
      <c r="A1012" s="439"/>
      <c r="B1012" s="340">
        <v>4.0599999999999996</v>
      </c>
      <c r="C1012" s="340"/>
      <c r="D1012" s="448" t="s">
        <v>59</v>
      </c>
      <c r="E1012" s="160" t="s">
        <v>475</v>
      </c>
      <c r="F1012" s="361"/>
      <c r="G1012" s="362"/>
      <c r="H1012" s="363"/>
      <c r="I1012" s="363"/>
      <c r="J1012" s="363"/>
      <c r="K1012" s="363"/>
      <c r="L1012" s="365">
        <f>+E1018</f>
        <v>60639</v>
      </c>
    </row>
    <row r="1013" spans="1:12" s="356" customFormat="1" ht="15.6" x14ac:dyDescent="0.3">
      <c r="B1013" s="440"/>
      <c r="C1013" s="443" t="s">
        <v>299</v>
      </c>
      <c r="D1013" s="368" t="s">
        <v>300</v>
      </c>
      <c r="E1013" s="170" t="s">
        <v>87</v>
      </c>
      <c r="F1013" s="369">
        <v>0.25</v>
      </c>
      <c r="G1013" s="373">
        <f>+VLOOKUP(C1013,'[112]Insumos-Equipo M_L'!$A$2:$D$166,4,FALSE)</f>
        <v>1593.4338</v>
      </c>
      <c r="H1013" s="444"/>
      <c r="I1013" s="372">
        <f t="shared" ref="I1013" si="38">+(F1013*G1013*(1+H1013))</f>
        <v>398.35845</v>
      </c>
      <c r="J1013" s="386"/>
      <c r="K1013" s="386"/>
      <c r="L1013" s="358"/>
    </row>
    <row r="1014" spans="1:12" s="356" customFormat="1" ht="15.6" x14ac:dyDescent="0.3">
      <c r="B1014" s="440"/>
      <c r="C1014" s="441" t="s">
        <v>425</v>
      </c>
      <c r="D1014" s="368" t="s">
        <v>426</v>
      </c>
      <c r="E1014" s="170" t="s">
        <v>36</v>
      </c>
      <c r="F1014" s="374">
        <v>1</v>
      </c>
      <c r="G1014" s="373">
        <f>+VLOOKUP(C1014,'[112]Insumos-Equipo M_L'!$A$2:$D$166,4,FALSE)</f>
        <v>10941.199564500001</v>
      </c>
      <c r="H1014" s="385"/>
      <c r="I1014" s="386"/>
      <c r="J1014" s="372">
        <f t="shared" ref="J1014:J1015" si="39">+(F1014*G1014*(1+H1014))</f>
        <v>10941.199564500001</v>
      </c>
      <c r="K1014" s="386"/>
      <c r="L1014" s="358"/>
    </row>
    <row r="1015" spans="1:12" s="356" customFormat="1" ht="15.6" x14ac:dyDescent="0.3">
      <c r="B1015" s="440"/>
      <c r="C1015" s="441" t="s">
        <v>427</v>
      </c>
      <c r="D1015" s="368" t="s">
        <v>428</v>
      </c>
      <c r="E1015" s="170" t="s">
        <v>35</v>
      </c>
      <c r="F1015" s="375">
        <v>0.47899999999999998</v>
      </c>
      <c r="G1015" s="373">
        <f>+VLOOKUP(C1015,'[112]Insumos-Equipo M_L'!$A$2:$D$166,4,FALSE)</f>
        <v>5272.86726</v>
      </c>
      <c r="H1015" s="385"/>
      <c r="I1015" s="386"/>
      <c r="J1015" s="372">
        <f t="shared" si="39"/>
        <v>2525.7034175399999</v>
      </c>
      <c r="K1015" s="386"/>
      <c r="L1015" s="358"/>
    </row>
    <row r="1016" spans="1:12" s="356" customFormat="1" ht="15.6" x14ac:dyDescent="0.3">
      <c r="B1016" s="440"/>
      <c r="C1016" s="441" t="s">
        <v>139</v>
      </c>
      <c r="D1016" s="368" t="s">
        <v>140</v>
      </c>
      <c r="E1016" s="170" t="s">
        <v>87</v>
      </c>
      <c r="F1016" s="442">
        <v>0.14699999999999999</v>
      </c>
      <c r="G1016" s="445">
        <f>+VLOOKUP(C1016,'[113]Mano de Obra'!$A$7:$G$35,4,FALSE)</f>
        <v>289265</v>
      </c>
      <c r="H1016" s="385"/>
      <c r="I1016" s="386"/>
      <c r="J1016" s="386"/>
      <c r="K1016" s="372">
        <f>+(F1016*G1016*(1+H1016))</f>
        <v>42521.954999999994</v>
      </c>
      <c r="L1016" s="358"/>
    </row>
    <row r="1017" spans="1:12" s="356" customFormat="1" ht="15.6" x14ac:dyDescent="0.3">
      <c r="B1017" s="440"/>
      <c r="C1017" s="441"/>
      <c r="D1017" s="368" t="s">
        <v>92</v>
      </c>
      <c r="E1017" s="170" t="s">
        <v>91</v>
      </c>
      <c r="F1017" s="377">
        <v>0.1</v>
      </c>
      <c r="G1017" s="370">
        <f>+K1016</f>
        <v>42521.954999999994</v>
      </c>
      <c r="H1017" s="385"/>
      <c r="I1017" s="386"/>
      <c r="J1017" s="372">
        <f t="shared" ref="J1017" si="40">+(F1017*G1017*(1+H1017))</f>
        <v>4252.1954999999998</v>
      </c>
      <c r="K1017" s="440"/>
      <c r="L1017" s="358"/>
    </row>
    <row r="1018" spans="1:12" s="356" customFormat="1" ht="15.6" x14ac:dyDescent="0.3">
      <c r="B1018" s="446"/>
      <c r="C1018" s="447"/>
      <c r="D1018" s="387" t="s">
        <v>93</v>
      </c>
      <c r="E1018" s="380">
        <f>+ROUND(SUM(I1018:K1018),0)</f>
        <v>60639</v>
      </c>
      <c r="F1018" s="381"/>
      <c r="G1018" s="382"/>
      <c r="H1018" s="383"/>
      <c r="I1018" s="384">
        <f>+ROUND(SUM(I1013:I1017),0)</f>
        <v>398</v>
      </c>
      <c r="J1018" s="384">
        <f>+ROUND(SUM(J1013:J1017),0)</f>
        <v>17719</v>
      </c>
      <c r="K1018" s="384">
        <f>+ROUND(SUM(K1013:K1017),0)</f>
        <v>42522</v>
      </c>
      <c r="L1018" s="358"/>
    </row>
    <row r="1019" spans="1:12" ht="15" x14ac:dyDescent="0.25">
      <c r="B1019" s="347"/>
      <c r="C1019" s="408"/>
      <c r="D1019" s="409"/>
      <c r="E1019" s="410"/>
      <c r="F1019" s="411"/>
      <c r="G1019" s="449"/>
      <c r="H1019" s="306"/>
      <c r="I1019" s="413"/>
      <c r="J1019" s="413"/>
      <c r="K1019" s="413"/>
    </row>
    <row r="1021" spans="1:12" s="451" customFormat="1" ht="15" x14ac:dyDescent="0.25">
      <c r="B1021" s="450"/>
      <c r="D1021" s="452"/>
      <c r="E1021" s="453"/>
      <c r="F1021" s="454"/>
      <c r="G1021" s="455"/>
      <c r="L1021" s="456"/>
    </row>
    <row r="1022" spans="1:12" s="451" customFormat="1" ht="15" x14ac:dyDescent="0.25">
      <c r="B1022" s="450"/>
      <c r="C1022" s="95">
        <v>1.01</v>
      </c>
      <c r="D1022" s="457" t="str">
        <f>VLOOKUP(C1022,$B$819:$L$1019,3,FALSE)</f>
        <v xml:space="preserve">Trinchos en guadua h libre =2.00m </v>
      </c>
      <c r="E1022" s="458" t="str">
        <f>VLOOKUP(C1022,$B$819:$L$1019,4,FALSE)</f>
        <v>(m2)</v>
      </c>
      <c r="F1022" s="459">
        <f>VLOOKUP(C1022,$B$819:$L$1019,11,FALSE)</f>
        <v>122716</v>
      </c>
      <c r="G1022" s="455"/>
      <c r="L1022" s="456"/>
    </row>
    <row r="1023" spans="1:12" s="451" customFormat="1" ht="30" x14ac:dyDescent="0.25">
      <c r="B1023" s="450"/>
      <c r="C1023" s="95">
        <v>2.0099999999999998</v>
      </c>
      <c r="D1023" s="457" t="str">
        <f>VLOOKUP(C1023,$B$819:$L$1019,3,FALSE)</f>
        <v xml:space="preserve">Canal en concreto champeado, incluye geomembrana 0.30mx0.30m </v>
      </c>
      <c r="E1023" s="458" t="str">
        <f>VLOOKUP(C1023,$B$819:$L$1019,4,FALSE)</f>
        <v>(m)</v>
      </c>
      <c r="F1023" s="459">
        <f>VLOOKUP(C1023,$B$819:$L$1019,11,FALSE)</f>
        <v>228821</v>
      </c>
      <c r="G1023" s="455"/>
      <c r="L1023" s="456"/>
    </row>
    <row r="1024" spans="1:12" s="451" customFormat="1" ht="30" x14ac:dyDescent="0.25">
      <c r="B1024" s="450"/>
      <c r="C1024" s="95">
        <v>2.02</v>
      </c>
      <c r="D1024" s="457" t="str">
        <f>VLOOKUP(C1024,$B$819:$L$1019,3,FALSE)</f>
        <v>Canal disipador energia en concreto de 27,6 Mpa (4000 PSI)</v>
      </c>
      <c r="E1024" s="458" t="str">
        <f>VLOOKUP(C1024,$B$819:$L$1019,4,FALSE)</f>
        <v xml:space="preserve"> (m3)</v>
      </c>
      <c r="F1024" s="459">
        <f>VLOOKUP(C1024,$B$819:$L$1019,11,FALSE)</f>
        <v>1425622</v>
      </c>
      <c r="G1024" s="455"/>
      <c r="L1024" s="456"/>
    </row>
    <row r="1025" spans="2:12" s="451" customFormat="1" ht="15" x14ac:dyDescent="0.25">
      <c r="B1025" s="450"/>
      <c r="C1025" s="95">
        <v>2.0299999999999998</v>
      </c>
      <c r="D1025" s="457" t="str">
        <f>VLOOKUP(C1025,$B$819:$L$1019,3,FALSE)</f>
        <v>Micro pilotes para canal de disipador</v>
      </c>
      <c r="E1025" s="458" t="str">
        <f>VLOOKUP(C1025,$B$819:$L$1019,4,FALSE)</f>
        <v xml:space="preserve"> (m)</v>
      </c>
      <c r="F1025" s="459">
        <f>VLOOKUP(C1025,$B$819:$L$1019,11,FALSE)</f>
        <v>396982</v>
      </c>
      <c r="G1025" s="455"/>
      <c r="L1025" s="456"/>
    </row>
    <row r="1026" spans="2:12" s="451" customFormat="1" ht="15" x14ac:dyDescent="0.25">
      <c r="B1026" s="450"/>
      <c r="C1026" s="95">
        <v>2.04</v>
      </c>
      <c r="D1026" s="457" t="str">
        <f>VLOOKUP(C1026,$B$819:$L$1019,3,FALSE)</f>
        <v xml:space="preserve">Camara de inspección CLL-01 </v>
      </c>
      <c r="E1026" s="458" t="str">
        <f>VLOOKUP(C1026,$B$819:$L$1019,4,FALSE)</f>
        <v>(und)</v>
      </c>
      <c r="F1026" s="459">
        <f>VLOOKUP(C1026,$B$819:$L$1019,11,FALSE)</f>
        <v>964892</v>
      </c>
      <c r="G1026" s="455"/>
      <c r="L1026" s="456"/>
    </row>
    <row r="1027" spans="2:12" s="451" customFormat="1" ht="15" x14ac:dyDescent="0.25">
      <c r="B1027" s="450"/>
      <c r="C1027" s="95">
        <v>2.0499999999999998</v>
      </c>
      <c r="D1027" s="457" t="str">
        <f>VLOOKUP(C1027,$B$819:$L$1019,3,FALSE)</f>
        <v>Camara de inspección CLL-02</v>
      </c>
      <c r="E1027" s="458" t="str">
        <f>VLOOKUP(C1027,$B$819:$L$1019,4,FALSE)</f>
        <v xml:space="preserve"> (und)</v>
      </c>
      <c r="F1027" s="459">
        <f>VLOOKUP(C1027,$B$819:$L$1019,11,FALSE)</f>
        <v>1278497</v>
      </c>
      <c r="G1027" s="455"/>
      <c r="L1027" s="456"/>
    </row>
    <row r="1028" spans="2:12" s="451" customFormat="1" ht="15" x14ac:dyDescent="0.25">
      <c r="B1028" s="450"/>
      <c r="C1028" s="95">
        <v>2.06</v>
      </c>
      <c r="D1028" s="457" t="str">
        <f>VLOOKUP(C1028,$B$819:$L$1019,3,FALSE)</f>
        <v>Estructura de entrega cabezal</v>
      </c>
      <c r="E1028" s="458" t="str">
        <f>VLOOKUP(C1028,$B$819:$L$1019,4,FALSE)</f>
        <v>(m3)</v>
      </c>
      <c r="F1028" s="459">
        <f>VLOOKUP(C1028,$B$819:$L$1019,11,FALSE)</f>
        <v>884097</v>
      </c>
      <c r="G1028" s="455"/>
      <c r="L1028" s="456"/>
    </row>
    <row r="1029" spans="2:12" s="451" customFormat="1" ht="15" x14ac:dyDescent="0.25">
      <c r="B1029" s="450"/>
      <c r="D1029" s="452"/>
      <c r="E1029" s="453"/>
      <c r="F1029" s="460"/>
      <c r="G1029" s="455"/>
      <c r="L1029" s="456"/>
    </row>
    <row r="1030" spans="2:12" s="451" customFormat="1" ht="15" x14ac:dyDescent="0.25">
      <c r="B1030" s="450"/>
      <c r="D1030" s="452"/>
      <c r="E1030" s="453"/>
      <c r="F1030" s="460"/>
      <c r="G1030" s="455"/>
      <c r="L1030" s="456"/>
    </row>
    <row r="1031" spans="2:12" s="451" customFormat="1" ht="15" x14ac:dyDescent="0.25">
      <c r="B1031" s="450"/>
      <c r="C1031" s="95">
        <v>3.01</v>
      </c>
      <c r="D1031" s="457" t="str">
        <f>VLOOKUP(C1031,$B$819:$L$1019,3,FALSE)</f>
        <v xml:space="preserve">Box-Culvert C 20.7 MPa </v>
      </c>
      <c r="E1031" s="458" t="str">
        <f>VLOOKUP(C1031,$B$819:$L$1019,4,FALSE)</f>
        <v xml:space="preserve"> (m3)</v>
      </c>
      <c r="F1031" s="459">
        <f>VLOOKUP(C1031,$B$819:$L$1019,11,FALSE)</f>
        <v>1228444</v>
      </c>
      <c r="G1031" s="455"/>
      <c r="L1031" s="456"/>
    </row>
    <row r="1032" spans="2:12" s="451" customFormat="1" ht="15" x14ac:dyDescent="0.25">
      <c r="B1032" s="450"/>
      <c r="C1032" s="95">
        <v>3.02</v>
      </c>
      <c r="D1032" s="457" t="str">
        <f>VLOOKUP(C1032,$B$819:$L$1019,3,FALSE)</f>
        <v>Mejoramiento Superf. Apoyo en conc.ciclópeo</v>
      </c>
      <c r="E1032" s="458" t="str">
        <f>VLOOKUP(C1032,$B$819:$L$1019,4,FALSE)</f>
        <v xml:space="preserve">  (m3)</v>
      </c>
      <c r="F1032" s="459">
        <f>VLOOKUP(C1032,$B$819:$L$1019,11,FALSE)</f>
        <v>733031</v>
      </c>
      <c r="G1032" s="455"/>
      <c r="L1032" s="456"/>
    </row>
    <row r="1033" spans="2:12" s="451" customFormat="1" ht="15" x14ac:dyDescent="0.25">
      <c r="B1033" s="450"/>
      <c r="C1033" s="95">
        <v>3.03</v>
      </c>
      <c r="D1033" s="457" t="str">
        <f>VLOOKUP(C1033,$B$819:$L$1019,3,FALSE)</f>
        <v xml:space="preserve">Subbase granular tipo INVIAS  </v>
      </c>
      <c r="E1033" s="458" t="str">
        <f>VLOOKUP(C1033,$B$819:$L$1019,4,FALSE)</f>
        <v>(m3)</v>
      </c>
      <c r="F1033" s="459">
        <f>VLOOKUP(C1033,$B$819:$L$1019,11,FALSE)</f>
        <v>142297</v>
      </c>
      <c r="G1033" s="455"/>
      <c r="L1033" s="456"/>
    </row>
    <row r="1034" spans="2:12" s="451" customFormat="1" ht="15" x14ac:dyDescent="0.25">
      <c r="B1034" s="450"/>
      <c r="C1034" s="95">
        <v>3.04</v>
      </c>
      <c r="D1034" s="457" t="str">
        <f>VLOOKUP(C1034,$B$819:$L$1019,3,FALSE)</f>
        <v xml:space="preserve">Junta Dil/Exp cinta PVC V-22 </v>
      </c>
      <c r="E1034" s="458" t="str">
        <f>VLOOKUP(C1034,$B$819:$L$1019,4,FALSE)</f>
        <v xml:space="preserve"> (m)</v>
      </c>
      <c r="F1034" s="459">
        <f>VLOOKUP(C1034,$B$819:$L$1019,11,FALSE)</f>
        <v>62600</v>
      </c>
      <c r="G1034" s="455"/>
      <c r="L1034" s="456"/>
    </row>
    <row r="1035" spans="2:12" s="451" customFormat="1" ht="15" x14ac:dyDescent="0.25">
      <c r="B1035" s="450"/>
      <c r="C1035" s="95">
        <v>3.05</v>
      </c>
      <c r="D1035" s="457" t="str">
        <f>VLOOKUP(C1035,$B$819:$L$1019,3,FALSE)</f>
        <v xml:space="preserve">Acero Fy=420 MPa  Co+Fi+Ar  </v>
      </c>
      <c r="E1035" s="458" t="str">
        <f>VLOOKUP(C1035,$B$819:$L$1019,4,FALSE)</f>
        <v>(Kg)</v>
      </c>
      <c r="F1035" s="459">
        <f>VLOOKUP(C1035,$B$819:$L$1019,11,FALSE)</f>
        <v>8763</v>
      </c>
      <c r="G1035" s="455"/>
      <c r="L1035" s="456"/>
    </row>
    <row r="1036" spans="2:12" s="451" customFormat="1" ht="30" x14ac:dyDescent="0.25">
      <c r="B1036" s="450"/>
      <c r="C1036" s="95">
        <v>3.06</v>
      </c>
      <c r="D1036" s="457" t="str">
        <f>VLOOKUP(C1036,$B$819:$L$1019,3,FALSE)</f>
        <v>Señal vertical de transito tipo SP, SR de 75 x 75 con lámina retroreflectiva tipo diamante</v>
      </c>
      <c r="E1036" s="458" t="str">
        <f>VLOOKUP(C1036,$B$819:$L$1019,4,FALSE)</f>
        <v xml:space="preserve"> (und)</v>
      </c>
      <c r="F1036" s="459">
        <f>VLOOKUP(C1036,$B$819:$L$1019,11,FALSE)</f>
        <v>528000</v>
      </c>
      <c r="G1036" s="455"/>
      <c r="L1036" s="456"/>
    </row>
    <row r="1037" spans="2:12" ht="15" x14ac:dyDescent="0.25">
      <c r="C1037" s="95">
        <v>3.07</v>
      </c>
      <c r="D1037" s="457" t="str">
        <f>VLOOKUP(C1037,$B$819:$L$1019,3,FALSE)</f>
        <v>Líneas de demarcación vial pintura en frío</v>
      </c>
      <c r="E1037" s="458" t="str">
        <f>VLOOKUP(C1037,$B$819:$L$1019,4,FALSE)</f>
        <v xml:space="preserve"> (m)</v>
      </c>
      <c r="F1037" s="459">
        <f>VLOOKUP(C1037,$B$819:$L$1019,11,FALSE)</f>
        <v>6200</v>
      </c>
    </row>
    <row r="1038" spans="2:12" ht="30" x14ac:dyDescent="0.25">
      <c r="C1038" s="95">
        <v>3.08</v>
      </c>
      <c r="D1038" s="457" t="str">
        <f>VLOOKUP(C1038,$B$819:$L$1019,3,FALSE)</f>
        <v>Tacha reflectiva bidireccional incluye suministro e instalación</v>
      </c>
      <c r="E1038" s="458" t="str">
        <f>VLOOKUP(C1038,$B$819:$L$1019,4,FALSE)</f>
        <v xml:space="preserve"> (Und)</v>
      </c>
      <c r="F1038" s="459">
        <f>VLOOKUP(C1038,$B$819:$L$1019,11,FALSE)</f>
        <v>19897</v>
      </c>
    </row>
    <row r="1039" spans="2:12" ht="15" x14ac:dyDescent="0.25">
      <c r="D1039" s="461"/>
      <c r="E1039" s="453"/>
      <c r="F1039" s="460"/>
    </row>
    <row r="1040" spans="2:12" ht="15" x14ac:dyDescent="0.25">
      <c r="D1040" s="461"/>
      <c r="E1040" s="453"/>
      <c r="F1040" s="460"/>
    </row>
    <row r="1041" spans="3:6" ht="43.5" customHeight="1" x14ac:dyDescent="0.25">
      <c r="C1041" s="95">
        <v>4.01</v>
      </c>
      <c r="D1041" s="457" t="str">
        <f>VLOOKUP(C1041,$B$819:$L$1019,3,FALSE)</f>
        <v xml:space="preserve">Mejoramiento de superficie de apoyo en concreto ciclopeo </v>
      </c>
      <c r="E1041" s="458" t="str">
        <f>VLOOKUP(C1041,$B$819:$L$1019,4,FALSE)</f>
        <v>(m3)</v>
      </c>
      <c r="F1041" s="459">
        <f>VLOOKUP(C1041,$B$819:$L$1019,11,FALSE)</f>
        <v>657420</v>
      </c>
    </row>
    <row r="1042" spans="3:6" ht="30" x14ac:dyDescent="0.25">
      <c r="C1042" s="95">
        <v>4.0199999999999996</v>
      </c>
      <c r="D1042" s="457" t="str">
        <f>VLOOKUP(C1042,$B$819:$L$1019,3,FALSE)</f>
        <v xml:space="preserve">Canal en concreto champeado, incluye geomembrana 0.30mx0.30m </v>
      </c>
      <c r="E1042" s="458" t="str">
        <f>VLOOKUP(C1042,$B$819:$L$1019,4,FALSE)</f>
        <v>(m)</v>
      </c>
      <c r="F1042" s="459">
        <f>VLOOKUP(C1042,$B$819:$L$1019,11,FALSE)</f>
        <v>228821</v>
      </c>
    </row>
    <row r="1043" spans="3:6" ht="33.75" customHeight="1" x14ac:dyDescent="0.25">
      <c r="C1043" s="95">
        <v>4.03</v>
      </c>
      <c r="D1043" s="457" t="str">
        <f>VLOOKUP(C1043,$B$819:$L$1019,3,FALSE)</f>
        <v>Fijación de Micro hexapodos mediante perforación con barreno de dren mecánico</v>
      </c>
      <c r="E1043" s="458" t="str">
        <f>VLOOKUP(C1043,$B$819:$L$1019,4,FALSE)</f>
        <v xml:space="preserve"> (m)</v>
      </c>
      <c r="F1043" s="459">
        <f>VLOOKUP(C1043,$B$819:$L$1019,11,FALSE)</f>
        <v>434325</v>
      </c>
    </row>
    <row r="1044" spans="3:6" ht="30" x14ac:dyDescent="0.25">
      <c r="C1044" s="95">
        <v>4.04</v>
      </c>
      <c r="D1044" s="457" t="str">
        <f>VLOOKUP(C1044,$B$819:$L$1019,3,FALSE)</f>
        <v>Instalacion micro hexapodos incluye Juego de fijacion y acarreo en talud y lecho de río.</v>
      </c>
      <c r="E1044" s="458" t="str">
        <f>VLOOKUP(C1044,$B$819:$L$1019,4,FALSE)</f>
        <v>(Und)</v>
      </c>
      <c r="F1044" s="459">
        <f>VLOOKUP(C1044,$B$819:$L$1019,11,FALSE)</f>
        <v>228083</v>
      </c>
    </row>
    <row r="1045" spans="3:6" ht="42" customHeight="1" x14ac:dyDescent="0.25">
      <c r="C1045" s="95">
        <v>4.05</v>
      </c>
      <c r="D1045" s="457" t="str">
        <f>VLOOKUP(C1045,$B$819:$L$1019,3,FALSE)</f>
        <v>Perforación en material común (mecánica) de 4" para dren en tubería PVC</v>
      </c>
      <c r="E1045" s="458" t="str">
        <f>VLOOKUP(C1045,$B$819:$L$1019,4,FALSE)</f>
        <v>(m)</v>
      </c>
      <c r="F1045" s="459">
        <f>VLOOKUP(C1045,$B$819:$L$1019,11,FALSE)</f>
        <v>190147</v>
      </c>
    </row>
    <row r="1046" spans="3:6" ht="30" x14ac:dyDescent="0.25">
      <c r="C1046" s="95">
        <v>4.0599999999999996</v>
      </c>
      <c r="D1046" s="457" t="str">
        <f>VLOOKUP(C1046,$B$819:$L$1019,3,FALSE)</f>
        <v xml:space="preserve">Instalacion de tubería PVC de 3" (tubería perforada + accesorios y geotextil)  </v>
      </c>
      <c r="E1046" s="458" t="str">
        <f>VLOOKUP(C1046,$B$819:$L$1019,4,FALSE)</f>
        <v>(m)</v>
      </c>
      <c r="F1046" s="459">
        <f>VLOOKUP(C1046,$B$819:$L$1019,11,FALSE)</f>
        <v>60639</v>
      </c>
    </row>
    <row r="1047" spans="3:6" x14ac:dyDescent="0.25">
      <c r="C1047" s="462"/>
      <c r="D1047" s="463"/>
      <c r="E1047" s="464"/>
      <c r="F1047" s="463"/>
    </row>
    <row r="1048" spans="3:6" x14ac:dyDescent="0.25">
      <c r="D1048" s="463"/>
      <c r="E1048" s="464"/>
      <c r="F1048" s="463"/>
    </row>
  </sheetData>
  <mergeCells count="73">
    <mergeCell ref="D802:E802"/>
    <mergeCell ref="D737:E737"/>
    <mergeCell ref="D744:E744"/>
    <mergeCell ref="D751:E751"/>
    <mergeCell ref="D765:E765"/>
    <mergeCell ref="D783:E783"/>
    <mergeCell ref="D790:E790"/>
    <mergeCell ref="D685:E685"/>
    <mergeCell ref="D700:E700"/>
    <mergeCell ref="D709:E709"/>
    <mergeCell ref="D718:E718"/>
    <mergeCell ref="D725:E725"/>
    <mergeCell ref="D731:E731"/>
    <mergeCell ref="D624:E624"/>
    <mergeCell ref="D636:E636"/>
    <mergeCell ref="D649:E649"/>
    <mergeCell ref="D662:E662"/>
    <mergeCell ref="D669:E669"/>
    <mergeCell ref="D675:E675"/>
    <mergeCell ref="D558:E558"/>
    <mergeCell ref="D567:E567"/>
    <mergeCell ref="D578:E578"/>
    <mergeCell ref="D596:E596"/>
    <mergeCell ref="D605:E605"/>
    <mergeCell ref="D613:E613"/>
    <mergeCell ref="D493:E493"/>
    <mergeCell ref="D502:E502"/>
    <mergeCell ref="D513:E513"/>
    <mergeCell ref="D525:E525"/>
    <mergeCell ref="D532:E532"/>
    <mergeCell ref="D547:E547"/>
    <mergeCell ref="D364:E364"/>
    <mergeCell ref="D380:F380"/>
    <mergeCell ref="D392:E392"/>
    <mergeCell ref="D401:E401"/>
    <mergeCell ref="D412:E412"/>
    <mergeCell ref="D421:E421"/>
    <mergeCell ref="D306:E306"/>
    <mergeCell ref="D316:F316"/>
    <mergeCell ref="D329:E329"/>
    <mergeCell ref="D337:E337"/>
    <mergeCell ref="D342:E342"/>
    <mergeCell ref="D353:E353"/>
    <mergeCell ref="D260:E260"/>
    <mergeCell ref="D266:E266"/>
    <mergeCell ref="D272:E272"/>
    <mergeCell ref="D280:E280"/>
    <mergeCell ref="D287:E287"/>
    <mergeCell ref="D298:E298"/>
    <mergeCell ref="D189:F189"/>
    <mergeCell ref="D198:F198"/>
    <mergeCell ref="D208:F208"/>
    <mergeCell ref="D215:E215"/>
    <mergeCell ref="D223:E223"/>
    <mergeCell ref="D230:E230"/>
    <mergeCell ref="D141:E141"/>
    <mergeCell ref="D145:E145"/>
    <mergeCell ref="D154:E154"/>
    <mergeCell ref="D169:E169"/>
    <mergeCell ref="D176:E176"/>
    <mergeCell ref="D183:E183"/>
    <mergeCell ref="D73:E73"/>
    <mergeCell ref="D84:E84"/>
    <mergeCell ref="D95:E95"/>
    <mergeCell ref="D106:E106"/>
    <mergeCell ref="D117:E117"/>
    <mergeCell ref="D129:E129"/>
    <mergeCell ref="D2:E2"/>
    <mergeCell ref="D14:E14"/>
    <mergeCell ref="D26:E26"/>
    <mergeCell ref="D38:E38"/>
    <mergeCell ref="D50:E50"/>
    <mergeCell ref="D62:E62"/>
  </mergeCells>
  <hyperlinks>
    <hyperlink ref="B154" location="item1023" display="item1023" xr:uid="{47D15CFE-7476-4685-B69B-EB5A63B6E7EA}"/>
    <hyperlink ref="B2" location="item5001" display="item5001" xr:uid="{1D98044F-C9E7-428F-8B26-90DEDBC1BA99}"/>
    <hyperlink ref="B14" location="item5002" display="item5002" xr:uid="{7B14D68F-04FA-472B-8155-D1C89BEF45CC}"/>
    <hyperlink ref="B26" location="item5003" display="item5003" xr:uid="{D24B4CE8-180D-4C25-80B3-6B6A1CBAFB4C}"/>
    <hyperlink ref="B50" location="item5005" display="item5005" xr:uid="{7533D6CA-73CE-48F1-9FE7-8195F473DA89}"/>
    <hyperlink ref="B62" location="item5006" display="item5006" xr:uid="{292A052C-7860-46FC-97ED-9C42102BDA1B}"/>
    <hyperlink ref="B73" location="item5007" display="item5007" xr:uid="{F7125245-6EC8-4C50-A5A0-4D48F759AC62}"/>
    <hyperlink ref="B84" location="item5008" display="item5008" xr:uid="{9D062B0A-8E0E-486F-BE78-DC95796B99DB}"/>
    <hyperlink ref="B106" location="item5010" display="item5010" xr:uid="{22D82B0B-26A7-40DB-8D4D-8D9F84B00490}"/>
    <hyperlink ref="B117" location="item5011" display="item5011" xr:uid="{CBC54E17-7EC5-4AD0-AD83-C5DAF06648FC}"/>
    <hyperlink ref="B129" location="item5012" display="item5012" xr:uid="{BA31CB2B-D2ED-4BB9-AC85-59DA1D6872C9}"/>
    <hyperlink ref="B95" location="item5009" display="item5009" xr:uid="{1FD3D59B-4AF2-499C-92A9-423B92BAD315}"/>
    <hyperlink ref="B145" location="item5014" display="item5014" xr:uid="{BA943D89-50F2-4BD7-ABDF-C60FE7F969FE}"/>
    <hyperlink ref="B38" location="item5004" display="item5004" xr:uid="{273B0065-09D0-4617-9F69-E1A975CAB1C4}"/>
    <hyperlink ref="B141" location="item5022" display="item5022" xr:uid="{94233473-ABFF-473D-910B-01F0F09831F7}"/>
    <hyperlink ref="B937" location="item5014" display="item5014" xr:uid="{98B15D73-8702-43E7-BA0E-D9935CEF0AE4}"/>
    <hyperlink ref="B931" location="item5161" display="item5161" xr:uid="{7F7AF86F-B2BE-40D0-9A1D-671FAF5540C3}"/>
    <hyperlink ref="B921" location="item13031" display="item13031" xr:uid="{7399B5BF-C137-401C-904F-00BD59311F71}"/>
    <hyperlink ref="B914" location="item5137" display="item5137" xr:uid="{54E7E4BB-FCB4-4014-BE79-025296B36493}"/>
    <hyperlink ref="B900" location="item5169" display="item5169" xr:uid="{BF93AB3D-32D8-4522-8581-2FBA3DDFD0D9}"/>
    <hyperlink ref="B1012" location="item12082" display="item12082" xr:uid="{589A30BB-900E-4ACC-8E6E-A80A7DF5F6A9}"/>
    <hyperlink ref="B1005" location="item12082" display="item12082" xr:uid="{C6025AB6-696E-44B4-AA4D-31208CE62D5F}"/>
    <hyperlink ref="B819" location="item1075" display="item1075" xr:uid="{54E7317C-6288-414A-8637-CE8D93CCD5F5}"/>
    <hyperlink ref="B829" location="item1075" display="item1075" xr:uid="{2071B8AA-E223-4AAE-89E2-F6EC2B981786}"/>
    <hyperlink ref="B783" location="item1075" display="item1075" xr:uid="{E8A98416-E436-4560-B799-F50172049874}"/>
    <hyperlink ref="B757" location="item12082" display="item12082" xr:uid="{E7080AD0-8084-4B95-8B5A-D88BB467995E}"/>
    <hyperlink ref="B547" location="item12083" display="item12083" xr:uid="{B9AB50D9-BD92-49EB-8745-013F196FBA85}"/>
    <hyperlink ref="B532" location="item12033" display="item12033" xr:uid="{C08CE816-C20B-4F87-9A55-9E843BC172A5}"/>
    <hyperlink ref="B525" location="item12082" display="item12082" xr:uid="{31A60B64-91C6-4286-9D16-BED73EF755BA}"/>
    <hyperlink ref="B421" location="item5141" display="item5141" xr:uid="{9B6D9DFF-99A9-4F65-A21C-40503F7BF801}"/>
    <hyperlink ref="B250" location="items1096" display="items1096" xr:uid="{ADBDE9A9-0895-4BFF-8271-D4B9D55EA857}"/>
    <hyperlink ref="B238" location="item1026" display="item1026" xr:uid="{E1FA2FFC-3DCB-4F09-88C6-8962A8540E1B}"/>
    <hyperlink ref="B198" location="items1096" display="items1096" xr:uid="{67269300-52C0-4384-80B7-535DAC8B5CA1}"/>
    <hyperlink ref="B751" location="item1075" display="item1075" xr:uid="{F567C644-75DF-4572-AFB7-E39FA7F4DCC5}"/>
    <hyperlink ref="B337" location="item2033" display="item2033" xr:uid="{F5D87E32-9F7F-43CA-BDAA-BEF3186E72B1}"/>
    <hyperlink ref="B744" location="item1075" display="item1075" xr:uid="{1BD8C757-0D01-41B6-9C0E-EAA66D37B6D7}"/>
    <hyperlink ref="B737" location="item1088" display="item1088" xr:uid="{AB8F34BF-04E3-4353-921F-B329D5C707C8}"/>
    <hyperlink ref="B731" location="item1008" display="item1008" xr:uid="{B70F513D-D906-46F5-950B-6B72A2790D96}"/>
    <hyperlink ref="B725" location="item1034" display="item1034" xr:uid="{0777ECE6-567F-48D1-B5D2-09CBD58A276A}"/>
    <hyperlink ref="B718" location="item1005" display="item1005" xr:uid="{F7F2AED0-FC86-402B-A38C-2FF706FF8202}"/>
    <hyperlink ref="B675" location="item5139" display="item5139" xr:uid="{70849F0D-0CF3-4C51-9352-FAFC640ABCEB}"/>
    <hyperlink ref="B669" location="item5161" display="item5161" xr:uid="{48426FBB-6EEB-4450-AD66-5ED7CE27B6D0}"/>
    <hyperlink ref="B662" location="item5137" display="item5137" xr:uid="{D9991041-BBC7-40BA-859B-441637722F21}"/>
    <hyperlink ref="B649" location="item5169" display="item5169" xr:uid="{697BD282-B66E-4FE9-A6C8-0ED024876F6F}"/>
    <hyperlink ref="B636" location="item12004" display="item12004" xr:uid="{2E8F8728-C0C7-4B47-823C-55844D60DE3F}"/>
    <hyperlink ref="B624" location="items5275" display="items5275" xr:uid="{EF2B7136-6F5F-4B7B-93AB-4F277EDE793E}"/>
    <hyperlink ref="B613" location="item13026" display="item13026" xr:uid="{9AE7A591-8FC8-43D6-9D4B-EEC5A8EB2FCD}"/>
    <hyperlink ref="B605" location="item13037" display="item13037" xr:uid="{6A084489-4F22-457A-AA1E-E0DF6805BF2E}"/>
    <hyperlink ref="B596" location="item5014" display="item5014" xr:uid="{BC2D74F7-2629-4191-8BCD-587DFBDEBBB1}"/>
    <hyperlink ref="B578" location="items5274" display="items5274" xr:uid="{15CD0143-93E0-429F-94F0-347ACFD76405}"/>
    <hyperlink ref="B567" location="item11043" display="item11043" xr:uid="{B728C757-5419-4FD9-9B5C-89866166624B}"/>
    <hyperlink ref="B558" location="item5014" display="item5014" xr:uid="{C49B5A49-FE20-4FF9-AE2E-DB59FA5703D1}"/>
    <hyperlink ref="B412" location="items5268" display="items5268" xr:uid="{1F8FD08D-7C63-46A7-8A50-0E5F0AC83FD0}"/>
    <hyperlink ref="B401" location="item5007" display="item5007" xr:uid="{DB8C42C3-7D2D-4E40-8762-DF908DA665E9}"/>
    <hyperlink ref="B392" location="items5266" display="items5266" xr:uid="{8905E35E-8A41-4348-B838-BC0BD048DE9D}"/>
    <hyperlink ref="B316" location="items12169" display="items12169" xr:uid="{1BCF7C89-5B7C-447F-A05D-13A9E103362D}"/>
    <hyperlink ref="B380" location="items12172" display="items12172" xr:uid="{7CE0C986-847B-4165-B6CF-CD23D9DF6A16}"/>
    <hyperlink ref="B364" location="item11010" display="item11010" xr:uid="{E94C8828-5E53-4945-A868-CEC4964D7D3C}"/>
    <hyperlink ref="B353" location="item12024" display="item12024" xr:uid="{24C793E6-A2C0-474E-80F6-E1F52737704F}"/>
    <hyperlink ref="B342" location="item12001" display="item12001" xr:uid="{B880E069-8249-48C8-8FBE-1AF2E2E85E15}"/>
    <hyperlink ref="B329" location="item2001" display="item2001" xr:uid="{FD5D729C-256F-4BAA-A9E7-F5F096C5936F}"/>
    <hyperlink ref="B306" location="item13031" display="item13031" xr:uid="{5A58ED2F-51A6-417D-B10B-D69C9E6435FE}"/>
    <hyperlink ref="B298" location="items2077" display="items2077" xr:uid="{ED1E4BCC-53DB-4704-8FCA-EEF0EFF45F95}"/>
    <hyperlink ref="B280" location="item2051" display="item2051" xr:uid="{2A86F570-1766-4770-A205-03940673B71F}"/>
    <hyperlink ref="B272" location="items2069" display="items2069" xr:uid="{401269D5-8B06-4E4B-9733-577AAD013A58}"/>
    <hyperlink ref="B266" location="item2042" display="item2042" xr:uid="{80C2AD1C-3A9D-4B68-95D9-82FF583BBA84}"/>
    <hyperlink ref="B260" location="item2002" display="item2002" xr:uid="{9101BE75-650F-4ED0-88E5-DDCD4568E58C}"/>
    <hyperlink ref="B230" location="item1028" display="item1028" xr:uid="{87287C15-2A3E-4C14-A735-698CF615A454}"/>
    <hyperlink ref="B223" location="items1099" display="items1099" xr:uid="{A3EC9F75-1BBC-4C50-B023-B49C07BDD8E1}"/>
    <hyperlink ref="B215" location="items1098" display="items1098" xr:uid="{6F7B7698-9320-4D3B-BCF2-2BEDFE8282C7}"/>
    <hyperlink ref="B208" location="items1094" display="items1094" xr:uid="{F240C213-4595-42B3-82F7-9EF6E1B72862}"/>
    <hyperlink ref="B189" location="items1096" display="items1096" xr:uid="{A0B23FC8-5B8B-4210-80BF-471D1F558277}"/>
    <hyperlink ref="B183" location="item1072" display="item1072" xr:uid="{4A933816-8FCA-4E67-B2AF-5D0D99E64E12}"/>
    <hyperlink ref="B176" location="item1020" display="item1020" xr:uid="{B6203592-9272-4A2E-AC59-DC1103D9FA63}"/>
    <hyperlink ref="B169" location="item4007" display="item4007" xr:uid="{C470D242-3723-42DA-8A94-55C5AE4B96EE}"/>
  </hyperlinks>
  <printOptions horizontalCentered="1"/>
  <pageMargins left="0.31496062992125984" right="0.31496062992125984" top="0.74803149606299213" bottom="0.35433070866141736" header="0.11811023622047245" footer="0"/>
  <pageSetup scale="56" fitToHeight="0" orientation="landscape" r:id="rId1"/>
  <rowBreaks count="4" manualBreakCount="4">
    <brk id="851" max="11" man="1"/>
    <brk id="898" max="11" man="1"/>
    <brk id="944" max="11" man="1"/>
    <brk id="985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642A0-852C-48CB-9A50-1E417AA2A2C6}">
  <sheetPr>
    <tabColor theme="7"/>
  </sheetPr>
  <dimension ref="A1:J27"/>
  <sheetViews>
    <sheetView view="pageBreakPreview" topLeftCell="B1" zoomScale="90" zoomScaleSheetLayoutView="90" workbookViewId="0">
      <pane ySplit="4" topLeftCell="A12" activePane="bottomLeft" state="frozen"/>
      <selection activeCell="D819" sqref="D819"/>
      <selection pane="bottomLeft" activeCell="D819" sqref="D819"/>
    </sheetView>
  </sheetViews>
  <sheetFormatPr baseColWidth="10" defaultColWidth="11.44140625" defaultRowHeight="14.4" x14ac:dyDescent="0.3"/>
  <cols>
    <col min="1" max="1" width="31.5546875" style="356" bestFit="1" customWidth="1"/>
    <col min="2" max="2" width="37.33203125" style="356" bestFit="1" customWidth="1"/>
    <col min="3" max="3" width="23.5546875" style="356" bestFit="1" customWidth="1"/>
    <col min="4" max="5" width="7.6640625" style="356" bestFit="1" customWidth="1"/>
    <col min="6" max="6" width="42" style="356" bestFit="1" customWidth="1"/>
    <col min="7" max="7" width="30" style="356" customWidth="1"/>
    <col min="8" max="8" width="7.6640625" style="356" bestFit="1" customWidth="1"/>
    <col min="9" max="9" width="8.5546875" style="356" customWidth="1"/>
    <col min="10" max="10" width="4.33203125" style="356" customWidth="1"/>
    <col min="11" max="16384" width="11.44140625" style="356"/>
  </cols>
  <sheetData>
    <row r="1" spans="1:10" ht="15" thickBot="1" x14ac:dyDescent="0.35"/>
    <row r="2" spans="1:10" ht="15" customHeight="1" x14ac:dyDescent="0.3">
      <c r="A2" s="465" t="s">
        <v>527</v>
      </c>
      <c r="B2" s="466"/>
      <c r="C2" s="466"/>
      <c r="D2" s="466"/>
      <c r="E2" s="466"/>
      <c r="F2" s="466"/>
      <c r="G2" s="466"/>
      <c r="H2" s="466"/>
      <c r="I2" s="467"/>
      <c r="J2" s="468"/>
    </row>
    <row r="3" spans="1:10" ht="15" customHeight="1" x14ac:dyDescent="0.3">
      <c r="A3" s="469"/>
      <c r="B3" s="470"/>
      <c r="C3" s="470"/>
      <c r="D3" s="470"/>
      <c r="E3" s="470"/>
      <c r="F3" s="470"/>
      <c r="G3" s="470"/>
      <c r="H3" s="470"/>
      <c r="I3" s="471"/>
      <c r="J3" s="468"/>
    </row>
    <row r="4" spans="1:10" ht="29.25" customHeight="1" thickBot="1" x14ac:dyDescent="0.35">
      <c r="A4" s="472"/>
      <c r="B4" s="473"/>
      <c r="C4" s="473"/>
      <c r="D4" s="473"/>
      <c r="E4" s="473"/>
      <c r="F4" s="473"/>
      <c r="G4" s="473"/>
      <c r="H4" s="473"/>
      <c r="I4" s="474"/>
      <c r="J4" s="468"/>
    </row>
    <row r="6" spans="1:10" ht="15" thickBot="1" x14ac:dyDescent="0.35"/>
    <row r="7" spans="1:10" ht="15.6" x14ac:dyDescent="0.3">
      <c r="A7" s="475" t="s">
        <v>528</v>
      </c>
      <c r="B7" s="476"/>
      <c r="C7" s="477">
        <v>1300000</v>
      </c>
      <c r="D7" s="478"/>
      <c r="E7" s="478"/>
      <c r="F7" s="479"/>
    </row>
    <row r="8" spans="1:10" ht="16.2" thickBot="1" x14ac:dyDescent="0.35">
      <c r="A8" s="480" t="s">
        <v>529</v>
      </c>
      <c r="B8" s="481"/>
      <c r="C8" s="482">
        <v>162000</v>
      </c>
      <c r="D8" s="478"/>
      <c r="E8" s="478"/>
      <c r="F8" s="483"/>
    </row>
    <row r="10" spans="1:10" s="486" customFormat="1" x14ac:dyDescent="0.3">
      <c r="A10" s="484"/>
      <c r="B10" s="485" t="s">
        <v>530</v>
      </c>
      <c r="C10" s="485"/>
      <c r="D10" s="485"/>
      <c r="E10" s="485"/>
      <c r="F10" s="485" t="s">
        <v>531</v>
      </c>
      <c r="G10" s="485"/>
      <c r="H10" s="485"/>
      <c r="I10" s="485"/>
      <c r="J10" s="356"/>
    </row>
    <row r="11" spans="1:10" s="486" customFormat="1" x14ac:dyDescent="0.3">
      <c r="A11" s="487" t="s">
        <v>532</v>
      </c>
      <c r="B11" s="487" t="s">
        <v>533</v>
      </c>
      <c r="C11" s="487" t="s">
        <v>534</v>
      </c>
      <c r="D11" s="487" t="s">
        <v>535</v>
      </c>
      <c r="E11" s="487" t="s">
        <v>536</v>
      </c>
      <c r="F11" s="487" t="s">
        <v>533</v>
      </c>
      <c r="G11" s="487" t="s">
        <v>534</v>
      </c>
      <c r="H11" s="487" t="s">
        <v>535</v>
      </c>
      <c r="I11" s="487" t="s">
        <v>536</v>
      </c>
      <c r="J11" s="356"/>
    </row>
    <row r="12" spans="1:10" x14ac:dyDescent="0.3">
      <c r="A12" s="488" t="s">
        <v>537</v>
      </c>
      <c r="B12" s="488" t="s">
        <v>538</v>
      </c>
      <c r="C12" s="488"/>
      <c r="D12" s="489">
        <v>1</v>
      </c>
      <c r="E12" s="489"/>
      <c r="F12" s="490" t="s">
        <v>539</v>
      </c>
      <c r="G12" s="488"/>
      <c r="H12" s="489">
        <v>1</v>
      </c>
      <c r="I12" s="489"/>
    </row>
    <row r="13" spans="1:10" x14ac:dyDescent="0.3">
      <c r="A13" s="488" t="s">
        <v>540</v>
      </c>
      <c r="B13" s="488" t="s">
        <v>541</v>
      </c>
      <c r="C13" s="488"/>
      <c r="D13" s="489"/>
      <c r="E13" s="489">
        <v>1</v>
      </c>
      <c r="F13" s="488"/>
      <c r="G13" s="488"/>
      <c r="H13" s="489"/>
      <c r="I13" s="489"/>
    </row>
    <row r="14" spans="1:10" x14ac:dyDescent="0.3">
      <c r="A14" s="488" t="s">
        <v>542</v>
      </c>
      <c r="B14" s="488" t="s">
        <v>543</v>
      </c>
      <c r="C14" s="491"/>
      <c r="D14" s="489">
        <v>8.3299999999999999E-2</v>
      </c>
      <c r="E14" s="489">
        <v>8.3299999999999999E-2</v>
      </c>
      <c r="F14" s="490" t="s">
        <v>544</v>
      </c>
      <c r="G14" s="491"/>
      <c r="H14" s="489">
        <v>8.3299999999999999E-2</v>
      </c>
      <c r="I14" s="489"/>
    </row>
    <row r="15" spans="1:10" x14ac:dyDescent="0.3">
      <c r="A15" s="488" t="s">
        <v>545</v>
      </c>
      <c r="B15" s="488" t="s">
        <v>543</v>
      </c>
      <c r="C15" s="488"/>
      <c r="D15" s="489">
        <v>8.3299999999999999E-2</v>
      </c>
      <c r="E15" s="489">
        <v>8.3299999999999999E-2</v>
      </c>
      <c r="F15" s="490" t="s">
        <v>544</v>
      </c>
      <c r="G15" s="488"/>
      <c r="H15" s="489">
        <v>8.3299999999999999E-2</v>
      </c>
      <c r="I15" s="489"/>
    </row>
    <row r="16" spans="1:10" x14ac:dyDescent="0.3">
      <c r="A16" s="488" t="s">
        <v>546</v>
      </c>
      <c r="B16" s="488" t="s">
        <v>547</v>
      </c>
      <c r="C16" s="488"/>
      <c r="D16" s="489">
        <v>4.1700000000000001E-2</v>
      </c>
      <c r="E16" s="489"/>
      <c r="F16" s="490" t="s">
        <v>548</v>
      </c>
      <c r="G16" s="488"/>
      <c r="H16" s="489">
        <v>4.1700000000000001E-2</v>
      </c>
      <c r="I16" s="489"/>
    </row>
    <row r="17" spans="1:10" x14ac:dyDescent="0.3">
      <c r="A17" s="488" t="s">
        <v>549</v>
      </c>
      <c r="B17" s="488" t="s">
        <v>550</v>
      </c>
      <c r="C17" s="488"/>
      <c r="D17" s="492">
        <v>0.01</v>
      </c>
      <c r="E17" s="492">
        <v>0.01</v>
      </c>
      <c r="F17" s="490" t="s">
        <v>551</v>
      </c>
      <c r="G17" s="488"/>
      <c r="H17" s="492">
        <v>0.01</v>
      </c>
      <c r="I17" s="492"/>
    </row>
    <row r="18" spans="1:10" x14ac:dyDescent="0.3">
      <c r="A18" s="488" t="s">
        <v>552</v>
      </c>
      <c r="B18" s="493" t="s">
        <v>553</v>
      </c>
      <c r="C18" s="488" t="s">
        <v>554</v>
      </c>
      <c r="D18" s="492">
        <v>0.12</v>
      </c>
      <c r="E18" s="489"/>
      <c r="F18" s="494" t="s">
        <v>555</v>
      </c>
      <c r="G18" s="488" t="s">
        <v>554</v>
      </c>
      <c r="H18" s="492">
        <v>0.12</v>
      </c>
      <c r="I18" s="489"/>
    </row>
    <row r="19" spans="1:10" x14ac:dyDescent="0.3">
      <c r="A19" s="488" t="s">
        <v>556</v>
      </c>
      <c r="B19" s="495" t="s">
        <v>557</v>
      </c>
      <c r="C19" s="488" t="s">
        <v>554</v>
      </c>
      <c r="D19" s="496">
        <v>8.5000000000000006E-2</v>
      </c>
      <c r="E19" s="489"/>
      <c r="F19" s="497" t="s">
        <v>558</v>
      </c>
      <c r="G19" s="488" t="s">
        <v>554</v>
      </c>
      <c r="H19" s="496">
        <v>8.5000000000000006E-2</v>
      </c>
      <c r="I19" s="489"/>
    </row>
    <row r="20" spans="1:10" x14ac:dyDescent="0.3">
      <c r="A20" s="490" t="s">
        <v>559</v>
      </c>
      <c r="B20" s="495" t="s">
        <v>560</v>
      </c>
      <c r="C20" s="488"/>
      <c r="D20" s="489">
        <v>6.9599999999999995E-2</v>
      </c>
      <c r="E20" s="489"/>
      <c r="F20" s="497" t="s">
        <v>561</v>
      </c>
      <c r="G20" s="488"/>
      <c r="H20" s="489">
        <v>6.9599999999999995E-2</v>
      </c>
      <c r="I20" s="489"/>
    </row>
    <row r="21" spans="1:10" x14ac:dyDescent="0.3">
      <c r="A21" s="488" t="s">
        <v>562</v>
      </c>
      <c r="B21" s="494" t="s">
        <v>563</v>
      </c>
      <c r="C21" s="488"/>
      <c r="D21" s="492">
        <v>0.04</v>
      </c>
      <c r="E21" s="489"/>
      <c r="F21" s="494" t="s">
        <v>563</v>
      </c>
      <c r="G21" s="488"/>
      <c r="H21" s="492">
        <v>0.04</v>
      </c>
      <c r="I21" s="489"/>
    </row>
    <row r="22" spans="1:10" x14ac:dyDescent="0.3">
      <c r="A22" s="490" t="s">
        <v>564</v>
      </c>
      <c r="B22" s="494"/>
      <c r="C22" s="488"/>
      <c r="D22" s="498">
        <v>2.1000000000000001E-2</v>
      </c>
      <c r="E22" s="489"/>
      <c r="F22" s="490" t="s">
        <v>564</v>
      </c>
      <c r="G22" s="488"/>
      <c r="H22" s="498">
        <v>2.1000000000000001E-2</v>
      </c>
      <c r="I22" s="489"/>
    </row>
    <row r="23" spans="1:10" x14ac:dyDescent="0.3">
      <c r="A23" s="490" t="s">
        <v>565</v>
      </c>
      <c r="B23" s="494" t="s">
        <v>566</v>
      </c>
      <c r="C23" s="488"/>
      <c r="D23" s="499">
        <v>2.5000000000000001E-4</v>
      </c>
      <c r="E23" s="489"/>
      <c r="F23" s="490" t="s">
        <v>565</v>
      </c>
      <c r="G23" s="494" t="s">
        <v>566</v>
      </c>
      <c r="H23" s="499">
        <v>2.5000000000000001E-4</v>
      </c>
      <c r="I23" s="489"/>
    </row>
    <row r="24" spans="1:10" x14ac:dyDescent="0.3">
      <c r="A24" s="490" t="s">
        <v>567</v>
      </c>
      <c r="B24" s="494"/>
      <c r="C24" s="488"/>
      <c r="D24" s="496">
        <v>5.5899999999999998E-2</v>
      </c>
      <c r="E24" s="489"/>
      <c r="F24" s="494"/>
      <c r="G24" s="488"/>
      <c r="H24" s="492"/>
      <c r="I24" s="489"/>
    </row>
    <row r="25" spans="1:10" x14ac:dyDescent="0.3">
      <c r="A25" s="500" t="s">
        <v>568</v>
      </c>
      <c r="B25" s="501" t="str">
        <f>+CONCATENATE(D25, " S.M. + ",E25," AT")</f>
        <v>1,61005 S.M. + 1,1766 AT</v>
      </c>
      <c r="C25" s="501"/>
      <c r="D25" s="489">
        <f>SUM(D12:D24)</f>
        <v>1.6100499999999998</v>
      </c>
      <c r="E25" s="489">
        <f>SUM(E12:E24)</f>
        <v>1.1765999999999999</v>
      </c>
      <c r="F25" s="500" t="s">
        <v>568</v>
      </c>
      <c r="G25" s="488" t="str">
        <f>+CONCATENATE(H25, " S.M. + ",I25," AT")</f>
        <v>1,55415 S.M. + 0 AT</v>
      </c>
      <c r="H25" s="489">
        <f>SUM(H12:H24)</f>
        <v>1.5541499999999997</v>
      </c>
      <c r="I25" s="489">
        <f>SUM(I12:I24)</f>
        <v>0</v>
      </c>
    </row>
    <row r="26" spans="1:10" ht="15" thickBot="1" x14ac:dyDescent="0.35">
      <c r="A26" s="502" t="s">
        <v>568</v>
      </c>
      <c r="B26" s="503">
        <f>+D25*C7+E25*C8</f>
        <v>2283674.1999999997</v>
      </c>
      <c r="C26" s="504"/>
      <c r="D26" s="505"/>
      <c r="E26" s="505"/>
      <c r="F26" s="502" t="s">
        <v>568</v>
      </c>
      <c r="G26" s="506">
        <f>+H25*C7+I25*C8</f>
        <v>2020394.9999999995</v>
      </c>
      <c r="H26" s="504"/>
      <c r="I26" s="505"/>
      <c r="J26" s="505"/>
    </row>
    <row r="27" spans="1:10" ht="15" thickBot="1" x14ac:dyDescent="0.35">
      <c r="A27" s="507" t="s">
        <v>569</v>
      </c>
      <c r="B27" s="508">
        <f>+(B26-C7)/C7</f>
        <v>0.75667246153846135</v>
      </c>
      <c r="C27" s="509"/>
      <c r="D27" s="510"/>
      <c r="E27" s="510"/>
      <c r="F27" s="507" t="s">
        <v>569</v>
      </c>
      <c r="G27" s="508">
        <f>+(G26-C7)/C7</f>
        <v>0.55414999999999959</v>
      </c>
      <c r="H27" s="509"/>
      <c r="I27" s="510"/>
      <c r="J27" s="510"/>
    </row>
  </sheetData>
  <mergeCells count="6">
    <mergeCell ref="A2:I4"/>
    <mergeCell ref="A7:B7"/>
    <mergeCell ref="A8:B8"/>
    <mergeCell ref="B10:E10"/>
    <mergeCell ref="F10:I10"/>
    <mergeCell ref="B25:C25"/>
  </mergeCells>
  <pageMargins left="0.70866141732283472" right="0.70866141732283472" top="0.74803149606299213" bottom="0.74803149606299213" header="0.31496062992125984" footer="0.31496062992125984"/>
  <pageSetup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210DC-4CE3-4328-87D7-69FF9C6C1F88}">
  <sheetPr>
    <tabColor theme="7"/>
  </sheetPr>
  <dimension ref="A1:I41"/>
  <sheetViews>
    <sheetView view="pageBreakPreview" zoomScale="80" zoomScaleSheetLayoutView="80" workbookViewId="0">
      <pane ySplit="6" topLeftCell="A7" activePane="bottomLeft" state="frozen"/>
      <selection activeCell="D819" sqref="D819"/>
      <selection pane="bottomLeft" activeCell="D819" sqref="D819"/>
    </sheetView>
  </sheetViews>
  <sheetFormatPr baseColWidth="10" defaultColWidth="11.44140625" defaultRowHeight="15" x14ac:dyDescent="0.25"/>
  <cols>
    <col min="1" max="1" width="15.33203125" style="511" bestFit="1" customWidth="1"/>
    <col min="2" max="2" width="69.44140625" style="511" bestFit="1" customWidth="1"/>
    <col min="3" max="3" width="11.44140625" style="511" customWidth="1"/>
    <col min="4" max="4" width="20" style="511" customWidth="1"/>
    <col min="5" max="5" width="24.33203125" style="511" customWidth="1"/>
    <col min="6" max="6" width="23.5546875" style="511" bestFit="1" customWidth="1"/>
    <col min="7" max="7" width="23.5546875" style="511" customWidth="1"/>
    <col min="8" max="8" width="4.33203125" style="511" customWidth="1"/>
    <col min="9" max="9" width="13.5546875" style="511" bestFit="1" customWidth="1"/>
    <col min="10" max="16384" width="11.44140625" style="511"/>
  </cols>
  <sheetData>
    <row r="1" spans="1:9" ht="15.6" thickBot="1" x14ac:dyDescent="0.3"/>
    <row r="2" spans="1:9" ht="15" customHeight="1" x14ac:dyDescent="0.25">
      <c r="A2" s="512" t="s">
        <v>570</v>
      </c>
      <c r="B2" s="513"/>
      <c r="C2" s="513"/>
      <c r="D2" s="513"/>
      <c r="E2" s="513"/>
      <c r="F2" s="513"/>
      <c r="G2" s="514"/>
      <c r="H2" s="515"/>
    </row>
    <row r="3" spans="1:9" ht="15" customHeight="1" x14ac:dyDescent="0.25">
      <c r="A3" s="516"/>
      <c r="B3" s="517"/>
      <c r="C3" s="517"/>
      <c r="D3" s="517"/>
      <c r="E3" s="517"/>
      <c r="F3" s="517"/>
      <c r="G3" s="518"/>
      <c r="H3" s="515"/>
    </row>
    <row r="4" spans="1:9" ht="27" customHeight="1" thickBot="1" x14ac:dyDescent="0.3">
      <c r="A4" s="519"/>
      <c r="B4" s="520"/>
      <c r="C4" s="520"/>
      <c r="D4" s="520"/>
      <c r="E4" s="520"/>
      <c r="F4" s="520"/>
      <c r="G4" s="521"/>
      <c r="H4" s="515"/>
    </row>
    <row r="5" spans="1:9" ht="15.6" thickBot="1" x14ac:dyDescent="0.3"/>
    <row r="6" spans="1:9" ht="31.8" thickBot="1" x14ac:dyDescent="0.3">
      <c r="A6" s="522" t="s">
        <v>571</v>
      </c>
      <c r="B6" s="523" t="s">
        <v>572</v>
      </c>
      <c r="C6" s="524" t="s">
        <v>65</v>
      </c>
      <c r="D6" s="525" t="s">
        <v>573</v>
      </c>
      <c r="E6" s="523" t="s">
        <v>574</v>
      </c>
      <c r="F6" s="526" t="s">
        <v>575</v>
      </c>
      <c r="G6" s="525" t="s">
        <v>576</v>
      </c>
    </row>
    <row r="7" spans="1:9" x14ac:dyDescent="0.25">
      <c r="A7" s="527" t="s">
        <v>144</v>
      </c>
      <c r="B7" s="528" t="s">
        <v>145</v>
      </c>
      <c r="C7" s="529" t="s">
        <v>208</v>
      </c>
      <c r="D7" s="530">
        <f t="shared" ref="D7:D32" si="0">ROUND((G7/30),0)</f>
        <v>76122</v>
      </c>
      <c r="E7" s="530">
        <f>+'Factor Prestacional'!C7</f>
        <v>1300000</v>
      </c>
      <c r="F7" s="531">
        <f>+IF(E7&lt;=2*'Factor Prestacional'!$C$7,'Factor Prestacional'!$B$27,'Factor Prestacional'!$G$27)</f>
        <v>0.75667246153846135</v>
      </c>
      <c r="G7" s="532">
        <f t="shared" ref="G7:G19" si="1">+ROUND(E7+E7*F7,0)</f>
        <v>2283674</v>
      </c>
      <c r="I7" s="533"/>
    </row>
    <row r="8" spans="1:9" x14ac:dyDescent="0.25">
      <c r="A8" s="534" t="s">
        <v>577</v>
      </c>
      <c r="B8" s="535" t="s">
        <v>578</v>
      </c>
      <c r="C8" s="458" t="s">
        <v>208</v>
      </c>
      <c r="D8" s="536">
        <f t="shared" si="0"/>
        <v>91347</v>
      </c>
      <c r="E8" s="536">
        <f>+E7*1.2</f>
        <v>1560000</v>
      </c>
      <c r="F8" s="531">
        <f>+IF(E8&lt;=2*'Factor Prestacional'!$C$7,'Factor Prestacional'!$B$27,'Factor Prestacional'!$G$27)</f>
        <v>0.75667246153846135</v>
      </c>
      <c r="G8" s="537">
        <f t="shared" si="1"/>
        <v>2740409</v>
      </c>
    </row>
    <row r="9" spans="1:9" x14ac:dyDescent="0.25">
      <c r="A9" s="534" t="s">
        <v>579</v>
      </c>
      <c r="B9" s="535" t="s">
        <v>580</v>
      </c>
      <c r="C9" s="458" t="s">
        <v>208</v>
      </c>
      <c r="D9" s="536">
        <f t="shared" si="0"/>
        <v>137020</v>
      </c>
      <c r="E9" s="536">
        <f>E7*1.8</f>
        <v>2340000</v>
      </c>
      <c r="F9" s="531">
        <f>+IF(E9&lt;=2*'Factor Prestacional'!$C$7,'Factor Prestacional'!$B$27,'Factor Prestacional'!$G$27)</f>
        <v>0.75667246153846135</v>
      </c>
      <c r="G9" s="537">
        <f t="shared" si="1"/>
        <v>4110614</v>
      </c>
    </row>
    <row r="10" spans="1:9" x14ac:dyDescent="0.25">
      <c r="A10" s="534" t="s">
        <v>581</v>
      </c>
      <c r="B10" s="535" t="s">
        <v>582</v>
      </c>
      <c r="C10" s="458" t="s">
        <v>208</v>
      </c>
      <c r="D10" s="536">
        <f t="shared" si="0"/>
        <v>114184</v>
      </c>
      <c r="E10" s="536">
        <f>E7*1.5</f>
        <v>1950000</v>
      </c>
      <c r="F10" s="531">
        <f>+IF(E10&lt;=2*'Factor Prestacional'!$C$7,'Factor Prestacional'!$B$27,'Factor Prestacional'!$G$27)</f>
        <v>0.75667246153846135</v>
      </c>
      <c r="G10" s="537">
        <f t="shared" si="1"/>
        <v>3425511</v>
      </c>
    </row>
    <row r="11" spans="1:9" x14ac:dyDescent="0.25">
      <c r="A11" s="534" t="s">
        <v>583</v>
      </c>
      <c r="B11" s="535" t="s">
        <v>584</v>
      </c>
      <c r="C11" s="458" t="s">
        <v>208</v>
      </c>
      <c r="D11" s="536">
        <f t="shared" si="0"/>
        <v>168366</v>
      </c>
      <c r="E11" s="536">
        <f>E7*2.5</f>
        <v>3250000</v>
      </c>
      <c r="F11" s="531">
        <f>+IF(E11&lt;=2*'Factor Prestacional'!$C$7,'Factor Prestacional'!$B$27,'Factor Prestacional'!$G$27)</f>
        <v>0.55414999999999959</v>
      </c>
      <c r="G11" s="537">
        <f t="shared" si="1"/>
        <v>5050988</v>
      </c>
    </row>
    <row r="12" spans="1:9" x14ac:dyDescent="0.25">
      <c r="A12" s="534" t="s">
        <v>585</v>
      </c>
      <c r="B12" s="535" t="s">
        <v>586</v>
      </c>
      <c r="C12" s="458" t="s">
        <v>208</v>
      </c>
      <c r="D12" s="536">
        <f t="shared" si="0"/>
        <v>168366</v>
      </c>
      <c r="E12" s="536">
        <f>E7*2.5</f>
        <v>3250000</v>
      </c>
      <c r="F12" s="531">
        <f>+IF(E12&lt;=2*'Factor Prestacional'!$C$7,'Factor Prestacional'!$B$27,'Factor Prestacional'!$G$27)</f>
        <v>0.55414999999999959</v>
      </c>
      <c r="G12" s="537">
        <f t="shared" si="1"/>
        <v>5050988</v>
      </c>
    </row>
    <row r="13" spans="1:9" x14ac:dyDescent="0.25">
      <c r="A13" s="534" t="s">
        <v>587</v>
      </c>
      <c r="B13" s="535" t="s">
        <v>588</v>
      </c>
      <c r="C13" s="458" t="s">
        <v>208</v>
      </c>
      <c r="D13" s="536">
        <f t="shared" si="0"/>
        <v>152245</v>
      </c>
      <c r="E13" s="536">
        <f>E7*2</f>
        <v>2600000</v>
      </c>
      <c r="F13" s="531">
        <f>+IF(E13&lt;=2*'Factor Prestacional'!$C$7,'Factor Prestacional'!$B$27,'Factor Prestacional'!$G$27)</f>
        <v>0.75667246153846135</v>
      </c>
      <c r="G13" s="537">
        <f t="shared" si="1"/>
        <v>4567348</v>
      </c>
    </row>
    <row r="14" spans="1:9" x14ac:dyDescent="0.25">
      <c r="A14" s="534" t="s">
        <v>589</v>
      </c>
      <c r="B14" s="535" t="s">
        <v>590</v>
      </c>
      <c r="C14" s="458" t="s">
        <v>208</v>
      </c>
      <c r="D14" s="536">
        <f t="shared" si="0"/>
        <v>121796</v>
      </c>
      <c r="E14" s="536">
        <f>E7*1.6</f>
        <v>2080000</v>
      </c>
      <c r="F14" s="531">
        <f>+IF(E14&lt;=2*'Factor Prestacional'!$C$7,'Factor Prestacional'!$B$27,'Factor Prestacional'!$G$27)</f>
        <v>0.75667246153846135</v>
      </c>
      <c r="G14" s="537">
        <f t="shared" si="1"/>
        <v>3653879</v>
      </c>
    </row>
    <row r="15" spans="1:9" x14ac:dyDescent="0.25">
      <c r="A15" s="534" t="s">
        <v>591</v>
      </c>
      <c r="B15" s="535" t="s">
        <v>592</v>
      </c>
      <c r="C15" s="458" t="s">
        <v>208</v>
      </c>
      <c r="D15" s="536">
        <f t="shared" si="0"/>
        <v>152245</v>
      </c>
      <c r="E15" s="536">
        <f>+E7*2</f>
        <v>2600000</v>
      </c>
      <c r="F15" s="531">
        <f>+IF(E15&lt;=2*'Factor Prestacional'!$C$7,'Factor Prestacional'!$B$27,'Factor Prestacional'!$G$27)</f>
        <v>0.75667246153846135</v>
      </c>
      <c r="G15" s="537">
        <f t="shared" si="1"/>
        <v>4567348</v>
      </c>
    </row>
    <row r="16" spans="1:9" x14ac:dyDescent="0.25">
      <c r="A16" s="534" t="s">
        <v>593</v>
      </c>
      <c r="B16" s="535" t="s">
        <v>594</v>
      </c>
      <c r="C16" s="458" t="s">
        <v>208</v>
      </c>
      <c r="D16" s="536">
        <f t="shared" si="0"/>
        <v>137020</v>
      </c>
      <c r="E16" s="536">
        <f>E7*1.8</f>
        <v>2340000</v>
      </c>
      <c r="F16" s="531">
        <f>+IF(E16&lt;=2*'Factor Prestacional'!$C$7,'Factor Prestacional'!$B$27,'Factor Prestacional'!$G$27)</f>
        <v>0.75667246153846135</v>
      </c>
      <c r="G16" s="537">
        <f t="shared" si="1"/>
        <v>4110614</v>
      </c>
    </row>
    <row r="17" spans="1:7" x14ac:dyDescent="0.25">
      <c r="A17" s="534" t="s">
        <v>267</v>
      </c>
      <c r="B17" s="535" t="s">
        <v>268</v>
      </c>
      <c r="C17" s="458" t="s">
        <v>208</v>
      </c>
      <c r="D17" s="536">
        <f t="shared" si="0"/>
        <v>137020</v>
      </c>
      <c r="E17" s="536">
        <f>E7*1.8</f>
        <v>2340000</v>
      </c>
      <c r="F17" s="531">
        <f>+IF(E17&lt;=2*'Factor Prestacional'!$C$7,'Factor Prestacional'!$B$27,'Factor Prestacional'!$G$27)</f>
        <v>0.75667246153846135</v>
      </c>
      <c r="G17" s="537">
        <f t="shared" si="1"/>
        <v>4110614</v>
      </c>
    </row>
    <row r="18" spans="1:7" x14ac:dyDescent="0.25">
      <c r="A18" s="534" t="s">
        <v>147</v>
      </c>
      <c r="B18" s="535" t="s">
        <v>148</v>
      </c>
      <c r="C18" s="458" t="s">
        <v>208</v>
      </c>
      <c r="D18" s="536">
        <f t="shared" si="0"/>
        <v>235713</v>
      </c>
      <c r="E18" s="536">
        <f>E7*3.5</f>
        <v>4550000</v>
      </c>
      <c r="F18" s="531">
        <f>+IF(E18&lt;=2*'Factor Prestacional'!$C$7,'Factor Prestacional'!$B$27,'Factor Prestacional'!$G$27)</f>
        <v>0.55414999999999959</v>
      </c>
      <c r="G18" s="537">
        <f t="shared" si="1"/>
        <v>7071383</v>
      </c>
    </row>
    <row r="19" spans="1:7" x14ac:dyDescent="0.25">
      <c r="A19" s="534" t="s">
        <v>595</v>
      </c>
      <c r="B19" s="535" t="s">
        <v>596</v>
      </c>
      <c r="C19" s="458" t="s">
        <v>208</v>
      </c>
      <c r="D19" s="536">
        <f t="shared" si="0"/>
        <v>188570</v>
      </c>
      <c r="E19" s="536">
        <f>E7*2.8</f>
        <v>3640000</v>
      </c>
      <c r="F19" s="531">
        <f>+IF(E19&lt;=2*'Factor Prestacional'!$C$7,'Factor Prestacional'!$B$27,'Factor Prestacional'!$G$27)</f>
        <v>0.55414999999999959</v>
      </c>
      <c r="G19" s="537">
        <f t="shared" si="1"/>
        <v>5657106</v>
      </c>
    </row>
    <row r="20" spans="1:7" x14ac:dyDescent="0.25">
      <c r="A20" s="534" t="s">
        <v>119</v>
      </c>
      <c r="B20" s="243" t="s">
        <v>120</v>
      </c>
      <c r="C20" s="458" t="s">
        <v>208</v>
      </c>
      <c r="D20" s="536">
        <f t="shared" si="0"/>
        <v>213143</v>
      </c>
      <c r="E20" s="536">
        <f>+E7+E9</f>
        <v>3640000</v>
      </c>
      <c r="F20" s="531"/>
      <c r="G20" s="537">
        <f>+G7+G9</f>
        <v>6394288</v>
      </c>
    </row>
    <row r="21" spans="1:7" x14ac:dyDescent="0.25">
      <c r="A21" s="534" t="s">
        <v>139</v>
      </c>
      <c r="B21" s="243" t="s">
        <v>140</v>
      </c>
      <c r="C21" s="458" t="s">
        <v>208</v>
      </c>
      <c r="D21" s="536">
        <f t="shared" si="0"/>
        <v>289265</v>
      </c>
      <c r="E21" s="536">
        <f>+E9+E7*2</f>
        <v>4940000</v>
      </c>
      <c r="F21" s="531"/>
      <c r="G21" s="537">
        <f>+G9+G7*2</f>
        <v>8677962</v>
      </c>
    </row>
    <row r="22" spans="1:7" x14ac:dyDescent="0.25">
      <c r="A22" s="534" t="s">
        <v>88</v>
      </c>
      <c r="B22" s="243" t="s">
        <v>89</v>
      </c>
      <c r="C22" s="458" t="s">
        <v>208</v>
      </c>
      <c r="D22" s="536">
        <f t="shared" si="0"/>
        <v>441510</v>
      </c>
      <c r="E22" s="536">
        <f>+E9+4*E7</f>
        <v>7540000</v>
      </c>
      <c r="F22" s="531"/>
      <c r="G22" s="537">
        <f>+G9+4*G7</f>
        <v>13245310</v>
      </c>
    </row>
    <row r="23" spans="1:7" x14ac:dyDescent="0.25">
      <c r="A23" s="534" t="s">
        <v>597</v>
      </c>
      <c r="B23" s="243" t="s">
        <v>598</v>
      </c>
      <c r="C23" s="458" t="s">
        <v>208</v>
      </c>
      <c r="D23" s="536">
        <f t="shared" si="0"/>
        <v>578531</v>
      </c>
      <c r="E23" s="536">
        <f>2*E9+4*E7</f>
        <v>9880000</v>
      </c>
      <c r="F23" s="531"/>
      <c r="G23" s="537">
        <f>2*G9+4*G7</f>
        <v>17355924</v>
      </c>
    </row>
    <row r="24" spans="1:7" x14ac:dyDescent="0.25">
      <c r="A24" s="534" t="s">
        <v>599</v>
      </c>
      <c r="B24" s="243" t="s">
        <v>518</v>
      </c>
      <c r="C24" s="458" t="s">
        <v>208</v>
      </c>
      <c r="D24" s="536">
        <f t="shared" si="0"/>
        <v>304490</v>
      </c>
      <c r="E24" s="536">
        <f>+E7*4</f>
        <v>5200000</v>
      </c>
      <c r="F24" s="531"/>
      <c r="G24" s="537">
        <f>+G7*4</f>
        <v>9134696</v>
      </c>
    </row>
    <row r="25" spans="1:7" x14ac:dyDescent="0.25">
      <c r="A25" s="534" t="s">
        <v>600</v>
      </c>
      <c r="B25" s="243" t="s">
        <v>601</v>
      </c>
      <c r="C25" s="458" t="s">
        <v>208</v>
      </c>
      <c r="D25" s="536">
        <f t="shared" si="0"/>
        <v>228367</v>
      </c>
      <c r="E25" s="536">
        <f>+E13+E7</f>
        <v>3900000</v>
      </c>
      <c r="F25" s="531"/>
      <c r="G25" s="537">
        <f>+G13+G7</f>
        <v>6851022</v>
      </c>
    </row>
    <row r="26" spans="1:7" x14ac:dyDescent="0.25">
      <c r="A26" s="534" t="s">
        <v>602</v>
      </c>
      <c r="B26" s="243" t="s">
        <v>603</v>
      </c>
      <c r="C26" s="458" t="s">
        <v>208</v>
      </c>
      <c r="D26" s="536">
        <f t="shared" si="0"/>
        <v>304490</v>
      </c>
      <c r="E26" s="536">
        <f>+E13+2*E7</f>
        <v>5200000</v>
      </c>
      <c r="F26" s="531"/>
      <c r="G26" s="537">
        <f>+G13+2*G7</f>
        <v>9134696</v>
      </c>
    </row>
    <row r="27" spans="1:7" x14ac:dyDescent="0.25">
      <c r="A27" s="534" t="s">
        <v>604</v>
      </c>
      <c r="B27" s="243" t="s">
        <v>605</v>
      </c>
      <c r="C27" s="458" t="s">
        <v>208</v>
      </c>
      <c r="D27" s="536">
        <f t="shared" si="0"/>
        <v>228367</v>
      </c>
      <c r="E27" s="536">
        <f>+E17+E8</f>
        <v>3900000</v>
      </c>
      <c r="F27" s="531"/>
      <c r="G27" s="537">
        <f>+G17+G8</f>
        <v>6851023</v>
      </c>
    </row>
    <row r="28" spans="1:7" x14ac:dyDescent="0.25">
      <c r="A28" s="312" t="s">
        <v>606</v>
      </c>
      <c r="B28" s="366" t="s">
        <v>607</v>
      </c>
      <c r="C28" s="341" t="s">
        <v>87</v>
      </c>
      <c r="D28" s="536">
        <f t="shared" si="0"/>
        <v>76122</v>
      </c>
      <c r="E28" s="538">
        <f>+E7</f>
        <v>1300000</v>
      </c>
      <c r="F28" s="531">
        <f>+IF(E28&lt;2*'Factor Prestacional'!$C$7,'Factor Prestacional'!$B$27,'Factor Prestacional'!$G$27)</f>
        <v>0.75667246153846135</v>
      </c>
      <c r="G28" s="537">
        <f t="shared" ref="G28:G29" si="2">+ROUND(E28+E28*F28,0)</f>
        <v>2283674</v>
      </c>
    </row>
    <row r="29" spans="1:7" x14ac:dyDescent="0.25">
      <c r="A29" s="312" t="s">
        <v>608</v>
      </c>
      <c r="B29" s="366" t="s">
        <v>609</v>
      </c>
      <c r="C29" s="341" t="s">
        <v>87</v>
      </c>
      <c r="D29" s="536">
        <f t="shared" si="0"/>
        <v>91347</v>
      </c>
      <c r="E29" s="538">
        <f>+E7*1.2</f>
        <v>1560000</v>
      </c>
      <c r="F29" s="531">
        <f>+IF(E29&lt;2*'Factor Prestacional'!$C$7,'Factor Prestacional'!$B$27,'Factor Prestacional'!$G$27)</f>
        <v>0.75667246153846135</v>
      </c>
      <c r="G29" s="537">
        <f t="shared" si="2"/>
        <v>2740409</v>
      </c>
    </row>
    <row r="30" spans="1:7" x14ac:dyDescent="0.25">
      <c r="A30" s="539" t="s">
        <v>169</v>
      </c>
      <c r="B30" s="179" t="s">
        <v>170</v>
      </c>
      <c r="C30" s="341" t="s">
        <v>87</v>
      </c>
      <c r="D30" s="536">
        <f t="shared" si="0"/>
        <v>135540</v>
      </c>
      <c r="E30" s="538">
        <f>+E7*2</f>
        <v>2600000</v>
      </c>
      <c r="F30" s="540"/>
      <c r="G30" s="541">
        <v>4066190</v>
      </c>
    </row>
    <row r="31" spans="1:7" x14ac:dyDescent="0.25">
      <c r="A31" s="539" t="s">
        <v>327</v>
      </c>
      <c r="B31" s="179" t="s">
        <v>328</v>
      </c>
      <c r="C31" s="341" t="s">
        <v>87</v>
      </c>
      <c r="D31" s="538">
        <f t="shared" si="0"/>
        <v>365388</v>
      </c>
      <c r="E31" s="538">
        <f>+E9+E7*3</f>
        <v>6240000</v>
      </c>
      <c r="F31" s="366"/>
      <c r="G31" s="541">
        <f>+G9+G7*3</f>
        <v>10961636</v>
      </c>
    </row>
    <row r="32" spans="1:7" ht="15.6" thickBot="1" x14ac:dyDescent="0.3">
      <c r="A32" s="542" t="s">
        <v>301</v>
      </c>
      <c r="B32" s="543" t="s">
        <v>302</v>
      </c>
      <c r="C32" s="544" t="s">
        <v>87</v>
      </c>
      <c r="D32" s="545">
        <f t="shared" si="0"/>
        <v>471959</v>
      </c>
      <c r="E32" s="546">
        <f>+E15+E8+E7*3</f>
        <v>8060000</v>
      </c>
      <c r="F32" s="547"/>
      <c r="G32" s="548">
        <f>+G15+G8+G7*3</f>
        <v>14158779</v>
      </c>
    </row>
    <row r="33" spans="1:7" s="356" customFormat="1" ht="14.4" x14ac:dyDescent="0.3"/>
    <row r="34" spans="1:7" x14ac:dyDescent="0.25">
      <c r="A34" s="364" t="s">
        <v>610</v>
      </c>
      <c r="B34" s="364" t="s">
        <v>611</v>
      </c>
      <c r="C34" s="549" t="s">
        <v>87</v>
      </c>
      <c r="D34" s="550">
        <f>+((E34/30)/24)*8</f>
        <v>113422.22222222223</v>
      </c>
      <c r="E34" s="550">
        <v>10208000</v>
      </c>
      <c r="F34" s="364"/>
      <c r="G34" s="364"/>
    </row>
    <row r="37" spans="1:7" x14ac:dyDescent="0.25">
      <c r="E37" s="551"/>
    </row>
    <row r="38" spans="1:7" x14ac:dyDescent="0.25">
      <c r="E38" s="551"/>
    </row>
    <row r="39" spans="1:7" x14ac:dyDescent="0.25">
      <c r="E39" s="551"/>
    </row>
    <row r="40" spans="1:7" x14ac:dyDescent="0.25">
      <c r="E40" s="551"/>
    </row>
    <row r="41" spans="1:7" x14ac:dyDescent="0.25">
      <c r="E41" s="551"/>
    </row>
  </sheetData>
  <mergeCells count="1">
    <mergeCell ref="A2:G4"/>
  </mergeCells>
  <pageMargins left="0.70866141732283472" right="0.70866141732283472" top="0.74803149606299213" bottom="0.74803149606299213" header="0.31496062992125984" footer="0.31496062992125984"/>
  <pageSetup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PRESUPUESTO OFICIAL (Entidad)</vt:lpstr>
      <vt:lpstr>PROPUESTA ECONOMICA</vt:lpstr>
      <vt:lpstr>Analisis de AU</vt:lpstr>
      <vt:lpstr>APU</vt:lpstr>
      <vt:lpstr>Factor Prestacional</vt:lpstr>
      <vt:lpstr>Mano de Obra</vt:lpstr>
      <vt:lpstr>'Analisis de AU'!Área_de_impresión</vt:lpstr>
      <vt:lpstr>APU!Área_de_impresión</vt:lpstr>
      <vt:lpstr>'Factor Prestacional'!Área_de_impresión</vt:lpstr>
      <vt:lpstr>'Mano de Obra'!Área_de_impresión</vt:lpstr>
      <vt:lpstr>'PRESUPUESTO OFICIAL (Entidad)'!Área_de_impresión</vt:lpstr>
      <vt:lpstr>'PROPUESTA ECONOMICA'!Área_de_impresión</vt:lpstr>
      <vt:lpstr>APU!Títulos_a_imprimir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LUISA MARIA GRAJALES PULGARIN</cp:lastModifiedBy>
  <cp:revision/>
  <cp:lastPrinted>2021-07-22T21:21:55Z</cp:lastPrinted>
  <dcterms:created xsi:type="dcterms:W3CDTF">2006-06-27T16:47:25Z</dcterms:created>
  <dcterms:modified xsi:type="dcterms:W3CDTF">2025-04-30T19:59:05Z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