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08"/>
  <workbookPr defaultThemeVersion="166925"/>
  <mc:AlternateContent xmlns:mc="http://schemas.openxmlformats.org/markup-compatibility/2006">
    <mc:Choice Requires="x15">
      <x15ac:absPath xmlns:x15ac="http://schemas.microsoft.com/office/spreadsheetml/2010/11/ac" url="C:\Users\JVILLOTA\Desktop\ALMACEN LSPN\DATOS ALMACEN\2025\PLAN DE NECESIDADES 2025\PROCESO 1\"/>
    </mc:Choice>
  </mc:AlternateContent>
  <xr:revisionPtr revIDLastSave="0" documentId="13_ncr:1_{3CF566FD-50B2-45FC-8860-9DDF5B4A23F5}" xr6:coauthVersionLast="36" xr6:coauthVersionMax="47" xr10:uidLastSave="{00000000-0000-0000-0000-000000000000}"/>
  <bookViews>
    <workbookView xWindow="0" yWindow="0" windowWidth="21600" windowHeight="9105" firstSheet="1" activeTab="1" xr2:uid="{4C80FD3F-99DC-4F0B-BD37-B5045BC3B2EE}"/>
  </bookViews>
  <sheets>
    <sheet name="Estudio de Mercado -Proceso 1" sheetId="1" r:id="rId1"/>
    <sheet name="Anexo Económico " sheetId="3" r:id="rId2"/>
  </sheets>
  <externalReferences>
    <externalReference r:id="rId3"/>
  </externalReferences>
  <definedNames>
    <definedName name="_xlnm._FilterDatabase" localSheetId="1" hidden="1">'Anexo Económico '!$C$8:$F$158</definedName>
    <definedName name="_xlnm._FilterDatabase" localSheetId="0" hidden="1">'Estudio de Mercado -Proceso 1'!$C$8:$M$158</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H206" i="3" l="1"/>
  <c r="J199" i="3"/>
  <c r="J197" i="3"/>
  <c r="J196" i="3"/>
  <c r="J195" i="3"/>
  <c r="J192" i="3"/>
  <c r="J191" i="3"/>
  <c r="J187" i="3"/>
  <c r="J185" i="3"/>
  <c r="J181" i="3"/>
  <c r="J175" i="3"/>
  <c r="J168" i="3"/>
  <c r="J160" i="3"/>
  <c r="J159" i="3"/>
  <c r="J157" i="3"/>
  <c r="J156" i="3"/>
  <c r="J155" i="3"/>
  <c r="J151" i="3"/>
  <c r="J148" i="3"/>
  <c r="J147" i="3"/>
  <c r="J143" i="3"/>
  <c r="J142" i="3"/>
  <c r="J141" i="3"/>
  <c r="J138" i="3"/>
  <c r="J134" i="3"/>
  <c r="J133" i="3"/>
  <c r="J131" i="3"/>
  <c r="J130" i="3"/>
  <c r="J128" i="3"/>
  <c r="J124" i="3"/>
  <c r="J120" i="3"/>
  <c r="J119" i="3"/>
  <c r="J118" i="3"/>
  <c r="J117" i="3"/>
  <c r="J116" i="3"/>
  <c r="J115" i="3"/>
  <c r="J113" i="3"/>
  <c r="J109" i="3"/>
  <c r="J106" i="3"/>
  <c r="J98" i="3"/>
  <c r="J96" i="3"/>
  <c r="J95" i="3"/>
  <c r="J94" i="3"/>
  <c r="J93" i="3"/>
  <c r="J92" i="3"/>
  <c r="J90" i="3"/>
  <c r="J89" i="3"/>
  <c r="J88" i="3"/>
  <c r="J80" i="3"/>
  <c r="J79" i="3"/>
  <c r="J77" i="3"/>
  <c r="J76" i="3"/>
  <c r="J75" i="3"/>
  <c r="J73" i="3"/>
  <c r="J70" i="3"/>
  <c r="J69" i="3"/>
  <c r="J65" i="3"/>
  <c r="J57" i="3"/>
  <c r="J55" i="3"/>
  <c r="J54" i="3"/>
  <c r="J51" i="3"/>
  <c r="J45" i="3"/>
  <c r="J42" i="3"/>
  <c r="J33" i="3"/>
  <c r="J32" i="3"/>
  <c r="J31" i="3"/>
  <c r="J28" i="3"/>
  <c r="J25" i="3"/>
  <c r="J24" i="3"/>
  <c r="J23" i="3"/>
  <c r="J22" i="3"/>
  <c r="J19" i="3"/>
  <c r="J13" i="3"/>
  <c r="J9" i="3"/>
  <c r="H175" i="1"/>
  <c r="J175" i="1"/>
  <c r="K175" i="1"/>
  <c r="X175" i="1" s="1"/>
  <c r="L175" i="1"/>
  <c r="V175" i="1"/>
  <c r="L197" i="1"/>
  <c r="G9" i="3" l="1"/>
  <c r="J138" i="1" l="1"/>
  <c r="J87" i="3" l="1"/>
  <c r="J78" i="3"/>
  <c r="J27" i="3"/>
  <c r="J206" i="3" s="1"/>
  <c r="H199" i="3" l="1"/>
  <c r="H197" i="3"/>
  <c r="H196" i="3"/>
  <c r="H195" i="3"/>
  <c r="H192" i="3"/>
  <c r="H191" i="3"/>
  <c r="H187" i="3"/>
  <c r="H185" i="3"/>
  <c r="H181" i="3"/>
  <c r="H175" i="3"/>
  <c r="H168" i="3"/>
  <c r="H160" i="3"/>
  <c r="H159" i="3"/>
  <c r="H157" i="3"/>
  <c r="H156" i="3"/>
  <c r="H155" i="3"/>
  <c r="H151" i="3"/>
  <c r="H148" i="3"/>
  <c r="H147" i="3"/>
  <c r="H143" i="3"/>
  <c r="H142" i="3"/>
  <c r="H141" i="3"/>
  <c r="H138" i="3"/>
  <c r="H134" i="3"/>
  <c r="H133" i="3"/>
  <c r="H131" i="3"/>
  <c r="H130" i="3"/>
  <c r="H128" i="3"/>
  <c r="H124" i="3"/>
  <c r="H120" i="3"/>
  <c r="H118" i="3"/>
  <c r="H119" i="3"/>
  <c r="H116" i="3"/>
  <c r="H117" i="3"/>
  <c r="H115" i="3"/>
  <c r="H113" i="3"/>
  <c r="H109" i="3"/>
  <c r="H106" i="3"/>
  <c r="H98" i="3"/>
  <c r="H96" i="3"/>
  <c r="H94" i="3"/>
  <c r="H95" i="3"/>
  <c r="H93" i="3"/>
  <c r="H92" i="3"/>
  <c r="H90" i="3"/>
  <c r="H88" i="3"/>
  <c r="H89" i="3"/>
  <c r="H87" i="3"/>
  <c r="H80" i="3"/>
  <c r="H79" i="3"/>
  <c r="H78" i="3"/>
  <c r="H77" i="3"/>
  <c r="H76" i="3"/>
  <c r="H75" i="3"/>
  <c r="H73" i="3"/>
  <c r="H70" i="3"/>
  <c r="H69" i="3"/>
  <c r="H65" i="3"/>
  <c r="H57" i="3"/>
  <c r="H55" i="3"/>
  <c r="H54" i="3"/>
  <c r="H51" i="3"/>
  <c r="H45" i="3"/>
  <c r="H42" i="3"/>
  <c r="H33" i="3"/>
  <c r="H32" i="3"/>
  <c r="H31" i="3"/>
  <c r="H28" i="3"/>
  <c r="H27" i="3"/>
  <c r="H25" i="3"/>
  <c r="H24" i="3"/>
  <c r="H23" i="3"/>
  <c r="H22" i="3"/>
  <c r="H19" i="3"/>
  <c r="G13" i="3"/>
  <c r="H13" i="3" s="1"/>
  <c r="H9" i="3"/>
  <c r="L171" i="1" l="1"/>
  <c r="V204" i="1"/>
  <c r="K204" i="1"/>
  <c r="J204" i="1"/>
  <c r="V203" i="1"/>
  <c r="K203" i="1"/>
  <c r="V202" i="1"/>
  <c r="K202" i="1"/>
  <c r="V201" i="1"/>
  <c r="L201" i="1"/>
  <c r="K201" i="1"/>
  <c r="V200" i="1"/>
  <c r="K200" i="1"/>
  <c r="V199" i="1"/>
  <c r="K199" i="1"/>
  <c r="V198" i="1"/>
  <c r="J198" i="1"/>
  <c r="V197" i="1"/>
  <c r="J197" i="1"/>
  <c r="H197" i="1"/>
  <c r="T196" i="1"/>
  <c r="L196" i="1"/>
  <c r="K196" i="1"/>
  <c r="H196" i="1"/>
  <c r="V195" i="1"/>
  <c r="T195" i="1"/>
  <c r="M195" i="1"/>
  <c r="L195" i="1"/>
  <c r="K195" i="1"/>
  <c r="J195" i="1"/>
  <c r="H195" i="1"/>
  <c r="V194" i="1"/>
  <c r="T194" i="1"/>
  <c r="L194" i="1"/>
  <c r="K194" i="1"/>
  <c r="V193" i="1"/>
  <c r="T193" i="1"/>
  <c r="V192" i="1"/>
  <c r="T192" i="1"/>
  <c r="V191" i="1"/>
  <c r="O191" i="1"/>
  <c r="L191" i="1"/>
  <c r="K191" i="1"/>
  <c r="J191" i="1"/>
  <c r="H191" i="1"/>
  <c r="V190" i="1"/>
  <c r="O190" i="1"/>
  <c r="L190" i="1"/>
  <c r="K190" i="1"/>
  <c r="V189" i="1"/>
  <c r="L189" i="1"/>
  <c r="K189" i="1"/>
  <c r="V188" i="1"/>
  <c r="L188" i="1"/>
  <c r="K188" i="1"/>
  <c r="V187" i="1"/>
  <c r="L187" i="1"/>
  <c r="K187" i="1"/>
  <c r="V186" i="1"/>
  <c r="H186" i="1"/>
  <c r="G186" i="1"/>
  <c r="V185" i="1"/>
  <c r="L185" i="1"/>
  <c r="H185" i="1"/>
  <c r="V184" i="1"/>
  <c r="O184" i="1"/>
  <c r="L184" i="1"/>
  <c r="J184" i="1"/>
  <c r="H184" i="1"/>
  <c r="V183" i="1"/>
  <c r="L183" i="1"/>
  <c r="K183" i="1"/>
  <c r="J183" i="1"/>
  <c r="H183" i="1"/>
  <c r="V182" i="1"/>
  <c r="T182" i="1"/>
  <c r="L182" i="1"/>
  <c r="K182" i="1"/>
  <c r="J182" i="1"/>
  <c r="H182" i="1"/>
  <c r="V181" i="1"/>
  <c r="T181" i="1"/>
  <c r="L181" i="1"/>
  <c r="K181" i="1"/>
  <c r="J181" i="1"/>
  <c r="H181" i="1"/>
  <c r="V180" i="1"/>
  <c r="O180" i="1"/>
  <c r="L180" i="1"/>
  <c r="K180" i="1"/>
  <c r="J180" i="1"/>
  <c r="H180" i="1"/>
  <c r="V179" i="1"/>
  <c r="O179" i="1"/>
  <c r="L179" i="1"/>
  <c r="K179" i="1"/>
  <c r="J179" i="1"/>
  <c r="H179" i="1"/>
  <c r="V178" i="1"/>
  <c r="T178" i="1"/>
  <c r="L178" i="1"/>
  <c r="K178" i="1"/>
  <c r="J178" i="1"/>
  <c r="H178" i="1"/>
  <c r="V177" i="1"/>
  <c r="T177" i="1"/>
  <c r="L177" i="1"/>
  <c r="K177" i="1"/>
  <c r="J177" i="1"/>
  <c r="H177" i="1"/>
  <c r="V176" i="1"/>
  <c r="T176" i="1"/>
  <c r="O176" i="1"/>
  <c r="L176" i="1"/>
  <c r="K176" i="1"/>
  <c r="J176" i="1"/>
  <c r="H176" i="1"/>
  <c r="V174" i="1"/>
  <c r="T174" i="1"/>
  <c r="O174" i="1"/>
  <c r="L174" i="1"/>
  <c r="K174" i="1"/>
  <c r="J174" i="1"/>
  <c r="H174" i="1"/>
  <c r="V173" i="1"/>
  <c r="T173" i="1"/>
  <c r="O173" i="1"/>
  <c r="L173" i="1"/>
  <c r="K173" i="1"/>
  <c r="J173" i="1"/>
  <c r="H173" i="1"/>
  <c r="V172" i="1"/>
  <c r="T172" i="1"/>
  <c r="O172" i="1"/>
  <c r="L172" i="1"/>
  <c r="K172" i="1"/>
  <c r="J172" i="1"/>
  <c r="H172" i="1"/>
  <c r="V171" i="1"/>
  <c r="O171" i="1"/>
  <c r="K171" i="1"/>
  <c r="J171" i="1"/>
  <c r="H171" i="1"/>
  <c r="V170" i="1"/>
  <c r="L170" i="1"/>
  <c r="K170" i="1"/>
  <c r="H170" i="1"/>
  <c r="V169" i="1"/>
  <c r="T169" i="1"/>
  <c r="L169" i="1"/>
  <c r="K169" i="1"/>
  <c r="H169" i="1"/>
  <c r="V168" i="1"/>
  <c r="T168" i="1"/>
  <c r="M168" i="1"/>
  <c r="L168" i="1"/>
  <c r="K168" i="1"/>
  <c r="J168" i="1"/>
  <c r="H168" i="1"/>
  <c r="V167" i="1"/>
  <c r="L167" i="1"/>
  <c r="K167" i="1"/>
  <c r="H167" i="1"/>
  <c r="V166" i="1"/>
  <c r="O166" i="1"/>
  <c r="L166" i="1"/>
  <c r="K166" i="1"/>
  <c r="H166" i="1"/>
  <c r="V165" i="1"/>
  <c r="L165" i="1"/>
  <c r="K165" i="1"/>
  <c r="H165" i="1"/>
  <c r="V164" i="1"/>
  <c r="L164" i="1"/>
  <c r="K164" i="1"/>
  <c r="H164" i="1"/>
  <c r="V163" i="1"/>
  <c r="O163" i="1"/>
  <c r="L163" i="1"/>
  <c r="K163" i="1"/>
  <c r="H163" i="1"/>
  <c r="V162" i="1"/>
  <c r="T162" i="1"/>
  <c r="L162" i="1"/>
  <c r="K162" i="1"/>
  <c r="H162" i="1"/>
  <c r="V161" i="1"/>
  <c r="O161" i="1"/>
  <c r="L161" i="1"/>
  <c r="K161" i="1"/>
  <c r="H161" i="1"/>
  <c r="V160" i="1"/>
  <c r="L160" i="1"/>
  <c r="K160" i="1"/>
  <c r="H160" i="1"/>
  <c r="M159" i="1"/>
  <c r="L159" i="1"/>
  <c r="K159" i="1"/>
  <c r="H159" i="1"/>
  <c r="L158" i="1"/>
  <c r="K158" i="1"/>
  <c r="J158" i="1"/>
  <c r="I158" i="1"/>
  <c r="H158" i="1"/>
  <c r="Q157" i="1"/>
  <c r="L157" i="1"/>
  <c r="K157" i="1"/>
  <c r="J157" i="1"/>
  <c r="I157" i="1"/>
  <c r="H157" i="1"/>
  <c r="H156" i="1"/>
  <c r="X156" i="1" s="1"/>
  <c r="Y156" i="1" s="1"/>
  <c r="Z156" i="1" s="1"/>
  <c r="AA156" i="1" s="1"/>
  <c r="AB156" i="1" s="1"/>
  <c r="AC156" i="1" s="1"/>
  <c r="L155" i="1"/>
  <c r="K155" i="1"/>
  <c r="H155" i="1"/>
  <c r="M154" i="1"/>
  <c r="K154" i="1"/>
  <c r="H154" i="1"/>
  <c r="Q153" i="1"/>
  <c r="L153" i="1"/>
  <c r="K153" i="1"/>
  <c r="J153" i="1"/>
  <c r="I153" i="1"/>
  <c r="H153" i="1"/>
  <c r="L152" i="1"/>
  <c r="K152" i="1"/>
  <c r="H152" i="1"/>
  <c r="L151" i="1"/>
  <c r="K151" i="1"/>
  <c r="J151" i="1"/>
  <c r="I151" i="1"/>
  <c r="H151" i="1"/>
  <c r="M150" i="1"/>
  <c r="K150" i="1"/>
  <c r="I150" i="1"/>
  <c r="H150" i="1"/>
  <c r="M149" i="1"/>
  <c r="L149" i="1"/>
  <c r="K149" i="1"/>
  <c r="I149" i="1"/>
  <c r="H149" i="1"/>
  <c r="M148" i="1"/>
  <c r="K148" i="1"/>
  <c r="H148" i="1"/>
  <c r="L147" i="1"/>
  <c r="K147" i="1"/>
  <c r="Q146" i="1"/>
  <c r="L146" i="1"/>
  <c r="K146" i="1"/>
  <c r="J146" i="1"/>
  <c r="I146" i="1"/>
  <c r="H146" i="1"/>
  <c r="Q145" i="1"/>
  <c r="L145" i="1"/>
  <c r="K145" i="1"/>
  <c r="J145" i="1"/>
  <c r="H145" i="1"/>
  <c r="Q144" i="1"/>
  <c r="L144" i="1"/>
  <c r="K144" i="1"/>
  <c r="H144" i="1"/>
  <c r="Q143" i="1"/>
  <c r="L143" i="1"/>
  <c r="K143" i="1"/>
  <c r="J143" i="1"/>
  <c r="I143" i="1"/>
  <c r="H143" i="1"/>
  <c r="L142" i="1"/>
  <c r="I142" i="1"/>
  <c r="Q141" i="1"/>
  <c r="H141" i="1"/>
  <c r="Q140" i="1"/>
  <c r="L140" i="1"/>
  <c r="K140" i="1"/>
  <c r="J140" i="1"/>
  <c r="H140" i="1"/>
  <c r="L139" i="1"/>
  <c r="K139" i="1"/>
  <c r="H139" i="1"/>
  <c r="L138" i="1"/>
  <c r="K138" i="1"/>
  <c r="H138" i="1"/>
  <c r="L137" i="1"/>
  <c r="K137" i="1"/>
  <c r="I137" i="1"/>
  <c r="H137" i="1"/>
  <c r="Q136" i="1"/>
  <c r="L136" i="1"/>
  <c r="K136" i="1"/>
  <c r="I136" i="1"/>
  <c r="H136" i="1"/>
  <c r="L135" i="1"/>
  <c r="K135" i="1"/>
  <c r="I135" i="1"/>
  <c r="H135" i="1"/>
  <c r="M134" i="1"/>
  <c r="L134" i="1"/>
  <c r="K134" i="1"/>
  <c r="J134" i="1"/>
  <c r="I134" i="1"/>
  <c r="H134" i="1"/>
  <c r="L133" i="1"/>
  <c r="K133" i="1"/>
  <c r="J133" i="1"/>
  <c r="I133" i="1"/>
  <c r="H133" i="1"/>
  <c r="K132" i="1"/>
  <c r="J132" i="1"/>
  <c r="I132" i="1"/>
  <c r="K131" i="1"/>
  <c r="J131" i="1"/>
  <c r="I131" i="1"/>
  <c r="L130" i="1"/>
  <c r="K130" i="1"/>
  <c r="L129" i="1"/>
  <c r="J129" i="1"/>
  <c r="I129" i="1"/>
  <c r="H129" i="1"/>
  <c r="L128" i="1"/>
  <c r="J128" i="1"/>
  <c r="I128" i="1"/>
  <c r="H128" i="1"/>
  <c r="Q127" i="1"/>
  <c r="L127" i="1"/>
  <c r="K127" i="1"/>
  <c r="I127" i="1"/>
  <c r="H127" i="1"/>
  <c r="Q126" i="1"/>
  <c r="L126" i="1"/>
  <c r="K126" i="1"/>
  <c r="I126" i="1"/>
  <c r="L125" i="1"/>
  <c r="K125" i="1"/>
  <c r="J125" i="1"/>
  <c r="H125" i="1"/>
  <c r="Q124" i="1"/>
  <c r="L124" i="1"/>
  <c r="K124" i="1"/>
  <c r="I124" i="1"/>
  <c r="W123" i="1"/>
  <c r="K123" i="1"/>
  <c r="K122" i="1"/>
  <c r="X122" i="1" s="1"/>
  <c r="K121" i="1"/>
  <c r="X121" i="1" s="1"/>
  <c r="W120" i="1"/>
  <c r="K120" i="1"/>
  <c r="W119" i="1"/>
  <c r="L119" i="1"/>
  <c r="K119" i="1"/>
  <c r="M118" i="1"/>
  <c r="G118" i="1"/>
  <c r="W117" i="1"/>
  <c r="K117" i="1"/>
  <c r="J117" i="1"/>
  <c r="Q116" i="1"/>
  <c r="L116" i="1"/>
  <c r="K116" i="1"/>
  <c r="W115" i="1"/>
  <c r="Q115" i="1"/>
  <c r="L115" i="1"/>
  <c r="K115" i="1"/>
  <c r="H115" i="1"/>
  <c r="L114" i="1"/>
  <c r="K114" i="1"/>
  <c r="H114" i="1"/>
  <c r="L113" i="1"/>
  <c r="K113" i="1"/>
  <c r="H113" i="1"/>
  <c r="L112" i="1"/>
  <c r="K112" i="1"/>
  <c r="L111" i="1"/>
  <c r="K111" i="1"/>
  <c r="L110" i="1"/>
  <c r="K110" i="1"/>
  <c r="L109" i="1"/>
  <c r="K109" i="1"/>
  <c r="Q108" i="1"/>
  <c r="L108" i="1"/>
  <c r="K108" i="1"/>
  <c r="J108" i="1"/>
  <c r="I108" i="1"/>
  <c r="H108" i="1"/>
  <c r="Q107" i="1"/>
  <c r="L107" i="1"/>
  <c r="K107" i="1"/>
  <c r="J107" i="1"/>
  <c r="I107" i="1"/>
  <c r="H107" i="1"/>
  <c r="Q106" i="1"/>
  <c r="L106" i="1"/>
  <c r="K106" i="1"/>
  <c r="I106" i="1"/>
  <c r="H106" i="1"/>
  <c r="K105" i="1"/>
  <c r="J105" i="1"/>
  <c r="H105" i="1"/>
  <c r="L104" i="1"/>
  <c r="K104" i="1"/>
  <c r="J104" i="1"/>
  <c r="H104" i="1"/>
  <c r="L103" i="1"/>
  <c r="K103" i="1"/>
  <c r="J103" i="1"/>
  <c r="H103" i="1"/>
  <c r="Q102" i="1"/>
  <c r="L102" i="1"/>
  <c r="K102" i="1"/>
  <c r="J102" i="1"/>
  <c r="I102" i="1"/>
  <c r="H102" i="1"/>
  <c r="L101" i="1"/>
  <c r="K101" i="1"/>
  <c r="J101" i="1"/>
  <c r="H101" i="1"/>
  <c r="L100" i="1"/>
  <c r="K100" i="1"/>
  <c r="I100" i="1"/>
  <c r="H100" i="1"/>
  <c r="R99" i="1"/>
  <c r="L99" i="1"/>
  <c r="K99" i="1"/>
  <c r="I99" i="1"/>
  <c r="H99" i="1"/>
  <c r="L98" i="1"/>
  <c r="K98" i="1"/>
  <c r="J98" i="1"/>
  <c r="H98" i="1"/>
  <c r="L97" i="1"/>
  <c r="K97" i="1"/>
  <c r="H97" i="1"/>
  <c r="L96" i="1"/>
  <c r="H96" i="1"/>
  <c r="K95" i="1"/>
  <c r="J95" i="1"/>
  <c r="H95" i="1"/>
  <c r="H94" i="1"/>
  <c r="X94" i="1" s="1"/>
  <c r="Y94" i="1" s="1"/>
  <c r="W93" i="1"/>
  <c r="J93" i="1"/>
  <c r="H93" i="1"/>
  <c r="O92" i="1"/>
  <c r="J92" i="1"/>
  <c r="X92" i="1" s="1"/>
  <c r="Y92" i="1" s="1"/>
  <c r="Z92" i="1" s="1"/>
  <c r="AA92" i="1" s="1"/>
  <c r="AB92" i="1" s="1"/>
  <c r="AC92" i="1" s="1"/>
  <c r="M91" i="1"/>
  <c r="K91" i="1"/>
  <c r="G91" i="1"/>
  <c r="X91" i="1" s="1"/>
  <c r="G90" i="1"/>
  <c r="X90" i="1" s="1"/>
  <c r="O89" i="1"/>
  <c r="K89" i="1"/>
  <c r="H89" i="1"/>
  <c r="O88" i="1"/>
  <c r="K88" i="1"/>
  <c r="K87" i="1"/>
  <c r="J87" i="1"/>
  <c r="H87" i="1"/>
  <c r="M86" i="1"/>
  <c r="I86" i="1"/>
  <c r="M85" i="1"/>
  <c r="I85" i="1"/>
  <c r="P84" i="1"/>
  <c r="M84" i="1"/>
  <c r="I84" i="1"/>
  <c r="M83" i="1"/>
  <c r="I83" i="1"/>
  <c r="P82" i="1"/>
  <c r="M82" i="1"/>
  <c r="I82" i="1"/>
  <c r="G82" i="1"/>
  <c r="M81" i="1"/>
  <c r="I81" i="1"/>
  <c r="X81" i="1" s="1"/>
  <c r="M80" i="1"/>
  <c r="I80" i="1"/>
  <c r="G80" i="1"/>
  <c r="L79" i="1"/>
  <c r="K79" i="1"/>
  <c r="H79" i="1"/>
  <c r="W78" i="1"/>
  <c r="I78" i="1"/>
  <c r="X78" i="1" s="1"/>
  <c r="Y78" i="1" s="1"/>
  <c r="Z78" i="1" s="1"/>
  <c r="AA78" i="1" s="1"/>
  <c r="AB78" i="1" s="1"/>
  <c r="AC78" i="1" s="1"/>
  <c r="Q77" i="1"/>
  <c r="K77" i="1"/>
  <c r="H77" i="1"/>
  <c r="Q76" i="1"/>
  <c r="K76" i="1"/>
  <c r="J76" i="1"/>
  <c r="I76" i="1"/>
  <c r="H76" i="1"/>
  <c r="S75" i="1"/>
  <c r="X75" i="1" s="1"/>
  <c r="Y75" i="1" s="1"/>
  <c r="Z75" i="1" s="1"/>
  <c r="AA75" i="1" s="1"/>
  <c r="AB75" i="1" s="1"/>
  <c r="AC75" i="1" s="1"/>
  <c r="Q74" i="1"/>
  <c r="K74" i="1"/>
  <c r="J74" i="1"/>
  <c r="I74" i="1"/>
  <c r="H74" i="1"/>
  <c r="K73" i="1"/>
  <c r="J73" i="1"/>
  <c r="H73" i="1"/>
  <c r="Q72" i="1"/>
  <c r="M72" i="1"/>
  <c r="I72" i="1"/>
  <c r="H72" i="1"/>
  <c r="M71" i="1"/>
  <c r="I71" i="1"/>
  <c r="H71" i="1"/>
  <c r="W70" i="1"/>
  <c r="Q70" i="1"/>
  <c r="M70" i="1"/>
  <c r="L70" i="1"/>
  <c r="I70" i="1"/>
  <c r="H70" i="1"/>
  <c r="G70" i="1"/>
  <c r="Q69" i="1"/>
  <c r="M69" i="1"/>
  <c r="L69" i="1"/>
  <c r="I69" i="1"/>
  <c r="H69" i="1"/>
  <c r="Q68" i="1"/>
  <c r="X68" i="1" s="1"/>
  <c r="Q67" i="1"/>
  <c r="X67" i="1" s="1"/>
  <c r="K67" i="1"/>
  <c r="Q66" i="1"/>
  <c r="X66" i="1" s="1"/>
  <c r="K66" i="1"/>
  <c r="Q65" i="1"/>
  <c r="X65" i="1" s="1"/>
  <c r="Q64" i="1"/>
  <c r="M64" i="1"/>
  <c r="K64" i="1"/>
  <c r="H64" i="1"/>
  <c r="Q63" i="1"/>
  <c r="M63" i="1"/>
  <c r="K63" i="1"/>
  <c r="H63" i="1"/>
  <c r="Q62" i="1"/>
  <c r="M62" i="1"/>
  <c r="L62" i="1"/>
  <c r="K62" i="1"/>
  <c r="H62" i="1"/>
  <c r="Q61" i="1"/>
  <c r="L61" i="1"/>
  <c r="K61" i="1"/>
  <c r="H61" i="1"/>
  <c r="Q60" i="1"/>
  <c r="M60" i="1"/>
  <c r="L60" i="1"/>
  <c r="K60" i="1"/>
  <c r="H60" i="1"/>
  <c r="Q59" i="1"/>
  <c r="M59" i="1"/>
  <c r="L59" i="1"/>
  <c r="K59" i="1"/>
  <c r="H59" i="1"/>
  <c r="Q58" i="1"/>
  <c r="M58" i="1"/>
  <c r="L58" i="1"/>
  <c r="K58" i="1"/>
  <c r="H58" i="1"/>
  <c r="Q57" i="1"/>
  <c r="L57" i="1"/>
  <c r="K57" i="1"/>
  <c r="H57" i="1"/>
  <c r="Q56" i="1"/>
  <c r="N56" i="1"/>
  <c r="H56" i="1"/>
  <c r="N55" i="1"/>
  <c r="H55" i="1"/>
  <c r="Q54" i="1"/>
  <c r="L54" i="1"/>
  <c r="K54" i="1"/>
  <c r="J54" i="1"/>
  <c r="H54" i="1"/>
  <c r="K53" i="1"/>
  <c r="X53" i="1" s="1"/>
  <c r="K52" i="1"/>
  <c r="X52" i="1" s="1"/>
  <c r="O51" i="1"/>
  <c r="K51" i="1"/>
  <c r="H51" i="1"/>
  <c r="Q50" i="1"/>
  <c r="I50" i="1"/>
  <c r="Q49" i="1"/>
  <c r="I49" i="1"/>
  <c r="Q48" i="1"/>
  <c r="I48" i="1"/>
  <c r="Q47" i="1"/>
  <c r="I47" i="1"/>
  <c r="Q46" i="1"/>
  <c r="I46" i="1"/>
  <c r="Q45" i="1"/>
  <c r="I45" i="1"/>
  <c r="Y42" i="1"/>
  <c r="Z42" i="1" s="1"/>
  <c r="AA42" i="1" s="1"/>
  <c r="AB42" i="1" s="1"/>
  <c r="AC42" i="1" s="1"/>
  <c r="I42" i="1"/>
  <c r="H42" i="1"/>
  <c r="X42" i="1" s="1"/>
  <c r="Y33" i="1"/>
  <c r="Z33" i="1" s="1"/>
  <c r="AA33" i="1" s="1"/>
  <c r="AB33" i="1" s="1"/>
  <c r="AC33" i="1" s="1"/>
  <c r="Q33" i="1"/>
  <c r="I33" i="1"/>
  <c r="Q32" i="1"/>
  <c r="M32" i="1"/>
  <c r="K32" i="1"/>
  <c r="I32" i="1"/>
  <c r="Q31" i="1"/>
  <c r="L31" i="1"/>
  <c r="K31" i="1"/>
  <c r="M30" i="1"/>
  <c r="X30" i="1" s="1"/>
  <c r="W29" i="1"/>
  <c r="M29" i="1"/>
  <c r="K29" i="1"/>
  <c r="H29" i="1"/>
  <c r="Q28" i="1"/>
  <c r="M28" i="1"/>
  <c r="X28" i="1" s="1"/>
  <c r="J28" i="1"/>
  <c r="L27" i="1"/>
  <c r="K27" i="1"/>
  <c r="I27" i="1"/>
  <c r="H27" i="1"/>
  <c r="Q26" i="1"/>
  <c r="L26" i="1"/>
  <c r="K26" i="1"/>
  <c r="J26" i="1"/>
  <c r="I26" i="1"/>
  <c r="H26" i="1"/>
  <c r="Q25" i="1"/>
  <c r="L25" i="1"/>
  <c r="J25" i="1"/>
  <c r="I25" i="1"/>
  <c r="H25" i="1"/>
  <c r="L24" i="1"/>
  <c r="K24" i="1"/>
  <c r="J24" i="1"/>
  <c r="Q23" i="1"/>
  <c r="L23" i="1"/>
  <c r="K23" i="1"/>
  <c r="J23" i="1"/>
  <c r="I23" i="1"/>
  <c r="H23" i="1"/>
  <c r="Q22" i="1"/>
  <c r="L22" i="1"/>
  <c r="K22" i="1"/>
  <c r="J22" i="1"/>
  <c r="X22" i="1" s="1"/>
  <c r="Y22" i="1" s="1"/>
  <c r="Z22" i="1" s="1"/>
  <c r="AA22" i="1" s="1"/>
  <c r="AB22" i="1" s="1"/>
  <c r="AC22" i="1" s="1"/>
  <c r="I22" i="1"/>
  <c r="H22" i="1"/>
  <c r="Q21" i="1"/>
  <c r="L21" i="1"/>
  <c r="K21" i="1"/>
  <c r="J21" i="1"/>
  <c r="H21" i="1"/>
  <c r="L20" i="1"/>
  <c r="K20" i="1"/>
  <c r="J20" i="1"/>
  <c r="H20" i="1"/>
  <c r="L19" i="1"/>
  <c r="K19" i="1"/>
  <c r="J19" i="1"/>
  <c r="H19" i="1"/>
  <c r="Q18" i="1"/>
  <c r="L18" i="1"/>
  <c r="K18" i="1"/>
  <c r="J18" i="1"/>
  <c r="I18" i="1"/>
  <c r="H18" i="1"/>
  <c r="G18" i="1"/>
  <c r="Q17" i="1"/>
  <c r="L17" i="1"/>
  <c r="K17" i="1"/>
  <c r="J17" i="1"/>
  <c r="I17" i="1"/>
  <c r="H17" i="1"/>
  <c r="Q16" i="1"/>
  <c r="L16" i="1"/>
  <c r="J16" i="1"/>
  <c r="I16" i="1"/>
  <c r="H16" i="1"/>
  <c r="Q15" i="1"/>
  <c r="L15" i="1"/>
  <c r="K15" i="1"/>
  <c r="J15" i="1"/>
  <c r="I15" i="1"/>
  <c r="H15" i="1"/>
  <c r="Q14" i="1"/>
  <c r="L14" i="1"/>
  <c r="K14" i="1"/>
  <c r="J14" i="1"/>
  <c r="I14" i="1"/>
  <c r="H14" i="1"/>
  <c r="Q13" i="1"/>
  <c r="L13" i="1"/>
  <c r="K13" i="1"/>
  <c r="J13" i="1"/>
  <c r="I13" i="1"/>
  <c r="H13" i="1"/>
  <c r="Q12" i="1"/>
  <c r="L12" i="1"/>
  <c r="K12" i="1"/>
  <c r="J12" i="1"/>
  <c r="I12" i="1"/>
  <c r="G12" i="1"/>
  <c r="Q11" i="1"/>
  <c r="L11" i="1"/>
  <c r="K11" i="1"/>
  <c r="J11" i="1"/>
  <c r="I11" i="1"/>
  <c r="G11" i="1"/>
  <c r="Q10" i="1"/>
  <c r="L10" i="1"/>
  <c r="K10" i="1"/>
  <c r="J10" i="1"/>
  <c r="I10" i="1"/>
  <c r="G10" i="1"/>
  <c r="Q9" i="1"/>
  <c r="L9" i="1"/>
  <c r="K9" i="1"/>
  <c r="J9" i="1"/>
  <c r="I9" i="1"/>
  <c r="G9" i="1"/>
  <c r="X24" i="1" l="1"/>
  <c r="X193" i="1"/>
  <c r="X144" i="1"/>
  <c r="X116" i="1"/>
  <c r="Y116" i="1" s="1"/>
  <c r="Z116" i="1" s="1"/>
  <c r="AA116" i="1" s="1"/>
  <c r="AB116" i="1" s="1"/>
  <c r="AC116" i="1" s="1"/>
  <c r="X113" i="1"/>
  <c r="X135" i="1"/>
  <c r="X201" i="1"/>
  <c r="X88" i="1"/>
  <c r="Y88" i="1" s="1"/>
  <c r="Z88" i="1" s="1"/>
  <c r="AA88" i="1" s="1"/>
  <c r="AB88" i="1" s="1"/>
  <c r="AC88" i="1" s="1"/>
  <c r="X148" i="1"/>
  <c r="X80" i="1"/>
  <c r="X9" i="1"/>
  <c r="X15" i="1"/>
  <c r="X168" i="1"/>
  <c r="X84" i="1"/>
  <c r="X107" i="1"/>
  <c r="X21" i="1"/>
  <c r="X47" i="1"/>
  <c r="X146" i="1"/>
  <c r="X26" i="1"/>
  <c r="X125" i="1"/>
  <c r="X33" i="1"/>
  <c r="X58" i="1"/>
  <c r="X82" i="1"/>
  <c r="X100" i="1"/>
  <c r="X108" i="1"/>
  <c r="X61" i="1"/>
  <c r="X138" i="1"/>
  <c r="X199" i="1"/>
  <c r="X204" i="1"/>
  <c r="X83" i="1"/>
  <c r="X101" i="1"/>
  <c r="X25" i="1"/>
  <c r="X59" i="1"/>
  <c r="X162" i="1"/>
  <c r="X45" i="1"/>
  <c r="X51" i="1"/>
  <c r="Y51" i="1" s="1"/>
  <c r="Z51" i="1" s="1"/>
  <c r="AA51" i="1" s="1"/>
  <c r="AB51" i="1" s="1"/>
  <c r="AC51" i="1" s="1"/>
  <c r="X192" i="1"/>
  <c r="X198" i="1"/>
  <c r="Z94" i="1"/>
  <c r="AA94" i="1" s="1"/>
  <c r="AB94" i="1" s="1"/>
  <c r="AC94" i="1" s="1"/>
  <c r="X20" i="1"/>
  <c r="X85" i="1"/>
  <c r="X96" i="1"/>
  <c r="X111" i="1"/>
  <c r="X17" i="1"/>
  <c r="X60" i="1"/>
  <c r="X177" i="1"/>
  <c r="X171" i="1"/>
  <c r="X32" i="1"/>
  <c r="Y32" i="1" s="1"/>
  <c r="Z32" i="1" s="1"/>
  <c r="AA32" i="1" s="1"/>
  <c r="AB32" i="1" s="1"/>
  <c r="AC32" i="1" s="1"/>
  <c r="X23" i="1"/>
  <c r="Y23" i="1" s="1"/>
  <c r="Z23" i="1" s="1"/>
  <c r="AA23" i="1" s="1"/>
  <c r="AB23" i="1" s="1"/>
  <c r="AC23" i="1" s="1"/>
  <c r="X185" i="1"/>
  <c r="X79" i="1"/>
  <c r="Y79" i="1" s="1"/>
  <c r="Z79" i="1" s="1"/>
  <c r="AA79" i="1" s="1"/>
  <c r="AB79" i="1" s="1"/>
  <c r="AC79" i="1" s="1"/>
  <c r="X126" i="1"/>
  <c r="X129" i="1"/>
  <c r="X133" i="1"/>
  <c r="Y133" i="1" s="1"/>
  <c r="Z133" i="1" s="1"/>
  <c r="AA133" i="1" s="1"/>
  <c r="AB133" i="1" s="1"/>
  <c r="AC133" i="1" s="1"/>
  <c r="X57" i="1"/>
  <c r="X76" i="1"/>
  <c r="Y76" i="1" s="1"/>
  <c r="Z76" i="1" s="1"/>
  <c r="AA76" i="1" s="1"/>
  <c r="AB76" i="1" s="1"/>
  <c r="AC76" i="1" s="1"/>
  <c r="X89" i="1"/>
  <c r="Y89" i="1" s="1"/>
  <c r="Z89" i="1" s="1"/>
  <c r="AA89" i="1" s="1"/>
  <c r="AB89" i="1" s="1"/>
  <c r="AC89" i="1" s="1"/>
  <c r="X12" i="1"/>
  <c r="X196" i="1"/>
  <c r="Y196" i="1" s="1"/>
  <c r="Z196" i="1" s="1"/>
  <c r="AA196" i="1" s="1"/>
  <c r="AB196" i="1" s="1"/>
  <c r="AC196" i="1" s="1"/>
  <c r="X114" i="1"/>
  <c r="Y90" i="1"/>
  <c r="Z90" i="1" s="1"/>
  <c r="AA90" i="1" s="1"/>
  <c r="AB90" i="1" s="1"/>
  <c r="AC90" i="1" s="1"/>
  <c r="X29" i="1"/>
  <c r="Y28" i="1" s="1"/>
  <c r="X124" i="1"/>
  <c r="X139" i="1"/>
  <c r="X153" i="1"/>
  <c r="X97" i="1"/>
  <c r="X182" i="1"/>
  <c r="X195" i="1"/>
  <c r="Y195" i="1" s="1"/>
  <c r="Z195" i="1" s="1"/>
  <c r="AA195" i="1" s="1"/>
  <c r="AB195" i="1" s="1"/>
  <c r="AC195" i="1" s="1"/>
  <c r="X105" i="1"/>
  <c r="X154" i="1"/>
  <c r="X87" i="1"/>
  <c r="Y87" i="1" s="1"/>
  <c r="Z87" i="1" s="1"/>
  <c r="AA87" i="1" s="1"/>
  <c r="AB87" i="1" s="1"/>
  <c r="AC87" i="1" s="1"/>
  <c r="X137" i="1"/>
  <c r="X158" i="1"/>
  <c r="X202" i="1"/>
  <c r="X54" i="1"/>
  <c r="Y54" i="1" s="1"/>
  <c r="Z54" i="1" s="1"/>
  <c r="AA54" i="1" s="1"/>
  <c r="AB54" i="1" s="1"/>
  <c r="AC54" i="1" s="1"/>
  <c r="X128" i="1"/>
  <c r="X161" i="1"/>
  <c r="X166" i="1"/>
  <c r="X180" i="1"/>
  <c r="X48" i="1"/>
  <c r="X93" i="1"/>
  <c r="Y93" i="1" s="1"/>
  <c r="Z93" i="1" s="1"/>
  <c r="AA93" i="1" s="1"/>
  <c r="AB93" i="1" s="1"/>
  <c r="AC93" i="1" s="1"/>
  <c r="X174" i="1"/>
  <c r="X73" i="1"/>
  <c r="X95" i="1"/>
  <c r="Y95" i="1" s="1"/>
  <c r="Z95" i="1" s="1"/>
  <c r="AA95" i="1" s="1"/>
  <c r="AB95" i="1" s="1"/>
  <c r="AC95" i="1" s="1"/>
  <c r="X109" i="1"/>
  <c r="X117" i="1"/>
  <c r="Y117" i="1" s="1"/>
  <c r="Z117" i="1" s="1"/>
  <c r="AA117" i="1" s="1"/>
  <c r="AB117" i="1" s="1"/>
  <c r="AC117" i="1" s="1"/>
  <c r="X141" i="1"/>
  <c r="Y141" i="1" s="1"/>
  <c r="Z141" i="1" s="1"/>
  <c r="AA141" i="1" s="1"/>
  <c r="AB141" i="1" s="1"/>
  <c r="AC141" i="1" s="1"/>
  <c r="X152" i="1"/>
  <c r="X163" i="1"/>
  <c r="X181" i="1"/>
  <c r="X11" i="1"/>
  <c r="X10" i="1"/>
  <c r="X14" i="1"/>
  <c r="X16" i="1"/>
  <c r="X63" i="1"/>
  <c r="X77" i="1"/>
  <c r="Y77" i="1" s="1"/>
  <c r="Z77" i="1" s="1"/>
  <c r="AA77" i="1" s="1"/>
  <c r="AB77" i="1" s="1"/>
  <c r="AC77" i="1" s="1"/>
  <c r="X102" i="1"/>
  <c r="X110" i="1"/>
  <c r="X150" i="1"/>
  <c r="X164" i="1"/>
  <c r="X169" i="1"/>
  <c r="X183" i="1"/>
  <c r="X190" i="1"/>
  <c r="X18" i="1"/>
  <c r="X147" i="1"/>
  <c r="Y147" i="1" s="1"/>
  <c r="Z147" i="1" s="1"/>
  <c r="AA147" i="1" s="1"/>
  <c r="AB147" i="1" s="1"/>
  <c r="AC147" i="1" s="1"/>
  <c r="X186" i="1"/>
  <c r="X145" i="1"/>
  <c r="X69" i="1"/>
  <c r="Y69" i="1" s="1"/>
  <c r="Z69" i="1" s="1"/>
  <c r="AA69" i="1" s="1"/>
  <c r="AB69" i="1" s="1"/>
  <c r="AC69" i="1" s="1"/>
  <c r="X119" i="1"/>
  <c r="Y119" i="1" s="1"/>
  <c r="Z119" i="1" s="1"/>
  <c r="AA119" i="1" s="1"/>
  <c r="AB119" i="1" s="1"/>
  <c r="AC119" i="1" s="1"/>
  <c r="X130" i="1"/>
  <c r="Y130" i="1" s="1"/>
  <c r="Z130" i="1" s="1"/>
  <c r="AA130" i="1" s="1"/>
  <c r="AB130" i="1" s="1"/>
  <c r="AC130" i="1" s="1"/>
  <c r="X200" i="1"/>
  <c r="X165" i="1"/>
  <c r="X176" i="1"/>
  <c r="X131" i="1"/>
  <c r="X151" i="1"/>
  <c r="X160" i="1"/>
  <c r="X187" i="1"/>
  <c r="X191" i="1"/>
  <c r="Y191" i="1" s="1"/>
  <c r="Z191" i="1" s="1"/>
  <c r="AA191" i="1" s="1"/>
  <c r="AB191" i="1" s="1"/>
  <c r="AC191" i="1" s="1"/>
  <c r="X170" i="1"/>
  <c r="X194" i="1"/>
  <c r="X62" i="1"/>
  <c r="X56" i="1"/>
  <c r="X27" i="1"/>
  <c r="Y27" i="1" s="1"/>
  <c r="Z27" i="1" s="1"/>
  <c r="AA27" i="1" s="1"/>
  <c r="AB27" i="1" s="1"/>
  <c r="AC27" i="1" s="1"/>
  <c r="X118" i="1"/>
  <c r="Y118" i="1" s="1"/>
  <c r="Z118" i="1" s="1"/>
  <c r="AA118" i="1" s="1"/>
  <c r="AB118" i="1" s="1"/>
  <c r="AC118" i="1" s="1"/>
  <c r="X188" i="1"/>
  <c r="X46" i="1"/>
  <c r="X70" i="1"/>
  <c r="X103" i="1"/>
  <c r="X134" i="1"/>
  <c r="X203" i="1"/>
  <c r="X189" i="1"/>
  <c r="X72" i="1"/>
  <c r="X120" i="1"/>
  <c r="X178" i="1"/>
  <c r="X64" i="1"/>
  <c r="X98" i="1"/>
  <c r="X104" i="1"/>
  <c r="X112" i="1"/>
  <c r="X142" i="1"/>
  <c r="Y142" i="1" s="1"/>
  <c r="Z142" i="1" s="1"/>
  <c r="AA142" i="1" s="1"/>
  <c r="AB142" i="1" s="1"/>
  <c r="AC142" i="1" s="1"/>
  <c r="X49" i="1"/>
  <c r="X50" i="1"/>
  <c r="X149" i="1"/>
  <c r="X179" i="1"/>
  <c r="X13" i="1"/>
  <c r="X167" i="1"/>
  <c r="Y65" i="1"/>
  <c r="Z65" i="1" s="1"/>
  <c r="AA65" i="1" s="1"/>
  <c r="AB65" i="1" s="1"/>
  <c r="AC65" i="1" s="1"/>
  <c r="X106" i="1"/>
  <c r="X123" i="1"/>
  <c r="X136" i="1"/>
  <c r="X143" i="1"/>
  <c r="X155" i="1"/>
  <c r="Y155" i="1" s="1"/>
  <c r="Z155" i="1" s="1"/>
  <c r="AA155" i="1" s="1"/>
  <c r="AB155" i="1" s="1"/>
  <c r="AC155" i="1" s="1"/>
  <c r="X184" i="1"/>
  <c r="X31" i="1"/>
  <c r="Y31" i="1" s="1"/>
  <c r="Z31" i="1" s="1"/>
  <c r="AA31" i="1" s="1"/>
  <c r="AB31" i="1" s="1"/>
  <c r="AC31" i="1" s="1"/>
  <c r="X74" i="1"/>
  <c r="X99" i="1"/>
  <c r="X157" i="1"/>
  <c r="Y24" i="1"/>
  <c r="Z24" i="1" s="1"/>
  <c r="AA24" i="1" s="1"/>
  <c r="AB24" i="1" s="1"/>
  <c r="AC24" i="1" s="1"/>
  <c r="X197" i="1"/>
  <c r="Y197" i="1" s="1"/>
  <c r="Z197" i="1" s="1"/>
  <c r="AA197" i="1" s="1"/>
  <c r="AB197" i="1" s="1"/>
  <c r="AC197" i="1" s="1"/>
  <c r="X140" i="1"/>
  <c r="X71" i="1"/>
  <c r="X19" i="1"/>
  <c r="X172" i="1"/>
  <c r="X115" i="1"/>
  <c r="Y115" i="1" s="1"/>
  <c r="Z115" i="1" s="1"/>
  <c r="AA115" i="1" s="1"/>
  <c r="AB115" i="1" s="1"/>
  <c r="AC115" i="1" s="1"/>
  <c r="X132" i="1"/>
  <c r="X55" i="1"/>
  <c r="X173" i="1"/>
  <c r="X86" i="1"/>
  <c r="X127" i="1"/>
  <c r="X159" i="1"/>
  <c r="Y159" i="1" s="1"/>
  <c r="Z159" i="1" s="1"/>
  <c r="AA159" i="1" s="1"/>
  <c r="AB159" i="1" s="1"/>
  <c r="AC159" i="1" s="1"/>
  <c r="Y175" i="1" l="1"/>
  <c r="Z175" i="1" s="1"/>
  <c r="AA175" i="1" s="1"/>
  <c r="AB175" i="1" s="1"/>
  <c r="AC175" i="1" s="1"/>
  <c r="Y9" i="1"/>
  <c r="Y19" i="1"/>
  <c r="Z19" i="1" s="1"/>
  <c r="AA19" i="1" s="1"/>
  <c r="AB19" i="1" s="1"/>
  <c r="AC19" i="1" s="1"/>
  <c r="Y148" i="1"/>
  <c r="Z148" i="1" s="1"/>
  <c r="AA148" i="1" s="1"/>
  <c r="AB148" i="1" s="1"/>
  <c r="AC148" i="1" s="1"/>
  <c r="Y113" i="1"/>
  <c r="Z113" i="1" s="1"/>
  <c r="AA113" i="1" s="1"/>
  <c r="AB113" i="1" s="1"/>
  <c r="AC113" i="1" s="1"/>
  <c r="Y131" i="1"/>
  <c r="Z131" i="1" s="1"/>
  <c r="AA131" i="1" s="1"/>
  <c r="AB131" i="1" s="1"/>
  <c r="AC131" i="1" s="1"/>
  <c r="Y143" i="1"/>
  <c r="Z143" i="1" s="1"/>
  <c r="AA143" i="1" s="1"/>
  <c r="AB143" i="1" s="1"/>
  <c r="AC143" i="1" s="1"/>
  <c r="Y45" i="1"/>
  <c r="Z45" i="1" s="1"/>
  <c r="AA45" i="1" s="1"/>
  <c r="AB45" i="1" s="1"/>
  <c r="AC45" i="1" s="1"/>
  <c r="Y185" i="1"/>
  <c r="Z185" i="1" s="1"/>
  <c r="AA185" i="1" s="1"/>
  <c r="AB185" i="1" s="1"/>
  <c r="AC185" i="1" s="1"/>
  <c r="Y57" i="1"/>
  <c r="Z57" i="1" s="1"/>
  <c r="AA57" i="1" s="1"/>
  <c r="AB57" i="1" s="1"/>
  <c r="AC57" i="1" s="1"/>
  <c r="Y96" i="1"/>
  <c r="Z96" i="1" s="1"/>
  <c r="AA96" i="1" s="1"/>
  <c r="AB96" i="1" s="1"/>
  <c r="AC96" i="1" s="1"/>
  <c r="Y199" i="1"/>
  <c r="Z199" i="1" s="1"/>
  <c r="AA199" i="1" s="1"/>
  <c r="AB199" i="1" s="1"/>
  <c r="AC199" i="1" s="1"/>
  <c r="Y151" i="1"/>
  <c r="Z151" i="1" s="1"/>
  <c r="AA151" i="1" s="1"/>
  <c r="AB151" i="1" s="1"/>
  <c r="AC151" i="1" s="1"/>
  <c r="Y109" i="1"/>
  <c r="Z109" i="1" s="1"/>
  <c r="AA109" i="1" s="1"/>
  <c r="AB109" i="1" s="1"/>
  <c r="AC109" i="1" s="1"/>
  <c r="Y55" i="1"/>
  <c r="Z55" i="1" s="1"/>
  <c r="AA55" i="1" s="1"/>
  <c r="AB55" i="1" s="1"/>
  <c r="AC55" i="1" s="1"/>
  <c r="Y128" i="1"/>
  <c r="Z128" i="1" s="1"/>
  <c r="AA128" i="1" s="1"/>
  <c r="AB128" i="1" s="1"/>
  <c r="AC128" i="1" s="1"/>
  <c r="Y124" i="1"/>
  <c r="Z124" i="1" s="1"/>
  <c r="AA124" i="1" s="1"/>
  <c r="AB124" i="1" s="1"/>
  <c r="AC124" i="1" s="1"/>
  <c r="Y157" i="1"/>
  <c r="Z157" i="1" s="1"/>
  <c r="AA157" i="1" s="1"/>
  <c r="AB157" i="1" s="1"/>
  <c r="AC157" i="1" s="1"/>
  <c r="Y70" i="1"/>
  <c r="Z70" i="1" s="1"/>
  <c r="AA70" i="1" s="1"/>
  <c r="AB70" i="1" s="1"/>
  <c r="AC70" i="1" s="1"/>
  <c r="Y80" i="1"/>
  <c r="Z80" i="1" s="1"/>
  <c r="AA80" i="1" s="1"/>
  <c r="AB80" i="1" s="1"/>
  <c r="AC80" i="1" s="1"/>
  <c r="Y106" i="1"/>
  <c r="Z106" i="1" s="1"/>
  <c r="AA106" i="1" s="1"/>
  <c r="AB106" i="1" s="1"/>
  <c r="AC106" i="1" s="1"/>
  <c r="Y192" i="1"/>
  <c r="Z192" i="1" s="1"/>
  <c r="AA192" i="1" s="1"/>
  <c r="AB192" i="1" s="1"/>
  <c r="AC192" i="1" s="1"/>
  <c r="Y187" i="1"/>
  <c r="Z187" i="1" s="1"/>
  <c r="AA187" i="1" s="1"/>
  <c r="AB187" i="1" s="1"/>
  <c r="AC187" i="1" s="1"/>
  <c r="Y160" i="1"/>
  <c r="Z160" i="1" s="1"/>
  <c r="AA160" i="1" s="1"/>
  <c r="AB160" i="1" s="1"/>
  <c r="AC160" i="1" s="1"/>
  <c r="Y168" i="1"/>
  <c r="Z168" i="1" s="1"/>
  <c r="Y134" i="1"/>
  <c r="Z134" i="1" s="1"/>
  <c r="AA134" i="1" s="1"/>
  <c r="AB134" i="1" s="1"/>
  <c r="AC134" i="1" s="1"/>
  <c r="Y13" i="1"/>
  <c r="Z13" i="1" s="1"/>
  <c r="AA13" i="1" s="1"/>
  <c r="AB13" i="1" s="1"/>
  <c r="AC13" i="1" s="1"/>
  <c r="Y138" i="1"/>
  <c r="Z138" i="1" s="1"/>
  <c r="AA138" i="1" s="1"/>
  <c r="AB138" i="1" s="1"/>
  <c r="AC138" i="1" s="1"/>
  <c r="Y73" i="1"/>
  <c r="Z73" i="1" s="1"/>
  <c r="AA73" i="1" s="1"/>
  <c r="AB73" i="1" s="1"/>
  <c r="AC73" i="1" s="1"/>
  <c r="Y181" i="1"/>
  <c r="Z181" i="1" s="1"/>
  <c r="AA181" i="1" s="1"/>
  <c r="AB181" i="1" s="1"/>
  <c r="AC181" i="1" s="1"/>
  <c r="Y120" i="1"/>
  <c r="Z120" i="1" s="1"/>
  <c r="AA120" i="1" s="1"/>
  <c r="AB120" i="1" s="1"/>
  <c r="AC120" i="1" s="1"/>
  <c r="Y25" i="1"/>
  <c r="Z25" i="1" s="1"/>
  <c r="AA25" i="1" s="1"/>
  <c r="AB25" i="1" s="1"/>
  <c r="AC25" i="1" s="1"/>
  <c r="Y98" i="1"/>
  <c r="Z98" i="1" s="1"/>
  <c r="AA98" i="1" s="1"/>
  <c r="AB98" i="1" s="1"/>
  <c r="AC98" i="1" s="1"/>
  <c r="Z28" i="1"/>
  <c r="AA28" i="1" s="1"/>
  <c r="AB28" i="1" s="1"/>
  <c r="AC28" i="1" s="1"/>
  <c r="Z9" i="1" l="1"/>
  <c r="AA9" i="1" s="1"/>
  <c r="AB9" i="1" s="1"/>
  <c r="AC9" i="1" s="1"/>
  <c r="Y206" i="1"/>
  <c r="AA168" i="1"/>
  <c r="AB168" i="1" s="1"/>
  <c r="AC168" i="1" s="1"/>
  <c r="AC206"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yeimy zuñiga</author>
  </authors>
  <commentList>
    <comment ref="G80" authorId="0" shapeId="0" xr:uid="{FA8D9247-76EB-460A-8A55-F78E201F9FE8}">
      <text>
        <r>
          <rPr>
            <b/>
            <sz val="9"/>
            <color indexed="81"/>
            <rFont val="Tahoma"/>
            <family val="2"/>
          </rPr>
          <t>yeimy zuñiga:</t>
        </r>
        <r>
          <rPr>
            <sz val="9"/>
            <color indexed="81"/>
            <rFont val="Tahoma"/>
            <family val="2"/>
          </rPr>
          <t xml:space="preserve">
Caja x 25 abbot r/13FK10</t>
        </r>
      </text>
    </comment>
    <comment ref="G82" authorId="0" shapeId="0" xr:uid="{1536E3E0-F58C-407E-B820-EB2ADDA5D6BD}">
      <text>
        <r>
          <rPr>
            <b/>
            <sz val="9"/>
            <color indexed="81"/>
            <rFont val="Tahoma"/>
            <family val="2"/>
          </rPr>
          <t>yeimy zuñiga:</t>
        </r>
        <r>
          <rPr>
            <sz val="9"/>
            <color indexed="81"/>
            <rFont val="Tahoma"/>
            <family val="2"/>
          </rPr>
          <t xml:space="preserve">
caja x 25 abbott 11fk46</t>
        </r>
      </text>
    </comment>
    <comment ref="M82" authorId="0" shapeId="0" xr:uid="{F82EAEE7-30B2-4835-BD77-C861E84D3680}">
      <text>
        <r>
          <rPr>
            <b/>
            <sz val="9"/>
            <color indexed="81"/>
            <rFont val="Tahoma"/>
            <family val="2"/>
          </rPr>
          <t>yeimy zuñiga:</t>
        </r>
        <r>
          <rPr>
            <sz val="9"/>
            <color indexed="81"/>
            <rFont val="Tahoma"/>
            <family val="2"/>
          </rPr>
          <t xml:space="preserve">
caja x 25</t>
        </r>
      </text>
    </comment>
    <comment ref="P82" authorId="0" shapeId="0" xr:uid="{99F6FBFB-DE41-414C-8157-DC3D8090C67B}">
      <text>
        <r>
          <rPr>
            <b/>
            <sz val="9"/>
            <color indexed="81"/>
            <rFont val="Tahoma"/>
            <family val="2"/>
          </rPr>
          <t>yeimy zuñiga:</t>
        </r>
        <r>
          <rPr>
            <sz val="9"/>
            <color indexed="81"/>
            <rFont val="Tahoma"/>
            <family val="2"/>
          </rPr>
          <t xml:space="preserve">
caja x 10</t>
        </r>
      </text>
    </comment>
    <comment ref="G83" authorId="0" shapeId="0" xr:uid="{294CEECB-30A4-4A28-97E8-940601FD265B}">
      <text>
        <r>
          <rPr>
            <b/>
            <sz val="9"/>
            <color indexed="81"/>
            <rFont val="Tahoma"/>
            <family val="2"/>
          </rPr>
          <t>yeimy zuñiga:</t>
        </r>
        <r>
          <rPr>
            <sz val="9"/>
            <color indexed="81"/>
            <rFont val="Tahoma"/>
            <family val="2"/>
          </rPr>
          <t xml:space="preserve">
caja x 25 abbott 06fk108</t>
        </r>
      </text>
    </comment>
    <comment ref="M85" authorId="0" shapeId="0" xr:uid="{6815A50A-919C-4BF4-A10A-91EC459F7F21}">
      <text>
        <r>
          <rPr>
            <b/>
            <sz val="9"/>
            <color indexed="81"/>
            <rFont val="Tahoma"/>
            <family val="2"/>
          </rPr>
          <t>yeimy zuñiga:</t>
        </r>
        <r>
          <rPr>
            <sz val="9"/>
            <color indexed="81"/>
            <rFont val="Tahoma"/>
            <family val="2"/>
          </rPr>
          <t xml:space="preserve">
 caja x 20 tarjetas</t>
        </r>
      </text>
    </comment>
    <comment ref="W117" authorId="0" shapeId="0" xr:uid="{41066A95-56FD-47B8-9208-042E7869ACC8}">
      <text>
        <r>
          <rPr>
            <b/>
            <sz val="9"/>
            <color indexed="81"/>
            <rFont val="Tahoma"/>
            <family val="2"/>
          </rPr>
          <t>yeimy zuñiga:</t>
        </r>
        <r>
          <rPr>
            <sz val="9"/>
            <color indexed="81"/>
            <rFont val="Tahoma"/>
            <family val="2"/>
          </rPr>
          <t xml:space="preserve">
2024 $ 234500</t>
        </r>
      </text>
    </comment>
    <comment ref="W119" authorId="0" shapeId="0" xr:uid="{07A1010F-3484-4A18-8BC0-B492DA24838E}">
      <text>
        <r>
          <rPr>
            <b/>
            <sz val="9"/>
            <color indexed="81"/>
            <rFont val="Tahoma"/>
            <family val="2"/>
          </rPr>
          <t>yeimy zuñiga:</t>
        </r>
        <r>
          <rPr>
            <sz val="9"/>
            <color indexed="81"/>
            <rFont val="Tahoma"/>
            <family val="2"/>
          </rPr>
          <t xml:space="preserve">
2024 $600.000
</t>
        </r>
      </text>
    </comment>
    <comment ref="W123" authorId="0" shapeId="0" xr:uid="{4F2C0760-E40A-4A74-8B82-E874CD55814D}">
      <text>
        <r>
          <rPr>
            <b/>
            <sz val="9"/>
            <color indexed="81"/>
            <rFont val="Tahoma"/>
            <family val="2"/>
          </rPr>
          <t>yeimy zuñiga:</t>
        </r>
        <r>
          <rPr>
            <sz val="9"/>
            <color indexed="81"/>
            <rFont val="Tahoma"/>
            <family val="2"/>
          </rPr>
          <t xml:space="preserve">
2024 $ 1.489.904</t>
        </r>
      </text>
    </comment>
    <comment ref="I124" authorId="0" shapeId="0" xr:uid="{286FF4BA-4752-42C2-8999-52ECEAFF1E57}">
      <text>
        <r>
          <rPr>
            <b/>
            <sz val="9"/>
            <color indexed="81"/>
            <rFont val="Tahoma"/>
            <family val="2"/>
          </rPr>
          <t>yeimy zuñiga:</t>
        </r>
        <r>
          <rPr>
            <sz val="9"/>
            <color indexed="81"/>
            <rFont val="Tahoma"/>
            <family val="2"/>
          </rPr>
          <t xml:space="preserve">
1L</t>
        </r>
      </text>
    </comment>
    <comment ref="G186" authorId="0" shapeId="0" xr:uid="{4FD2F0F8-1D45-4DAC-8A1F-4FFA1B6DAF2F}">
      <text>
        <r>
          <rPr>
            <b/>
            <sz val="9"/>
            <color indexed="81"/>
            <rFont val="Tahoma"/>
            <family val="2"/>
          </rPr>
          <t>yeimy zuñiga:</t>
        </r>
        <r>
          <rPr>
            <sz val="9"/>
            <color indexed="81"/>
            <rFont val="Tahoma"/>
            <family val="2"/>
          </rPr>
          <t xml:space="preserve">
x 20 und BD</t>
        </r>
      </text>
    </comment>
  </commentList>
</comments>
</file>

<file path=xl/sharedStrings.xml><?xml version="1.0" encoding="utf-8"?>
<sst xmlns="http://schemas.openxmlformats.org/spreadsheetml/2006/main" count="1190" uniqueCount="579">
  <si>
    <t>INSTITUTO DEPARTAMENTAL DE SALUD DE NARIÑO</t>
  </si>
  <si>
    <t>F</t>
  </si>
  <si>
    <t xml:space="preserve">SUBDIRECCION DE SALUD PÚBLICA - LABORATORIO DE SALUD PÚBLICA </t>
  </si>
  <si>
    <t>REACTIVOS Y MATERIALES  AÑO 2025</t>
  </si>
  <si>
    <t>ESTUDIO DE MERCADO</t>
  </si>
  <si>
    <t>COTIZACIONES</t>
  </si>
  <si>
    <t>Ítem</t>
  </si>
  <si>
    <t>Descripción y/o especificaciones técnicas</t>
  </si>
  <si>
    <t xml:space="preserve">
Unidad de medida
y/o presentación</t>
  </si>
  <si>
    <t>Cantidad</t>
  </si>
  <si>
    <t>Cantidad y Área</t>
  </si>
  <si>
    <t>Biosystems</t>
  </si>
  <si>
    <t>Elementos Quimicos</t>
  </si>
  <si>
    <t>Annar</t>
  </si>
  <si>
    <t>Scientific 
Products</t>
  </si>
  <si>
    <t>Adequim</t>
  </si>
  <si>
    <t>Quimitronica</t>
  </si>
  <si>
    <t>IHR</t>
  </si>
  <si>
    <t>Microgen</t>
  </si>
  <si>
    <t>NVP</t>
  </si>
  <si>
    <t>Quimiolab</t>
  </si>
  <si>
    <t>Quimirel</t>
  </si>
  <si>
    <t>Instrumentalia</t>
  </si>
  <si>
    <t>Genproducts</t>
  </si>
  <si>
    <t>Avantika</t>
  </si>
  <si>
    <t>AM</t>
  </si>
  <si>
    <t>Historico
ipc 5,28%</t>
  </si>
  <si>
    <t>Promedio</t>
  </si>
  <si>
    <t xml:space="preserve">Valor 
</t>
  </si>
  <si>
    <t>Valor total sin 
 decimal</t>
  </si>
  <si>
    <t>Valor unitario
con decimal</t>
  </si>
  <si>
    <t xml:space="preserve">Valor 
Unitario
sin  decimal </t>
  </si>
  <si>
    <t>Valor 
Total</t>
  </si>
  <si>
    <t>Agar VRBL (Bilis Rojo Violeta con Lactosa), medio deshidratado,  con:
 -Medio de cultivo con cumplimiento a la norma   ISO 11133:2014
-Certificado de analisis 
-Ficha de datos de seguridad.
-Tiempo minimo de vencimiento 1 año al momento de la entrega.</t>
  </si>
  <si>
    <t>Frasco x 500g</t>
  </si>
  <si>
    <t>1 MBA</t>
  </si>
  <si>
    <t xml:space="preserve">
Agar de Recuento en Placa (Plate Count Agar), medio deshidratado, con:
-Certificado de analisis.
-Ficha de datos de seguridad.
-Tiempo minimo de vencimiento 1 año al momento de la entrega.</t>
  </si>
  <si>
    <t>2 MBA</t>
  </si>
  <si>
    <t xml:space="preserve">
Agar  Base MYP  (Manitol-Yema de huevo-Polimixina)/Agar Bacillus cereus, medio deshidratado, con:
-Medio de cultivo con cumplimiento a la norma   ISO 11133:2014
-Certificado de analisis.
-Ficha de datos de seguridad.
-Tiempo minimo de vencimiento 1 año al momento de la entrega.</t>
  </si>
  <si>
    <t>Agar Base Baird Parker , medio deshidratado, con:
-Medio de cultivo con cumplimiento a la norma   ISO 11133:2014
-Certificado de analisis.
-Ficha de datos de seguridad.
-Tiempo minimo de vencimiento 1 años al momento de la entrega.</t>
  </si>
  <si>
    <t xml:space="preserve">
 Agar  VRBG o VRBD (Gllucosa o dextrosa Bilis Rojo Violeta), medio deshidratado, con:
  -Medio de cultivo con cumplimiento a la norma   ISO 11133:2014
-Certificado de analisis.
-Ficha de datos de seguridad.
-Tiempo minimo de vencimiento 1 año al momento de la entrega.</t>
  </si>
  <si>
    <t>Frasco x 500 g</t>
  </si>
  <si>
    <t>Caldo Rappaport Vassiliadis, medio deshidratado, con:
-Certificado de analisis.
-Ficha de datos de seguridad.
-Tiempo minimo de vencimiento 1 año al momento de la entrega.</t>
  </si>
  <si>
    <t>Suplemento Oxitetraciclina /OGYE Suplemento , con:
-Certificado de analisis.
-Ficha de datos de seguridad.
-Tiempo minimo de vencimiento 1 año al momento de la entrega.</t>
  </si>
  <si>
    <t>Caja x 10 viales</t>
  </si>
  <si>
    <t>14 MBA</t>
  </si>
  <si>
    <t xml:space="preserve">
Suplemento selectivo Fraser (citrato ferrico amonico, acido nalidixico, clorhidrato de acriflavina),con:
-Certificado de analisis.
-Ficha de datos de seguridad.
-Tiempo minimo de vencimiento 1 año al momento de la entrega.</t>
  </si>
  <si>
    <t>Agua Peptona Alcalina, medio deshidratado,con:
-Certificado de analisis.
-Ficha de datos de seguridad.
-Tiempo minimo de vencimiento 1 año al momento de la entrga.</t>
  </si>
  <si>
    <t>4 MBA</t>
  </si>
  <si>
    <t xml:space="preserve">
Agua peptonada Tamponada, medio deshidratado,con:
  -Medio de cultivo con cumplimiento a la norma   ISO 11133:2014
-Certificado de analisis.
-Ficha de datos de  seguridad.
-Tiempo minimo de vencimiento 1 año al momento de la entrega.</t>
  </si>
  <si>
    <t>5 MBA</t>
  </si>
  <si>
    <t>Telurito de potasio, grado reactivo ≥ 90% con:
-Certificado de analisis.
-Ficha de datos de seguridad.
-Tiempo minimo de vencimiento 1 año al momento de la entrega."</t>
  </si>
  <si>
    <t>Frasco x 25g</t>
  </si>
  <si>
    <t>Tiosulfato de sodio anhidro (Reag.Ph.Eur) para analisis, con:
-Certificado de analisis.
-Ficha de datos de seguridad.
-Tiempo minimo de vencimiento 1 año al momento de la entrega.</t>
  </si>
  <si>
    <t>Frasco x 250g</t>
  </si>
  <si>
    <t xml:space="preserve">Cloruro de Sodio (Reag.Ph.Eur) para analisis con:
-Ficha de datos de  seguridad.
-Tiempo minimo de vencimiento 2 años al momento de la entrega. </t>
  </si>
  <si>
    <t>Frasco x 100g</t>
  </si>
  <si>
    <t>Emulsion Yema de Huevo Estéril, con:
-Certificado de analisis.
-Ficha de datos de seguridad .
-Tiempo minimo de vencimiento de 8 meses al momento de la entrega.</t>
  </si>
  <si>
    <t>Frasco x 100 ml</t>
  </si>
  <si>
    <t>40 MBA</t>
  </si>
  <si>
    <t xml:space="preserve">
 Agar TBX (Triptona-Bilis-X-glucurónido), medio deshidratado,con:
  -Medio de cultivo con cumplimiento a la norma   ISO 11133:2014
-Certificado de analisis.
-Ficha de datos de  seguridad.
-Tiempo minimo de vencimiento 1 año al momento de la entrega.</t>
  </si>
  <si>
    <t>Caldo base Half Fraser (Caldo Listeria 1/2 Fraser), medio deshidratado, Formula en g/L:  Acido nalidixico 0,01,  Clorhidrato de acriflavina 0,0125, Digerido enzimatico de caseina 5, Extrato de carne 5, Dihidrogenofafo de potasio 1,35, Extracto de levadura 5, Cloruro de litio 3, Esciluna 1, cloruro sodico 20, digerido enzimatico 5, hidrogeno fosfato disodico dihidratado 12, con:
-Certificado de analisis.
-Ficha de datos de seguridad.
-Tiempo minimo de vencimiento 1 año al momento de la entrega.</t>
  </si>
  <si>
    <t>16 MBA</t>
  </si>
  <si>
    <t>Agar Extracto de levadura Tripticasa de soja TSAYE, medio deshidratado, con:  
-Medio de cultivo con cumplimiento a la norma   ISO 11133:2014
Certificado de analisis.
-Ficha de datos de seguridad.
-Tiempo minimo de vencimiento 1 año al momento de la entrega.</t>
  </si>
  <si>
    <t>Agar Base Sangre, medio deshidratado, con:
-Certificado de analisis.
-Ficha de datos de seguridad.
 -Tiempo minimo de vencimiento 1 años al momento de la entrega.</t>
  </si>
  <si>
    <t>Solución Estéril de Urea, complatible con medio deshidratado de Agar Base Urea
-Tiempo minimo de vencimiento 18 meses al momento de la entrega.
-Certificado de análisis.
-Ficaha de datos de eguridad.</t>
  </si>
  <si>
    <t>6 MBA</t>
  </si>
  <si>
    <t>Coagulasa plasma de conejo con EDTA. Caja por 6 viales o 10 viales para reconstituir con 5ml de diluyente, volumen total minimo  de reactivo  30ml por caja, con: 
-Certificado de analisis.
-Ficha de datos de seguridad.
-Tiempo minimo de vencimiento 1 año al momento de la entrega.</t>
  </si>
  <si>
    <t>Caja x 30 ml</t>
  </si>
  <si>
    <t>Kits de tinción de Gram. Incluye:  violeta cristal de Gram ≥ 250ml,  yodo ≥ 250ml ,  decolorante Gram  ≥ 250ml y  safranina de Gram ≥ 250ml. con:
-Certificado de analisis.
-Ficha de datos de seguridad.
-Tiempo minimo de vencimiento 1 año al momento de la entrega.</t>
  </si>
  <si>
    <t>Kit</t>
  </si>
  <si>
    <t>1 MBC
1 MBA</t>
  </si>
  <si>
    <t>Reactivo de VDRL test para la deteccion de sifilis, que incluya controles positivo y negativo. 
-Con fecha de vencimiento mayor a 1 año</t>
  </si>
  <si>
    <t>Caja</t>
  </si>
  <si>
    <t>6 Virologia</t>
  </si>
  <si>
    <t>Sobres generadores de anaerobiosis para jarra de 2.5 litros, similar a Anaerogen,  con:
 -Certificado de analisis.
 -Ficha de datos de  seguridad.
 - Tiempo minimo de vencimiento: 1 año al momento de entrega.</t>
  </si>
  <si>
    <t>Paquete x
  10 Unidades</t>
  </si>
  <si>
    <t>Sistema de perlas para almacenar y reactivar cultivos de bacteria, viales para crioconservacion de cepas  similar a CRYOBANK COPAN 8CRYOM  con:
 -Certificado de analisis.
 -Ficha de datos de  seguridad.
- Tiempo minimo de vencimiento: 1 año al momento de entrega."</t>
  </si>
  <si>
    <t>Paquete x
  80 viales</t>
  </si>
  <si>
    <t>Cepa Escherichia coli ATCC 25922, Material de Referencia certificado CRM, cualitativa, presentacion: sedimento de microorganismos liofilizado similar a 0335-CRM con:
-Proveedor acreditado bajo ISO 17034 en el producto solicitado
-Certificado de analisis
-Ficha de datos de seguridad.
-Tiempo minimo de vencimiento 1 años al momento de la entrega.
1 unidad</t>
  </si>
  <si>
    <t>Unidad</t>
  </si>
  <si>
    <t>Cepa Pseudomona Aeruginosa ATCC 9027, Material de Referencia certificado CRM, cualitativa, presentacion: sedimento de microorganismos liofilizado similar a 0484-CRM con:
-Proveedor acreditado bajo ISO 17034 en el producto solicitado
-Certificado de analisis
-Ficha de datos de seguridad.
-Tiempo minimo de vencimiento 1 años al momento de la entrega.
1 unidad</t>
  </si>
  <si>
    <t>Cepa  Salmonella enteritidis ATCC 13076 Material de Referencia certificado CRM, cualitativa, presentacion: sedimento de microorganismos liofilizado similar a 0345-CRM con:
-Proveedor acreditado bajo ISO 17034 en el producto solicitado
-Certificado de analisis
-Ficha de datos de seguridad.
-Tiempo minimo de vencimiento 1 años al momento de la entrega.
1 unidad</t>
  </si>
  <si>
    <t>Cepa Salmonella Typhimurium ATCC 14028, Material de Referencia certificado CRM, cualitativa, presentacion: sedimento de microorganismos liofilizado similar a 0363-CRM con:
-Proveedor acreditado bajo ISO 17034 en el producto solicitado
-Certificado de analisis
-Ficha de datos de seguridad.
-Tiempo minimo de vencimiento 1 años al momento de la entrega.
1 unidad</t>
  </si>
  <si>
    <t>Cepa  Shigella flexneri  ATCC 12022, Material de Referencia certificado CRM, cualitativa, presentacion: sedimento de microorganismos liofilizado similar a 0356-CRM con:
-Proveedor acreditado bajo ISO 17034 en el producto solicitado
-Certificado de analisis
-Ficha de datos de seguridad.
-Tiempo minimo de vencimiento 1 años al momento de la entrega.
1 unidad</t>
  </si>
  <si>
    <t>Cepa  Staphylococcus aureus  ATCC 25923, Material de Referencia certificado CRM, cualitativa, presentacion: sedimento de microorganismos liofilizado similar a 0360-CRM con:
-Proveedor acreditado bajo ISO 17034 en el producto solicitado
-Certificado de analisis
-Ficha de datos de seguridad.
-Tiempo minimo de vencimiento 1 años al momento de la entrega.
1 unidad</t>
  </si>
  <si>
    <t>Cepa Clostridium perfringens ATCC 13124, Material de Referencia certificado CRM, cualitativa, presentacion: sedimento de microorganismos liofilizado similar a 0318-CRM con:
-Proveedor acreditado bajo ISO 17034 en el producto solicitado
-Certificado de analisis
-Ficha de datos de seguridad.
-Tiempo minimo de vencimiento 1 años al momento de la entrega.
1 unidad</t>
  </si>
  <si>
    <t>Cepa Bacillus cereus ATCC 11778, Material de Referencia certificado CRM, cualitativa, presentacion: sedimento de microorganismos liofilizado similar a 0256-CRM con:
-Proveedor acreditado bajo ISO 17034 en el producto solicitado
-Certificado de analisis
-Ficha de datos de seguridad.
-Tiempo minimo de vencimiento 1 años al momento de la entrega.
1 unidad</t>
  </si>
  <si>
    <t>Cepa Enterococcus casseliflavus ATCC 700327, cualitativa, presentacion: sedimento de microorganismos liofilizado, con:
-Proveedor acreditado bajo ISO 17034 en el producto solicitado
-Certificado de analisis
-Ficha de datos de seguridad.
-Tiempo minimo de vencimiento 1 años al momento de la entrega.
1 unidad</t>
  </si>
  <si>
    <t>Cepa Listeria monocytogenes ATCC 15313, Material de Referencia , cualitativa, presentacion: sedimento de microorganismos liofilizado similar a 0727 con:
-Proveedor acreditado bajo ISO 17034 en el producto solicitado
-Certificado de analisis
-Ficha de datos de seguridad.
-Tiempo minimo de vencimiento 1 años al momento de la entrega.
1 unidad</t>
  </si>
  <si>
    <t>Cepa  Listeria ivanovii subsp. ivanovii  ATCC 19119, Material de Referencia, cualitativa, presentacion: sedimento de microorganismos liofilizado similar a 0815 con:
-Proveedor acreditado bajo ISO 17034 en el producto solicitado
-Certificado de analisis
-Ficha de datos de seguridad.
-Tiempo minimo de vencimiento 1 años al momento de la entrega.
1 unidad</t>
  </si>
  <si>
    <t>Cepa Klebsiella variicala ATCC 31488, Material de Referencia certificado CRM, cualitativa, presentacion: sedimento de microorganismos liofilizado similar a 0261-CRM con:
-Proveedor acreditado bajo ISO 17034 en el producto solicitado
-Certificado de analisis
-Ficha de datos de seguridad.
-Tiempo minimo de vencimiento 1 años al momento de la entrega.
1 unidad</t>
  </si>
  <si>
    <t>Cepa Eikenella corrodens ATCC BAA 1152 en pase 3, con:
 -Certificado de analisis. -Ficha de datos de seguridad. -Tiempo minimo de vencimiento18 meses  al momento de la entrega .</t>
  </si>
  <si>
    <t>Kwik-Stik * 2</t>
  </si>
  <si>
    <t>1 MBC</t>
  </si>
  <si>
    <t>Cepa Klebsiella pneumoniae  ATCC 7006003 en pase 3, con:
 -Certificado de analisis. -Ficha de datos de seguridad. -Tiempo minimo de vencimiento18 meses  al momento de la entrega .</t>
  </si>
  <si>
    <t>Cepa Streptococcus pneumoniae  ATCC 49619 en pase 3, con:
 -Certificado de analisis. -Ficha de datos de seguridad. -Tiempo minimo de vencimiento18 meses  al momento de la entrega .</t>
  </si>
  <si>
    <t>Cepa Neisseria gonorrhoeae  ATCC 49226 en pase 3, con:
 -Certificado de analisis. -Ficha de datos de seguridad. -Tiempo minimo de vencimiento18 meses  al momento de la entrega .</t>
  </si>
  <si>
    <t>Cepa  Candida parapsilosis ATCC 22019 en pase 3, con:
 -Certificado de analisis. -Ficha de datos de seguridad. -Tiempo minimo de vencimiento18 meses  al momento de la entrega .</t>
  </si>
  <si>
    <t xml:space="preserve">1 MBC </t>
  </si>
  <si>
    <t>Cepa Campylobacter jejuni ATCC 33291 en pase 3, con:
Certificado de análisis.
 -Ficha de datos de seguridad.
 -Tiempo mínimo de vencimiento 1 año al momento de la entrega .</t>
  </si>
  <si>
    <t>Solución de electrolito c(KCl) = 3 mol/L (para sistemas de referencia Ag
/AgCl), compatible con electrodo unitrode ref. 6.0259.100 Metrohm.-Tiempo mínimo de vencimiento 18 meses al momento de la entrega.
-Certificado de análisis</t>
  </si>
  <si>
    <t>Frasco x 250 ml</t>
  </si>
  <si>
    <t>Limpiador en polvo para camara de autoclave, similar a Tuttnauer Chamber Brite cleaner ref. CB0010.</t>
  </si>
  <si>
    <t>Paquete x 10 unidades</t>
  </si>
  <si>
    <t xml:space="preserve">Euparal
- Certificado de análisis.
- Tiempo mínimo de vencimiento 18 meses al momento de la entrega.
</t>
  </si>
  <si>
    <t>Frasco de 100ml</t>
  </si>
  <si>
    <t>1 Entomología</t>
  </si>
  <si>
    <t>Azul de bromotimol para análisis Intervalo de viraje de pH: amarillo: 6,0 Intervalo de viraje de pH: azul: 7,6,con:
 _Certificado de análisis.
-Ficha de datos de  seguridad.
-Tiempo minimo de vencimiento 18 meses al momento de la entrega.</t>
  </si>
  <si>
    <t>Frasco x 5g</t>
  </si>
  <si>
    <t>Sangre de caballo desfibrinada esteril  SR 0050, con:
 - Fecha de vencimiento mínima de 6 meses al momento de la entrega.
-Certificado de calidad, ficha tecnica y tarjeta de emergencia. Entregas parciales acordada con LSP según fecha de vencimiento del producto.</t>
  </si>
  <si>
    <t>Frasco x 50ml</t>
  </si>
  <si>
    <t>6 MBC</t>
  </si>
  <si>
    <t>Sangre de cordero desfibrinada eteril con:
-Fecha de vencimiento mínima de 6 meses al momento de la entrega.
- Certificado de calidad, ficha tecnica y tarjeta de emergencia.
Entrega parcial acordada con LSP según fecha de vencimiento del producto.</t>
  </si>
  <si>
    <t>Frasco x 50 ml</t>
  </si>
  <si>
    <t>3 MBC
1MBA</t>
  </si>
  <si>
    <t>Caja  5 x 50
 Sensidiscos</t>
  </si>
  <si>
    <t xml:space="preserve"> Imipenem imi 10 ug . 
-Fecha de vencimiento minimo 1 año  al momento de la entrega.
</t>
  </si>
  <si>
    <t xml:space="preserve"> Meropenem mrp 10ug .
- Fecha de vencimiento minimo 1 año al momento de la entrega.</t>
  </si>
  <si>
    <t>Caja 5 x 50
 Sensidiscos</t>
  </si>
  <si>
    <t>Ceftazidima caz 30µg.
Fecha de vencimiento minimo 1 año al momento de la entrega.</t>
  </si>
  <si>
    <t xml:space="preserve">Ceftazidima/avibactam (CZA 50µg)
-Fecha de vencimiento minimo 1 año al monento de la entrega.
</t>
  </si>
  <si>
    <t xml:space="preserve">Caja 5*50 discos
</t>
  </si>
  <si>
    <t xml:space="preserve">Aztreonam (ATM 30µg)
-Fecha de vencimiento mínimo 1 año al momento de la entrega.
</t>
  </si>
  <si>
    <t>Suplemento liquido para crecimiento de Campylobacter en agar(similar a SR0232E oxoid)
Certificado de analisis. 
-Ficha de datos de seguridad. 
-Tiempo minimo de vencimiento 2 años al momento de la entrega .</t>
  </si>
  <si>
    <t>2 MBC</t>
  </si>
  <si>
    <t>Sobres generadores de microaerofilia campygen,  no requieren catalizador , no requieran el agua para la reaccion, para jarra de 2.5 litros, con:
-Certificado de analisis.
-Ficha de datos de  seguridad.
- timempo minimo de vencimiento 1 año al momento de entrga.</t>
  </si>
  <si>
    <t>5 MBC</t>
  </si>
  <si>
    <t>Paquete x
  100 Unidades</t>
  </si>
  <si>
    <t xml:space="preserve"> APB Acido Boronico (BOR 300µg)
-Fecha de vencimiento mínimo 1 año al momento de la entrega.</t>
  </si>
  <si>
    <t>Medio de Transporte  CARY BLAIRD, con:
 -Fecha de vencimiento mayor a 18 meses al momento de la entrega.
 -Certificado de analisis.
-Ficha técnica.</t>
  </si>
  <si>
    <t>Paquete x 50und</t>
  </si>
  <si>
    <t xml:space="preserve">Medio de transporte amies con carbon activado, con:  
-Certificado de analisis.
-Ficha de datos de  seguridad.
-Tiempo minimo de vencimiento 2 año al momento de la entrega </t>
  </si>
  <si>
    <t>Paquete x 50 unidades</t>
  </si>
  <si>
    <t>3 MBC</t>
  </si>
  <si>
    <t>Agar Chocolate suplementado en placa, con:
-Certificado de analisis.
-Ficha de datos de  seguridad.</t>
  </si>
  <si>
    <t>Caja x 20 placas</t>
  </si>
  <si>
    <t>Agar Thayer Martin en placa, con: 
-Certificado de analisis.
-Despacho acordado con el LSP según su fecha de vencimiento.
-Ficha de datos de  seguridad.</t>
  </si>
  <si>
    <t xml:space="preserve">AGAR BASE CHARCOAL, medio deshidratado con:
-Fecha de vencimiento superior a 2 años al momento de la entrega.
-Certificado de análisis.
-Fichas de datos de seguridad. </t>
  </si>
  <si>
    <t xml:space="preserve"> Frasco x 500 g</t>
  </si>
  <si>
    <t xml:space="preserve">CALDO BASE SELENITE CYSTINE SELENITE, medio deshidratado, con:
- Certificado de analisis
-Ficha de datos de  seguridad 
-Tiempo minimo de vencimiento 1 año al momento de la entrega. </t>
  </si>
  <si>
    <t>Frasco X 500 GR</t>
  </si>
  <si>
    <t>ENZIMA PerfeCT Multiplex qPCR SuperMix, Low ROX 200 Reactions (similar a ENZIMA QUANTA bio)
-Certificado de analisis
-Ficha de datos de seguridad
-Fecha de vencimiento mayor a un año</t>
  </si>
  <si>
    <t>Vial x 1.25 ml</t>
  </si>
  <si>
    <t>4 MBC</t>
  </si>
  <si>
    <t xml:space="preserve"> Suplemento Selectivo Palcam (Polimixina B, Acriflavina, Ceftazidima),con:
- Certificado de analisis.
-Ficha de datos de  seguridad.
-Tiempo minimo de vencimiento 1 año al momento de la entrega.</t>
  </si>
  <si>
    <t>7 MBA
1 MBC</t>
  </si>
  <si>
    <t xml:space="preserve">
 Agar EXTRACTO DE CARNE, medio deshidratado, con:
- Certificado de analisis
-Ficha de datos de  seguridad 
-Tiempo minimo de vencimiento 1 año al momento de la entrega.</t>
  </si>
  <si>
    <t>Frasco  x 500 gr</t>
  </si>
  <si>
    <t>Agar Tripticasa de soya con sangre de cordero al 5% en placa, con:
-Certificado de analisis.
-Ficha de datos de  seguridad.
Tiempo minimo de vencimiento 8 meses al momento de la entrega.
-Entregas parciales acordes con LSP.</t>
  </si>
  <si>
    <t>5 MBC
1 MBA</t>
  </si>
  <si>
    <t xml:space="preserve">TIRAS para la deteccion de cytochrome OXIDASE en microorganismos, con:
-Certificado de análisis.
- Fecha de vencimiento mayor a un año al momento de la entrega.
</t>
  </si>
  <si>
    <t>Frasco x 50 Tiras</t>
  </si>
  <si>
    <t>4 MBC
2 MBA</t>
  </si>
  <si>
    <t xml:space="preserve">Inmunocromatografia  para la deteccion  de  anticuerpos de la Hepatitis A, en suero o plasma .
-Con fecha de vencimiento mayor a 1 año.  </t>
  </si>
  <si>
    <t>Test x 30 en caset</t>
  </si>
  <si>
    <t>1 Virologia</t>
  </si>
  <si>
    <t xml:space="preserve">Inmunocromatografía para detección de Antigeno para Sars Cov 2 apto para muestras de hisopado o aspirado nasofaringeo. 
-Tiempo minimo de vencimiento 1 año al momento de la entrega.
</t>
  </si>
  <si>
    <t xml:space="preserve">Caja x 20 </t>
  </si>
  <si>
    <t>Inmunocromatografia Duo para detección de Anticuerpos IgG e IgM y Antigeno NS1 para Dengue en muestras de sangre total y suero.
Tiempo minimo de vencimiento 1 año al momento de la entrega.</t>
  </si>
  <si>
    <t xml:space="preserve">Caja x 30 
</t>
  </si>
  <si>
    <t>20 Virologia</t>
  </si>
  <si>
    <t>Inmunocromatografia  para la deteccion cualitativa de anticuerpos contra el treponema pallidum,  en suero. sensibilidad mayor a 95.0% especificidad 100%.
Con Registro Sanitario INVIMA
-Fecha de vencimiento mayor a 18 meses.  
-Entregas parciales de acuerdo a la fecha de vencimiento.</t>
  </si>
  <si>
    <t xml:space="preserve">Caja x 30 pruebas 
en caset
</t>
  </si>
  <si>
    <t>10 Virologia</t>
  </si>
  <si>
    <t>Inmunocromatografia para la detección cualitativa de anticuerpos de la Hepatitis C, en suero, plasma y sangre total. sensibilidad mayor a 95.0% especificidad 100%.
-Con Registro Sanitario INVIMA
-Fecha de vencimiento mayor a 18 meses.  
-Entregas parciales de acuerdo a la fecha de vencimiento.</t>
  </si>
  <si>
    <t>Caja x 30 pruebas 
en caset</t>
  </si>
  <si>
    <t>Inmunocromatografia para la detección cualitativa de Anticuerpos para HIV 1/2 y antígeno p24 simultáneamente en suero, plasma y sangre total. sensibilidad mayor a 99.0% especificidad 100%.
- precalificado por la OMS
 -Con Registro Sanitario INVIMA
-Con fecha de vencimiento mayor a 18 meses.  
-Entregas parciales de acuerdo a la fecha de vencimiento</t>
  </si>
  <si>
    <t>Caja x 30 pruebas 
en caset/ tira</t>
  </si>
  <si>
    <t>30 Virologia</t>
  </si>
  <si>
    <t>Prueba de inmunocromatografía para procesamiento de HIV/Sífilis Dúo para detección cualitativa de anticuerpos de HIV1/2 y Treponema Pallidum en suero, plasma y sangre total sensibilidad mayor a 99.0% especificidad 100%.
-Con Registro Sanitario INVIMA
-Fecha de vencimiento mayor a 18 meses.  
-Entregas parciales de acuerdo a la fecha de vencimiento.</t>
  </si>
  <si>
    <t>Caja x 25  pruebas en caset</t>
  </si>
  <si>
    <t>50 Virologia</t>
  </si>
  <si>
    <t>Albúmina de suero bovino fracción V.
-Certificado de analisis.
-Fecha de vencimiento mayor a un año.</t>
  </si>
  <si>
    <t xml:space="preserve">Gentamicina 50 mg/ml.
-Certificado de analisis.
-Fecha de vencimiento mayor a un año. 1 
</t>
  </si>
  <si>
    <t xml:space="preserve"> Ampolla x 10 ml
</t>
  </si>
  <si>
    <t xml:space="preserve">Anfotericina B 250ug/ml.
-Certificado de analisis.
-Fecha de vencimiento mayor a un año. 1 </t>
  </si>
  <si>
    <t>Ampolla x 20 ml</t>
  </si>
  <si>
    <t>Test x 100</t>
  </si>
  <si>
    <t>5 Virologia</t>
  </si>
  <si>
    <t>NG-TestCARBA 5 inmunoensayo rapido y visual para la deteccion de cinco carbapenemasas KPC, OXA, VIM, IMP y NDM en colonias bacteriana obtenidas de cultivo
- Entregas parciales acordada con LSP según fecha de vencimiento del producto.</t>
  </si>
  <si>
    <t>Kit x 20 test</t>
  </si>
  <si>
    <t>Solucion lista para eliminar contaminación por  RNasa y DNA de superficies de trabajo,instrumentos, pipetas y materiales. 
-Certificado de analisis
-Ficha de datos de seguridad
-Fecha de vencimiento mayor a un año</t>
  </si>
  <si>
    <t>Frasco X 475 ml</t>
  </si>
  <si>
    <t>40 Virologia
10 MBC</t>
  </si>
  <si>
    <t>Citrato de Fentanilo estandar alta pureza,   con:
-Certificado de analisis.
-Tiempo minimo de vencimiento mayor a 18 meses al momento de la entregao (si es USP, producto debe ser el vigente y no lote previo-VUD) . 
-Proveedor debe terner licencia FNE</t>
  </si>
  <si>
    <t>Frasco x 100mg</t>
  </si>
  <si>
    <t>1 TOX</t>
  </si>
  <si>
    <t xml:space="preserve"> Indicador azul de bromotimol - sal sódica, soluble en agua  
PH 6-7,6 azul, ref. 460440 para equipo lovibond, con:
-Certificado de análisis
-Tiempo minimo de vencimiento 18 meses al momento de la entrega. </t>
  </si>
  <si>
    <t>Frasco x 0,112g</t>
  </si>
  <si>
    <t>2 TOX</t>
  </si>
  <si>
    <t>Ácido ascorbico, estandar de referencia, con 
-Certificado de trazabilidad
-Tempo mínimo de vencimiento 2 años al momento de la entrega.</t>
  </si>
  <si>
    <t>Ácido MetaFosfórico pureza minima 40%, estabilizado. Con: 
- Certificado de análisis
- Tempo mínimo de vencimiento 18 meses al momento de la entrega</t>
  </si>
  <si>
    <t>Solucion EDTA 1 N, con:
-Certificado de análisis trazable a SMR de NIST.
-Con certificado de trazabilidad y analisis, que incluya el valor de la incertidumbre en unidades de normalidad o porcentaje.
-Tiempo minimo de vencimiento 18 meses al momento de la entrega.</t>
  </si>
  <si>
    <t>Frasco x 1000ML</t>
  </si>
  <si>
    <t>Frasco x 1ml</t>
  </si>
  <si>
    <t>Ácido Cromotrópico  sal disodica,pueza min. 98%  con:
-Certificado de analisis.
- -Tiempo minimo de vencimiento 2 años al momento de la entrega</t>
  </si>
  <si>
    <t xml:space="preserve">Acido Tricloracetico g.r. Pureza ≥99% , con:
-Certificado de analisis.
-Tiempo minimo de vencimiento 2 años al momento de la entrega. </t>
  </si>
  <si>
    <t>Ácido acetil salicílico alta pureza - minimo 99%, con 
-Certificado
-Tempo mínimo de vencimiento 2 años al momento de la entrega.</t>
  </si>
  <si>
    <t xml:space="preserve">N-Hexano para cromatografía, pureza mínima 98,0%, con:
-Certificado de análisis.
-Fecha de vencimiento mayor a 18 meses al momento de la entrega. </t>
  </si>
  <si>
    <t>Frasco x 2,5L</t>
  </si>
  <si>
    <t>Clorpirifos estandar pureza mínima 99,0%,con:
 -Certificado.
-Tiempo minimo de vencimiento 18 meses al momento de la entrega.</t>
  </si>
  <si>
    <t>Endosulfan pureza mínima 98,0%,con:
 -Certificado de analisis.
-Tiempo minimo de vencimiento 2 años al momento de la entrega.</t>
  </si>
  <si>
    <t>Paraquat sal dicloruro p.a. alta pureza &gt;98%,con:
-Certificado de analisis.
-Tiempo minimo de vencimiento 2 años al momento de la entrega.</t>
  </si>
  <si>
    <t>Dicromato de Potasio g.r.con:
 -Certificado de analisis.
-Tiempo minimo de vencimiento 2 años al momento de la entrega.</t>
  </si>
  <si>
    <t>Etanol absoluto para análisis, ACS,ISO,Reag. Ph Eur, pureza mayor a 99%, con: 
-Tiempo minimo de vencimiento 2 años al momento de la entrega.
-Certificado de análisis</t>
  </si>
  <si>
    <t>N-Heptano p.a. con:
-Certificado de análisis
- Tiempo minimo de vencimiento 18 meses al momento de la entrega.</t>
  </si>
  <si>
    <t>Frasco x 1000ml</t>
  </si>
  <si>
    <t>Patrón de referencia en solución  buffer de pH  4,01,  con:
-Certificado trazable a SMR de NIST u otro organismo internacionalmente reconocido, acreditación ISO17034.
-Certificado de trazabilidad y analisis, que incluya el valor de la incertidumbre en unidades de pH, con:
-Ficha de datos de  seguridad.
-Tiempo minimo de vencimiento  18 meseS al momento de la entrega.
 ( lote diferente)</t>
  </si>
  <si>
    <t>Frasco x 1000 ml</t>
  </si>
  <si>
    <t>1 FQ
1 TOX
1 MBA</t>
  </si>
  <si>
    <t>Patrón de referencia en solución  buffer de pH  10.00, con:
- Certificado trazable a SMR de NIST u otro organismo internacionalmente reconocido , acreditación ISO17034.                                                                                                                    -Certificado de trazabilidad y analisis, que incluya el valor de la incertidumbre en unidades de pH.
-Ficha de datos de  seguridad.
-Tiempo minimo de vencimiento 18 meses al momento de la entrega.
( lote diferente)</t>
  </si>
  <si>
    <t>3 FQ
1 TOX
1 MBA</t>
  </si>
  <si>
    <t>Patrón de referencia en solución buffer de pH 7.00, con:
-Certificado trazable a SRM de NIST u otro organismo internacionalmente reconocido, acreditación ISO 17034.
-Con certificado de trazabilidad y analisis, que incluya el valor de la incertidumbre en unidades de pH. 
-Ficha de datos de  seguridad.
-Tiempo minimo de vencimiento 18 meses al momento de la entrega.
( lote diferente)</t>
  </si>
  <si>
    <t>3 FQ
1 PF
1 MBA</t>
  </si>
  <si>
    <t>Misoprostol, grado HPLC, pureza mínima de 99%, con:
-Certificado de analisis
-Vencimiento mayor a 18 meses al momento de la entrega
- Ficha de datos de seguridad.</t>
  </si>
  <si>
    <t>Frasco x 10mg</t>
  </si>
  <si>
    <t>Solucion EDTA 0.1 M, con:
-Certificado de análisis trazable a SMR de NIST.
-Con certificado de trazabilidad y analisis, que incluya el valor de la incertidumbre en unidades de normalidad o porcentaje.
-Ficha de datos de  seguridad.
-Tiempo minimo de vencimiento 18 meses al momento de la entrega.</t>
  </si>
  <si>
    <t>3 FQ</t>
  </si>
  <si>
    <t>Nitrato de plata 0,1 N, con certificado de análisis trazable a SMR de NIST u otro organismo internacionalmente reconocido, con certificado de trazabilidad y analisis, que incluya el valor de la incertidumbre en unidades de normalidad o porcentaje, con:
- fecha de vencimiento mayor a 18 meses. 
-Certificado de análisis</t>
  </si>
  <si>
    <t>Frasco x 1000 mL</t>
  </si>
  <si>
    <t>1 FQ</t>
  </si>
  <si>
    <t>Sodio Hidróxido 1 mol/l (1N) (Reag. Ph.Eur.) solución valorada, Factor a 20°C: 0,999 - 1,001, con declaración de incertidumbre, Trazabilidad: NIST,  con:
-Certificado de analisis.
-Ficha de datos de  seguridad.
-Tiempo minimo de vencimiento 18 meses al momento de la entrega.</t>
  </si>
  <si>
    <t>Frasco x 1L</t>
  </si>
  <si>
    <t xml:space="preserve">1 FQ </t>
  </si>
  <si>
    <t xml:space="preserve">Solución patrón de Hierro de 1000 mg/L, trazable a SRM de NIST u otro organismo internacionalmente reconocido según ISO 17034, con :
-Certificado de trazabilidad y analisis, que incluya el valor de la incertidumbre en unidades de mg/L.
-Ficha de datos de  seguridad.
-Tiempo minimo de vencimiento 18 meses al momento de la entrega.
</t>
  </si>
  <si>
    <t>Frasco x 500 ml</t>
  </si>
  <si>
    <t>Kit de determinación de fosfatasa alcalina (similar a BioSystems Referencia 11592) con: 
-Tiempo minimo de vencimiento 18 meses al momento de la entrega.
- Despachos en acuerdo con el LSP.
-Certificado de análisis</t>
  </si>
  <si>
    <t>4 FQ</t>
  </si>
  <si>
    <t>Estándar volumétrico de carbonato de calcio, material de referencia secundario para complexometría, trazable al material de referencia estándar (SRM) del NIST Certipur® Reag. USP. CAS 471-34-1, con acreditación en ISO 17034, declaración de la incertidumbre.
-Tiempo minimo de vencimiento 18 meses al momento de la entrega.
-Certificado de análisis</t>
  </si>
  <si>
    <t>Frasco x 50g</t>
  </si>
  <si>
    <t xml:space="preserve">Estándar de conductividad de 147 umhos/cm a 25 °C trazable al SI, trazable a SRM de NIST u otro organismo internacionalmente reconocido, con:
- Certificado de trazabilidad y analisis, acreditación ISO 17034, que incluya el valor de la incertidumbre en unidades de uS/cm.
-Ficha de datos de  seguridad.
-Tiempo minimo de vencimiento 18 meses al momento de la entrega.
</t>
  </si>
  <si>
    <t xml:space="preserve">Estándar de conductividad de 1412 umhos/cm a 25 °C trazable al SI, trazable a SRM de NIST u otro organismo internacionalmente reconocido, con:
- Certificado de trazabilidad y analisis, acreditación ISO 17034, que incluya el valor de la incertidumbre en unidades de uS/cm.
-Ficha de datos de  seguridad.
-Tiempo minimo de vencimiento 18 meses al momento de la entrega.
</t>
  </si>
  <si>
    <t>2 FQ</t>
  </si>
  <si>
    <t>Patrón de turbiedad de 20 NTU, trazable a SRM de NIST, con:
- Certificado de trazabilidad y analisis,  acreditación según ISO 17034, que incluya el valor de la incertidumbre en unidades de NTU.
-Ficha de datos de  seguridad.
-Tiempo minimo de vencimiento 18 meses al momento de la entrega.</t>
  </si>
  <si>
    <t>Solución patrón de color de 500 UPC, trazable a SRM de NIST, con:
-Con certificado de trazabilidad y analisis,  acreditación según ISO 17034, que incluya el valor de la incertidumbre en unidades de UPC.
-Ficha de datos de  seguridad.
-Tiempo minimo de vencimiento 18 meses al momento de la entrega.</t>
  </si>
  <si>
    <t>Frasco x 500ml</t>
  </si>
  <si>
    <t>Acido Láctico 90% soluble en agua, con:
- Certificado de analisis.
- Con vencimiento mayor a 18 meses al momento de la entrega.
-Ficha de datos de seguridad.</t>
  </si>
  <si>
    <t>1 FQ
1 Entomología</t>
  </si>
  <si>
    <t>Hidroxido de amonio del 28 al 30 %,  NH4OH,con:
-Ficha de datos de  seguridad.
-Tiempo minimo de vencimiento 18 meses al momento de la entrega.
-Certificado de análisis</t>
  </si>
  <si>
    <t>Peróxido de hidrogeno 30% para análisis -Tiempo minimo de vencimiento 18 meses al momento de la entrega.
-Certificado de análisis</t>
  </si>
  <si>
    <t>Frasco x 1 lt</t>
  </si>
  <si>
    <t xml:space="preserve"> Fenolftaleina Indicador ACS, Reag. Ph Eur.
-Tiempo minimo de vencimiento 18 meses al momento de la entrega.
-Certificado de análisis
- Fichas de Datos de Seguridad</t>
  </si>
  <si>
    <t>Potasio Yoduro (USP, BP, Ph. Eur.) puro, grado analisis. 99,0-100,5 %. con:
- Certificado de analisis y trazabilidad a Nist
-Ficha de datos de  seguridad.
-Tiempo minimo de vencimiento 18 meses al momento de la entrega.</t>
  </si>
  <si>
    <t>Oxido de magnesio para analisis
-Tiempo minimo de vencimiento 18 meses al momento de la entrega.
-Certificado de análisis.
-Ficaha de datos de eguridad.</t>
  </si>
  <si>
    <t>Frasco x 200 g</t>
  </si>
  <si>
    <t>Estándar volumétrico de carbonato de sodio, material de referencia secundario para acidimetría, trazable a NIST SRM Certipur®. Número CAS 497-19-8,  con acreditación en ISO 17034, declaración de la incertidumbre.
-Tiempo minimo de vencimiento 18 meses al momento de la entrega.
-Certificado de análisis.
-Ficaha de datos de eguridad.</t>
  </si>
  <si>
    <t>Frasco x 80 g</t>
  </si>
  <si>
    <t>Solucion Fehling A para determinar azucares., con:
 -Certificado de analisis.
-Ficha de datos de  seguridad.
-Tiempo minimo de vencimiento 18 meses al momento de la entrega.</t>
  </si>
  <si>
    <t>Solucion Fehling B para determinar azucares, con:
 -Certificado de analisis.
-Ficha de datos de  seguridad.
-Tiempo minimo de vencimiento 18 meses al momento de la entrega.</t>
  </si>
  <si>
    <t xml:space="preserve">Zinc metálico granular de grado reactivo con:
-Certificado de analisis.
-Ficha de datos de seguridad.
-Tiempo minimo de vencimiento 1 año al momento de la entrega."
</t>
  </si>
  <si>
    <t>Lugol de gram, con:
-Certificado de analisis.
-Ficha de datos de  seguridad.
-Tiempo minimo de vencimiento 2 años al momento de la entrega.</t>
  </si>
  <si>
    <t xml:space="preserve">1 FQ
</t>
  </si>
  <si>
    <t>1,10-Fenantrolina 1- hidrato (Reag. USP) para  análisis, ACS , con:
Certificado de analisis.
-Ficha de datos de  seguridad.
-Tiempo minimo de vencimiento mínimo 2 años al momento de la entrega.</t>
  </si>
  <si>
    <t>Guaiacol, con: 
-Ficha de datos de  seguridad.
-Tiempo minimo de vencimiento 18 meses al momento de la entrega.
-Certificado de análisis</t>
  </si>
  <si>
    <t xml:space="preserve">
Ácido Sulfúrico 0,05 mol/l (0,1N) solución valorada, 
Factor a 20°C: 0,999 - 1,001
Incertidumbre: Ver certificado
Trazabilidad: NIST
-Certificado de analisis.
-Tiempo minimo de vencimiento 18 meses al momento de la entrega</t>
  </si>
  <si>
    <t xml:space="preserve">Solución patrón de fluoruro de sodio 1000 mg/l. Trazabilidad NIST, con:
-Certificado de análisis.
-Ficha de datos de seguridad.
-Tiempo mínimo de vencimiento 18 meses al momento de la entrega. </t>
  </si>
  <si>
    <t>Sodio Hidróxido 0,1 mol/l (0,1N) (Reag. USP, Ph.Eur.) solución valorada, Factor a 20°C: 0,999 - 1,001, con:
-Certificado con declaración de incertidumbre, trazabilidad a NIST.
-Ficha de datos de  seguridad.
-Tiempo minimo de vencimiento 18 meses al momento de la entrega.</t>
  </si>
  <si>
    <t>Frasco x 1 L</t>
  </si>
  <si>
    <t>Ácido Nítrico 69% (Reag. USP, Ph. Eur.) para análisis, ACS, ISO
- Certificado de analisis
-Ficha de datos de  seguridad 
-Tiempo minimo de vencimiento 1 año al momento de la entrega.</t>
  </si>
  <si>
    <t>Sodio Hidróxido lentejas (Reag. USP) para análisis, ACS, ISO
-Tiempo minimo de vencimiento 18 meses al momento de la entrega.
-Certificado de análisis.
-Ficaha de datos de eguridad.</t>
  </si>
  <si>
    <t>Ácido Sulfúrico 90-91% según Gerber para análisis
-Tiempo minimo de vencimiento 18 meses al momento de la entrega.
-Certificado de análisis.
-Ficaha de datos de eguridad.</t>
  </si>
  <si>
    <t>frasco x 2,5 l</t>
  </si>
  <si>
    <t xml:space="preserve">Sulfanilamida 98% (Reag. Ph. Eur.) para análisis
-Tiempo minimo de vencimiento 18 meses al momento de la entrega.
-Certificado de análisis.
-Ficaha de datos de eguridad.
</t>
  </si>
  <si>
    <t>Frasco x 100 g</t>
  </si>
  <si>
    <t>Sodio Nitrato (Reag. USP, Ph. Eur.) para análisis, ACS, ISO
-Tiempo minimo de vencimiento 18 meses al momento de la entrega.
-Certificado de análisis.
-Ficaha de datos de eguridad.</t>
  </si>
  <si>
    <t>Frasco x 1000 g</t>
  </si>
  <si>
    <t>Ácido Bórico para análisis, ACS, ISO
-Tiempo minimo de vencimiento 18 meses al momento de la entrega.
-Certificado de análisis.
-Ficaha de datos de eguridad.</t>
  </si>
  <si>
    <t>Potasio Yodato (Reag. USP, Ph. Eur.) para análisis, ACS
-Tiempo minimo de vencimiento 18 meses al momento de la entrega.
-Certificado de análisis.
-Ficaha de datos de eguridad.</t>
  </si>
  <si>
    <t xml:space="preserve">
TNT para Carbono Orgánico Total, TOC (método de purga), de 0,3 a 20,0 mg/L C, para lectura en equipo  DR900. 
-Tiempo minimo de vencimiento 18 meses al momento de la entrega.
-Certificado de análisis.
-Ficaha de datos de eguridad.</t>
  </si>
  <si>
    <t>Caja x 50 test</t>
  </si>
  <si>
    <t xml:space="preserve">
Colorante Azul  de Metileno ZN, con:
-Ficha de datos de  seguridad.
-Tiempo minimo de vencimiento 18 meses al momento de la entrega. 
-Certificado de análisis</t>
  </si>
  <si>
    <t>1 Micobacterias</t>
  </si>
  <si>
    <t>Colorante  Fucsina fenicada ZN, con:
-Ficha de datos de  seguridad.
-Tiempo minimo de vencimiento 18 meses al momento de la entrega. 
-Certificado de análisis</t>
  </si>
  <si>
    <t>1 Micobacterias
1 Entomologia</t>
  </si>
  <si>
    <t xml:space="preserve">Alcohol  Acido ZN , con:
-Ficha de datos de  seguridad.
-Tiempo minimo de vencimiento 18 meses al momento de la entrega. </t>
  </si>
  <si>
    <t>Frasco x 200 ml</t>
  </si>
  <si>
    <t>Azul de  Metileno (C.I. 52015) REAG. PH EUR
-Certificado de análisis.
-Ficha de datos de seguridad.
-Tiempo mínimo de vencimiento 1 año al momento de la entrega.</t>
  </si>
  <si>
    <t>2 ETV</t>
  </si>
  <si>
    <t>Clorhidrato de Guanidina 6M
-Tiempo minimo de vencimiento 18 meses al momento de la entrega.
-Certificado de análisis.
-Ficaha de datos de eguridad.</t>
  </si>
  <si>
    <t>Frasco  x 100 ml</t>
  </si>
  <si>
    <t>1 ETV</t>
  </si>
  <si>
    <t>Alcohol Metilico (Metanol)
-Tiempo minimo de vencimiento 18 meses al momento de la entrega.
-Certificado de análisis.
-Ficaha de datos de eguridad.</t>
  </si>
  <si>
    <t>Frasco  x 4L</t>
  </si>
  <si>
    <t>Hidróxido potásico (KOH) en solución acuosa al 10 %. 
- Certificado de analisis.
- Con vencimiento mayor a 18 meses al momento de la entrega.l</t>
  </si>
  <si>
    <t xml:space="preserve">1 Entomología </t>
  </si>
  <si>
    <t>Balsamo de canada (Entellan)
- Certificado de analisis.
- Con vencimiento mayor a 18 meses al momento de la entrega.</t>
  </si>
  <si>
    <t>Xilol (= xileno). Disolvente del bálsamo del Canadá, DPX y euparal. 
- Certificado de analisis.
- Con vencimiento mayor a 18 meses al momento de la entrega.</t>
  </si>
  <si>
    <t>Acetato de etilo, pa.Acs.
- Certificado de análisis.
- Tiempo mínimo de vencimiento 18 meses al momento de la entrega.</t>
  </si>
  <si>
    <t>Frasco de 1000ml</t>
  </si>
  <si>
    <t>1 Entomología
1 TOX</t>
  </si>
  <si>
    <t xml:space="preserve">Glicerina 99%
- Certificado de análisis.
- Tiempo mínimo de vencimiento 18 meses al momento de la entrega.
</t>
  </si>
  <si>
    <t>Frasco de 250ml</t>
  </si>
  <si>
    <t>1 Entomología  
2 ETV</t>
  </si>
  <si>
    <t xml:space="preserve"> Aceite de inmersión.
-Fecha de vencimiento mayor a 18 meses al momento de la entrega. 
-Certificado de analisisi.
-Ficha de datos de seguridad. </t>
  </si>
  <si>
    <t>1 Virologia
6 ETV</t>
  </si>
  <si>
    <t>VALOR TOTAL:</t>
  </si>
  <si>
    <t xml:space="preserve">
Amonio cuaternario quinta generación al 6% con:
-Certificado de analisis, declaracion de lote y fecha de vencimiento.
- Ficha de datos de seguridad.
-Tiempo minimo de vencimiento 1 año al momento de entrega.
 </t>
  </si>
  <si>
    <t>Galon x 4L</t>
  </si>
  <si>
    <t xml:space="preserve">2 FQ 
1 MBC 
2 TOX 
7 MBA </t>
  </si>
  <si>
    <t>Cajas Petri en vidrio de borosilicato, dimensión 90-100 x 15 mm, esterilizables en autoclave. Incluye base y cubierta.</t>
  </si>
  <si>
    <t>100 MBA</t>
  </si>
  <si>
    <t>Crisol de porcelana forma baja sin pico, capacidad 20-25ml, para calcinación.</t>
  </si>
  <si>
    <t>10 TOX</t>
  </si>
  <si>
    <t>Erlenmeyer 250 ml cuello angosto, fabricado en vidrio borosilicato 3.3. Conforme a DIN/ISO 1773 y ASTM E-3487. Distribución uniforme del grosor de la pared para calentar y de forma cónica  para mezclar líquidos. D.E. Cuello (mm) 34, D.E. x Altura (mm) 85 x 145</t>
  </si>
  <si>
    <t>50 FQ</t>
  </si>
  <si>
    <t>Butirómetro para determinar el contenido de grasa del queso y el requesón según Van Gulik, BS e IS., De vidrio de borosilicato, cuello liso, con bulbo abierto, marca mate en el bulbo, proceso de pesaje para 3 g.</t>
  </si>
  <si>
    <t xml:space="preserve">unidad </t>
  </si>
  <si>
    <t>10 FQ</t>
  </si>
  <si>
    <t>Mortero de  Porcelana con  Pistilo  de 120 ml</t>
  </si>
  <si>
    <t>Frasco lavador,PE-LD, flexible. Cabezal de lavado roscado desmontable. Tubo de suministro de altura ajustable, 250 ml</t>
  </si>
  <si>
    <t>10 FQ
4 TOX
6 MBA</t>
  </si>
  <si>
    <t>Tubo Nessler, clase A. para comparar colores, vidrio BORO 3.3, capacidad 50 ml, división 25 y 50 ml, tolerancia +/- 0,4 ml</t>
  </si>
  <si>
    <t>unidad</t>
  </si>
  <si>
    <t>Detergente alcalino para lavado de material de laboratorio.
- Certificado de analisis.
- Ficha de datos de seguridad.
-Tiempo minimo de vencimiento  1 año al momento de entrega.</t>
  </si>
  <si>
    <t>Galon x 3.8L</t>
  </si>
  <si>
    <t xml:space="preserve">1 Entomología 
2 ETV 
4 TOX </t>
  </si>
  <si>
    <t>Hipoclorito de Sodio  al 15%, con:
-Certificado de analisis, declaracion de lote y fecha de vencimiento.
-Ficha de datos de seguridad.
-Tiempo minimo de vencimiento 1 año al momento de la entrega.</t>
  </si>
  <si>
    <t>Caneca x 20L</t>
  </si>
  <si>
    <t>1 Virologia
1 ETV
1 MBC
5 MBA</t>
  </si>
  <si>
    <t>Jabón  llíquido antigrasa. Tipo Industrial</t>
  </si>
  <si>
    <t>3 FQ
1 MBC
1 TOX</t>
  </si>
  <si>
    <t>Balón volumétrico vidrio ambar 20ml  CLASE A, con certificado.</t>
  </si>
  <si>
    <t>Balón volumétrico de 100 ml CLASE A en vidrio Boro 3.3, DIN EN ISO 1042, con certificado individual y tapón plástico. Límite de error +/- 0,1 ml.</t>
  </si>
  <si>
    <t>40 FQ</t>
  </si>
  <si>
    <t>Balón volumétrico de 1000 ml CLASE A en vidrio Boro 3.3, DIN EN ISO 1042, con certificado individual y tapón plástico. Límite de error +/- 0,4 ml.</t>
  </si>
  <si>
    <t>Bureta de 25 ml Boro 3.3, llave de paso PTFE extraíble. Según DIN EN ISO 385. Calibrado para entregar (TD, Ex). Raya de Schellbach. Con certificado</t>
  </si>
  <si>
    <t>5 FQ</t>
  </si>
  <si>
    <t xml:space="preserve">Balón fondo plano boca esmerilada 29/32, con tapa, capacidad 250ml. </t>
  </si>
  <si>
    <t>5 TOX</t>
  </si>
  <si>
    <t>Dispensador 1 - 10ml para dispensar sustancias ácidas y orgánicas, con tubos de dispensación y expulsión, tapón, manual de operación.</t>
  </si>
  <si>
    <t>Embudo de separación de vidrio, de 200-250ml de capacidad, con llave y tapa de PTFE o teflón.</t>
  </si>
  <si>
    <t>Varilla de vidrio para agitación medidas aproximadas: 5-7 mm de diámetro, 20 cm de longitud.</t>
  </si>
  <si>
    <t>20 FQ</t>
  </si>
  <si>
    <t>Vaso de precipitado en vidrio de borosilicato 3.3 de baja expansión, graduado, con pico x 50ml.</t>
  </si>
  <si>
    <t>Vaso de precipitado en vidrio de borosilicato 3.3 de baja expansión, graduado, con pico x 100ml.</t>
  </si>
  <si>
    <t>Embudo de separación de vidrio, graduado de 1000ml de capacidad, con llave y tapa de PTFE o teflón.</t>
  </si>
  <si>
    <t>Erlenmeyer de 250 ml fabricado en vidrio borosilicato 3.3, según con la norma DIN ISO 3585 e ISO4797 con tapón semicilíndrico esmerilado 29/32, boca angosta y escala graduada.</t>
  </si>
  <si>
    <t>Espátulas de cuchara de acero inoxidable,  longitud 180mm, anchura 12 mm, similar a ref. Bochem 3472</t>
  </si>
  <si>
    <t>20 MBA</t>
  </si>
  <si>
    <t>Garrafon de polipropileno x 20L, con manijas y llave-Nalgene esterilizable.</t>
  </si>
  <si>
    <t>3 MBA</t>
  </si>
  <si>
    <t>Cápsulas de porcelana forma baja con pico, con tapa; capacidad 50ml, para evaporación</t>
  </si>
  <si>
    <t>Camisa  sencilla  similar a vacutainer.</t>
  </si>
  <si>
    <t>Caja  plastica  resistente porta  láminas para 100 espacios tapa con  cierre de bisagra  niquelado.</t>
  </si>
  <si>
    <t>10 ETV</t>
  </si>
  <si>
    <t>Filtro de microfibra de vidrio, tamaño de poro de 1,5 un  diámetro 90-100mm. Similar a ref 1827-090 Whatman.</t>
  </si>
  <si>
    <t>Caja x 
100 unidades</t>
  </si>
  <si>
    <t>Gasa tejida aseptica hospitalaria, hilo de algodon 100%</t>
  </si>
  <si>
    <t>Rollo x 100  yardas</t>
  </si>
  <si>
    <t>Vaso de precipitado  en vidrio de borosilicato 3.3 de baja expansión, graduado, con pico x10 ml.</t>
  </si>
  <si>
    <t>20 TOX</t>
  </si>
  <si>
    <t>Frasco ámbar tapa rosca azul de 250 ml, Ideal de uso general de laboratorio incluyendo mezclar, almacenar o transportar medios de cultivo, productos químicos o disolventes .
Con graduación y señalización de la marca hecha con esmalte químicamente resistente, 30 mm apertura ID, Autoclavables, Se suministra  con tapa  GL 45.
Fabricados a partir de BORO 3,3 conforme a USP Tipo I y ASTM E438 , Tipo I, Clase A ​</t>
  </si>
  <si>
    <t>60 FQ</t>
  </si>
  <si>
    <t>Bolsas de sellado hermetico 20x24cm aprox.</t>
  </si>
  <si>
    <t>Paquete x 100 unidades</t>
  </si>
  <si>
    <t>2 ETV 
6 Entomología
2 Virologia
1 FQ 
1 MBA
1 TOX</t>
  </si>
  <si>
    <t xml:space="preserve">Bolsas de sellado hermetico 10 x 15cm aprox.
</t>
  </si>
  <si>
    <t>2 ETV
6 Entomología
2 Virologia
1 TOX
1 MBA</t>
  </si>
  <si>
    <t xml:space="preserve">Neveras de icopor capacidad 10 Lt. </t>
  </si>
  <si>
    <t>5 ETV
50 Virologia</t>
  </si>
  <si>
    <t>Detergente Neutro.
-Certificado de analisis, declaracion de lote y fecha de vencimiento. 
- Ficha de datos de seguridad.
-Tiempo minimo de vencimiento  1 año al momento de entrega.</t>
  </si>
  <si>
    <t>2 FQ
1 MBC
2 PF
2 MBA</t>
  </si>
  <si>
    <t>Peróxido de hidrógeno al 30% para desinfeccion, con:
-Certificado de analisis con declaracion de fecha de vencimiento y lote.
-Ficha de datos de seguridad.
-Tiempo minimo de vencimiento  1 año al momento de entrega.</t>
  </si>
  <si>
    <t>6 ETV
2 MBC</t>
  </si>
  <si>
    <t>Celda o cubeta de cuarzo cuadradas de 10mm de paso para espectrofotometria UV-VIS.
 con certificado.</t>
  </si>
  <si>
    <t>Caja x 2 Unidades</t>
  </si>
  <si>
    <t>3 TOX</t>
  </si>
  <si>
    <t>Asas rectas o agujas de inoculacion material poliestireno, polipropileno o semejante.</t>
  </si>
  <si>
    <t>500 MBC
3000 MBA</t>
  </si>
  <si>
    <t xml:space="preserve">Esponja  abrasiva, medidas aproximadas 140 mm de largo x 100 mm de ancho x 7 mm de alto, no deja residuos, color verde. </t>
  </si>
  <si>
    <t>Esponja para brillo resistente y duradera, medidas aproximadas 10 cm de largo, 7 cm de ancho y 3 cm de altura.</t>
  </si>
  <si>
    <t>Jarra para atmósfera anaerobiosis x con capacidad entre 2.5 L a 3.5L, con base de policarbonato que asegure la tapa por mecanismo de presión, válvula de compensación de vacío y cestillo porta placas</t>
  </si>
  <si>
    <t>2 MBC
1 MBA</t>
  </si>
  <si>
    <t xml:space="preserve"> Papel crepado de alta calidad. Rollo de 60 cmx 50 mts.</t>
  </si>
  <si>
    <t>1 MBC
5 MBA</t>
  </si>
  <si>
    <t>Recipiente PLUS rectangular Blanco de 4L, dimensiones aproximadas ancho 18 cm. largo 35.5 cm y alto 14 cm</t>
  </si>
  <si>
    <t>Tamiz circular número 7 malla de alambre con aperturas cuadradas de 2,8 mm x 2,8 mm</t>
  </si>
  <si>
    <t xml:space="preserve">TOTAL DE ITEMS: </t>
  </si>
  <si>
    <t>2 TOX
3 SA</t>
  </si>
  <si>
    <t>PRESUPUESTO OFICIAL</t>
  </si>
  <si>
    <t>VALOR OFERTADO</t>
  </si>
  <si>
    <t>Valor 
Unitario</t>
  </si>
  <si>
    <t>12 FQ
12 MBC
16 MBA</t>
  </si>
  <si>
    <t>8 FQ
2 ETV</t>
  </si>
  <si>
    <t>Quimmec</t>
  </si>
  <si>
    <t xml:space="preserve">Factor X.
- Fecha de vencimiento minimo 1 año al momento de la entrega.
</t>
  </si>
  <si>
    <t>Ciprofloxacin 5 ug
-Fecha de vencimiento minimo 1 año  al momento de la entrega.</t>
  </si>
  <si>
    <t>Azithomycin.
Fecha de vencimiento minimo 1 año al momento de  la entrega.</t>
  </si>
  <si>
    <t xml:space="preserve">Caja 5 x 50 discos
</t>
  </si>
  <si>
    <t>Indicador Anaeróbico con Resazurina similar a ref. BR0055B  con:
-Certificado de analisis.
-Ficha de datos de  seguridad. 
- Tiempo minimo de vencimiento: 1 año al momento de entrega.</t>
  </si>
  <si>
    <t>11-nor-9-carboxy-delta9 - THC estandar de 1mg/ml, con: 
-Certificado de análisis.
-Fecha de vencimiento mayor a 18 meses.
-Ficha de datos de seguridad.</t>
  </si>
  <si>
    <t xml:space="preserve">Patrón de referencia en solución  buffer de pH  9,00, con: 
-Certificado trazable a SMR de NIST u otro organismo internacionalmente reconocido, acreditación ISO17034.
- Con certificado de trazabilidad y analisis, que incluya el valor de la incertidumbre en unidades de pH. 
-Ficha de datos de  seguridad.
-Tiempo minimo de vencimiento 18 meses al momento de la entrega.
</t>
  </si>
  <si>
    <t>kit RPR Carbon floculacion.
-Fecha de vencimiento mayor a 1 año</t>
  </si>
  <si>
    <t>frasco x 2,5 L</t>
  </si>
  <si>
    <t>Vaso de precipitado  en vidrio de borosilicato 3.3 de baja expansión, graduado, con pico x 10 ml.</t>
  </si>
  <si>
    <t>Menor valor</t>
  </si>
  <si>
    <t>Mayor valor</t>
  </si>
  <si>
    <t>Valor Total</t>
  </si>
  <si>
    <t>Glicerina 99%
- Certificado de análisis.
- Tiempo mínimo de vencimiento 18 meses al momento de la entrega.</t>
  </si>
  <si>
    <t>Paquete x  10 Unidades</t>
  </si>
  <si>
    <t>Euparal
- Certificado de análisis.
- Tiempo mínimo de vencimiento 18 meses al momento de la entrega.</t>
  </si>
  <si>
    <t>Caja 5*50 discos</t>
  </si>
  <si>
    <t>Aztreonam (ATM 30µg)
-Fecha de vencimiento mínimo 1 año al momento de la entrega.</t>
  </si>
  <si>
    <t>Paquete x  100 Unidades</t>
  </si>
  <si>
    <t>ANEXO ECONÓMICO  - PROCESO Nº1</t>
  </si>
  <si>
    <t>Agar VRBL (Bilis Rojo Violeta con Lactosa), medio deshidratado,  con:
 -Medio de cultivo con cumplimiento a la norma   ISO 11133:2014
-Certificado de análisis 
-Ficha de datos de seguridad.
-Tiempo mínimo de vencimiento 1 año al momento de la entrega.</t>
  </si>
  <si>
    <t>Agar de Recuento en Placa (Plate Count Agar), medio deshidratado, con:
-Certificado de análisis.
-Ficha de datos de seguridad.
-Tiempo mínimo de vencimiento 1 año al momento de la entrega.</t>
  </si>
  <si>
    <t>Agar  Base MYP  (Manitol-Yema de huevo-Polimixina)/Agar Bacillus cereus, medio deshidratado, con:
-Medio de cultivo con cumplimiento a la norma   ISO 11133:2014
-Certificado de análisis.
-Ficha de datos de seguridad.
-Tiempo mínimo de vencimiento 1 año al momento de la entrega.</t>
  </si>
  <si>
    <t>Agar Base Baird Parker , medio deshidratado, con:
-Medio de cultivo con cumplimiento a la norma   ISO 11133:2014
-Certificado de análisis.
-Ficha de datos de seguridad.
-Tiempo mínimo de vencimiento 1 años al momento de la entrega.</t>
  </si>
  <si>
    <t xml:space="preserve"> Agar  VRBG o VRBD (Glucosa o dextrosa Bilis Rojo Violeta), medio deshidratado, con:
  -Medio de cultivo con cumplimiento a la norma   ISO 11133:2014
-Certificado de análisis.
-Ficha de datos de seguridad.
-Tiempo mínimo de vencimiento 1 año al momento de la entrega.</t>
  </si>
  <si>
    <t>Caldo Rappaport Vassiliadis, medio deshidratado, con:
-Certificado de análisis.
-Ficha de datos de seguridad.
-Tiempo mínimo de vencimiento 1 año al momento de la entrega.</t>
  </si>
  <si>
    <t>Suplemento Oxitetraciclina /OGYE Suplemento , con:
-Certificado de análisis.
-Ficha de datos de seguridad.
-Tiempo mínimo de vencimiento 1 año al momento de la entrega.</t>
  </si>
  <si>
    <t>Suplemento selectivo Fraser (citrato férrico amónico, acido nalidixico, clorhidrato de acriflavina),con:
-Certificado de análisis.
-Ficha de datos de seguridad.
-Tiempo mínimo de vencimiento 1 año al momento de la entrega.</t>
  </si>
  <si>
    <t>Agua Peptona Alcalina, medio deshidratado, con:
-Certificado de análisis.
-Ficha de datos de seguridad.
-Tiempo mínimo de vencimiento 1 año al momento de la entrega.</t>
  </si>
  <si>
    <t>Agua peptonada Tamponada, medio deshidratado, con:
  -Medio de cultivo con cumplimiento a la norma   ISO 11133:2014
-Certificado de análisis.
-Ficha de datos de  seguridad.
-Tiempo mínimo de vencimiento 1 año al momento de la entrega.</t>
  </si>
  <si>
    <t>Telurito de potasio, grado reactivo ≥ 90% con:
-Certificado de análisis.
-Ficha de datos de seguridad.
-Tiempo mínimo de vencimiento 1 año al momento de la entrega."</t>
  </si>
  <si>
    <t>Tiosulfato de sodio anhidro (Reag.Ph.Eur) para análisis, con:
-Certificado de análisis.
-Ficha de datos de seguridad.
-Tiempo mínimo de vencimiento 1 año al momento de la entrega.</t>
  </si>
  <si>
    <t xml:space="preserve">Cloruro de Sodio (Reag.Ph.Eur) para análisis con:
-Ficha de datos de  seguridad.
-Tiempo mínimo de vencimiento 2 años al momento de la entrega. </t>
  </si>
  <si>
    <t>Emulsión Yema de Huevo Estéril, con:
-Certificado de análisis.
-Ficha de datos de seguridad .
-Tiempo mínimo de vencimiento de 8 meses al momento de la entrega.</t>
  </si>
  <si>
    <t xml:space="preserve"> Agar TBX (Triptona-Bilis-X-glucurónido), medio deshidratado, con:
  -Medio de cultivo con cumplimiento a la norma   ISO 11133:2014
-Certificado de análisis.
-Ficha de datos de  seguridad.
-Tiempo mínimo de vencimiento 1 año al momento de la entrega.</t>
  </si>
  <si>
    <t>Caldo base Half Fraser (Caldo Listeria 1/2 Fraser), medio deshidratado, Formula en g/L:  Acido nalidixico 0,01,  Clorhidrato de acriflavina 0,0125, Digerido enzimático de caseína 5, Extracto de carne 5, Dihidrogenofafo de potasio 1,35, Extracto de levadura 5, Cloruro de litio 3, Esculina 1, cloruro sódico 20, digerido enzimático 5, hidrogeno fosfato disódico di hidratado 12, con:
-Certificado de análisis.
-Ficha de datos de seguridad.
-Tiempo mínimo de vencimiento 1 año al momento de la entrega.</t>
  </si>
  <si>
    <t>Agar Extracto de levadura Tripticasa de soja TSAYE, medio deshidratado, con:  
-Medio de cultivo con cumplimiento a la norma   ISO 11133:2014
Certificado de análisis.
-Ficha de datos de seguridad.
-Tiempo mínimo de vencimiento 1 año al momento de la entrega.</t>
  </si>
  <si>
    <t>Agar Base Sangre, medio deshidratado, con:
-Certificado de análisis.
-Ficha de datos de seguridad.
 -Tiempo mínimo de vencimiento 1 años al momento de la entrega.</t>
  </si>
  <si>
    <t>Solución Estéril de Urea, compatible con medio deshidratado de Agar Base Urea
-Tiempo mínimo de vencimiento 18 meses al momento de la entrega.
-Certificado de análisis.
-Ficha de datos de seguridad.</t>
  </si>
  <si>
    <t>Coagulasa plasma de conejo con EDTA. Caja por 6 viales o 10 viales para reconstituir con 5ml de diluyente, volumen total mínimo  de reactivo  30ml por caja, con: 
-Certificado de análisis.
-Ficha de datos de seguridad.
-Tiempo mínimo de vencimiento 1 año al momento de la entrega.</t>
  </si>
  <si>
    <t>Kits de tinción de Gram. Incluye:  violeta cristal de Gram ≥ 250ml,  yodo ≥ 250ml ,  decolorante Gram  ≥ 250ml y  safranina de Gram ≥ 250ml. con:
-Certificado de análisis.
-Ficha de datos de seguridad.
-Tiempo mínimo de vencimiento 1 año al momento de la entrega.</t>
  </si>
  <si>
    <t>Reactivo de VDRL test para la detección de sífilis, que incluya controles positivo y negativo. 
-Con fecha de vencimiento mayor a 1 año</t>
  </si>
  <si>
    <t>6 Virología</t>
  </si>
  <si>
    <t>Sobres generadores de anaerobiosis para jarra de 2.5 litros, similar a Anaerogen,  con:
 -Certificado de análisis.
 -Ficha de datos de  seguridad.
 - Tiempo mínimo de vencimiento: 1 año al momento de entrega.</t>
  </si>
  <si>
    <t>Sistema de perlas para almacenar y reactivar cultivos de bacteria, viales para crioconservación de cepas  similar a CRYOBANK COPAN 8CRYOM  con:
 -Certificado de análisis.
 -Ficha de datos de  seguridad.
- Tiempo mínimo de vencimiento: 1 año al momento de entrega."</t>
  </si>
  <si>
    <t>Cepa Escherichia coli ATCC 25922, Material de Referencia certificado CRM, cualitativa, presentación: sedimento de microorganismos liofilizado similar a 0335-CRM con:
-Proveedor acreditado bajo ISO 17034 en el producto solicitado
-Certificado de análisis
-Ficha de datos de seguridad.
-Tiempo mínimo de vencimiento 1 años al momento de la entrega.
1 unidad</t>
  </si>
  <si>
    <t>Cepa Pseudomona Aeruginosa ATCC 9027, Material de Referencia certificado CRM, cualitativa, presentación: sedimento de microorganismos liofilizado similar a 0484-CRM con:
-Proveedor acreditado bajo ISO 17034 en el producto solicitado
-Certificado de análisis
-Ficha de datos de seguridad.
-Tiempo mínimo de vencimiento 1 años al momento de la entrega.
1 unidad</t>
  </si>
  <si>
    <t>Cepa  Salmonella enteritidis ATCC 13076 Material de Referencia certificado CRM, cualitativa, presentación: sedimento de microorganismos liofilizado similar a 0345-CRM con:
-Proveedor acreditado bajo ISO 17034 en el producto solicitado
-Certificado de análisis
-Ficha de datos de seguridad.
-Tiempo mínimo de vencimiento 1 años al momento de la entrega.
1 unidad</t>
  </si>
  <si>
    <t>Cepa Salmonella Typhimurium ATCC 14028, Material de Referencia certificado CRM, cualitativa, presentación: sedimento de microorganismos liofilizado similar a 0363-CRM con:
-Proveedor acreditado bajo ISO 17034 en el producto solicitado
-Certificado de análisis
-Ficha de datos de seguridad.
-Tiempo mínimo de vencimiento 1 años al momento de la entrega.
1 unidad</t>
  </si>
  <si>
    <t>Cepa  Shigella flexneri  ATCC 12022, Material de Referencia certificado CRM, cualitativa, presentación: sedimento de microorganismos liofilizado similar a 0356-CRM con:
-Proveedor acreditado bajo ISO 17034 en el producto solicitado
-Certificado de análisis
-Ficha de datos de seguridad.
-Tiempo mínimo de vencimiento 1 años al momento de la entrega.
1 unidad</t>
  </si>
  <si>
    <t>Cepa  Staphylococcus aureus  ATCC 25923, Material de Referencia certificado CRM, cualitativa, presentación: sedimento de microorganismos liofilizado similar a 0360-CRM con:
-Proveedor acreditado bajo ISO 17034 en el producto solicitado
-Certificado de análisis
-Ficha de datos de seguridad.
-Tiempo mínimo de vencimiento 1 años al momento de la entrega.
1 unidad</t>
  </si>
  <si>
    <t>Cepa Clostridium perfringens ATCC 13124, Material de Referencia certificado CRM, cualitativa, presentación: sedimento de microorganismos liofilizado similar a 0318-CRM con:
-Proveedor acreditado bajo ISO 17034 en el producto solicitado
-Certificado de análisis
-Ficha de datos de seguridad.
-Tiempo mínimo de vencimiento 1 años al momento de la entrega.
1 unidad</t>
  </si>
  <si>
    <t>Cepa Bacillus cereus ATCC 11778, Material de Referencia certificado CRM, cualitativa, presentación: sedimento de microorganismos liofilizado similar a 0256-CRM con:
-Proveedor acreditado bajo ISO 17034 en el producto solicitado
-Certificado de análisis
-Ficha de datos de seguridad.
-Tiempo mínimo de vencimiento 1 años al momento de la entrega.
1 unidad</t>
  </si>
  <si>
    <t>Cepa Enterococcus casseliflavus ATCC 700327, cualitativa, presentación: sedimento de microorganismos liofilizado, con:
-Proveedor acreditado bajo ISO 17034 en el producto solicitado
-Certificado de análisis
-Ficha de datos de seguridad.
-Tiempo mínimo de vencimiento 1 años al momento de la entrega.
1 unidad</t>
  </si>
  <si>
    <t>Cepa Listeria monocytogenes ATCC 15313, Material de Referencia , cualitativa, presentación: sedimento de microorganismos liofilizado similar a 0727 con:
-Proveedor acreditado bajo ISO 17034 en el producto solicitado
-Certificado de análisis
-Ficha de datos de seguridad.
-Tiempo mínimo de vencimiento 1 años al momento de la entrega.
1 unidad</t>
  </si>
  <si>
    <t>Cepa  Listeria ivanovii subsp. ivanovii  ATCC 19119, Material de Referencia, cualitativa, presentación: sedimento de microorganismos liofilizado similar a 0815 con:
-Proveedor acreditado bajo ISO 17034 en el producto solicitado
-Certificado de análisis
-Ficha de datos de seguridad.
-Tiempo mínimo de vencimiento 1 años al momento de la entrega.
1 unidad</t>
  </si>
  <si>
    <t>Cepa Klebsiella variicala ATCC 31488, Material de Referencia certificado CRM, cualitativa, presentación: sedimento de microorganismos liofilizado similar a 0261-CRM con:
-Proveedor acreditado bajo ISO 17034 en el producto solicitado
-Certificado de análisis
-Ficha de datos de seguridad.
-Tiempo mínimo de vencimiento 1 años al momento de la entrega.
1 unidad</t>
  </si>
  <si>
    <t>Cepa Eikenella corrodens ATCC BAA 1152 en pase 3, con:
 -Certificado de análisis. -Ficha de datos de seguridad. -Tiempo mínimo de vencimiento18 meses  al momento de la entrega .</t>
  </si>
  <si>
    <t>Cepa Klebsiella pneumoniae  ATCC 7006003 en pase 3, con:
 -Certificado de análisis. -Ficha de datos de seguridad. -Tiempo mínimo de vencimiento18 meses  al momento de la entrega .</t>
  </si>
  <si>
    <t>Cepa Streptococcus pneumoniae  ATCC 49619 en pase 3, con:
 -Certificado de análisis. -Ficha de datos de seguridad. -Tiempo mínimo de vencimiento18 meses  al momento de la entrega .</t>
  </si>
  <si>
    <t>Cepa Neisseria gonorrhoeae  ATCC 49226 en pase 3, con:
 -Certificado de análisis. -Ficha de datos de seguridad. -Tiempo mínimo de vencimiento18 meses  al momento de la entrega .</t>
  </si>
  <si>
    <t>Cepa  Cándida parapsilosis ATCC 22019 en pase 3, con:
 -Certificado de análisis. -Ficha de datos de seguridad. -Tiempo mínimo de vencimiento18 meses  al momento de la entrega .</t>
  </si>
  <si>
    <t>Limpiador en polvo para cámara de autoclave, similar a Tuttnauer Chamber Brite cleaner ref. CB0010.</t>
  </si>
  <si>
    <t>Sangre de caballo desfibrinada estéril  SR 0050, con:
 - Fecha de vencimiento mínima de 6 meses al momento de la entrega.
-Certificado de calidad, ficha técnica y tarjeta de emergencia. Entregas parciales acordada con LSP según fecha de vencimiento del producto.</t>
  </si>
  <si>
    <t>Sangre de cordero desfibrinada estéril con:
-Fecha de vencimiento mínima de 6 meses al momento de la entrega.
- Certificado de calidad, ficha técnica y tarjeta de emergencia.
Entrega parcial acordada con LSP según fecha de vencimiento del producto.</t>
  </si>
  <si>
    <t>Factor X.
-Fecha de vencimiento mínimo 1 año  al momento de la entrega.</t>
  </si>
  <si>
    <t xml:space="preserve"> Imipenem imi 10 ug . 
-Fecha de vencimiento mínimo 1 año  al momento de la entrega.
</t>
  </si>
  <si>
    <t xml:space="preserve"> Meropenem mrp 10ug .
- Fecha de vencimiento mínimo 1 año al momento de la entrega.</t>
  </si>
  <si>
    <t>Ceftazidima caz 30µg.
-Fecha de vencimiento mínimo 1 año al momento de la entrega.</t>
  </si>
  <si>
    <t xml:space="preserve">Azithomycin.
-Fecha de vencimiento mínimo 1 año  al momento de la entrega.
</t>
  </si>
  <si>
    <t>Ciprofloxacin 5 ug
Fecha de vencimiento mínimo 1 año  al momento de la entrega.</t>
  </si>
  <si>
    <t>Ceftazidima/avibactam (CZA 50µg)
-Fecha de vencimiento mínimo 1 año al momento de la entrega.</t>
  </si>
  <si>
    <t>Suplemento liquido para crecimiento de Campylobacter en agar(similar a SR0232E oxoid)
Certificado de análisis. 
-Ficha de datos de seguridad. 
-Tiempo mínimo de vencimiento 2 años al momento de la entrega .</t>
  </si>
  <si>
    <t>Sobres generadores de microaerofilia campygen,  no requieren catalizador , no requieran el agua para la reacción, para jarra de 2.5 litros, con:
-Certificado de análisis.
-Ficha de datos de  seguridad.
- tiempo mínimo de vencimiento 1 año al momento de entrega.</t>
  </si>
  <si>
    <t>Indicador Anaeróbico con Resazurina similar a ref. BR0055B  con:
-Certificado de análisis.
-Ficha de datos de  seguridad. 
- Tiempo mínimo de vencimiento: 1 año al momento de entrega."</t>
  </si>
  <si>
    <t xml:space="preserve"> APB Acido Borónico (BOR 300µg)
-Fecha de vencimiento mínimo 1 año al momento de la entrega.</t>
  </si>
  <si>
    <t>Medio de Transporte  CARY BLAIRD, con:
 -Fecha de vencimiento mayor a 18 meses al momento de la entrega.
 -Certificado de análisis.
-Ficha técnica.</t>
  </si>
  <si>
    <t xml:space="preserve">Medio de transporte amies con carbón activado, con:  
-Certificado de análisis.
-Ficha de datos de  seguridad.
-Tiempo mínimo de vencimiento 2 año al momento de la entrega </t>
  </si>
  <si>
    <t>Agar Chocolate suplementado en placa, con:
-Certificado de análisis.
-Ficha de datos de  seguridad.</t>
  </si>
  <si>
    <t>Agar Thayer Martin en placa, con: 
-Certificado de análisis.
-Despacho acordado con el LSP según su fecha de vencimiento.
-Ficha de datos de  seguridad.</t>
  </si>
  <si>
    <t xml:space="preserve">CALDO BASE SELENITE CYSTINE SELENITE, medio deshidratado, con:
- Certificado de análisis
-Ficha de datos de  seguridad 
-Tiempo mínimo de vencimiento 1 año al momento de la entrega. </t>
  </si>
  <si>
    <t>ENZIMA PerfeCT Multiplex qPCR SuperMix, Low ROX 200 Reactions (similar a ENZIMA QUANTA bio)
-Certificado de análisis
-Ficha de datos de seguridad
-Fecha de vencimiento mayor a un año</t>
  </si>
  <si>
    <t xml:space="preserve"> Suplemento Selectivo Palcam (Polimixina B, Acriflavina, Ceftazidima),con:
- Certificado de análisis.
-Ficha de datos de  seguridad.
-Tiempo mínimo de vencimiento 1 año al momento de la entrega.</t>
  </si>
  <si>
    <t xml:space="preserve"> Agar EXTRACTO DE CARNE, medio deshidratado, con:
- Certificado de análisis
-Ficha de datos de  seguridad 
-Tiempo mínimo de vencimiento 1 año al momento de la entrega.</t>
  </si>
  <si>
    <t>Agar Tripticasa de soya con sangre de cordero al 5% en placa, con:
-Certificado de análisis.
-Ficha de datos de  seguridad.
Tiempo mínimo de vencimiento 8 meses al momento de la entrega.
-Entregas parciales acordes con LSP.</t>
  </si>
  <si>
    <t xml:space="preserve">TIRAS para la detección de cytochrome OXIDASE en microorganismos, con:
-Certificado de análisis.
- Fecha de vencimiento mayor a un año al momento de la entrega.
</t>
  </si>
  <si>
    <t>1 Virología</t>
  </si>
  <si>
    <t>Inmunocromatografía para detección de Antígeno para SARS Cov 2 apto para muestras de hisopado o aspirado nasofaríngeo. 
-Tiempo mínimo de vencimiento 1 año al momento de la entrega.</t>
  </si>
  <si>
    <t>20 Virología</t>
  </si>
  <si>
    <t>10 Virología</t>
  </si>
  <si>
    <t>30 Virología</t>
  </si>
  <si>
    <t>Prueba de Inmunocromatografía para procesamiento de HIV/Sífilis Dúo para detección cualitativa de anticuerpos de HIV1/2 y Treponema Pallidum en suero, plasma y sangre total sensibilidad mayor a 99.0% especificidad 100%.
-Con Registro Sanitario INVIMA
-Fecha de vencimiento mayor a 18 meses.  
-Entregas parciales de acuerdo a la fecha de vencimiento.</t>
  </si>
  <si>
    <t>50 Virología</t>
  </si>
  <si>
    <t>Albúmina de suero bovino fracción V.
-Certificado de análisis.
-Fecha de vencimiento mayor a un año.</t>
  </si>
  <si>
    <t xml:space="preserve">Gentamicina 50 mg/ml.
-Certificado de análisis.
-Fecha de vencimiento mayor a un año. 1 </t>
  </si>
  <si>
    <t xml:space="preserve">Anfotericina B 250ug/ml.
-Certificado de análisis.
-Fecha de vencimiento mayor a un año. 1 </t>
  </si>
  <si>
    <t>kit RPR Carbón floculación.
-Fecha de vencimiento mayor a 1 año</t>
  </si>
  <si>
    <t>5 Virología</t>
  </si>
  <si>
    <t>NG-Test CARBA 5 inmunoensayo rápido y visual para la detección de cinco carbapenemasas KPC, OXA, VIM, IMP y NDM en colonias bacteriana obtenidas de cultivo
- Entregas parciales acordada con LSP según fecha de vencimiento del producto.</t>
  </si>
  <si>
    <t>Solución lista para eliminar contaminación por  RNasa y DNA de superficies de trabajo, instrumentos, pipetas y materiales. 
-Certificado de análisis
-Ficha de datos de seguridad
-Fecha de vencimiento mayor a un año</t>
  </si>
  <si>
    <t>40 Virología
10 MBC</t>
  </si>
  <si>
    <t>Citrato de Fentanilo estándar alta pureza,   con:
-Certificado de análisis.
-Tiempo mínimo de vencimiento mayor a 18 meses al momento de la entrega (si es USP, producto debe ser el vigente y no lote previo-VUD) . 
-Proveedor debe tener licencia FNE</t>
  </si>
  <si>
    <t xml:space="preserve"> Indicador azul de bromotimol - sal sódica, soluble en agua  
PH 6-7,6 azul, ref. 460440 para equipo lovibond, con:
-Certificado de análisis
-Tiempo mínimo de vencimiento 18 meses al momento de la entrega. </t>
  </si>
  <si>
    <t>Ácido ascórbico, estándar de referencia, con 
-Certificado de trazabilidad
-Tempo mínimo de vencimiento 2 años al momento de la entrega.</t>
  </si>
  <si>
    <t>Ácido Meta Fosfórico pureza mínima 40%, estabilizado. Con: 
- Certificado de análisis
- Tempo mínimo de vencimiento 18 meses al momento de la entrega</t>
  </si>
  <si>
    <t>Solución EDTA 1 N, con:
-Certificado de análisis trazable a SMR de NIST.
-Con certificado de trazabilidad y análisis, que incluya el valor de la incertidumbre en unidades de normalidad o porcentaje.
-Tiempo mínimo de vencimiento 18 meses al momento de la entrega.</t>
  </si>
  <si>
    <t>11-nor-9-carboxy-delta9 - THC estándar de 1mg/ml, con: 
-Certificado de análisis.
-Fecha de vencimiento mayor a 18 meses.
-Ficha d datos de seguridad.</t>
  </si>
  <si>
    <t xml:space="preserve">Acido Tricloroacético g.r. Pureza ≥99% , con:
-Certificado de análisis.
-Tiempo mínimo de vencimiento 2 años al momento de la entrega. </t>
  </si>
  <si>
    <t>Ácido acetil salicílico alta pureza - mínimo 99%, con 
-Certificado
-Tempo mínimo de vencimiento 2 años al momento de la entrega.</t>
  </si>
  <si>
    <t>Clorpirifos estándar pureza mínima 99,0%,con:
 -Certificado.
-Tiempo mínimo de vencimiento 18 meses al momento de la entrega.</t>
  </si>
  <si>
    <t>Endosulfan pureza mínima 98,0%,con:
 -Certificado de análisis.
-Tiempo mínimo de vencimiento 2 años al momento de la entrega.</t>
  </si>
  <si>
    <t>Paraquat sal dicloruro p.a. alta pureza &gt;98%,con:
-Certificado de análisis.
-Tiempo mínimo de vencimiento 2 años al momento de la entrega.</t>
  </si>
  <si>
    <t>N-Heptano p.a. con:
-Certificado de análisis
- Tiempo mínimo de vencimiento 18 meses al momento de la entrega.</t>
  </si>
  <si>
    <t>Patrón de referencia en solución  buffer de pH  9,00, con: 
-Certificado trazable a SMR de NIST u otro organismo internacionalmente reconocido, acreditación ISO17034.
- Con certificado de trazabilidad y análisis, que incluya el valor de la incertidumbre en unidades de pH. 
-Ficha de datos de  seguridad.
-Tiempo mínimo de vencimiento 18 meses al momento de la entrega.</t>
  </si>
  <si>
    <t>Patrón de referencia en solución  buffer de pH  4,01,  con:
-Certificado trazable a SMR de NIST u otro organismo internacionalmente reconocido, acreditación ISO17034.
-Certificado de trazabilidad y análisis, que incluya el valor de la incertidumbre en unidades de pH, con:
-Ficha de datos de  seguridad.
-Tiempo mínimo de vencimiento  18 meses al momento de la entrega.
 ( lote diferente)</t>
  </si>
  <si>
    <t>Patrón de referencia en solución  buffer de pH  10.00, con:
- Certificado trazable a SMR de NIST u otro organismo internacionalmente reconocido , acreditación ISO17034.                                                                                                                    -Certificado de trazabilidad y análisis, que incluya el valor de la incertidumbre en unidades de pH.
-Ficha de datos de  seguridad.
-Tiempo mínimo de vencimiento 18 meses al momento de la entrega.
( lote diferente)</t>
  </si>
  <si>
    <t>Patrón de referencia en solución buffer de pH 7.00, con:
-Certificado trazable a SRM de NIST u otro organismo internacionalmente reconocido, acreditación ISO 17034.
-Con certificado de trazabilidad y análisis, que incluya el valor de la incertidumbre en unidades de pH. 
-Ficha de datos de  seguridad.
-Tiempo mínimo de vencimiento 18 meses al momento de la entrega.
( lote diferente)</t>
  </si>
  <si>
    <t>Misoprostol, grado HPLC, pureza mínima de 99%, con:
-Certificado de análisis
-Vencimiento mayor a 18 meses al momento de la entrega
- Ficha de datos de seguridad.</t>
  </si>
  <si>
    <t>Solución EDTA 0.1 M, con:
-Certificado de análisis trazable a SMR de NIST.
-Con certificado de trazabilidad y análisis, que incluya el valor de la incertidumbre en unidades de normalidad o porcentaje.
-Ficha de datos de  seguridad.
-Tiempo mínimo de vencimiento 18 meses al momento de la entrega.</t>
  </si>
  <si>
    <t>Nitrato de plata 0,1 N, con certificado de análisis trazable a SMR de NIST u otro organismo internacionalmente reconocido, con certificado de trazabilidad y análisis, que incluya el valor de la incertidumbre en unidades de normalidad o porcentaje, con:
- fecha de vencimiento mayor a 18 meses. 
-Certificado de análisis</t>
  </si>
  <si>
    <t>Sodio Hidróxido 1 mol/l (1N) (Reag. Ph.Eur.) solución valorada, Factor a 20°C: 0,999 - 1,001, con declaración de incertidumbre, Trazabilidad: NIST,  con:
-Certificado de análisis.
-Ficha de datos de  seguridad.
-Tiempo mínimo de vencimiento 18 meses al momento de la entrega.</t>
  </si>
  <si>
    <t>Solución patrón de Hierro de 1000 mg/L, trazable a SRM de NIST u otro organismo internacionalmente reconocido según ISO 17034, con :
-Certificado de trazabilidad y análisis, que incluya el valor de la incertidumbre en unidades de mg/L.
-Ficha de datos de  seguridad.
-Tiempo mínimo de vencimiento 18 meses al momento de la entrega.</t>
  </si>
  <si>
    <t>Kit de determinación de fosfatasa alcalina (similar a BioSystems Referencia 11592) con: 
-Tiempo mínimo de vencimiento 18 meses al momento de la entrega.
- Despachos en acuerdo con el LSP.
-Certificado de análisis</t>
  </si>
  <si>
    <t>Estándar volumétrico de carbonato de calcio, material de referencia secundario para complexometría, trazable al material de referencia estándar (SRM) del NIST Certipur® Reag. USP. CAS 471-34-1, con acreditación en ISO 17034, declaración de la incertidumbre.
-Tiempo mínimo de vencimiento 18 meses al momento de la entrega.
-Certificado de análisis</t>
  </si>
  <si>
    <t>Estándar de conductividad de 147 umhos/cm a 25 °C trazable al SI, trazable a SRM de NIST u otro organismo internacionalmente reconocido, con:
- Certificado de trazabilidad y análisis, acreditación ISO 17034, que incluya el valor de la incertidumbre en unidades de uS/cm.
-Ficha de datos de  seguridad.
-Tiempo mínimo de vencimiento 18 meses al momento de la entrega.</t>
  </si>
  <si>
    <t>Estándar de conductividad de 1412 umhos/cm a 25 °C trazable al SI, trazable a SRM de NIST u otro organismo internacionalmente reconocido, con:
- Certificado de trazabilidad y análisis, acreditación ISO 17034, que incluya el valor de la incertidumbre en unidades de uS/cm.
-Ficha de datos de  seguridad.
-Tiempo mínimo de vencimiento 18 meses al momento de la entrega.</t>
  </si>
  <si>
    <t>Patrón de turbiedad de 20 NTU, trazable a SRM de NIST, con:
- Certificado de trazabilidad y análisis,  acreditación según ISO 17034, que incluya el valor de la incertidumbre en unidades de NTU.
-Ficha de datos de  seguridad.
-Tiempo mínimo de vencimiento 18 meses al momento de la entrega.</t>
  </si>
  <si>
    <t>Solución patrón de color de 500 UPC, trazable a SRM de NIST, con:
-Con certificado de trazabilidad y análisis,  acreditación según ISO 17034, que incluya el valor de la incertidumbre en unidades de UPC.
-Ficha de datos de  seguridad.
-Tiempo mínimo de vencimiento 18 meses al momento de la entrega.</t>
  </si>
  <si>
    <t>Hidróxido de amonio del 28 al 30 %,  NH4OH,con:
-Ficha de datos de  seguridad.
-Tiempo mínimo de vencimiento 18 meses al momento de la entrega.
-Certificado de análisis</t>
  </si>
  <si>
    <t>Peróxido de hidrogeno 30% para análisis -Tiempo mínimo de vencimiento 18 meses al momento de la entrega.
-Certificado de análisis</t>
  </si>
  <si>
    <t xml:space="preserve"> Fenolftaleína Indicador ACS, Reag. Ph Eur.
-Tiempo mínimo de vencimiento 18 meses al momento de la entrega.
-Certificado de análisis
- Fichas de Datos de Seguridad</t>
  </si>
  <si>
    <t>Potasio Yoduro (USP, BP, Ph. Eur.) puro, grado análisis. 99,0-100,5 %. con:
- Certificado de análisis y trazabilidad a Nist
-Ficha de datos de  seguridad.
-Tiempo mínimo de vencimiento 18 meses al momento de la entrega.</t>
  </si>
  <si>
    <t>Oxido de magnesio para análisis
-Tiempo mínimo de vencimiento 18 meses al momento de la entrega.
-Certificado de análisis.
-Ficha de datos de seguridad.</t>
  </si>
  <si>
    <t>Estándar volumétrico de carbonato de sodio, material de referencia secundario para acidimetría, trazable a NIST SRM Certipur®. Número CAS 497-19-8,  con acreditación en ISO 17034, declaración de la incertidumbre.
-Tiempo mínimo de vencimiento 18 meses al momento de la entrega.
-Certificado de análisis.
-Ficha de datos de seguridad.</t>
  </si>
  <si>
    <t>Solución Fehling A para determinar azucares., con:
 -Certificado de análisis.
-Ficha de datos de  seguridad.
-Tiempo mínimo de vencimiento 18 meses al momento de la entrega.</t>
  </si>
  <si>
    <t>Solución Fehling B para determinar azucares, con:
 -Certificado de análisis.
-Ficha de datos de  seguridad.
-Tiempo mínimo de vencimiento 18 meses al momento de la entrega.</t>
  </si>
  <si>
    <t>Zinc metálico granular de grado reactivo con:
-Certificado de análisis.
-Ficha de datos de seguridad.
-Tiempo mínimo de vencimiento 1 año al momento de la entrega."</t>
  </si>
  <si>
    <t>Lugol de gram, con:
-Certificado de análisis.
-Ficha de datos de  seguridad.
-Tiempo mínimo de vencimiento 2 años al momento de la entrega.</t>
  </si>
  <si>
    <t>1,10-Fenantrolina 1- hidrato (Reag. USP) para  análisis, ACS , con:
Certificado de análisis.
-Ficha de datos de  seguridad.
-Tiempo mínimo de vencimiento mínimo 2 años al momento de la entrega.</t>
  </si>
  <si>
    <t>Guaiacol, con: 
-Ficha de datos de  seguridad.
-Tiempo mínimo de vencimiento 18 meses al momento de la entrega.
-Certificado de análisis</t>
  </si>
  <si>
    <t xml:space="preserve">
Ácido Sulfúrico 0,05 mol/l (0,1N) solución valorada, 
Factor a 20°C: 0,999 - 1,001
Incertidumbre: Ver certificado
Trazabilidad: NIST
-Certificado de análisis.
-Tiempo mínimo de vencimiento 18 meses al momento de la entrega</t>
  </si>
  <si>
    <t>Sodio Hidróxido 0,1 mol/l (0,1N) (Reag. USP, Ph.Eur.) solución valorada, Factor a 20°C: 0,999 - 1,001, con:
-Certificado con declaración de incertidumbre, trazabilidad a NIST.
-Ficha de datos de  seguridad.
-Tiempo mínimo de vencimiento 18 meses al momento de la entrega.</t>
  </si>
  <si>
    <t>Sodio Hidróxido lentejas (Reag. USP) para análisis, ACS, ISO
-Tiempo mínimo de vencimiento 18 meses al momento de la entrega.
-Certificado de análisis.
-Ficha de datos de seguridad.</t>
  </si>
  <si>
    <t>Ácido Sulfúrico 90-91% según Gerber para análisis
-Tiempo mínimo de vencimiento 18 meses al momento de la entrega.
-Certificado de análisis.
-Ficha de datos de seguridad.</t>
  </si>
  <si>
    <t>Sulfanilamida 98% (Reag. Ph. Eur.) para análisis
-Tiempo mínimo de vencimiento 18 meses al momento de la entrega.
-Certificado de análisis.
-Ficha de datos de seguridad.</t>
  </si>
  <si>
    <t>Sodio Nitrato (Reag. USP, Ph. Eur.) para análisis, ACS, ISO
-Tiempo mínimo de vencimiento 18 meses al momento de la entrega.
-Certificado de análisis.
-Ficha de datos de seguridad.</t>
  </si>
  <si>
    <t>Ácido Bórico para análisis, ACS, ISO
-Tiempo mínimo de vencimiento 18 meses al momento de la entrega.
-Certificado de análisis.
-Ficha de datos de seguridad.</t>
  </si>
  <si>
    <t>Potasio Yodato (Reag. USP, Ph. Eur.) para análisis, ACS
-Tiempo mínimo de vencimiento 18 meses al momento de la entrega.
-Certificado de análisis.
-Ficha de datos de seguridad.</t>
  </si>
  <si>
    <t>TNT para Carbono Orgánico Total, TOC (método de purga), de 0,3 a 20,0 mg/L C, para lectura en equipo  DR900. 
-Tiempo mínimo de vencimiento 18 meses al momento de la entrega.
-Certificado de análisis.
-Ficha de datos de seguridad.</t>
  </si>
  <si>
    <t>Colorante Azul  de Metileno ZN, con:
-Ficha de datos de  seguridad.
-Tiempo mínimo de vencimiento 18 meses al momento de la entrega. 
-Certificado de análisis</t>
  </si>
  <si>
    <t>Colorante  Fucsina fenicada ZN, con:
-Ficha de datos de  seguridad.
-Tiempo mínimo de vencimiento 18 meses al momento de la entrega. 
-Certificado de análisis</t>
  </si>
  <si>
    <t>1 Micobacterias
1 Entomología</t>
  </si>
  <si>
    <t xml:space="preserve">Alcohol  Acido ZN , con:
-Ficha de datos de  seguridad.
-Tiempo mínimo de vencimiento 18 meses al momento de la entrega. </t>
  </si>
  <si>
    <t>Clorhidrato de Guanidina 6M
-Tiempo mínimo de vencimiento 18 meses al momento de la entrega.
-Certificado de análisis.
-Ficha de datos de seguridad.</t>
  </si>
  <si>
    <t>Alcohol Metílico (Metanol)
-Tiempo mínimo de vencimiento 18 meses al momento de la entrega.
-Certificado de análisis.
-Ficha de datos de seguridad.</t>
  </si>
  <si>
    <t>Hidróxido potásico (KOH) en solución acuosa al 10 %. 
- Certificado de análisis.
- Con vencimiento mayor a 18 meses al momento de la entrega</t>
  </si>
  <si>
    <t>Bálsamo de Canadá (Entellan)
- Certificado de análisis.
- Con vencimiento mayor a 18 meses al momento de la entrega.</t>
  </si>
  <si>
    <t>Xilol (= xileno). Disolvente del bálsamo del Canadá, DPX y euparal. 
- Certificado de análisis.
- Con vencimiento mayor a 18 meses al momento de la entrega.</t>
  </si>
  <si>
    <t xml:space="preserve"> Aceite de inmersión.
-Fecha de vencimiento mayor a 18 meses al momento de la entrega. 
-Certificado de análisis.
-Ficha de datos de seguridad. </t>
  </si>
  <si>
    <t>1 Virología
6 ETV</t>
  </si>
  <si>
    <t xml:space="preserve">Amonio cuaternario quinta generación al 6% con:
-Certificado de análisis, declaración de lote y fecha de vencimiento.
- Ficha de datos de seguridad.
-Tiempo mínimo de vencimiento 1 año al momento de entrega. </t>
  </si>
  <si>
    <t>Galón x 4L</t>
  </si>
  <si>
    <t>Detergente alcalino para lavado de material de laboratorio.
- Certificado de análisis.
- Ficha de datos de seguridad.
-Tiempo mínimo de vencimiento  1 año al momento de entrega.</t>
  </si>
  <si>
    <t>Galón x 3.8L</t>
  </si>
  <si>
    <t>Hipoclorito de Sodio  al 15%, con:
-Certificado de análisis, declaración de lote y fecha de vencimiento.
-Ficha de datos de seguridad.
-Tiempo mínimo de vencimiento 1 año al momento de la entrega.</t>
  </si>
  <si>
    <t>1 Virología
1 ETV
1 MBC
5 MBA</t>
  </si>
  <si>
    <t>Jabón  líquido anti grasa. Tipo Industrial</t>
  </si>
  <si>
    <t>Balón volumétrico vidrio ámbar 20ml  CLASE A, con certificado.</t>
  </si>
  <si>
    <t>Garrafón de polipropileno x 20L, con manijas y llave-Nalgene esterilizable.</t>
  </si>
  <si>
    <t>Caja  plástica  resistente porta  láminas para 100 espacios tapa con  cierre de bisagra  niquelado.</t>
  </si>
  <si>
    <t>Filtro de microfibra de vidrio, tamaño de poro de 1,5 un  diámetro 90-100mm. Similar a ref. 1827-090 Whatman.</t>
  </si>
  <si>
    <t>Gasa tejida aséptica hospitalaria, hilo de algodón 100%</t>
  </si>
  <si>
    <t>Bolsas de sellado hermético 20x24cm aprox.</t>
  </si>
  <si>
    <t>2 ETV 
6 Entomología
2 Virología
1 FQ 
1 MBA
1 TOX</t>
  </si>
  <si>
    <t xml:space="preserve">Bolsas de sellado hermético 10 x 15cm aprox.
</t>
  </si>
  <si>
    <t>2 ETV
6 Entomología
2 Virología
1 TOX
1 MBA</t>
  </si>
  <si>
    <t>5 ETV
50 Virología</t>
  </si>
  <si>
    <t>Detergente Neutro.
-Certificado de análisis, declaración de lote y fecha de vencimiento. 
- Ficha de datos de seguridad.
-Tiempo mínimo de vencimiento  1 año al momento de entrega.</t>
  </si>
  <si>
    <t>Peróxido de hidrógeno al 30% para desinfección, con:
-Certificado de análisis con declaración de fecha de vencimiento y lote.
-Ficha de datos de seguridad.
-Tiempo mínimo de vencimiento  1 año al momento de entrega.</t>
  </si>
  <si>
    <t>Celda o cubeta de cuarzo cuadradas de 10mm de paso para espectrofotometría UV-VIS.
 con certificado.</t>
  </si>
  <si>
    <t>Asas rectas o agujas de inoculación material poliestireno, polipropileno o semejante.</t>
  </si>
  <si>
    <t xml:space="preserve">Inmunocromatografía  para la detección  de  anticuerpos de la Hepatitis A, en suero o plasma .
-Con fecha de vencimiento mayor a 1 año.  </t>
  </si>
  <si>
    <t>Inmunocromatografía Dúo para detección de Anticuerpos IgG e IgM y Antígeno NS1 para Dengue en muestras de sangre total y suero.
Tiempo mínimo de vencimiento 1 año al momento de la entrega.</t>
  </si>
  <si>
    <t>Inmunocromatografía  para la detección cualitativa de anticuerpos contra el treponema pallidum,  en suero. sensibilidad mayor a 95.0% especificidad 100%.
Con Registro Sanitario INVIMA
-Fecha de vencimiento mayor a 18 meses.  
-Entregas parciales de acuerdo a la fecha de vencimiento.</t>
  </si>
  <si>
    <t>Inmunocromatografía para la detección cualitativa de anticuerpos de la Hepatitis C, en suero, plasma y sangre total. sensibilidad mayor a 95.0% especificidad 100%.
-Con Registro Sanitario INVIMA
-Fecha de vencimiento mayor a 18 meses.  
-Entregas parciales de acuerdo a la fecha de vencimiento.</t>
  </si>
  <si>
    <t>Inmunocromatografía para la detección cualitativa de Anticuerpos para HIV 1/2 y antígeno p24 simultáneamente en suero, plasma y sangre total. sensibilidad mayor a 99.0% especificidad 100%.
- precalificado por la OMS
 -Con Registro Sanitario INVIMA
-Con fecha de vencimiento mayor a 18 meses.  
-Entregas parciales de acuerdo a la fecha de vencimiento</t>
  </si>
  <si>
    <t>Ácido Cromotrópico  sal disódica, pureza min. 98%  con:
-Certificado de análisis.
- -Tiempo mínimo de vencimiento 2 años al momento de la entrega</t>
  </si>
  <si>
    <t>Dicromato de Potasio g.r. con:
 -Certificado de análisis.
-Tiempo mínimo de vencimiento 2 años al momento de la entrega.</t>
  </si>
  <si>
    <t>Etanol absoluto para análisis, ACS, ISO, Reag. Ph Eur, pureza mayor a 99%, con: 
-Tiempo mínimo de vencimiento 2 años al momento de la entrega.
-Certificado de análisis</t>
  </si>
  <si>
    <t>Frasco lavador, PE-LD, flexible. Cabezal de lavado roscado desmontable. Tubo de suministro de altura ajustable, 250 ml</t>
  </si>
  <si>
    <r>
      <t>Azul de bromotimol para análisis Intervalo de viraje de pH: amarillo:</t>
    </r>
    <r>
      <rPr>
        <u/>
        <sz val="10"/>
        <color rgb="FFFF0000"/>
        <rFont val="Arial"/>
        <family val="2"/>
      </rPr>
      <t xml:space="preserve"> 5,8 </t>
    </r>
    <r>
      <rPr>
        <sz val="10"/>
        <color theme="1"/>
        <rFont val="Arial"/>
        <family val="2"/>
      </rPr>
      <t>Intervalo de viraje de pH: azul: 7,6,con:
 _Certificado de análisis.
-Ficha de datos de  seguridad.
-Tiempo mínimo de vencimiento 18 meses al momento de la entrega.</t>
    </r>
  </si>
  <si>
    <r>
      <t xml:space="preserve">Acido Láctico </t>
    </r>
    <r>
      <rPr>
        <u/>
        <sz val="10"/>
        <color rgb="FFFF0000"/>
        <rFont val="Arial"/>
        <family val="2"/>
      </rPr>
      <t>88-92</t>
    </r>
    <r>
      <rPr>
        <sz val="10"/>
        <color theme="1"/>
        <rFont val="Arial"/>
        <family val="2"/>
      </rPr>
      <t>% soluble en agua, con:
- Certificado de análisis.
- Con vencimiento mayor a 18 meses al momento de la entrega.
-Ficha de datos de seguridad.</t>
    </r>
  </si>
  <si>
    <r>
      <t>Ácido Nítrico</t>
    </r>
    <r>
      <rPr>
        <sz val="10"/>
        <color rgb="FFFF0000"/>
        <rFont val="Arial"/>
        <family val="2"/>
      </rPr>
      <t xml:space="preserve"> pureza igual o mayor al 65%</t>
    </r>
    <r>
      <rPr>
        <sz val="10"/>
        <color theme="1"/>
        <rFont val="Arial"/>
        <family val="2"/>
      </rPr>
      <t xml:space="preserve"> (Reag. USP, Ph. Eur.) para análisis, ACS, ISO
- Certificado de análisis
-Ficha de datos de  seguridad 
-Tiempo mínimo de vencimiento 1 año al momento de la entrega.</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</si>
</sst>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quot;$&quot;\ #,##0;[Red]&quot;$&quot;\ #,##0"/>
    <numFmt numFmtId="165" formatCode="&quot;$&quot;\ #,##0.00;[Red]&quot;$&quot;\ #,##0.00"/>
    <numFmt numFmtId="166" formatCode="&quot;$&quot;\ #,##0"/>
    <numFmt numFmtId="167" formatCode="&quot;$&quot;\ #,##0.0;[Red]&quot;$&quot;\ #,##0.0"/>
    <numFmt numFmtId="168" formatCode="&quot;$&quot;\ #,##0.00"/>
  </numFmts>
  <fonts count="21" x14ac:knownFonts="1">
    <font>
      <sz val="11"/>
      <color theme="1"/>
      <name val="Calibri"/>
      <family val="2"/>
      <scheme val="minor"/>
    </font>
    <font>
      <sz val="11"/>
      <color theme="1"/>
      <name val="Calibri"/>
      <family val="2"/>
      <scheme val="minor"/>
    </font>
    <font>
      <b/>
      <sz val="11"/>
      <color theme="1"/>
      <name val="Calibri"/>
      <family val="2"/>
      <scheme val="minor"/>
    </font>
    <font>
      <sz val="11"/>
      <color theme="1"/>
      <name val="Calibri"/>
      <family val="2"/>
    </font>
    <font>
      <sz val="10"/>
      <color theme="1"/>
      <name val="Calibri"/>
      <family val="2"/>
    </font>
    <font>
      <b/>
      <sz val="10"/>
      <color theme="1"/>
      <name val="Arial"/>
      <family val="2"/>
    </font>
    <font>
      <b/>
      <sz val="10"/>
      <color theme="1"/>
      <name val="Calibri"/>
      <family val="2"/>
    </font>
    <font>
      <sz val="11"/>
      <color theme="1"/>
      <name val="Arial"/>
      <family val="2"/>
    </font>
    <font>
      <b/>
      <u/>
      <sz val="10"/>
      <color theme="1"/>
      <name val="Arial"/>
      <family val="2"/>
    </font>
    <font>
      <b/>
      <u/>
      <sz val="11"/>
      <color theme="1"/>
      <name val="Arial"/>
      <family val="2"/>
    </font>
    <font>
      <b/>
      <sz val="11"/>
      <color theme="1"/>
      <name val="Arial"/>
      <family val="2"/>
    </font>
    <font>
      <sz val="10"/>
      <color theme="1"/>
      <name val="Arial"/>
      <family val="2"/>
    </font>
    <font>
      <sz val="11"/>
      <color rgb="FFFF0000"/>
      <name val="Arial"/>
      <family val="2"/>
    </font>
    <font>
      <sz val="10"/>
      <color rgb="FFFF0000"/>
      <name val="Arial"/>
      <family val="2"/>
    </font>
    <font>
      <sz val="10"/>
      <color theme="1"/>
      <name val="Calibri"/>
      <family val="2"/>
      <scheme val="minor"/>
    </font>
    <font>
      <sz val="10"/>
      <color theme="1" tint="4.9989318521683403E-2"/>
      <name val="Arial"/>
      <family val="2"/>
    </font>
    <font>
      <sz val="10"/>
      <color rgb="FF000000"/>
      <name val="Arial"/>
      <family val="2"/>
    </font>
    <font>
      <sz val="11"/>
      <color theme="1" tint="4.9989318521683403E-2"/>
      <name val="Arial"/>
      <family val="2"/>
    </font>
    <font>
      <b/>
      <sz val="9"/>
      <color indexed="81"/>
      <name val="Tahoma"/>
      <family val="2"/>
    </font>
    <font>
      <sz val="9"/>
      <color indexed="81"/>
      <name val="Tahoma"/>
      <family val="2"/>
    </font>
    <font>
      <u/>
      <sz val="10"/>
      <color rgb="FFFF0000"/>
      <name val="Arial"/>
      <family val="2"/>
    </font>
  </fonts>
  <fills count="8">
    <fill>
      <patternFill patternType="none"/>
    </fill>
    <fill>
      <patternFill patternType="gray125"/>
    </fill>
    <fill>
      <patternFill patternType="solid">
        <fgColor rgb="FFFFFF00"/>
        <bgColor indexed="64"/>
      </patternFill>
    </fill>
    <fill>
      <patternFill patternType="solid">
        <fgColor rgb="FF92D050"/>
        <bgColor indexed="64"/>
      </patternFill>
    </fill>
    <fill>
      <patternFill patternType="solid">
        <fgColor theme="5" tint="0.79998168889431442"/>
        <bgColor indexed="64"/>
      </patternFill>
    </fill>
    <fill>
      <patternFill patternType="solid">
        <fgColor rgb="FFFFFFFF"/>
        <bgColor rgb="FFFFFFFF"/>
      </patternFill>
    </fill>
    <fill>
      <patternFill patternType="solid">
        <fgColor theme="0"/>
        <bgColor theme="0"/>
      </patternFill>
    </fill>
    <fill>
      <patternFill patternType="solid">
        <fgColor rgb="FFFFC000"/>
        <bgColor indexed="64"/>
      </patternFill>
    </fill>
  </fills>
  <borders count="91">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style="medium">
        <color indexed="64"/>
      </top>
      <bottom/>
      <diagonal/>
    </border>
    <border>
      <left style="medium">
        <color indexed="64"/>
      </left>
      <right style="medium">
        <color indexed="64"/>
      </right>
      <top style="medium">
        <color indexed="64"/>
      </top>
      <bottom/>
      <diagonal/>
    </border>
    <border>
      <left style="thin">
        <color indexed="64"/>
      </left>
      <right style="thin">
        <color indexed="64"/>
      </right>
      <top style="medium">
        <color indexed="64"/>
      </top>
      <bottom style="thin">
        <color indexed="64"/>
      </bottom>
      <diagonal/>
    </border>
    <border>
      <left/>
      <right style="thin">
        <color rgb="FF000000"/>
      </right>
      <top style="medium">
        <color indexed="64"/>
      </top>
      <bottom style="thin">
        <color rgb="FF000000"/>
      </bottom>
      <diagonal/>
    </border>
    <border>
      <left style="thin">
        <color rgb="FF000000"/>
      </left>
      <right style="thin">
        <color rgb="FF000000"/>
      </right>
      <top style="medium">
        <color indexed="64"/>
      </top>
      <bottom style="thin">
        <color rgb="FF000000"/>
      </bottom>
      <diagonal/>
    </border>
    <border>
      <left style="thin">
        <color rgb="FF000000"/>
      </left>
      <right/>
      <top style="medium">
        <color indexed="64"/>
      </top>
      <bottom style="thin">
        <color rgb="FF000000"/>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right/>
      <top style="medium">
        <color indexed="64"/>
      </top>
      <bottom/>
      <diagonal/>
    </border>
    <border>
      <left style="medium">
        <color indexed="64"/>
      </left>
      <right/>
      <top/>
      <bottom/>
      <diagonal/>
    </border>
    <border>
      <left style="medium">
        <color indexed="64"/>
      </left>
      <right style="medium">
        <color indexed="64"/>
      </right>
      <top/>
      <bottom/>
      <diagonal/>
    </border>
    <border>
      <left style="thin">
        <color indexed="64"/>
      </left>
      <right style="thin">
        <color indexed="64"/>
      </right>
      <top style="thin">
        <color indexed="64"/>
      </top>
      <bottom style="thin">
        <color indexed="64"/>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style="medium">
        <color indexed="64"/>
      </bottom>
      <diagonal/>
    </border>
    <border>
      <left/>
      <right style="thin">
        <color rgb="FF000000"/>
      </right>
      <top style="thin">
        <color rgb="FF000000"/>
      </top>
      <bottom style="medium">
        <color indexed="64"/>
      </bottom>
      <diagonal/>
    </border>
    <border>
      <left style="thin">
        <color rgb="FF000000"/>
      </left>
      <right style="thin">
        <color rgb="FF000000"/>
      </right>
      <top style="thin">
        <color rgb="FF000000"/>
      </top>
      <bottom style="medium">
        <color indexed="64"/>
      </bottom>
      <diagonal/>
    </border>
    <border>
      <left style="thin">
        <color rgb="FF000000"/>
      </left>
      <right/>
      <top style="thin">
        <color rgb="FF000000"/>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top/>
      <bottom style="medium">
        <color indexed="64"/>
      </bottom>
      <diagonal/>
    </border>
    <border>
      <left/>
      <right style="thin">
        <color rgb="FF000000"/>
      </right>
      <top/>
      <bottom style="thin">
        <color rgb="FF000000"/>
      </bottom>
      <diagonal/>
    </border>
    <border>
      <left style="thin">
        <color indexed="64"/>
      </left>
      <right style="thin">
        <color indexed="64"/>
      </right>
      <top style="thin">
        <color indexed="64"/>
      </top>
      <bottom/>
      <diagonal/>
    </border>
    <border>
      <left/>
      <right style="thin">
        <color rgb="FF000000"/>
      </right>
      <top style="thin">
        <color rgb="FF000000"/>
      </top>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bottom style="medium">
        <color indexed="64"/>
      </bottom>
      <diagonal/>
    </border>
    <border>
      <left style="thin">
        <color rgb="FF000000"/>
      </left>
      <right style="thin">
        <color rgb="FF000000"/>
      </right>
      <top/>
      <bottom style="medium">
        <color indexed="64"/>
      </bottom>
      <diagonal/>
    </border>
    <border>
      <left style="thin">
        <color rgb="FF000000"/>
      </left>
      <right/>
      <top/>
      <bottom style="medium">
        <color indexed="64"/>
      </bottom>
      <diagonal/>
    </border>
    <border>
      <left style="thin">
        <color indexed="64"/>
      </left>
      <right/>
      <top/>
      <bottom style="medium">
        <color indexed="64"/>
      </bottom>
      <diagonal/>
    </border>
    <border>
      <left style="medium">
        <color indexed="64"/>
      </left>
      <right style="medium">
        <color indexed="64"/>
      </right>
      <top style="medium">
        <color indexed="64"/>
      </top>
      <bottom style="medium">
        <color indexed="64"/>
      </bottom>
      <diagonal/>
    </border>
    <border>
      <left/>
      <right style="thin">
        <color rgb="FF000000"/>
      </right>
      <top style="medium">
        <color indexed="64"/>
      </top>
      <bottom style="medium">
        <color indexed="64"/>
      </bottom>
      <diagonal/>
    </border>
    <border>
      <left style="thin">
        <color rgb="FF000000"/>
      </left>
      <right style="thin">
        <color rgb="FF000000"/>
      </right>
      <top style="medium">
        <color indexed="64"/>
      </top>
      <bottom style="medium">
        <color indexed="64"/>
      </bottom>
      <diagonal/>
    </border>
    <border>
      <left style="thin">
        <color rgb="FF000000"/>
      </left>
      <right/>
      <top style="medium">
        <color indexed="64"/>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thin">
        <color indexed="64"/>
      </left>
      <right/>
      <top style="medium">
        <color indexed="64"/>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medium">
        <color indexed="64"/>
      </bottom>
      <diagonal/>
    </border>
    <border>
      <left style="thin">
        <color indexed="64"/>
      </left>
      <right style="medium">
        <color indexed="64"/>
      </right>
      <top style="thin">
        <color indexed="64"/>
      </top>
      <bottom style="thin">
        <color indexed="64"/>
      </bottom>
      <diagonal/>
    </border>
    <border>
      <left/>
      <right style="thin">
        <color rgb="FF000000"/>
      </right>
      <top style="medium">
        <color indexed="64"/>
      </top>
      <bottom/>
      <diagonal/>
    </border>
    <border>
      <left style="thin">
        <color rgb="FF000000"/>
      </left>
      <right style="thin">
        <color rgb="FF000000"/>
      </right>
      <top style="medium">
        <color indexed="64"/>
      </top>
      <bottom/>
      <diagonal/>
    </border>
    <border>
      <left style="thin">
        <color rgb="FF000000"/>
      </left>
      <right style="thin">
        <color indexed="64"/>
      </right>
      <top style="medium">
        <color indexed="64"/>
      </top>
      <bottom/>
      <diagonal/>
    </border>
    <border>
      <left style="medium">
        <color indexed="64"/>
      </left>
      <right style="medium">
        <color indexed="64"/>
      </right>
      <top style="thin">
        <color indexed="64"/>
      </top>
      <bottom style="thin">
        <color indexed="64"/>
      </bottom>
      <diagonal/>
    </border>
    <border>
      <left/>
      <right style="thin">
        <color rgb="FF000000"/>
      </right>
      <top/>
      <bottom/>
      <diagonal/>
    </border>
    <border>
      <left style="thin">
        <color rgb="FF000000"/>
      </left>
      <right style="thin">
        <color rgb="FF000000"/>
      </right>
      <top/>
      <bottom/>
      <diagonal/>
    </border>
    <border>
      <left style="thin">
        <color rgb="FF000000"/>
      </left>
      <right style="thin">
        <color indexed="64"/>
      </right>
      <top/>
      <bottom/>
      <diagonal/>
    </border>
    <border>
      <left style="medium">
        <color indexed="64"/>
      </left>
      <right style="medium">
        <color indexed="64"/>
      </right>
      <top style="thin">
        <color indexed="64"/>
      </top>
      <bottom style="medium">
        <color indexed="64"/>
      </bottom>
      <diagonal/>
    </border>
    <border>
      <left style="thin">
        <color rgb="FF000000"/>
      </left>
      <right style="thin">
        <color indexed="64"/>
      </right>
      <top/>
      <bottom style="medium">
        <color indexed="64"/>
      </bottom>
      <diagonal/>
    </border>
    <border>
      <left/>
      <right/>
      <top style="medium">
        <color indexed="64"/>
      </top>
      <bottom style="thin">
        <color rgb="FF000000"/>
      </bottom>
      <diagonal/>
    </border>
    <border>
      <left/>
      <right/>
      <top style="thin">
        <color rgb="FF000000"/>
      </top>
      <bottom style="thin">
        <color rgb="FF000000"/>
      </bottom>
      <diagonal/>
    </border>
    <border>
      <left/>
      <right/>
      <top style="thin">
        <color rgb="FF000000"/>
      </top>
      <bottom/>
      <diagonal/>
    </border>
    <border>
      <left style="thin">
        <color rgb="FF000000"/>
      </left>
      <right/>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rgb="FF000000"/>
      </left>
      <right style="thin">
        <color rgb="FF000000"/>
      </right>
      <top/>
      <bottom style="thin">
        <color rgb="FF000000"/>
      </bottom>
      <diagonal/>
    </border>
    <border>
      <left style="thin">
        <color rgb="FF000000"/>
      </left>
      <right/>
      <top/>
      <bottom style="thin">
        <color rgb="FF000000"/>
      </bottom>
      <diagonal/>
    </border>
    <border>
      <left style="medium">
        <color indexed="64"/>
      </left>
      <right style="thin">
        <color indexed="64"/>
      </right>
      <top style="thin">
        <color indexed="64"/>
      </top>
      <bottom/>
      <diagonal/>
    </border>
    <border>
      <left style="medium">
        <color indexed="64"/>
      </left>
      <right/>
      <top style="medium">
        <color indexed="64"/>
      </top>
      <bottom style="medium">
        <color indexed="64"/>
      </bottom>
      <diagonal/>
    </border>
    <border>
      <left style="thin">
        <color indexed="64"/>
      </left>
      <right/>
      <top/>
      <bottom/>
      <diagonal/>
    </border>
    <border>
      <left style="thin">
        <color rgb="FF000000"/>
      </left>
      <right/>
      <top style="medium">
        <color indexed="64"/>
      </top>
      <bottom/>
      <diagonal/>
    </border>
    <border>
      <left/>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medium">
        <color indexed="64"/>
      </bottom>
      <diagonal/>
    </border>
    <border>
      <left/>
      <right style="thin">
        <color indexed="64"/>
      </right>
      <top/>
      <bottom/>
      <diagonal/>
    </border>
    <border>
      <left style="medium">
        <color indexed="64"/>
      </left>
      <right style="medium">
        <color indexed="64"/>
      </right>
      <top/>
      <bottom style="thin">
        <color indexed="64"/>
      </bottom>
      <diagonal/>
    </border>
    <border>
      <left/>
      <right style="thin">
        <color indexed="64"/>
      </right>
      <top style="medium">
        <color indexed="64"/>
      </top>
      <bottom/>
      <diagonal/>
    </border>
    <border>
      <left/>
      <right style="medium">
        <color indexed="64"/>
      </right>
      <top style="medium">
        <color indexed="64"/>
      </top>
      <bottom/>
      <diagonal/>
    </border>
  </borders>
  <cellStyleXfs count="2">
    <xf numFmtId="0" fontId="0" fillId="0" borderId="0"/>
    <xf numFmtId="0" fontId="1" fillId="0" borderId="0"/>
  </cellStyleXfs>
  <cellXfs count="535">
    <xf numFmtId="0" fontId="0" fillId="0" borderId="0" xfId="0"/>
    <xf numFmtId="0" fontId="2" fillId="0" borderId="0" xfId="0" applyFont="1" applyAlignment="1">
      <alignment horizontal="center" vertical="center"/>
    </xf>
    <xf numFmtId="0" fontId="3" fillId="0" borderId="0" xfId="0" applyFont="1" applyAlignment="1">
      <alignment vertical="center"/>
    </xf>
    <xf numFmtId="0" fontId="4" fillId="0" borderId="0" xfId="0" applyFont="1" applyAlignment="1">
      <alignment horizontal="left" vertical="center"/>
    </xf>
    <xf numFmtId="164" fontId="3" fillId="0" borderId="0" xfId="0" applyNumberFormat="1" applyFont="1" applyAlignment="1">
      <alignment vertical="center"/>
    </xf>
    <xf numFmtId="164" fontId="3" fillId="2" borderId="0" xfId="0" applyNumberFormat="1" applyFont="1" applyFill="1" applyAlignment="1">
      <alignment vertical="center"/>
    </xf>
    <xf numFmtId="164" fontId="0" fillId="0" borderId="0" xfId="0" applyNumberFormat="1" applyAlignment="1">
      <alignment horizontal="center" vertical="center"/>
    </xf>
    <xf numFmtId="0" fontId="0" fillId="0" borderId="0" xfId="0" applyAlignment="1">
      <alignment horizontal="center" vertical="center"/>
    </xf>
    <xf numFmtId="0" fontId="5" fillId="0" borderId="0" xfId="0" applyFont="1" applyAlignment="1">
      <alignment horizontal="center" vertical="center"/>
    </xf>
    <xf numFmtId="0" fontId="6" fillId="0" borderId="0" xfId="0" applyFont="1" applyAlignment="1">
      <alignment vertical="center"/>
    </xf>
    <xf numFmtId="164" fontId="6" fillId="0" borderId="0" xfId="0" applyNumberFormat="1" applyFont="1" applyAlignment="1">
      <alignment vertical="center"/>
    </xf>
    <xf numFmtId="164" fontId="4" fillId="0" borderId="0" xfId="0" applyNumberFormat="1" applyFont="1" applyAlignment="1">
      <alignment horizontal="center" vertical="center"/>
    </xf>
    <xf numFmtId="164" fontId="3" fillId="3" borderId="0" xfId="0" applyNumberFormat="1" applyFont="1" applyFill="1" applyAlignment="1">
      <alignment vertical="center"/>
    </xf>
    <xf numFmtId="0" fontId="4" fillId="0" borderId="0" xfId="0" applyFont="1" applyAlignment="1">
      <alignment vertical="center"/>
    </xf>
    <xf numFmtId="0" fontId="4" fillId="0" borderId="0" xfId="0" applyFont="1" applyAlignment="1">
      <alignment horizontal="center" vertical="center"/>
    </xf>
    <xf numFmtId="0" fontId="5" fillId="0" borderId="4" xfId="0" applyFont="1" applyBorder="1" applyAlignment="1">
      <alignment horizontal="center" vertical="center" wrapText="1"/>
    </xf>
    <xf numFmtId="0" fontId="8" fillId="0" borderId="5" xfId="0" applyFont="1" applyBorder="1" applyAlignment="1">
      <alignment horizontal="center" vertical="center" wrapText="1"/>
    </xf>
    <xf numFmtId="0" fontId="8" fillId="0" borderId="5" xfId="0" applyFont="1" applyBorder="1" applyAlignment="1">
      <alignment horizontal="left" vertical="center" wrapText="1"/>
    </xf>
    <xf numFmtId="164" fontId="8" fillId="0" borderId="5" xfId="0" applyNumberFormat="1" applyFont="1" applyBorder="1" applyAlignment="1">
      <alignment horizontal="center" vertical="center" wrapText="1"/>
    </xf>
    <xf numFmtId="164" fontId="9" fillId="0" borderId="5" xfId="0" applyNumberFormat="1" applyFont="1" applyBorder="1" applyAlignment="1">
      <alignment horizontal="center" vertical="center" wrapText="1"/>
    </xf>
    <xf numFmtId="164" fontId="9" fillId="0" borderId="5" xfId="0" applyNumberFormat="1" applyFont="1" applyBorder="1" applyAlignment="1">
      <alignment horizontal="center" vertical="center"/>
    </xf>
    <xf numFmtId="164" fontId="9" fillId="0" borderId="5" xfId="0" applyNumberFormat="1" applyFont="1" applyBorder="1" applyAlignment="1">
      <alignment vertical="center"/>
    </xf>
    <xf numFmtId="0" fontId="5" fillId="0" borderId="5" xfId="0" applyFont="1" applyBorder="1" applyAlignment="1">
      <alignment horizontal="center" vertical="center" wrapText="1"/>
    </xf>
    <xf numFmtId="165" fontId="10" fillId="0" borderId="5" xfId="0" applyNumberFormat="1" applyFont="1" applyBorder="1" applyAlignment="1">
      <alignment horizontal="center" vertical="center" wrapText="1"/>
    </xf>
    <xf numFmtId="0" fontId="10" fillId="0" borderId="5" xfId="0" applyFont="1" applyBorder="1" applyAlignment="1">
      <alignment horizontal="center" vertical="center" wrapText="1"/>
    </xf>
    <xf numFmtId="164" fontId="10" fillId="0" borderId="6" xfId="0" applyNumberFormat="1" applyFont="1" applyBorder="1" applyAlignment="1">
      <alignment horizontal="center" vertical="center"/>
    </xf>
    <xf numFmtId="0" fontId="11" fillId="0" borderId="9" xfId="0" applyFont="1" applyBorder="1" applyAlignment="1">
      <alignment vertical="center" wrapText="1"/>
    </xf>
    <xf numFmtId="0" fontId="11" fillId="0" borderId="9" xfId="0" applyFont="1" applyBorder="1" applyAlignment="1">
      <alignment horizontal="center" vertical="center"/>
    </xf>
    <xf numFmtId="0" fontId="11" fillId="0" borderId="10" xfId="0" applyFont="1" applyBorder="1" applyAlignment="1">
      <alignment horizontal="center" vertical="center"/>
    </xf>
    <xf numFmtId="0" fontId="11" fillId="0" borderId="11" xfId="0" applyFont="1" applyBorder="1" applyAlignment="1">
      <alignment horizontal="left" vertical="center"/>
    </xf>
    <xf numFmtId="164" fontId="11" fillId="0" borderId="11" xfId="0" applyNumberFormat="1" applyFont="1" applyBorder="1" applyAlignment="1">
      <alignment vertical="center"/>
    </xf>
    <xf numFmtId="164" fontId="11" fillId="0" borderId="11" xfId="0" applyNumberFormat="1" applyFont="1" applyBorder="1" applyAlignment="1">
      <alignment horizontal="center" vertical="center"/>
    </xf>
    <xf numFmtId="164" fontId="11" fillId="0" borderId="12" xfId="0" applyNumberFormat="1" applyFont="1" applyBorder="1" applyAlignment="1">
      <alignment horizontal="center" vertical="center"/>
    </xf>
    <xf numFmtId="164" fontId="7" fillId="0" borderId="9" xfId="0" applyNumberFormat="1" applyFont="1" applyBorder="1" applyAlignment="1">
      <alignment vertical="center"/>
    </xf>
    <xf numFmtId="164" fontId="12" fillId="0" borderId="9" xfId="0" applyNumberFormat="1" applyFont="1" applyBorder="1" applyAlignment="1">
      <alignment vertical="center"/>
    </xf>
    <xf numFmtId="0" fontId="11" fillId="0" borderId="18" xfId="0" applyFont="1" applyBorder="1" applyAlignment="1">
      <alignment vertical="center" wrapText="1"/>
    </xf>
    <xf numFmtId="0" fontId="11" fillId="0" borderId="18" xfId="0" applyFont="1" applyBorder="1" applyAlignment="1">
      <alignment horizontal="center" vertical="center"/>
    </xf>
    <xf numFmtId="0" fontId="11" fillId="0" borderId="19" xfId="0" applyFont="1" applyBorder="1" applyAlignment="1">
      <alignment horizontal="center" vertical="center"/>
    </xf>
    <xf numFmtId="0" fontId="11" fillId="0" borderId="20" xfId="0" applyFont="1" applyBorder="1" applyAlignment="1">
      <alignment horizontal="left" vertical="center"/>
    </xf>
    <xf numFmtId="0" fontId="11" fillId="0" borderId="19" xfId="0" applyFont="1" applyBorder="1" applyAlignment="1">
      <alignment horizontal="center" vertical="center" wrapText="1"/>
    </xf>
    <xf numFmtId="164" fontId="11" fillId="0" borderId="20" xfId="0" applyNumberFormat="1" applyFont="1" applyBorder="1" applyAlignment="1">
      <alignment vertical="center"/>
    </xf>
    <xf numFmtId="164" fontId="11" fillId="0" borderId="20" xfId="0" applyNumberFormat="1" applyFont="1" applyBorder="1" applyAlignment="1">
      <alignment horizontal="center" vertical="center"/>
    </xf>
    <xf numFmtId="164" fontId="11" fillId="0" borderId="21" xfId="0" applyNumberFormat="1" applyFont="1" applyBorder="1" applyAlignment="1">
      <alignment horizontal="center" vertical="center"/>
    </xf>
    <xf numFmtId="164" fontId="7" fillId="0" borderId="18" xfId="0" applyNumberFormat="1" applyFont="1" applyBorder="1" applyAlignment="1">
      <alignment vertical="center"/>
    </xf>
    <xf numFmtId="164" fontId="7" fillId="3" borderId="18" xfId="0" applyNumberFormat="1" applyFont="1" applyFill="1" applyBorder="1" applyAlignment="1">
      <alignment vertical="center"/>
    </xf>
    <xf numFmtId="164" fontId="12" fillId="0" borderId="18" xfId="0" applyNumberFormat="1" applyFont="1" applyBorder="1" applyAlignment="1">
      <alignment vertical="center"/>
    </xf>
    <xf numFmtId="0" fontId="10" fillId="0" borderId="25" xfId="0" applyFont="1" applyBorder="1" applyAlignment="1">
      <alignment horizontal="center" vertical="center"/>
    </xf>
    <xf numFmtId="0" fontId="11" fillId="0" borderId="26" xfId="0" applyFont="1" applyBorder="1" applyAlignment="1">
      <alignment vertical="center" wrapText="1"/>
    </xf>
    <xf numFmtId="0" fontId="11" fillId="0" borderId="26" xfId="0" applyFont="1" applyBorder="1" applyAlignment="1">
      <alignment horizontal="center" vertical="center"/>
    </xf>
    <xf numFmtId="0" fontId="11" fillId="0" borderId="27" xfId="0" applyFont="1" applyBorder="1" applyAlignment="1">
      <alignment horizontal="center" vertical="center"/>
    </xf>
    <xf numFmtId="0" fontId="11" fillId="0" borderId="28" xfId="0" applyFont="1" applyBorder="1" applyAlignment="1">
      <alignment horizontal="left" vertical="center"/>
    </xf>
    <xf numFmtId="0" fontId="11" fillId="0" borderId="27" xfId="0" applyFont="1" applyBorder="1" applyAlignment="1">
      <alignment horizontal="center" vertical="center" wrapText="1"/>
    </xf>
    <xf numFmtId="164" fontId="11" fillId="0" borderId="28" xfId="0" applyNumberFormat="1" applyFont="1" applyBorder="1" applyAlignment="1">
      <alignment vertical="center"/>
    </xf>
    <xf numFmtId="164" fontId="11" fillId="0" borderId="28" xfId="0" applyNumberFormat="1" applyFont="1" applyBorder="1" applyAlignment="1">
      <alignment horizontal="center" vertical="center"/>
    </xf>
    <xf numFmtId="164" fontId="11" fillId="0" borderId="29" xfId="0" applyNumberFormat="1" applyFont="1" applyBorder="1" applyAlignment="1">
      <alignment horizontal="center" vertical="center"/>
    </xf>
    <xf numFmtId="164" fontId="7" fillId="0" borderId="26" xfId="0" applyNumberFormat="1" applyFont="1" applyBorder="1" applyAlignment="1">
      <alignment vertical="center"/>
    </xf>
    <xf numFmtId="164" fontId="7" fillId="3" borderId="26" xfId="0" applyNumberFormat="1" applyFont="1" applyFill="1" applyBorder="1" applyAlignment="1">
      <alignment vertical="center"/>
    </xf>
    <xf numFmtId="164" fontId="12" fillId="0" borderId="26" xfId="0" applyNumberFormat="1" applyFont="1" applyBorder="1" applyAlignment="1">
      <alignment vertical="center"/>
    </xf>
    <xf numFmtId="164" fontId="7" fillId="3" borderId="9" xfId="0" applyNumberFormat="1" applyFont="1" applyFill="1" applyBorder="1" applyAlignment="1">
      <alignment vertical="center"/>
    </xf>
    <xf numFmtId="0" fontId="11" fillId="0" borderId="20" xfId="0" applyFont="1" applyBorder="1" applyAlignment="1">
      <alignment horizontal="left" vertical="center" wrapText="1"/>
    </xf>
    <xf numFmtId="0" fontId="11" fillId="0" borderId="18" xfId="0" applyFont="1" applyBorder="1" applyAlignment="1">
      <alignment horizontal="center" vertical="center" wrapText="1"/>
    </xf>
    <xf numFmtId="164" fontId="7" fillId="2" borderId="18" xfId="0" applyNumberFormat="1" applyFont="1" applyFill="1" applyBorder="1" applyAlignment="1">
      <alignment horizontal="center" vertical="center"/>
    </xf>
    <xf numFmtId="0" fontId="11" fillId="0" borderId="34" xfId="0" applyFont="1" applyBorder="1" applyAlignment="1">
      <alignment vertical="center" wrapText="1"/>
    </xf>
    <xf numFmtId="0" fontId="11" fillId="0" borderId="34" xfId="0" applyFont="1" applyBorder="1" applyAlignment="1">
      <alignment horizontal="center" vertical="center" wrapText="1"/>
    </xf>
    <xf numFmtId="0" fontId="11" fillId="0" borderId="35" xfId="0" applyFont="1" applyBorder="1" applyAlignment="1">
      <alignment horizontal="center" vertical="center"/>
    </xf>
    <xf numFmtId="0" fontId="11" fillId="0" borderId="36" xfId="0" applyFont="1" applyBorder="1" applyAlignment="1">
      <alignment horizontal="left" vertical="center" wrapText="1"/>
    </xf>
    <xf numFmtId="0" fontId="11" fillId="0" borderId="35" xfId="0" applyFont="1" applyBorder="1" applyAlignment="1">
      <alignment horizontal="center" vertical="center" wrapText="1"/>
    </xf>
    <xf numFmtId="164" fontId="11" fillId="3" borderId="36" xfId="0" applyNumberFormat="1" applyFont="1" applyFill="1" applyBorder="1" applyAlignment="1">
      <alignment vertical="center"/>
    </xf>
    <xf numFmtId="164" fontId="11" fillId="0" borderId="36" xfId="0" applyNumberFormat="1" applyFont="1" applyBorder="1" applyAlignment="1">
      <alignment horizontal="center" vertical="center"/>
    </xf>
    <xf numFmtId="164" fontId="11" fillId="0" borderId="37" xfId="0" applyNumberFormat="1" applyFont="1" applyBorder="1" applyAlignment="1">
      <alignment horizontal="center" vertical="center"/>
    </xf>
    <xf numFmtId="164" fontId="7" fillId="0" borderId="34" xfId="0" applyNumberFormat="1" applyFont="1" applyBorder="1" applyAlignment="1">
      <alignment vertical="center"/>
    </xf>
    <xf numFmtId="164" fontId="7" fillId="3" borderId="34" xfId="0" applyNumberFormat="1" applyFont="1" applyFill="1" applyBorder="1" applyAlignment="1">
      <alignment vertical="center"/>
    </xf>
    <xf numFmtId="0" fontId="11" fillId="0" borderId="9" xfId="0" applyFont="1" applyBorder="1" applyAlignment="1">
      <alignment horizontal="center" vertical="center" wrapText="1"/>
    </xf>
    <xf numFmtId="0" fontId="11" fillId="0" borderId="11" xfId="0" applyFont="1" applyBorder="1" applyAlignment="1">
      <alignment horizontal="left" vertical="center" wrapText="1"/>
    </xf>
    <xf numFmtId="164" fontId="7" fillId="2" borderId="18" xfId="0" applyNumberFormat="1" applyFont="1" applyFill="1" applyBorder="1" applyAlignment="1">
      <alignment vertical="center"/>
    </xf>
    <xf numFmtId="0" fontId="11" fillId="0" borderId="30" xfId="0" applyFont="1" applyBorder="1" applyAlignment="1">
      <alignment vertical="center" wrapText="1"/>
    </xf>
    <xf numFmtId="0" fontId="11" fillId="0" borderId="30" xfId="0" applyFont="1" applyBorder="1" applyAlignment="1">
      <alignment horizontal="center" vertical="center"/>
    </xf>
    <xf numFmtId="0" fontId="11" fillId="0" borderId="38" xfId="0" applyFont="1" applyBorder="1" applyAlignment="1">
      <alignment horizontal="center" vertical="center"/>
    </xf>
    <xf numFmtId="0" fontId="11" fillId="0" borderId="39" xfId="0" applyFont="1" applyBorder="1" applyAlignment="1">
      <alignment horizontal="left" vertical="center"/>
    </xf>
    <xf numFmtId="164" fontId="11" fillId="0" borderId="39" xfId="0" applyNumberFormat="1" applyFont="1" applyBorder="1" applyAlignment="1">
      <alignment vertical="center"/>
    </xf>
    <xf numFmtId="164" fontId="7" fillId="0" borderId="30" xfId="0" applyNumberFormat="1" applyFont="1" applyBorder="1" applyAlignment="1">
      <alignment vertical="center"/>
    </xf>
    <xf numFmtId="164" fontId="7" fillId="3" borderId="30" xfId="0" applyNumberFormat="1" applyFont="1" applyFill="1" applyBorder="1" applyAlignment="1">
      <alignment vertical="center"/>
    </xf>
    <xf numFmtId="0" fontId="10" fillId="0" borderId="42" xfId="0" applyFont="1" applyBorder="1" applyAlignment="1">
      <alignment horizontal="center" vertical="center"/>
    </xf>
    <xf numFmtId="0" fontId="11" fillId="0" borderId="5" xfId="0" applyFont="1" applyBorder="1" applyAlignment="1">
      <alignment vertical="center" wrapText="1"/>
    </xf>
    <xf numFmtId="0" fontId="11" fillId="0" borderId="5" xfId="0" applyFont="1" applyBorder="1" applyAlignment="1">
      <alignment horizontal="center" vertical="center"/>
    </xf>
    <xf numFmtId="0" fontId="11" fillId="0" borderId="43" xfId="0" applyFont="1" applyBorder="1" applyAlignment="1">
      <alignment horizontal="center" vertical="center"/>
    </xf>
    <xf numFmtId="0" fontId="11" fillId="0" borderId="44" xfId="0" applyFont="1" applyBorder="1" applyAlignment="1">
      <alignment horizontal="left" vertical="center"/>
    </xf>
    <xf numFmtId="0" fontId="11" fillId="0" borderId="43" xfId="0" applyFont="1" applyBorder="1" applyAlignment="1">
      <alignment horizontal="center" vertical="center" wrapText="1"/>
    </xf>
    <xf numFmtId="164" fontId="11" fillId="0" borderId="44" xfId="0" applyNumberFormat="1" applyFont="1" applyBorder="1" applyAlignment="1">
      <alignment vertical="center"/>
    </xf>
    <xf numFmtId="164" fontId="11" fillId="0" borderId="44" xfId="0" applyNumberFormat="1" applyFont="1" applyBorder="1" applyAlignment="1">
      <alignment horizontal="center" vertical="center"/>
    </xf>
    <xf numFmtId="164" fontId="11" fillId="3" borderId="45" xfId="0" applyNumberFormat="1" applyFont="1" applyFill="1" applyBorder="1" applyAlignment="1">
      <alignment horizontal="center" vertical="center"/>
    </xf>
    <xf numFmtId="164" fontId="7" fillId="0" borderId="5" xfId="0" applyNumberFormat="1" applyFont="1" applyBorder="1" applyAlignment="1">
      <alignment vertical="center"/>
    </xf>
    <xf numFmtId="164" fontId="7" fillId="3" borderId="5" xfId="0" applyNumberFormat="1" applyFont="1" applyFill="1" applyBorder="1" applyAlignment="1">
      <alignment vertical="center"/>
    </xf>
    <xf numFmtId="164" fontId="11" fillId="0" borderId="45" xfId="0" applyNumberFormat="1" applyFont="1" applyBorder="1" applyAlignment="1">
      <alignment horizontal="center" vertical="center"/>
    </xf>
    <xf numFmtId="0" fontId="11" fillId="0" borderId="9" xfId="0" applyFont="1" applyBorder="1" applyAlignment="1">
      <alignment horizontal="left" vertical="center" wrapText="1"/>
    </xf>
    <xf numFmtId="164" fontId="11" fillId="0" borderId="9" xfId="0" applyNumberFormat="1" applyFont="1" applyBorder="1" applyAlignment="1">
      <alignment vertical="center"/>
    </xf>
    <xf numFmtId="164" fontId="11" fillId="0" borderId="9" xfId="0" applyNumberFormat="1" applyFont="1" applyBorder="1" applyAlignment="1">
      <alignment horizontal="center" vertical="center"/>
    </xf>
    <xf numFmtId="0" fontId="10" fillId="0" borderId="47" xfId="0" applyFont="1" applyBorder="1" applyAlignment="1">
      <alignment horizontal="center" vertical="center"/>
    </xf>
    <xf numFmtId="0" fontId="11" fillId="0" borderId="26" xfId="0" applyFont="1" applyBorder="1" applyAlignment="1">
      <alignment horizontal="center" vertical="center" wrapText="1"/>
    </xf>
    <xf numFmtId="0" fontId="11" fillId="0" borderId="26" xfId="0" applyFont="1" applyBorder="1" applyAlignment="1">
      <alignment horizontal="left" vertical="center" wrapText="1"/>
    </xf>
    <xf numFmtId="164" fontId="11" fillId="0" borderId="26" xfId="0" applyNumberFormat="1" applyFont="1" applyBorder="1" applyAlignment="1">
      <alignment vertical="center" wrapText="1"/>
    </xf>
    <xf numFmtId="164" fontId="11" fillId="0" borderId="26" xfId="0" applyNumberFormat="1" applyFont="1" applyBorder="1" applyAlignment="1">
      <alignment horizontal="center" vertical="center" wrapText="1"/>
    </xf>
    <xf numFmtId="0" fontId="11" fillId="0" borderId="13" xfId="0" applyFont="1" applyBorder="1" applyAlignment="1">
      <alignment horizontal="center" vertical="center"/>
    </xf>
    <xf numFmtId="164" fontId="7" fillId="0" borderId="13" xfId="0" applyNumberFormat="1" applyFont="1" applyBorder="1" applyAlignment="1">
      <alignment vertical="center"/>
    </xf>
    <xf numFmtId="0" fontId="11" fillId="0" borderId="9" xfId="0" applyFont="1" applyBorder="1" applyAlignment="1">
      <alignment horizontal="left" vertical="center"/>
    </xf>
    <xf numFmtId="0" fontId="11" fillId="0" borderId="18" xfId="0" applyFont="1" applyBorder="1" applyAlignment="1">
      <alignment horizontal="left" vertical="center" wrapText="1"/>
    </xf>
    <xf numFmtId="164" fontId="11" fillId="0" borderId="18" xfId="0" applyNumberFormat="1" applyFont="1" applyBorder="1" applyAlignment="1">
      <alignment vertical="center"/>
    </xf>
    <xf numFmtId="164" fontId="11" fillId="3" borderId="18" xfId="0" applyNumberFormat="1" applyFont="1" applyFill="1" applyBorder="1" applyAlignment="1">
      <alignment horizontal="center" vertical="center"/>
    </xf>
    <xf numFmtId="164" fontId="11" fillId="0" borderId="18" xfId="0" applyNumberFormat="1" applyFont="1" applyBorder="1" applyAlignment="1">
      <alignment horizontal="center" vertical="center"/>
    </xf>
    <xf numFmtId="164" fontId="11" fillId="0" borderId="26" xfId="0" applyNumberFormat="1" applyFont="1" applyBorder="1" applyAlignment="1">
      <alignment horizontal="center" vertical="center"/>
    </xf>
    <xf numFmtId="0" fontId="11" fillId="0" borderId="39" xfId="0" applyFont="1" applyBorder="1" applyAlignment="1">
      <alignment horizontal="left" vertical="center" wrapText="1"/>
    </xf>
    <xf numFmtId="164" fontId="11" fillId="0" borderId="40" xfId="0" applyNumberFormat="1" applyFont="1" applyBorder="1" applyAlignment="1">
      <alignment horizontal="center" vertical="center" wrapText="1"/>
    </xf>
    <xf numFmtId="165" fontId="7" fillId="0" borderId="52" xfId="0" applyNumberFormat="1" applyFont="1" applyBorder="1" applyAlignment="1">
      <alignment horizontal="center" vertical="center"/>
    </xf>
    <xf numFmtId="0" fontId="10" fillId="0" borderId="4" xfId="0" applyFont="1" applyBorder="1" applyAlignment="1">
      <alignment horizontal="center" vertical="center"/>
    </xf>
    <xf numFmtId="0" fontId="11" fillId="0" borderId="44" xfId="0" applyFont="1" applyBorder="1" applyAlignment="1">
      <alignment horizontal="left" vertical="center" wrapText="1"/>
    </xf>
    <xf numFmtId="164" fontId="11" fillId="0" borderId="44" xfId="0" applyNumberFormat="1" applyFont="1" applyBorder="1" applyAlignment="1">
      <alignment vertical="center" wrapText="1"/>
    </xf>
    <xf numFmtId="164" fontId="11" fillId="0" borderId="44" xfId="0" applyNumberFormat="1" applyFont="1" applyBorder="1" applyAlignment="1">
      <alignment horizontal="center" vertical="center" wrapText="1"/>
    </xf>
    <xf numFmtId="164" fontId="11" fillId="0" borderId="45" xfId="0" applyNumberFormat="1" applyFont="1" applyBorder="1" applyAlignment="1">
      <alignment horizontal="center" vertical="center" wrapText="1"/>
    </xf>
    <xf numFmtId="165" fontId="7" fillId="0" borderId="54" xfId="0" applyNumberFormat="1" applyFont="1" applyBorder="1" applyAlignment="1">
      <alignment horizontal="center" vertical="center"/>
    </xf>
    <xf numFmtId="164" fontId="7" fillId="0" borderId="22" xfId="0" applyNumberFormat="1" applyFont="1" applyBorder="1" applyAlignment="1">
      <alignment horizontal="center" vertical="center"/>
    </xf>
    <xf numFmtId="164" fontId="11" fillId="0" borderId="12" xfId="0" applyNumberFormat="1" applyFont="1" applyBorder="1" applyAlignment="1">
      <alignment vertical="center"/>
    </xf>
    <xf numFmtId="164" fontId="11" fillId="0" borderId="65" xfId="0" applyNumberFormat="1" applyFont="1" applyBorder="1" applyAlignment="1">
      <alignment horizontal="center" vertical="center"/>
    </xf>
    <xf numFmtId="164" fontId="11" fillId="0" borderId="21" xfId="0" applyNumberFormat="1" applyFont="1" applyBorder="1" applyAlignment="1">
      <alignment vertical="center"/>
    </xf>
    <xf numFmtId="164" fontId="11" fillId="0" borderId="66" xfId="0" applyNumberFormat="1" applyFont="1" applyBorder="1" applyAlignment="1">
      <alignment horizontal="center" vertical="center"/>
    </xf>
    <xf numFmtId="0" fontId="11" fillId="0" borderId="36" xfId="0" applyFont="1" applyBorder="1" applyAlignment="1">
      <alignment horizontal="left" vertical="center"/>
    </xf>
    <xf numFmtId="164" fontId="11" fillId="0" borderId="37" xfId="0" applyNumberFormat="1" applyFont="1" applyBorder="1" applyAlignment="1">
      <alignment vertical="center"/>
    </xf>
    <xf numFmtId="164" fontId="11" fillId="0" borderId="67" xfId="0" applyNumberFormat="1" applyFont="1" applyBorder="1" applyAlignment="1">
      <alignment horizontal="center" vertical="center"/>
    </xf>
    <xf numFmtId="0" fontId="7" fillId="0" borderId="34" xfId="0" applyFont="1" applyBorder="1" applyAlignment="1">
      <alignment horizontal="center" vertical="center" wrapText="1"/>
    </xf>
    <xf numFmtId="0" fontId="11" fillId="0" borderId="18" xfId="0" applyFont="1" applyBorder="1" applyAlignment="1">
      <alignment horizontal="left" vertical="center"/>
    </xf>
    <xf numFmtId="0" fontId="11" fillId="0" borderId="61" xfId="0" applyFont="1" applyBorder="1" applyAlignment="1">
      <alignment horizontal="left" vertical="center" wrapText="1"/>
    </xf>
    <xf numFmtId="164" fontId="11" fillId="0" borderId="61" xfId="0" applyNumberFormat="1" applyFont="1" applyBorder="1" applyAlignment="1">
      <alignment vertical="center"/>
    </xf>
    <xf numFmtId="164" fontId="11" fillId="0" borderId="68" xfId="0" applyNumberFormat="1" applyFont="1" applyBorder="1" applyAlignment="1">
      <alignment horizontal="center" vertical="center" wrapText="1"/>
    </xf>
    <xf numFmtId="164" fontId="11" fillId="0" borderId="9" xfId="0" applyNumberFormat="1" applyFont="1" applyBorder="1" applyAlignment="1">
      <alignment vertical="center" wrapText="1"/>
    </xf>
    <xf numFmtId="164" fontId="11" fillId="0" borderId="9" xfId="0" applyNumberFormat="1" applyFont="1" applyBorder="1" applyAlignment="1">
      <alignment horizontal="center" vertical="center" wrapText="1"/>
    </xf>
    <xf numFmtId="164" fontId="11" fillId="0" borderId="18" xfId="0" applyNumberFormat="1" applyFont="1" applyBorder="1" applyAlignment="1">
      <alignment vertical="center" wrapText="1"/>
    </xf>
    <xf numFmtId="164" fontId="11" fillId="0" borderId="18" xfId="0" applyNumberFormat="1" applyFont="1" applyBorder="1" applyAlignment="1">
      <alignment horizontal="center" vertical="center" wrapText="1"/>
    </xf>
    <xf numFmtId="0" fontId="7" fillId="0" borderId="26" xfId="0" applyFont="1" applyBorder="1" applyAlignment="1">
      <alignment horizontal="center" vertical="center"/>
    </xf>
    <xf numFmtId="0" fontId="11" fillId="0" borderId="26" xfId="0" applyFont="1" applyBorder="1" applyAlignment="1">
      <alignment horizontal="left" vertical="center"/>
    </xf>
    <xf numFmtId="164" fontId="11" fillId="0" borderId="26" xfId="0" applyNumberFormat="1" applyFont="1" applyBorder="1" applyAlignment="1">
      <alignment vertical="center"/>
    </xf>
    <xf numFmtId="0" fontId="11" fillId="0" borderId="5" xfId="0" applyFont="1" applyBorder="1" applyAlignment="1">
      <alignment horizontal="center" vertical="center" wrapText="1"/>
    </xf>
    <xf numFmtId="0" fontId="11" fillId="0" borderId="5" xfId="0" applyFont="1" applyBorder="1" applyAlignment="1">
      <alignment horizontal="left" vertical="center" wrapText="1"/>
    </xf>
    <xf numFmtId="164" fontId="11" fillId="0" borderId="5" xfId="0" applyNumberFormat="1" applyFont="1" applyBorder="1" applyAlignment="1">
      <alignment horizontal="center" vertical="center"/>
    </xf>
    <xf numFmtId="165" fontId="7" fillId="0" borderId="5" xfId="0" applyNumberFormat="1" applyFont="1" applyBorder="1" applyAlignment="1">
      <alignment horizontal="center" vertical="center"/>
    </xf>
    <xf numFmtId="165" fontId="7" fillId="0" borderId="5" xfId="0" applyNumberFormat="1" applyFont="1" applyBorder="1" applyAlignment="1">
      <alignment vertical="center"/>
    </xf>
    <xf numFmtId="165" fontId="7" fillId="0" borderId="6" xfId="0" applyNumberFormat="1" applyFont="1" applyBorder="1" applyAlignment="1">
      <alignment vertical="center"/>
    </xf>
    <xf numFmtId="165" fontId="7" fillId="0" borderId="9" xfId="0" applyNumberFormat="1" applyFont="1" applyBorder="1" applyAlignment="1">
      <alignment horizontal="center" vertical="center"/>
    </xf>
    <xf numFmtId="0" fontId="11" fillId="0" borderId="28" xfId="0" applyFont="1" applyBorder="1" applyAlignment="1">
      <alignment horizontal="left" vertical="center" wrapText="1"/>
    </xf>
    <xf numFmtId="164" fontId="11" fillId="3" borderId="20" xfId="0" applyNumberFormat="1" applyFont="1" applyFill="1" applyBorder="1" applyAlignment="1">
      <alignment horizontal="center" vertical="center"/>
    </xf>
    <xf numFmtId="164" fontId="11" fillId="3" borderId="44" xfId="0" applyNumberFormat="1" applyFont="1" applyFill="1" applyBorder="1" applyAlignment="1">
      <alignment horizontal="center" vertical="center"/>
    </xf>
    <xf numFmtId="164" fontId="7" fillId="0" borderId="5" xfId="0" applyNumberFormat="1" applyFont="1" applyBorder="1" applyAlignment="1">
      <alignment horizontal="center" vertical="center"/>
    </xf>
    <xf numFmtId="165" fontId="7" fillId="0" borderId="6" xfId="0" applyNumberFormat="1" applyFont="1" applyBorder="1" applyAlignment="1">
      <alignment horizontal="center" vertical="center"/>
    </xf>
    <xf numFmtId="0" fontId="11" fillId="0" borderId="49" xfId="0" applyFont="1" applyBorder="1" applyAlignment="1">
      <alignment vertical="center" wrapText="1"/>
    </xf>
    <xf numFmtId="164" fontId="11" fillId="3" borderId="11" xfId="0" applyNumberFormat="1" applyFont="1" applyFill="1" applyBorder="1" applyAlignment="1">
      <alignment vertical="center"/>
    </xf>
    <xf numFmtId="164" fontId="11" fillId="3" borderId="11" xfId="0" applyNumberFormat="1" applyFont="1" applyFill="1" applyBorder="1" applyAlignment="1">
      <alignment horizontal="center" vertical="center"/>
    </xf>
    <xf numFmtId="164" fontId="7" fillId="0" borderId="9" xfId="0" applyNumberFormat="1" applyFont="1" applyBorder="1" applyAlignment="1">
      <alignment horizontal="center" vertical="center"/>
    </xf>
    <xf numFmtId="164" fontId="7" fillId="3" borderId="9" xfId="0" applyNumberFormat="1" applyFont="1" applyFill="1" applyBorder="1" applyAlignment="1">
      <alignment horizontal="center" vertical="center"/>
    </xf>
    <xf numFmtId="0" fontId="11" fillId="0" borderId="73" xfId="0" applyFont="1" applyBorder="1" applyAlignment="1">
      <alignment vertical="center" wrapText="1"/>
    </xf>
    <xf numFmtId="0" fontId="11" fillId="0" borderId="52" xfId="0" applyFont="1" applyBorder="1" applyAlignment="1">
      <alignment horizontal="center" vertical="center" wrapText="1"/>
    </xf>
    <xf numFmtId="0" fontId="11" fillId="0" borderId="33" xfId="0" applyFont="1" applyBorder="1" applyAlignment="1">
      <alignment horizontal="center" vertical="center"/>
    </xf>
    <xf numFmtId="0" fontId="11" fillId="0" borderId="74" xfId="0" applyFont="1" applyBorder="1" applyAlignment="1">
      <alignment horizontal="left" vertical="center" wrapText="1"/>
    </xf>
    <xf numFmtId="164" fontId="11" fillId="0" borderId="74" xfId="0" applyNumberFormat="1" applyFont="1" applyBorder="1" applyAlignment="1">
      <alignment horizontal="center" vertical="center"/>
    </xf>
    <xf numFmtId="164" fontId="11" fillId="0" borderId="75" xfId="0" applyNumberFormat="1" applyFont="1" applyBorder="1" applyAlignment="1">
      <alignment horizontal="center" vertical="center"/>
    </xf>
    <xf numFmtId="164" fontId="7" fillId="0" borderId="52" xfId="0" applyNumberFormat="1" applyFont="1" applyBorder="1" applyAlignment="1">
      <alignment horizontal="center" vertical="center"/>
    </xf>
    <xf numFmtId="0" fontId="11" fillId="0" borderId="76" xfId="0" applyFont="1" applyBorder="1" applyAlignment="1">
      <alignment vertical="center" wrapText="1"/>
    </xf>
    <xf numFmtId="164" fontId="7" fillId="0" borderId="34" xfId="0" applyNumberFormat="1" applyFont="1" applyBorder="1" applyAlignment="1">
      <alignment horizontal="center" vertical="center"/>
    </xf>
    <xf numFmtId="165" fontId="7" fillId="0" borderId="26" xfId="0" applyNumberFormat="1" applyFont="1" applyBorder="1" applyAlignment="1">
      <alignment horizontal="center" vertical="center"/>
    </xf>
    <xf numFmtId="0" fontId="11" fillId="0" borderId="30" xfId="0" applyFont="1" applyBorder="1" applyAlignment="1">
      <alignment horizontal="center" vertical="center" wrapText="1"/>
    </xf>
    <xf numFmtId="0" fontId="11" fillId="0" borderId="4" xfId="0" applyFont="1" applyBorder="1" applyAlignment="1">
      <alignment vertical="center" wrapText="1"/>
    </xf>
    <xf numFmtId="164" fontId="11" fillId="0" borderId="5" xfId="0" applyNumberFormat="1" applyFont="1" applyBorder="1" applyAlignment="1">
      <alignment vertical="center"/>
    </xf>
    <xf numFmtId="0" fontId="11" fillId="0" borderId="22" xfId="0" applyFont="1" applyBorder="1" applyAlignment="1">
      <alignment vertical="center" wrapText="1"/>
    </xf>
    <xf numFmtId="0" fontId="11" fillId="0" borderId="22" xfId="0" applyFont="1" applyBorder="1" applyAlignment="1">
      <alignment horizontal="center" vertical="center"/>
    </xf>
    <xf numFmtId="0" fontId="11" fillId="0" borderId="60" xfId="0" applyFont="1" applyBorder="1" applyAlignment="1">
      <alignment horizontal="center" vertical="center"/>
    </xf>
    <xf numFmtId="0" fontId="11" fillId="0" borderId="61" xfId="0" applyFont="1" applyBorder="1" applyAlignment="1">
      <alignment horizontal="left" vertical="center"/>
    </xf>
    <xf numFmtId="164" fontId="11" fillId="0" borderId="61" xfId="0" applyNumberFormat="1" applyFont="1" applyBorder="1" applyAlignment="1">
      <alignment horizontal="center" vertical="center"/>
    </xf>
    <xf numFmtId="164" fontId="11" fillId="0" borderId="68" xfId="0" applyNumberFormat="1" applyFont="1" applyBorder="1" applyAlignment="1">
      <alignment horizontal="center" vertical="center"/>
    </xf>
    <xf numFmtId="164" fontId="7" fillId="0" borderId="22" xfId="0" applyNumberFormat="1" applyFont="1" applyBorder="1" applyAlignment="1">
      <alignment vertical="center"/>
    </xf>
    <xf numFmtId="164" fontId="7" fillId="3" borderId="22" xfId="0" applyNumberFormat="1" applyFont="1" applyFill="1" applyBorder="1" applyAlignment="1">
      <alignment vertical="center"/>
    </xf>
    <xf numFmtId="0" fontId="10" fillId="0" borderId="77" xfId="0" applyFont="1" applyBorder="1" applyAlignment="1">
      <alignment horizontal="center" vertical="center"/>
    </xf>
    <xf numFmtId="164" fontId="11" fillId="0" borderId="40" xfId="0" applyNumberFormat="1" applyFont="1" applyBorder="1" applyAlignment="1">
      <alignment horizontal="center" vertical="center"/>
    </xf>
    <xf numFmtId="164" fontId="10" fillId="0" borderId="9" xfId="0" applyNumberFormat="1" applyFont="1" applyBorder="1" applyAlignment="1">
      <alignment vertical="center"/>
    </xf>
    <xf numFmtId="164" fontId="7" fillId="0" borderId="26" xfId="0" applyNumberFormat="1" applyFont="1" applyBorder="1" applyAlignment="1">
      <alignment horizontal="center" vertical="center"/>
    </xf>
    <xf numFmtId="0" fontId="11" fillId="0" borderId="57" xfId="0" applyFont="1" applyBorder="1" applyAlignment="1">
      <alignment vertical="center" wrapText="1"/>
    </xf>
    <xf numFmtId="0" fontId="11" fillId="0" borderId="56" xfId="0" applyFont="1" applyBorder="1" applyAlignment="1">
      <alignment horizontal="center" vertical="center"/>
    </xf>
    <xf numFmtId="0" fontId="11" fillId="0" borderId="57" xfId="0" applyFont="1" applyBorder="1" applyAlignment="1">
      <alignment horizontal="left" vertical="center"/>
    </xf>
    <xf numFmtId="164" fontId="11" fillId="0" borderId="57" xfId="0" applyNumberFormat="1" applyFont="1" applyBorder="1" applyAlignment="1">
      <alignment horizontal="center" vertical="center"/>
    </xf>
    <xf numFmtId="164" fontId="11" fillId="0" borderId="79" xfId="0" applyNumberFormat="1" applyFont="1" applyBorder="1" applyAlignment="1">
      <alignment horizontal="center" vertical="center"/>
    </xf>
    <xf numFmtId="164" fontId="7" fillId="3" borderId="13" xfId="0" applyNumberFormat="1" applyFont="1" applyFill="1" applyBorder="1" applyAlignment="1">
      <alignment vertical="center"/>
    </xf>
    <xf numFmtId="0" fontId="11" fillId="0" borderId="52" xfId="0" applyFont="1" applyBorder="1" applyAlignment="1">
      <alignment vertical="center" wrapText="1"/>
    </xf>
    <xf numFmtId="164" fontId="11" fillId="0" borderId="74" xfId="0" applyNumberFormat="1" applyFont="1" applyBorder="1" applyAlignment="1">
      <alignment vertical="center"/>
    </xf>
    <xf numFmtId="164" fontId="11" fillId="0" borderId="75" xfId="0" applyNumberFormat="1" applyFont="1" applyBorder="1" applyAlignment="1">
      <alignment vertical="center"/>
    </xf>
    <xf numFmtId="164" fontId="7" fillId="3" borderId="52" xfId="0" applyNumberFormat="1" applyFont="1" applyFill="1" applyBorder="1" applyAlignment="1">
      <alignment vertical="center"/>
    </xf>
    <xf numFmtId="164" fontId="7" fillId="0" borderId="52" xfId="0" applyNumberFormat="1" applyFont="1" applyBorder="1" applyAlignment="1">
      <alignment vertical="center"/>
    </xf>
    <xf numFmtId="164" fontId="11" fillId="0" borderId="20" xfId="0" applyNumberFormat="1" applyFont="1" applyBorder="1" applyAlignment="1">
      <alignment vertical="center" wrapText="1"/>
    </xf>
    <xf numFmtId="164" fontId="11" fillId="0" borderId="20" xfId="0" applyNumberFormat="1" applyFont="1" applyBorder="1" applyAlignment="1">
      <alignment horizontal="center" vertical="center" wrapText="1"/>
    </xf>
    <xf numFmtId="164" fontId="11" fillId="0" borderId="21" xfId="0" applyNumberFormat="1" applyFont="1" applyBorder="1" applyAlignment="1">
      <alignment horizontal="center" vertical="center" wrapText="1"/>
    </xf>
    <xf numFmtId="0" fontId="11" fillId="0" borderId="34" xfId="0" applyFont="1" applyBorder="1" applyAlignment="1">
      <alignment horizontal="center" vertical="center"/>
    </xf>
    <xf numFmtId="164" fontId="11" fillId="0" borderId="36" xfId="0" applyNumberFormat="1" applyFont="1" applyBorder="1" applyAlignment="1">
      <alignment vertical="center" wrapText="1"/>
    </xf>
    <xf numFmtId="164" fontId="11" fillId="0" borderId="36" xfId="0" applyNumberFormat="1" applyFont="1" applyBorder="1" applyAlignment="1">
      <alignment horizontal="center" vertical="center" wrapText="1"/>
    </xf>
    <xf numFmtId="164" fontId="11" fillId="0" borderId="37" xfId="0" applyNumberFormat="1" applyFont="1" applyBorder="1" applyAlignment="1">
      <alignment horizontal="center" vertical="center" wrapText="1"/>
    </xf>
    <xf numFmtId="0" fontId="11" fillId="0" borderId="52" xfId="0" applyFont="1" applyBorder="1" applyAlignment="1">
      <alignment horizontal="center" vertical="center"/>
    </xf>
    <xf numFmtId="0" fontId="11" fillId="0" borderId="52" xfId="0" applyFont="1" applyBorder="1" applyAlignment="1">
      <alignment horizontal="left" vertical="center"/>
    </xf>
    <xf numFmtId="164" fontId="11" fillId="0" borderId="52" xfId="0" applyNumberFormat="1" applyFont="1" applyBorder="1" applyAlignment="1">
      <alignment vertical="center"/>
    </xf>
    <xf numFmtId="164" fontId="11" fillId="0" borderId="52" xfId="0" applyNumberFormat="1" applyFont="1" applyBorder="1" applyAlignment="1">
      <alignment horizontal="center" vertical="center"/>
    </xf>
    <xf numFmtId="164" fontId="11" fillId="0" borderId="39" xfId="0" applyNumberFormat="1" applyFont="1" applyBorder="1" applyAlignment="1">
      <alignment horizontal="center" vertical="center"/>
    </xf>
    <xf numFmtId="165" fontId="7" fillId="0" borderId="52" xfId="0" applyNumberFormat="1" applyFont="1" applyBorder="1" applyAlignment="1">
      <alignment vertical="center"/>
    </xf>
    <xf numFmtId="165" fontId="7" fillId="0" borderId="26" xfId="0" applyNumberFormat="1" applyFont="1" applyBorder="1" applyAlignment="1">
      <alignment vertical="center"/>
    </xf>
    <xf numFmtId="165" fontId="7" fillId="0" borderId="72" xfId="0" applyNumberFormat="1" applyFont="1" applyBorder="1" applyAlignment="1">
      <alignment vertical="center"/>
    </xf>
    <xf numFmtId="165" fontId="7" fillId="0" borderId="9" xfId="0" applyNumberFormat="1" applyFont="1" applyBorder="1" applyAlignment="1">
      <alignment vertical="center"/>
    </xf>
    <xf numFmtId="165" fontId="7" fillId="0" borderId="71" xfId="0" applyNumberFormat="1" applyFont="1" applyBorder="1" applyAlignment="1">
      <alignment vertical="center"/>
    </xf>
    <xf numFmtId="164" fontId="11" fillId="3" borderId="9" xfId="0" applyNumberFormat="1" applyFont="1" applyFill="1" applyBorder="1" applyAlignment="1">
      <alignment horizontal="center" vertical="center"/>
    </xf>
    <xf numFmtId="0" fontId="11" fillId="0" borderId="30" xfId="0" applyFont="1" applyBorder="1" applyAlignment="1">
      <alignment horizontal="left" vertical="center" wrapText="1"/>
    </xf>
    <xf numFmtId="0" fontId="11" fillId="0" borderId="5" xfId="0" applyFont="1" applyBorder="1" applyAlignment="1">
      <alignment horizontal="left" vertical="center"/>
    </xf>
    <xf numFmtId="164" fontId="7" fillId="2" borderId="5" xfId="0" applyNumberFormat="1" applyFont="1" applyFill="1" applyBorder="1" applyAlignment="1">
      <alignment vertical="center"/>
    </xf>
    <xf numFmtId="0" fontId="11" fillId="0" borderId="52" xfId="0" applyFont="1" applyBorder="1" applyAlignment="1">
      <alignment horizontal="left" vertical="center" wrapText="1"/>
    </xf>
    <xf numFmtId="0" fontId="11" fillId="5" borderId="18" xfId="0" applyFont="1" applyFill="1" applyBorder="1" applyAlignment="1">
      <alignment horizontal="left" vertical="center" wrapText="1"/>
    </xf>
    <xf numFmtId="164" fontId="11" fillId="0" borderId="5" xfId="0" applyNumberFormat="1" applyFont="1" applyBorder="1" applyAlignment="1">
      <alignment vertical="center" wrapText="1"/>
    </xf>
    <xf numFmtId="164" fontId="11" fillId="0" borderId="5" xfId="0" applyNumberFormat="1" applyFont="1" applyBorder="1" applyAlignment="1">
      <alignment horizontal="center" vertical="center" wrapText="1"/>
    </xf>
    <xf numFmtId="164" fontId="11" fillId="2" borderId="9" xfId="0" applyNumberFormat="1" applyFont="1" applyFill="1" applyBorder="1" applyAlignment="1">
      <alignment horizontal="center" vertical="center" wrapText="1"/>
    </xf>
    <xf numFmtId="164" fontId="7" fillId="2" borderId="26" xfId="0" applyNumberFormat="1" applyFont="1" applyFill="1" applyBorder="1" applyAlignment="1">
      <alignment vertical="center"/>
    </xf>
    <xf numFmtId="164" fontId="11" fillId="2" borderId="52" xfId="0" applyNumberFormat="1" applyFont="1" applyFill="1" applyBorder="1" applyAlignment="1">
      <alignment horizontal="center" vertical="center"/>
    </xf>
    <xf numFmtId="164" fontId="11" fillId="2" borderId="18" xfId="0" applyNumberFormat="1" applyFont="1" applyFill="1" applyBorder="1" applyAlignment="1">
      <alignment horizontal="center" vertical="center"/>
    </xf>
    <xf numFmtId="0" fontId="11" fillId="0" borderId="34" xfId="0" applyFont="1" applyBorder="1" applyAlignment="1">
      <alignment horizontal="left" vertical="center"/>
    </xf>
    <xf numFmtId="164" fontId="11" fillId="0" borderId="34" xfId="0" applyNumberFormat="1" applyFont="1" applyBorder="1" applyAlignment="1">
      <alignment vertical="center"/>
    </xf>
    <xf numFmtId="164" fontId="11" fillId="0" borderId="34" xfId="0" applyNumberFormat="1" applyFont="1" applyBorder="1" applyAlignment="1">
      <alignment horizontal="center" vertical="center"/>
    </xf>
    <xf numFmtId="164" fontId="11" fillId="2" borderId="5" xfId="0" applyNumberFormat="1" applyFont="1" applyFill="1" applyBorder="1" applyAlignment="1">
      <alignment horizontal="center" vertical="center"/>
    </xf>
    <xf numFmtId="0" fontId="14" fillId="0" borderId="0" xfId="0" applyFont="1" applyAlignment="1">
      <alignment horizontal="left" vertical="center"/>
    </xf>
    <xf numFmtId="164" fontId="7" fillId="0" borderId="81" xfId="0" applyNumberFormat="1" applyFont="1" applyBorder="1" applyAlignment="1">
      <alignment vertical="center"/>
    </xf>
    <xf numFmtId="0" fontId="11" fillId="0" borderId="82" xfId="0" applyFont="1" applyBorder="1" applyAlignment="1">
      <alignment horizontal="left" vertical="center"/>
    </xf>
    <xf numFmtId="0" fontId="7" fillId="0" borderId="18" xfId="0" applyFont="1" applyBorder="1" applyAlignment="1">
      <alignment horizontal="center" vertical="center" wrapText="1"/>
    </xf>
    <xf numFmtId="164" fontId="7" fillId="0" borderId="82" xfId="0" applyNumberFormat="1" applyFont="1" applyBorder="1" applyAlignment="1">
      <alignment vertical="center"/>
    </xf>
    <xf numFmtId="164" fontId="7" fillId="0" borderId="18" xfId="0" applyNumberFormat="1" applyFont="1" applyBorder="1" applyAlignment="1">
      <alignment horizontal="center" vertical="center"/>
    </xf>
    <xf numFmtId="0" fontId="15" fillId="0" borderId="18" xfId="0" applyFont="1" applyBorder="1" applyAlignment="1">
      <alignment horizontal="center" vertical="center" wrapText="1"/>
    </xf>
    <xf numFmtId="0" fontId="15" fillId="0" borderId="82" xfId="0" applyFont="1" applyBorder="1" applyAlignment="1">
      <alignment horizontal="left" vertical="center" wrapText="1"/>
    </xf>
    <xf numFmtId="0" fontId="15" fillId="0" borderId="18" xfId="0" applyFont="1" applyBorder="1" applyAlignment="1">
      <alignment horizontal="left" vertical="center" wrapText="1"/>
    </xf>
    <xf numFmtId="0" fontId="15" fillId="0" borderId="26" xfId="0" applyFont="1" applyBorder="1" applyAlignment="1">
      <alignment horizontal="center" vertical="center" wrapText="1"/>
    </xf>
    <xf numFmtId="0" fontId="15" fillId="0" borderId="26" xfId="0" applyFont="1" applyBorder="1" applyAlignment="1">
      <alignment horizontal="left" vertical="center" wrapText="1"/>
    </xf>
    <xf numFmtId="0" fontId="16" fillId="0" borderId="9" xfId="0" applyFont="1" applyBorder="1" applyAlignment="1">
      <alignment horizontal="center" vertical="center" wrapText="1"/>
    </xf>
    <xf numFmtId="0" fontId="16" fillId="0" borderId="9" xfId="0" applyFont="1" applyBorder="1" applyAlignment="1">
      <alignment horizontal="left" vertical="center" wrapText="1"/>
    </xf>
    <xf numFmtId="0" fontId="11" fillId="6" borderId="18" xfId="0" applyFont="1" applyFill="1" applyBorder="1" applyAlignment="1">
      <alignment horizontal="center" vertical="center" wrapText="1"/>
    </xf>
    <xf numFmtId="0" fontId="7" fillId="0" borderId="26" xfId="0" applyFont="1" applyBorder="1" applyAlignment="1">
      <alignment horizontal="center" vertical="center" wrapText="1"/>
    </xf>
    <xf numFmtId="164" fontId="7" fillId="0" borderId="84" xfId="0" applyNumberFormat="1" applyFont="1" applyBorder="1" applyAlignment="1">
      <alignment vertical="center"/>
    </xf>
    <xf numFmtId="0" fontId="15" fillId="0" borderId="9" xfId="0" applyFont="1" applyBorder="1" applyAlignment="1">
      <alignment horizontal="center" vertical="center" wrapText="1"/>
    </xf>
    <xf numFmtId="0" fontId="15" fillId="0" borderId="9" xfId="0" applyFont="1" applyBorder="1" applyAlignment="1">
      <alignment horizontal="left" vertical="center" wrapText="1"/>
    </xf>
    <xf numFmtId="164" fontId="7" fillId="4" borderId="5" xfId="0" applyNumberFormat="1" applyFont="1" applyFill="1" applyBorder="1" applyAlignment="1">
      <alignment horizontal="center" vertical="center"/>
    </xf>
    <xf numFmtId="166" fontId="7" fillId="3" borderId="26" xfId="0" applyNumberFormat="1" applyFont="1" applyFill="1" applyBorder="1" applyAlignment="1">
      <alignment horizontal="center" vertical="center"/>
    </xf>
    <xf numFmtId="164" fontId="17" fillId="0" borderId="18" xfId="0" applyNumberFormat="1" applyFont="1" applyBorder="1" applyAlignment="1">
      <alignment vertical="center"/>
    </xf>
    <xf numFmtId="0" fontId="15" fillId="0" borderId="5" xfId="0" applyFont="1" applyBorder="1" applyAlignment="1">
      <alignment horizontal="center" vertical="center" wrapText="1"/>
    </xf>
    <xf numFmtId="0" fontId="15" fillId="0" borderId="5" xfId="0" applyFont="1" applyBorder="1" applyAlignment="1">
      <alignment horizontal="left" vertical="center" wrapText="1"/>
    </xf>
    <xf numFmtId="164" fontId="7" fillId="0" borderId="54" xfId="0" applyNumberFormat="1" applyFont="1" applyBorder="1" applyAlignment="1">
      <alignment vertical="center"/>
    </xf>
    <xf numFmtId="164" fontId="7" fillId="0" borderId="6" xfId="0" applyNumberFormat="1" applyFont="1" applyBorder="1" applyAlignment="1">
      <alignment horizontal="center" vertical="center"/>
    </xf>
    <xf numFmtId="164" fontId="7" fillId="0" borderId="26" xfId="0" applyNumberFormat="1" applyFont="1" applyBorder="1" applyAlignment="1">
      <alignment horizontal="right" vertical="center"/>
    </xf>
    <xf numFmtId="0" fontId="15" fillId="0" borderId="18" xfId="0" applyFont="1" applyBorder="1" applyAlignment="1">
      <alignment vertical="center" wrapText="1"/>
    </xf>
    <xf numFmtId="0" fontId="15" fillId="0" borderId="5" xfId="0" applyFont="1" applyBorder="1" applyAlignment="1">
      <alignment vertical="center" wrapText="1"/>
    </xf>
    <xf numFmtId="0" fontId="7" fillId="0" borderId="52" xfId="0" applyFont="1" applyBorder="1" applyAlignment="1">
      <alignment horizontal="center" vertical="center"/>
    </xf>
    <xf numFmtId="0" fontId="0" fillId="0" borderId="0" xfId="0" applyAlignment="1">
      <alignment vertical="center"/>
    </xf>
    <xf numFmtId="0" fontId="7" fillId="0" borderId="0" xfId="0" applyFont="1" applyAlignment="1">
      <alignment vertical="center"/>
    </xf>
    <xf numFmtId="0" fontId="0" fillId="0" borderId="15" xfId="0" applyBorder="1" applyAlignment="1">
      <alignment vertical="center"/>
    </xf>
    <xf numFmtId="0" fontId="0" fillId="0" borderId="32" xfId="0" applyBorder="1" applyAlignment="1">
      <alignment vertical="center"/>
    </xf>
    <xf numFmtId="164" fontId="11" fillId="0" borderId="36" xfId="0" applyNumberFormat="1" applyFont="1" applyBorder="1" applyAlignment="1">
      <alignment vertical="center"/>
    </xf>
    <xf numFmtId="0" fontId="11" fillId="0" borderId="44" xfId="0" applyFont="1" applyBorder="1" applyAlignment="1">
      <alignment vertical="center" wrapText="1"/>
    </xf>
    <xf numFmtId="164" fontId="11" fillId="0" borderId="57" xfId="0" applyNumberFormat="1" applyFont="1" applyBorder="1" applyAlignment="1">
      <alignment vertical="center"/>
    </xf>
    <xf numFmtId="0" fontId="1" fillId="0" borderId="0" xfId="0" applyFont="1" applyAlignment="1">
      <alignment horizontal="center" vertical="center"/>
    </xf>
    <xf numFmtId="164" fontId="0" fillId="0" borderId="0" xfId="0" applyNumberFormat="1" applyAlignment="1">
      <alignment vertical="center"/>
    </xf>
    <xf numFmtId="0" fontId="7" fillId="0" borderId="9" xfId="0" applyFont="1" applyBorder="1" applyAlignment="1">
      <alignment vertical="center"/>
    </xf>
    <xf numFmtId="0" fontId="7" fillId="0" borderId="83" xfId="0" applyFont="1" applyBorder="1" applyAlignment="1">
      <alignment vertical="center"/>
    </xf>
    <xf numFmtId="0" fontId="7" fillId="0" borderId="18" xfId="0" applyFont="1" applyBorder="1" applyAlignment="1">
      <alignment vertical="center"/>
    </xf>
    <xf numFmtId="0" fontId="15" fillId="0" borderId="26" xfId="0" applyFont="1" applyBorder="1" applyAlignment="1">
      <alignment vertical="center" wrapText="1"/>
    </xf>
    <xf numFmtId="0" fontId="7" fillId="0" borderId="26" xfId="0" applyFont="1" applyBorder="1" applyAlignment="1">
      <alignment vertical="center"/>
    </xf>
    <xf numFmtId="0" fontId="15" fillId="0" borderId="9" xfId="0" applyFont="1" applyBorder="1" applyAlignment="1">
      <alignment vertical="center" wrapText="1"/>
    </xf>
    <xf numFmtId="166" fontId="11" fillId="0" borderId="9" xfId="0" applyNumberFormat="1" applyFont="1" applyBorder="1" applyAlignment="1">
      <alignment horizontal="center" vertical="center"/>
    </xf>
    <xf numFmtId="164" fontId="7" fillId="2" borderId="9" xfId="0" applyNumberFormat="1" applyFont="1" applyFill="1" applyBorder="1" applyAlignment="1">
      <alignment vertical="center"/>
    </xf>
    <xf numFmtId="0" fontId="15" fillId="0" borderId="34" xfId="0" applyFont="1" applyBorder="1" applyAlignment="1">
      <alignment vertical="center" wrapText="1"/>
    </xf>
    <xf numFmtId="0" fontId="15" fillId="0" borderId="34" xfId="0" applyFont="1" applyBorder="1" applyAlignment="1">
      <alignment horizontal="center" vertical="center" wrapText="1"/>
    </xf>
    <xf numFmtId="0" fontId="15" fillId="0" borderId="34" xfId="0" applyFont="1" applyBorder="1" applyAlignment="1">
      <alignment horizontal="left" vertical="center" wrapText="1"/>
    </xf>
    <xf numFmtId="0" fontId="7" fillId="0" borderId="42" xfId="0" applyFont="1" applyBorder="1" applyAlignment="1">
      <alignment vertical="center"/>
    </xf>
    <xf numFmtId="0" fontId="0" fillId="0" borderId="42" xfId="0" applyBorder="1" applyAlignment="1">
      <alignment vertical="center"/>
    </xf>
    <xf numFmtId="165" fontId="0" fillId="0" borderId="42" xfId="0" applyNumberFormat="1" applyBorder="1" applyAlignment="1">
      <alignment vertical="center"/>
    </xf>
    <xf numFmtId="0" fontId="10" fillId="0" borderId="46" xfId="0" applyFont="1" applyBorder="1" applyAlignment="1">
      <alignment horizontal="center" vertical="center"/>
    </xf>
    <xf numFmtId="0" fontId="10" fillId="0" borderId="70" xfId="0" applyFont="1" applyBorder="1" applyAlignment="1">
      <alignment horizontal="center" vertical="center"/>
    </xf>
    <xf numFmtId="165" fontId="7" fillId="0" borderId="13" xfId="0" applyNumberFormat="1" applyFont="1" applyBorder="1" applyAlignment="1">
      <alignment horizontal="center" vertical="center"/>
    </xf>
    <xf numFmtId="165" fontId="7" fillId="0" borderId="30" xfId="0" applyNumberFormat="1" applyFont="1" applyBorder="1" applyAlignment="1">
      <alignment horizontal="center" vertical="center"/>
    </xf>
    <xf numFmtId="165" fontId="7" fillId="0" borderId="48" xfId="0" applyNumberFormat="1" applyFont="1" applyBorder="1" applyAlignment="1">
      <alignment horizontal="center" vertical="center"/>
    </xf>
    <xf numFmtId="165" fontId="7" fillId="0" borderId="41" xfId="0" applyNumberFormat="1" applyFont="1" applyBorder="1" applyAlignment="1">
      <alignment horizontal="center" vertical="center"/>
    </xf>
    <xf numFmtId="165" fontId="7" fillId="0" borderId="22" xfId="0" applyNumberFormat="1" applyFont="1" applyBorder="1" applyAlignment="1">
      <alignment horizontal="center" vertical="center"/>
    </xf>
    <xf numFmtId="165" fontId="7" fillId="0" borderId="78" xfId="0" applyNumberFormat="1" applyFont="1" applyBorder="1" applyAlignment="1">
      <alignment horizontal="center" vertical="center"/>
    </xf>
    <xf numFmtId="164" fontId="7" fillId="0" borderId="13" xfId="0" applyNumberFormat="1" applyFont="1" applyBorder="1" applyAlignment="1">
      <alignment horizontal="center" vertical="center"/>
    </xf>
    <xf numFmtId="164" fontId="7" fillId="0" borderId="30" xfId="0" applyNumberFormat="1" applyFont="1" applyBorder="1" applyAlignment="1">
      <alignment horizontal="center" vertical="center"/>
    </xf>
    <xf numFmtId="165" fontId="7" fillId="0" borderId="14" xfId="0" applyNumberFormat="1" applyFont="1" applyBorder="1" applyAlignment="1">
      <alignment horizontal="center" vertical="center"/>
    </xf>
    <xf numFmtId="165" fontId="7" fillId="0" borderId="23" xfId="0" applyNumberFormat="1" applyFont="1" applyBorder="1" applyAlignment="1">
      <alignment horizontal="center" vertical="center"/>
    </xf>
    <xf numFmtId="165" fontId="7" fillId="0" borderId="31" xfId="0" applyNumberFormat="1" applyFont="1" applyBorder="1" applyAlignment="1">
      <alignment horizontal="center" vertical="center"/>
    </xf>
    <xf numFmtId="0" fontId="7" fillId="0" borderId="18" xfId="0" applyFont="1" applyBorder="1" applyAlignment="1">
      <alignment horizontal="center" vertical="center"/>
    </xf>
    <xf numFmtId="0" fontId="7" fillId="0" borderId="34" xfId="0" applyFont="1" applyBorder="1" applyAlignment="1">
      <alignment horizontal="center" vertical="center"/>
    </xf>
    <xf numFmtId="0" fontId="10" fillId="0" borderId="8" xfId="0" applyFont="1" applyBorder="1" applyAlignment="1">
      <alignment horizontal="center" vertical="center"/>
    </xf>
    <xf numFmtId="0" fontId="10" fillId="0" borderId="17" xfId="0" applyFont="1" applyBorder="1" applyAlignment="1">
      <alignment horizontal="center" vertical="center"/>
    </xf>
    <xf numFmtId="0" fontId="10" fillId="0" borderId="7" xfId="0" applyFont="1" applyBorder="1" applyAlignment="1">
      <alignment horizontal="center" vertical="center"/>
    </xf>
    <xf numFmtId="0" fontId="10" fillId="0" borderId="16" xfId="0" applyFont="1" applyBorder="1" applyAlignment="1">
      <alignment horizontal="center" vertical="center"/>
    </xf>
    <xf numFmtId="0" fontId="10" fillId="0" borderId="24" xfId="0" applyFont="1" applyBorder="1" applyAlignment="1">
      <alignment horizontal="center" vertical="center"/>
    </xf>
    <xf numFmtId="165" fontId="7" fillId="0" borderId="34" xfId="0" applyNumberFormat="1" applyFont="1" applyBorder="1" applyAlignment="1">
      <alignment horizontal="center" vertical="center"/>
    </xf>
    <xf numFmtId="0" fontId="11" fillId="0" borderId="60" xfId="0" applyFont="1" applyBorder="1" applyAlignment="1">
      <alignment horizontal="center" vertical="center" wrapText="1"/>
    </xf>
    <xf numFmtId="0" fontId="11" fillId="0" borderId="38" xfId="0" applyFont="1" applyBorder="1" applyAlignment="1">
      <alignment horizontal="center" vertical="center" wrapText="1"/>
    </xf>
    <xf numFmtId="164" fontId="11" fillId="0" borderId="57" xfId="0" applyNumberFormat="1" applyFont="1" applyBorder="1" applyAlignment="1">
      <alignment horizontal="center" vertical="center" wrapText="1"/>
    </xf>
    <xf numFmtId="164" fontId="11" fillId="0" borderId="61" xfId="0" applyNumberFormat="1" applyFont="1" applyBorder="1" applyAlignment="1">
      <alignment horizontal="center" vertical="center" wrapText="1"/>
    </xf>
    <xf numFmtId="164" fontId="11" fillId="0" borderId="39" xfId="0" applyNumberFormat="1" applyFont="1" applyBorder="1" applyAlignment="1">
      <alignment horizontal="center" vertical="center" wrapText="1"/>
    </xf>
    <xf numFmtId="165" fontId="7" fillId="0" borderId="53" xfId="0" applyNumberFormat="1" applyFont="1" applyBorder="1" applyAlignment="1">
      <alignment horizontal="center" vertical="center"/>
    </xf>
    <xf numFmtId="0" fontId="11" fillId="0" borderId="74" xfId="0" applyFont="1" applyBorder="1" applyAlignment="1">
      <alignment horizontal="left" vertical="center"/>
    </xf>
    <xf numFmtId="0" fontId="11" fillId="0" borderId="22" xfId="0" applyFont="1" applyBorder="1" applyAlignment="1">
      <alignment horizontal="center" vertical="center" wrapText="1"/>
    </xf>
    <xf numFmtId="0" fontId="11" fillId="0" borderId="70" xfId="0" applyFont="1" applyBorder="1" applyAlignment="1">
      <alignment vertical="center" wrapText="1"/>
    </xf>
    <xf numFmtId="0" fontId="11" fillId="0" borderId="22" xfId="0" applyFont="1" applyBorder="1" applyAlignment="1">
      <alignment horizontal="left" vertical="center"/>
    </xf>
    <xf numFmtId="0" fontId="11" fillId="0" borderId="34" xfId="0" applyFont="1" applyBorder="1" applyAlignment="1">
      <alignment horizontal="left" vertical="center" wrapText="1"/>
    </xf>
    <xf numFmtId="0" fontId="11" fillId="0" borderId="13" xfId="0" applyFont="1" applyBorder="1" applyAlignment="1">
      <alignment vertical="center" wrapText="1"/>
    </xf>
    <xf numFmtId="0" fontId="11" fillId="0" borderId="13" xfId="0" applyFont="1" applyBorder="1" applyAlignment="1">
      <alignment horizontal="center" vertical="center" wrapText="1"/>
    </xf>
    <xf numFmtId="0" fontId="11" fillId="0" borderId="57" xfId="0" applyFont="1" applyBorder="1" applyAlignment="1">
      <alignment horizontal="left" vertical="center" wrapText="1"/>
    </xf>
    <xf numFmtId="0" fontId="11" fillId="0" borderId="45" xfId="0" applyFont="1" applyBorder="1" applyAlignment="1">
      <alignment horizontal="center" vertical="center" wrapText="1"/>
    </xf>
    <xf numFmtId="0" fontId="7" fillId="0" borderId="5" xfId="0" applyFont="1" applyBorder="1" applyAlignment="1">
      <alignment horizontal="center" vertical="center"/>
    </xf>
    <xf numFmtId="0" fontId="11" fillId="0" borderId="79" xfId="0" applyFont="1" applyBorder="1" applyAlignment="1">
      <alignment horizontal="center" vertical="center" wrapText="1"/>
    </xf>
    <xf numFmtId="0" fontId="7" fillId="0" borderId="13" xfId="0" applyFont="1" applyBorder="1" applyAlignment="1">
      <alignment horizontal="center" vertical="center"/>
    </xf>
    <xf numFmtId="0" fontId="7" fillId="0" borderId="9" xfId="0" applyFont="1" applyBorder="1" applyAlignment="1">
      <alignment horizontal="center" vertical="center"/>
    </xf>
    <xf numFmtId="167" fontId="0" fillId="0" borderId="0" xfId="0" applyNumberFormat="1" applyAlignment="1">
      <alignment horizontal="center" vertical="center"/>
    </xf>
    <xf numFmtId="0" fontId="11" fillId="0" borderId="22" xfId="0" applyFont="1" applyBorder="1" applyAlignment="1">
      <alignment horizontal="left" vertical="center" wrapText="1"/>
    </xf>
    <xf numFmtId="167" fontId="0" fillId="0" borderId="5" xfId="0" applyNumberFormat="1" applyBorder="1" applyAlignment="1">
      <alignment horizontal="center" vertical="center"/>
    </xf>
    <xf numFmtId="167" fontId="0" fillId="0" borderId="6" xfId="0" applyNumberFormat="1" applyBorder="1" applyAlignment="1">
      <alignment horizontal="center" vertical="center"/>
    </xf>
    <xf numFmtId="167" fontId="0" fillId="0" borderId="30" xfId="0" applyNumberFormat="1" applyBorder="1" applyAlignment="1">
      <alignment horizontal="center" vertical="center"/>
    </xf>
    <xf numFmtId="167" fontId="0" fillId="0" borderId="31" xfId="0" applyNumberFormat="1" applyBorder="1" applyAlignment="1">
      <alignment horizontal="center" vertical="center"/>
    </xf>
    <xf numFmtId="0" fontId="7" fillId="0" borderId="42" xfId="0" applyFont="1" applyBorder="1" applyAlignment="1">
      <alignment horizontal="center" vertical="center"/>
    </xf>
    <xf numFmtId="164" fontId="11" fillId="3" borderId="61" xfId="0" applyNumberFormat="1" applyFont="1" applyFill="1" applyBorder="1" applyAlignment="1">
      <alignment horizontal="center" vertical="center"/>
    </xf>
    <xf numFmtId="164" fontId="11" fillId="3" borderId="68" xfId="0" applyNumberFormat="1" applyFont="1" applyFill="1" applyBorder="1" applyAlignment="1">
      <alignment horizontal="center" vertical="center"/>
    </xf>
    <xf numFmtId="164" fontId="11" fillId="0" borderId="22" xfId="0" applyNumberFormat="1" applyFont="1" applyBorder="1" applyAlignment="1">
      <alignment horizontal="center" vertical="center"/>
    </xf>
    <xf numFmtId="164" fontId="11" fillId="2" borderId="22" xfId="0" applyNumberFormat="1" applyFont="1" applyFill="1" applyBorder="1" applyAlignment="1">
      <alignment horizontal="center" vertical="center"/>
    </xf>
    <xf numFmtId="164" fontId="12" fillId="0" borderId="22" xfId="0" applyNumberFormat="1" applyFont="1" applyBorder="1" applyAlignment="1">
      <alignment vertical="center"/>
    </xf>
    <xf numFmtId="164" fontId="11" fillId="0" borderId="61" xfId="0" applyNumberFormat="1" applyFont="1" applyBorder="1" applyAlignment="1">
      <alignment vertical="center" wrapText="1"/>
    </xf>
    <xf numFmtId="164" fontId="11" fillId="0" borderId="52" xfId="0" applyNumberFormat="1" applyFont="1" applyBorder="1" applyAlignment="1">
      <alignment vertical="center" wrapText="1"/>
    </xf>
    <xf numFmtId="164" fontId="11" fillId="0" borderId="52" xfId="0" applyNumberFormat="1" applyFont="1" applyBorder="1" applyAlignment="1">
      <alignment horizontal="center" vertical="center" wrapText="1"/>
    </xf>
    <xf numFmtId="164" fontId="7" fillId="0" borderId="30" xfId="0" applyNumberFormat="1" applyFont="1" applyBorder="1" applyAlignment="1">
      <alignment horizontal="right" vertical="center"/>
    </xf>
    <xf numFmtId="164" fontId="11" fillId="0" borderId="22" xfId="0" applyNumberFormat="1" applyFont="1" applyBorder="1" applyAlignment="1">
      <alignment vertical="center"/>
    </xf>
    <xf numFmtId="0" fontId="7" fillId="0" borderId="13" xfId="0" applyFont="1" applyBorder="1" applyAlignment="1">
      <alignment vertical="center"/>
    </xf>
    <xf numFmtId="164" fontId="7" fillId="3" borderId="34" xfId="0" applyNumberFormat="1" applyFont="1" applyFill="1" applyBorder="1" applyAlignment="1">
      <alignment horizontal="center" vertical="center"/>
    </xf>
    <xf numFmtId="165" fontId="7" fillId="0" borderId="34" xfId="0" applyNumberFormat="1" applyFont="1" applyBorder="1" applyAlignment="1">
      <alignment vertical="center"/>
    </xf>
    <xf numFmtId="165" fontId="7" fillId="0" borderId="69" xfId="0" applyNumberFormat="1" applyFont="1" applyBorder="1" applyAlignment="1">
      <alignment vertical="center"/>
    </xf>
    <xf numFmtId="164" fontId="7" fillId="0" borderId="23" xfId="0" applyNumberFormat="1" applyFont="1" applyBorder="1" applyAlignment="1">
      <alignment horizontal="center" vertical="center"/>
    </xf>
    <xf numFmtId="164" fontId="13" fillId="0" borderId="9" xfId="0" applyNumberFormat="1" applyFont="1" applyBorder="1" applyAlignment="1">
      <alignment horizontal="center" vertical="center"/>
    </xf>
    <xf numFmtId="164" fontId="13" fillId="0" borderId="26" xfId="0" applyNumberFormat="1" applyFont="1" applyBorder="1" applyAlignment="1">
      <alignment horizontal="center" vertical="center"/>
    </xf>
    <xf numFmtId="164" fontId="7" fillId="2" borderId="22" xfId="0" applyNumberFormat="1" applyFont="1" applyFill="1" applyBorder="1" applyAlignment="1">
      <alignment vertical="center"/>
    </xf>
    <xf numFmtId="164" fontId="11" fillId="0" borderId="34" xfId="0" applyNumberFormat="1" applyFont="1" applyBorder="1" applyAlignment="1">
      <alignment horizontal="center" vertical="center" wrapText="1"/>
    </xf>
    <xf numFmtId="164" fontId="11" fillId="0" borderId="30" xfId="0" applyNumberFormat="1" applyFont="1" applyBorder="1" applyAlignment="1">
      <alignment vertical="center" wrapText="1"/>
    </xf>
    <xf numFmtId="164" fontId="11" fillId="0" borderId="30" xfId="0" applyNumberFormat="1" applyFont="1" applyBorder="1" applyAlignment="1">
      <alignment horizontal="center" vertical="center" wrapText="1"/>
    </xf>
    <xf numFmtId="164" fontId="11" fillId="0" borderId="22" xfId="0" applyNumberFormat="1" applyFont="1" applyBorder="1" applyAlignment="1">
      <alignment vertical="center" wrapText="1"/>
    </xf>
    <xf numFmtId="164" fontId="13" fillId="0" borderId="22" xfId="0" applyNumberFormat="1" applyFont="1" applyBorder="1" applyAlignment="1">
      <alignment horizontal="center" vertical="center" wrapText="1"/>
    </xf>
    <xf numFmtId="164" fontId="11" fillId="0" borderId="22" xfId="0" applyNumberFormat="1" applyFont="1" applyBorder="1" applyAlignment="1">
      <alignment horizontal="center" vertical="center" wrapText="1"/>
    </xf>
    <xf numFmtId="167" fontId="0" fillId="0" borderId="42" xfId="0" applyNumberFormat="1" applyBorder="1" applyAlignment="1">
      <alignment horizontal="center" vertical="center"/>
    </xf>
    <xf numFmtId="0" fontId="5" fillId="0" borderId="7" xfId="0" applyFont="1" applyBorder="1" applyAlignment="1">
      <alignment horizontal="center" vertical="center"/>
    </xf>
    <xf numFmtId="164" fontId="7" fillId="4" borderId="22" xfId="0" applyNumberFormat="1" applyFont="1" applyFill="1" applyBorder="1" applyAlignment="1">
      <alignment horizontal="center" vertical="center"/>
    </xf>
    <xf numFmtId="164" fontId="7" fillId="4" borderId="30" xfId="0" applyNumberFormat="1" applyFont="1" applyFill="1" applyBorder="1" applyAlignment="1">
      <alignment horizontal="center" vertical="center"/>
    </xf>
    <xf numFmtId="164" fontId="7" fillId="4" borderId="13" xfId="0" applyNumberFormat="1" applyFont="1" applyFill="1" applyBorder="1" applyAlignment="1">
      <alignment horizontal="center" vertical="center"/>
    </xf>
    <xf numFmtId="168" fontId="3" fillId="0" borderId="0" xfId="0" applyNumberFormat="1" applyFont="1" applyAlignment="1">
      <alignment vertical="center"/>
    </xf>
    <xf numFmtId="168" fontId="9" fillId="4" borderId="5" xfId="0" applyNumberFormat="1" applyFont="1" applyFill="1" applyBorder="1" applyAlignment="1">
      <alignment horizontal="center" vertical="center"/>
    </xf>
    <xf numFmtId="168" fontId="7" fillId="4" borderId="9" xfId="0" applyNumberFormat="1" applyFont="1" applyFill="1" applyBorder="1" applyAlignment="1">
      <alignment vertical="center"/>
    </xf>
    <xf numFmtId="168" fontId="7" fillId="4" borderId="18" xfId="0" applyNumberFormat="1" applyFont="1" applyFill="1" applyBorder="1" applyAlignment="1">
      <alignment vertical="center"/>
    </xf>
    <xf numFmtId="168" fontId="7" fillId="4" borderId="26" xfId="0" applyNumberFormat="1" applyFont="1" applyFill="1" applyBorder="1" applyAlignment="1">
      <alignment vertical="center"/>
    </xf>
    <xf numFmtId="168" fontId="7" fillId="4" borderId="34" xfId="0" applyNumberFormat="1" applyFont="1" applyFill="1" applyBorder="1" applyAlignment="1">
      <alignment vertical="center"/>
    </xf>
    <xf numFmtId="168" fontId="7" fillId="4" borderId="78" xfId="0" applyNumberFormat="1" applyFont="1" applyFill="1" applyBorder="1" applyAlignment="1">
      <alignment vertical="center"/>
    </xf>
    <xf numFmtId="168" fontId="7" fillId="4" borderId="5" xfId="0" applyNumberFormat="1" applyFont="1" applyFill="1" applyBorder="1" applyAlignment="1">
      <alignment vertical="center"/>
    </xf>
    <xf numFmtId="168" fontId="7" fillId="4" borderId="22" xfId="0" applyNumberFormat="1" applyFont="1" applyFill="1" applyBorder="1" applyAlignment="1">
      <alignment vertical="center"/>
    </xf>
    <xf numFmtId="168" fontId="7" fillId="4" borderId="23" xfId="0" applyNumberFormat="1" applyFont="1" applyFill="1" applyBorder="1" applyAlignment="1">
      <alignment vertical="center"/>
    </xf>
    <xf numFmtId="168" fontId="7" fillId="4" borderId="30" xfId="0" applyNumberFormat="1" applyFont="1" applyFill="1" applyBorder="1" applyAlignment="1">
      <alignment horizontal="right" vertical="center"/>
    </xf>
    <xf numFmtId="168" fontId="7" fillId="4" borderId="52" xfId="0" applyNumberFormat="1" applyFont="1" applyFill="1" applyBorder="1" applyAlignment="1">
      <alignment vertical="center"/>
    </xf>
    <xf numFmtId="168" fontId="7" fillId="4" borderId="13" xfId="0" applyNumberFormat="1" applyFont="1" applyFill="1" applyBorder="1" applyAlignment="1">
      <alignment vertical="center"/>
    </xf>
    <xf numFmtId="168" fontId="7" fillId="4" borderId="30" xfId="0" applyNumberFormat="1" applyFont="1" applyFill="1" applyBorder="1" applyAlignment="1">
      <alignment vertical="center"/>
    </xf>
    <xf numFmtId="168" fontId="7" fillId="4" borderId="9" xfId="0" applyNumberFormat="1" applyFont="1" applyFill="1" applyBorder="1" applyAlignment="1">
      <alignment horizontal="center" vertical="center"/>
    </xf>
    <xf numFmtId="168" fontId="7" fillId="4" borderId="18" xfId="0" applyNumberFormat="1" applyFont="1" applyFill="1" applyBorder="1" applyAlignment="1">
      <alignment horizontal="center" vertical="center"/>
    </xf>
    <xf numFmtId="168" fontId="7" fillId="4" borderId="26" xfId="0" applyNumberFormat="1" applyFont="1" applyFill="1" applyBorder="1" applyAlignment="1">
      <alignment horizontal="center" vertical="center"/>
    </xf>
    <xf numFmtId="168" fontId="7" fillId="4" borderId="13" xfId="0" applyNumberFormat="1" applyFont="1" applyFill="1" applyBorder="1" applyAlignment="1">
      <alignment horizontal="center" vertical="center"/>
    </xf>
    <xf numFmtId="168" fontId="7" fillId="4" borderId="30" xfId="0" applyNumberFormat="1" applyFont="1" applyFill="1" applyBorder="1" applyAlignment="1">
      <alignment horizontal="center" vertical="center"/>
    </xf>
    <xf numFmtId="168" fontId="7" fillId="4" borderId="34" xfId="0" applyNumberFormat="1" applyFont="1" applyFill="1" applyBorder="1" applyAlignment="1">
      <alignment horizontal="center" vertical="center"/>
    </xf>
    <xf numFmtId="168" fontId="7" fillId="4" borderId="5" xfId="0" applyNumberFormat="1" applyFont="1" applyFill="1" applyBorder="1" applyAlignment="1">
      <alignment horizontal="center" vertical="center"/>
    </xf>
    <xf numFmtId="168" fontId="0" fillId="0" borderId="0" xfId="0" applyNumberFormat="1" applyAlignment="1">
      <alignment vertical="center"/>
    </xf>
    <xf numFmtId="164" fontId="10" fillId="4" borderId="5" xfId="0" applyNumberFormat="1" applyFont="1" applyFill="1" applyBorder="1" applyAlignment="1">
      <alignment horizontal="center" vertical="center" wrapText="1"/>
    </xf>
    <xf numFmtId="164" fontId="7" fillId="4" borderId="87" xfId="0" applyNumberFormat="1" applyFont="1" applyFill="1" applyBorder="1" applyAlignment="1">
      <alignment horizontal="center" vertical="center"/>
    </xf>
    <xf numFmtId="164" fontId="7" fillId="4" borderId="80" xfId="0" applyNumberFormat="1" applyFont="1" applyFill="1" applyBorder="1" applyAlignment="1">
      <alignment horizontal="center" vertical="center"/>
    </xf>
    <xf numFmtId="167" fontId="0" fillId="0" borderId="13" xfId="0" applyNumberFormat="1" applyBorder="1" applyAlignment="1">
      <alignment horizontal="center" vertical="center"/>
    </xf>
    <xf numFmtId="167" fontId="0" fillId="0" borderId="23" xfId="0" applyNumberFormat="1" applyBorder="1" applyAlignment="1">
      <alignment horizontal="center" vertical="center"/>
    </xf>
    <xf numFmtId="0" fontId="8" fillId="0" borderId="6" xfId="0" applyFont="1" applyBorder="1" applyAlignment="1">
      <alignment horizontal="center" vertical="center" wrapText="1"/>
    </xf>
    <xf numFmtId="167" fontId="0" fillId="0" borderId="86" xfId="0" applyNumberFormat="1" applyBorder="1" applyAlignment="1">
      <alignment horizontal="center" vertical="center"/>
    </xf>
    <xf numFmtId="0" fontId="10" fillId="2" borderId="4" xfId="0" applyFont="1" applyFill="1" applyBorder="1" applyAlignment="1">
      <alignment horizontal="center" vertical="center"/>
    </xf>
    <xf numFmtId="164" fontId="7" fillId="0" borderId="22" xfId="0" applyNumberFormat="1" applyFont="1" applyBorder="1" applyAlignment="1">
      <alignment horizontal="center" vertical="center"/>
    </xf>
    <xf numFmtId="164" fontId="7" fillId="0" borderId="30" xfId="0" applyNumberFormat="1" applyFont="1" applyBorder="1" applyAlignment="1">
      <alignment horizontal="center" vertical="center"/>
    </xf>
    <xf numFmtId="0" fontId="10" fillId="7" borderId="46" xfId="0" applyFont="1" applyFill="1" applyBorder="1" applyAlignment="1">
      <alignment horizontal="center" vertical="center"/>
    </xf>
    <xf numFmtId="0" fontId="10" fillId="7" borderId="47" xfId="0" applyFont="1" applyFill="1" applyBorder="1" applyAlignment="1">
      <alignment horizontal="center" vertical="center"/>
    </xf>
    <xf numFmtId="0" fontId="10" fillId="0" borderId="46" xfId="0" applyFont="1" applyBorder="1" applyAlignment="1">
      <alignment horizontal="center" vertical="center"/>
    </xf>
    <xf numFmtId="0" fontId="10" fillId="0" borderId="70" xfId="0" applyFont="1" applyBorder="1" applyAlignment="1">
      <alignment horizontal="center" vertical="center"/>
    </xf>
    <xf numFmtId="0" fontId="10" fillId="0" borderId="47" xfId="0" applyFont="1" applyBorder="1" applyAlignment="1">
      <alignment horizontal="center" vertical="center"/>
    </xf>
    <xf numFmtId="0" fontId="5" fillId="0" borderId="0" xfId="0" applyFont="1" applyAlignment="1">
      <alignment horizontal="center" vertical="center"/>
    </xf>
    <xf numFmtId="0" fontId="0" fillId="0" borderId="0" xfId="0" applyAlignment="1">
      <alignment vertical="center"/>
    </xf>
    <xf numFmtId="0" fontId="6" fillId="0" borderId="1" xfId="0" applyFont="1" applyBorder="1" applyAlignment="1">
      <alignment horizontal="center" vertical="center"/>
    </xf>
    <xf numFmtId="0" fontId="6" fillId="0" borderId="2" xfId="0" applyFont="1" applyBorder="1" applyAlignment="1">
      <alignment horizontal="center" vertical="center"/>
    </xf>
    <xf numFmtId="0" fontId="6" fillId="0" borderId="3" xfId="0" applyFont="1" applyBorder="1" applyAlignment="1">
      <alignment horizontal="center" vertical="center"/>
    </xf>
    <xf numFmtId="0" fontId="10" fillId="0" borderId="8" xfId="0" applyFont="1" applyBorder="1" applyAlignment="1">
      <alignment horizontal="center" vertical="center"/>
    </xf>
    <xf numFmtId="0" fontId="10" fillId="0" borderId="17" xfId="0" applyFont="1" applyBorder="1" applyAlignment="1">
      <alignment horizontal="center" vertical="center"/>
    </xf>
    <xf numFmtId="0" fontId="10" fillId="0" borderId="25" xfId="0" applyFont="1" applyBorder="1" applyAlignment="1">
      <alignment horizontal="center" vertical="center"/>
    </xf>
    <xf numFmtId="0" fontId="10" fillId="0" borderId="49" xfId="0" applyFont="1" applyBorder="1" applyAlignment="1">
      <alignment horizontal="center" vertical="center"/>
    </xf>
    <xf numFmtId="0" fontId="10" fillId="0" borderId="50" xfId="0" applyFont="1" applyBorder="1" applyAlignment="1">
      <alignment horizontal="center" vertical="center"/>
    </xf>
    <xf numFmtId="0" fontId="10" fillId="0" borderId="51" xfId="0" applyFont="1" applyBorder="1" applyAlignment="1">
      <alignment horizontal="center" vertical="center"/>
    </xf>
    <xf numFmtId="164" fontId="12" fillId="0" borderId="22" xfId="0" applyNumberFormat="1" applyFont="1" applyBorder="1" applyAlignment="1">
      <alignment horizontal="center" vertical="center"/>
    </xf>
    <xf numFmtId="164" fontId="12" fillId="0" borderId="30" xfId="0" applyNumberFormat="1" applyFont="1" applyBorder="1" applyAlignment="1">
      <alignment horizontal="center" vertical="center"/>
    </xf>
    <xf numFmtId="0" fontId="10" fillId="0" borderId="88" xfId="0" applyFont="1" applyBorder="1" applyAlignment="1">
      <alignment horizontal="center" vertical="center"/>
    </xf>
    <xf numFmtId="0" fontId="10" fillId="0" borderId="59" xfId="0" applyFont="1" applyBorder="1" applyAlignment="1">
      <alignment horizontal="center" vertical="center"/>
    </xf>
    <xf numFmtId="0" fontId="10" fillId="0" borderId="63" xfId="0" applyFont="1" applyBorder="1" applyAlignment="1">
      <alignment horizontal="center" vertical="center"/>
    </xf>
    <xf numFmtId="0" fontId="11" fillId="0" borderId="52" xfId="0" applyFont="1" applyBorder="1" applyAlignment="1">
      <alignment horizontal="center" vertical="center"/>
    </xf>
    <xf numFmtId="0" fontId="11" fillId="0" borderId="18" xfId="0" applyFont="1" applyBorder="1" applyAlignment="1">
      <alignment horizontal="center" vertical="center"/>
    </xf>
    <xf numFmtId="0" fontId="11" fillId="0" borderId="26" xfId="0" applyFont="1" applyBorder="1" applyAlignment="1">
      <alignment horizontal="center" vertical="center"/>
    </xf>
    <xf numFmtId="0" fontId="11" fillId="0" borderId="60" xfId="0" applyFont="1" applyBorder="1" applyAlignment="1">
      <alignment horizontal="center" vertical="center" wrapText="1"/>
    </xf>
    <xf numFmtId="0" fontId="11" fillId="0" borderId="38" xfId="0" applyFont="1" applyBorder="1" applyAlignment="1">
      <alignment horizontal="center" vertical="center" wrapText="1"/>
    </xf>
    <xf numFmtId="0" fontId="11" fillId="0" borderId="61" xfId="0" applyFont="1" applyBorder="1" applyAlignment="1">
      <alignment horizontal="center" vertical="center" wrapText="1"/>
    </xf>
    <xf numFmtId="0" fontId="11" fillId="0" borderId="39" xfId="0" applyFont="1" applyBorder="1" applyAlignment="1">
      <alignment horizontal="center" vertical="center" wrapText="1"/>
    </xf>
    <xf numFmtId="164" fontId="13" fillId="0" borderId="61" xfId="0" applyNumberFormat="1" applyFont="1" applyBorder="1" applyAlignment="1">
      <alignment horizontal="center" vertical="center" wrapText="1"/>
    </xf>
    <xf numFmtId="164" fontId="13" fillId="0" borderId="39" xfId="0" applyNumberFormat="1" applyFont="1" applyBorder="1" applyAlignment="1">
      <alignment horizontal="center" vertical="center" wrapText="1"/>
    </xf>
    <xf numFmtId="0" fontId="10" fillId="0" borderId="76" xfId="0" applyFont="1" applyBorder="1" applyAlignment="1">
      <alignment horizontal="center" vertical="center"/>
    </xf>
    <xf numFmtId="165" fontId="7" fillId="0" borderId="14" xfId="0" applyNumberFormat="1" applyFont="1" applyBorder="1" applyAlignment="1">
      <alignment horizontal="center" vertical="center"/>
    </xf>
    <xf numFmtId="0" fontId="7" fillId="0" borderId="23" xfId="0" applyFont="1" applyBorder="1" applyAlignment="1">
      <alignment horizontal="center" vertical="center"/>
    </xf>
    <xf numFmtId="164" fontId="7" fillId="4" borderId="13" xfId="0" applyNumberFormat="1" applyFont="1" applyFill="1" applyBorder="1" applyAlignment="1">
      <alignment horizontal="center" vertical="center"/>
    </xf>
    <xf numFmtId="164" fontId="7" fillId="4" borderId="22" xfId="0" applyNumberFormat="1" applyFont="1" applyFill="1" applyBorder="1" applyAlignment="1">
      <alignment horizontal="center" vertical="center"/>
    </xf>
    <xf numFmtId="164" fontId="7" fillId="4" borderId="30" xfId="0" applyNumberFormat="1" applyFont="1" applyFill="1" applyBorder="1" applyAlignment="1">
      <alignment horizontal="center" vertical="center"/>
    </xf>
    <xf numFmtId="165" fontId="7" fillId="0" borderId="13" xfId="0" applyNumberFormat="1" applyFont="1" applyBorder="1" applyAlignment="1">
      <alignment horizontal="center" vertical="center"/>
    </xf>
    <xf numFmtId="165" fontId="7" fillId="0" borderId="22" xfId="0" applyNumberFormat="1" applyFont="1" applyBorder="1" applyAlignment="1">
      <alignment horizontal="center" vertical="center"/>
    </xf>
    <xf numFmtId="165" fontId="7" fillId="0" borderId="30" xfId="0" applyNumberFormat="1" applyFont="1" applyBorder="1" applyAlignment="1">
      <alignment horizontal="center" vertical="center"/>
    </xf>
    <xf numFmtId="0" fontId="7" fillId="0" borderId="31" xfId="0" applyFont="1" applyBorder="1" applyAlignment="1">
      <alignment horizontal="center" vertical="center"/>
    </xf>
    <xf numFmtId="165" fontId="7" fillId="0" borderId="23" xfId="0" applyNumberFormat="1" applyFont="1" applyBorder="1" applyAlignment="1">
      <alignment horizontal="center" vertical="center"/>
    </xf>
    <xf numFmtId="165" fontId="7" fillId="0" borderId="31" xfId="0" applyNumberFormat="1" applyFont="1" applyBorder="1" applyAlignment="1">
      <alignment horizontal="center" vertical="center"/>
    </xf>
    <xf numFmtId="164" fontId="7" fillId="4" borderId="9" xfId="0" applyNumberFormat="1" applyFont="1" applyFill="1" applyBorder="1" applyAlignment="1">
      <alignment horizontal="center" vertical="center"/>
    </xf>
    <xf numFmtId="164" fontId="7" fillId="4" borderId="26" xfId="0" applyNumberFormat="1" applyFont="1" applyFill="1" applyBorder="1" applyAlignment="1">
      <alignment horizontal="center" vertical="center"/>
    </xf>
    <xf numFmtId="165" fontId="7" fillId="0" borderId="53" xfId="0" applyNumberFormat="1" applyFont="1" applyBorder="1" applyAlignment="1">
      <alignment horizontal="center" vertical="center"/>
    </xf>
    <xf numFmtId="0" fontId="7" fillId="0" borderId="55" xfId="0" applyFont="1" applyBorder="1" applyAlignment="1">
      <alignment horizontal="center" vertical="center"/>
    </xf>
    <xf numFmtId="0" fontId="11" fillId="0" borderId="9" xfId="0" applyFont="1" applyBorder="1" applyAlignment="1">
      <alignment horizontal="center" vertical="center"/>
    </xf>
    <xf numFmtId="0" fontId="11" fillId="0" borderId="34" xfId="0" applyFont="1" applyBorder="1" applyAlignment="1">
      <alignment horizontal="center" vertical="center"/>
    </xf>
    <xf numFmtId="0" fontId="11" fillId="0" borderId="56" xfId="0" applyFont="1" applyBorder="1" applyAlignment="1">
      <alignment horizontal="center" vertical="center" wrapText="1"/>
    </xf>
    <xf numFmtId="0" fontId="11" fillId="0" borderId="57" xfId="0" applyFont="1" applyBorder="1" applyAlignment="1">
      <alignment horizontal="center" vertical="center" wrapText="1"/>
    </xf>
    <xf numFmtId="164" fontId="11" fillId="0" borderId="57" xfId="0" applyNumberFormat="1" applyFont="1" applyBorder="1" applyAlignment="1">
      <alignment horizontal="center" vertical="center" wrapText="1"/>
    </xf>
    <xf numFmtId="164" fontId="11" fillId="0" borderId="61" xfId="0" applyNumberFormat="1" applyFont="1" applyBorder="1" applyAlignment="1">
      <alignment horizontal="center" vertical="center" wrapText="1"/>
    </xf>
    <xf numFmtId="164" fontId="11" fillId="0" borderId="58" xfId="0" applyNumberFormat="1" applyFont="1" applyBorder="1" applyAlignment="1">
      <alignment horizontal="center" vertical="center" wrapText="1"/>
    </xf>
    <xf numFmtId="164" fontId="11" fillId="0" borderId="62" xfId="0" applyNumberFormat="1" applyFont="1" applyBorder="1" applyAlignment="1">
      <alignment horizontal="center" vertical="center" wrapText="1"/>
    </xf>
    <xf numFmtId="164" fontId="7" fillId="0" borderId="13" xfId="0" applyNumberFormat="1" applyFont="1" applyBorder="1" applyAlignment="1">
      <alignment horizontal="center" vertical="center"/>
    </xf>
    <xf numFmtId="168" fontId="7" fillId="4" borderId="22" xfId="0" applyNumberFormat="1" applyFont="1" applyFill="1" applyBorder="1" applyAlignment="1">
      <alignment horizontal="center" vertical="center"/>
    </xf>
    <xf numFmtId="168" fontId="7" fillId="4" borderId="30" xfId="0" applyNumberFormat="1" applyFont="1" applyFill="1" applyBorder="1" applyAlignment="1">
      <alignment horizontal="center" vertical="center"/>
    </xf>
    <xf numFmtId="164" fontId="7" fillId="4" borderId="52" xfId="0" applyNumberFormat="1" applyFont="1" applyFill="1" applyBorder="1" applyAlignment="1">
      <alignment horizontal="center" vertical="center"/>
    </xf>
    <xf numFmtId="164" fontId="7" fillId="4" borderId="18" xfId="0" applyNumberFormat="1" applyFont="1" applyFill="1" applyBorder="1" applyAlignment="1">
      <alignment horizontal="center" vertical="center"/>
    </xf>
    <xf numFmtId="0" fontId="7" fillId="0" borderId="22" xfId="0" applyFont="1" applyBorder="1" applyAlignment="1">
      <alignment horizontal="center" vertical="center"/>
    </xf>
    <xf numFmtId="0" fontId="7" fillId="0" borderId="52" xfId="0" applyFont="1" applyBorder="1" applyAlignment="1">
      <alignment horizontal="center" vertical="center"/>
    </xf>
    <xf numFmtId="165" fontId="7" fillId="0" borderId="52" xfId="0" applyNumberFormat="1" applyFont="1" applyBorder="1" applyAlignment="1">
      <alignment horizontal="center" vertical="center"/>
    </xf>
    <xf numFmtId="0" fontId="7" fillId="0" borderId="18" xfId="0" applyFont="1" applyBorder="1" applyAlignment="1">
      <alignment horizontal="center" vertical="center"/>
    </xf>
    <xf numFmtId="164" fontId="11" fillId="0" borderId="64" xfId="0" applyNumberFormat="1" applyFont="1" applyBorder="1" applyAlignment="1">
      <alignment horizontal="center" vertical="center" wrapText="1"/>
    </xf>
    <xf numFmtId="165" fontId="7" fillId="0" borderId="34" xfId="0" applyNumberFormat="1" applyFont="1" applyBorder="1" applyAlignment="1">
      <alignment horizontal="center" vertical="center"/>
    </xf>
    <xf numFmtId="165" fontId="7" fillId="0" borderId="18" xfId="0" applyNumberFormat="1" applyFont="1" applyBorder="1" applyAlignment="1">
      <alignment horizontal="center" vertical="center"/>
    </xf>
    <xf numFmtId="0" fontId="7" fillId="0" borderId="34" xfId="0" applyFont="1" applyBorder="1" applyAlignment="1">
      <alignment horizontal="center" vertical="center"/>
    </xf>
    <xf numFmtId="165" fontId="7" fillId="0" borderId="55" xfId="0" applyNumberFormat="1" applyFont="1" applyBorder="1" applyAlignment="1">
      <alignment horizontal="center" vertical="center"/>
    </xf>
    <xf numFmtId="0" fontId="7" fillId="0" borderId="69" xfId="0" applyFont="1" applyBorder="1" applyAlignment="1">
      <alignment horizontal="center" vertical="center"/>
    </xf>
    <xf numFmtId="165" fontId="7" fillId="0" borderId="9" xfId="0" applyNumberFormat="1" applyFont="1" applyBorder="1" applyAlignment="1">
      <alignment horizontal="center" vertical="center"/>
    </xf>
    <xf numFmtId="0" fontId="7" fillId="0" borderId="26" xfId="0" applyFont="1" applyBorder="1" applyAlignment="1">
      <alignment horizontal="center" vertical="center"/>
    </xf>
    <xf numFmtId="165" fontId="7" fillId="0" borderId="71" xfId="0" applyNumberFormat="1" applyFont="1" applyBorder="1" applyAlignment="1">
      <alignment horizontal="center" vertical="center"/>
    </xf>
    <xf numFmtId="0" fontId="7" fillId="0" borderId="72" xfId="0" applyFont="1" applyBorder="1" applyAlignment="1">
      <alignment horizontal="center" vertical="center"/>
    </xf>
    <xf numFmtId="168" fontId="7" fillId="4" borderId="13" xfId="0" applyNumberFormat="1" applyFont="1" applyFill="1" applyBorder="1" applyAlignment="1">
      <alignment horizontal="center" vertical="center"/>
    </xf>
    <xf numFmtId="164" fontId="7" fillId="4" borderId="34" xfId="0" applyNumberFormat="1" applyFont="1" applyFill="1" applyBorder="1" applyAlignment="1">
      <alignment horizontal="center" vertical="center"/>
    </xf>
    <xf numFmtId="0" fontId="7" fillId="0" borderId="30" xfId="0" applyFont="1" applyBorder="1" applyAlignment="1">
      <alignment horizontal="center" vertical="center"/>
    </xf>
    <xf numFmtId="0" fontId="10" fillId="0" borderId="7" xfId="0" applyFont="1" applyBorder="1" applyAlignment="1">
      <alignment horizontal="center" vertical="center"/>
    </xf>
    <xf numFmtId="0" fontId="10" fillId="0" borderId="16" xfId="0" applyFont="1" applyBorder="1" applyAlignment="1">
      <alignment horizontal="center" vertical="center"/>
    </xf>
    <xf numFmtId="0" fontId="10" fillId="0" borderId="24" xfId="0" applyFont="1" applyBorder="1" applyAlignment="1">
      <alignment horizontal="center" vertical="center"/>
    </xf>
    <xf numFmtId="165" fontId="7" fillId="0" borderId="69" xfId="0" applyNumberFormat="1" applyFont="1" applyBorder="1" applyAlignment="1">
      <alignment horizontal="center" vertical="center"/>
    </xf>
    <xf numFmtId="0" fontId="10" fillId="0" borderId="73" xfId="0" applyFont="1" applyBorder="1" applyAlignment="1">
      <alignment horizontal="center" vertical="center"/>
    </xf>
    <xf numFmtId="165" fontId="7" fillId="0" borderId="26" xfId="0" applyNumberFormat="1" applyFont="1" applyBorder="1" applyAlignment="1">
      <alignment horizontal="center" vertical="center"/>
    </xf>
    <xf numFmtId="165" fontId="7" fillId="0" borderId="72" xfId="0" applyNumberFormat="1" applyFont="1" applyBorder="1" applyAlignment="1">
      <alignment horizontal="center" vertical="center"/>
    </xf>
    <xf numFmtId="164" fontId="7" fillId="0" borderId="14" xfId="0" applyNumberFormat="1" applyFont="1" applyBorder="1" applyAlignment="1">
      <alignment horizontal="center" vertical="center"/>
    </xf>
    <xf numFmtId="164" fontId="7" fillId="0" borderId="31" xfId="0" applyNumberFormat="1" applyFont="1" applyBorder="1" applyAlignment="1">
      <alignment horizontal="center" vertical="center"/>
    </xf>
    <xf numFmtId="164" fontId="7" fillId="0" borderId="53" xfId="0" applyNumberFormat="1" applyFont="1" applyBorder="1" applyAlignment="1">
      <alignment horizontal="center" vertical="center"/>
    </xf>
    <xf numFmtId="164" fontId="7" fillId="0" borderId="55" xfId="0" applyNumberFormat="1" applyFont="1" applyBorder="1" applyAlignment="1">
      <alignment horizontal="center" vertical="center"/>
    </xf>
    <xf numFmtId="164" fontId="7" fillId="0" borderId="69" xfId="0" applyNumberFormat="1" applyFont="1" applyBorder="1" applyAlignment="1">
      <alignment horizontal="center" vertical="center"/>
    </xf>
    <xf numFmtId="164" fontId="7" fillId="4" borderId="14" xfId="0" applyNumberFormat="1" applyFont="1" applyFill="1" applyBorder="1" applyAlignment="1">
      <alignment horizontal="center" vertical="center"/>
    </xf>
    <xf numFmtId="164" fontId="7" fillId="4" borderId="23" xfId="0" applyNumberFormat="1" applyFont="1" applyFill="1" applyBorder="1" applyAlignment="1">
      <alignment horizontal="center" vertical="center"/>
    </xf>
    <xf numFmtId="164" fontId="7" fillId="4" borderId="31" xfId="0" applyNumberFormat="1" applyFont="1" applyFill="1" applyBorder="1" applyAlignment="1">
      <alignment horizontal="center" vertical="center"/>
    </xf>
    <xf numFmtId="165" fontId="7" fillId="0" borderId="46" xfId="0" applyNumberFormat="1" applyFont="1" applyBorder="1" applyAlignment="1">
      <alignment horizontal="center" vertical="center"/>
    </xf>
    <xf numFmtId="0" fontId="7" fillId="0" borderId="70" xfId="0" applyFont="1" applyBorder="1" applyAlignment="1">
      <alignment horizontal="center" vertical="center"/>
    </xf>
    <xf numFmtId="0" fontId="7" fillId="0" borderId="47" xfId="0" applyFont="1" applyBorder="1" applyAlignment="1">
      <alignment horizontal="center" vertical="center"/>
    </xf>
    <xf numFmtId="165" fontId="7" fillId="0" borderId="78" xfId="0" applyNumberFormat="1" applyFont="1" applyBorder="1" applyAlignment="1">
      <alignment horizontal="center" vertical="center"/>
    </xf>
    <xf numFmtId="165" fontId="7" fillId="0" borderId="41" xfId="0" applyNumberFormat="1" applyFont="1" applyBorder="1" applyAlignment="1">
      <alignment horizontal="center" vertical="center"/>
    </xf>
    <xf numFmtId="165" fontId="7" fillId="0" borderId="48" xfId="0" applyNumberFormat="1" applyFont="1" applyBorder="1" applyAlignment="1">
      <alignment horizontal="center" vertical="center"/>
    </xf>
    <xf numFmtId="164" fontId="7" fillId="0" borderId="9" xfId="0" applyNumberFormat="1" applyFont="1" applyBorder="1" applyAlignment="1">
      <alignment horizontal="center" vertical="center"/>
    </xf>
    <xf numFmtId="164" fontId="7" fillId="0" borderId="18" xfId="0" applyNumberFormat="1" applyFont="1" applyBorder="1" applyAlignment="1">
      <alignment horizontal="center" vertical="center"/>
    </xf>
    <xf numFmtId="164" fontId="7" fillId="0" borderId="26" xfId="0" applyNumberFormat="1" applyFont="1" applyBorder="1" applyAlignment="1">
      <alignment horizontal="center" vertical="center"/>
    </xf>
    <xf numFmtId="164" fontId="7" fillId="0" borderId="71" xfId="0" applyNumberFormat="1" applyFont="1" applyBorder="1" applyAlignment="1">
      <alignment horizontal="center" vertical="center"/>
    </xf>
    <xf numFmtId="164" fontId="7" fillId="0" borderId="72" xfId="0" applyNumberFormat="1" applyFont="1" applyBorder="1" applyAlignment="1">
      <alignment horizontal="center" vertical="center"/>
    </xf>
    <xf numFmtId="165" fontId="7" fillId="0" borderId="81" xfId="0" applyNumberFormat="1" applyFont="1" applyBorder="1" applyAlignment="1">
      <alignment horizontal="center" vertical="center"/>
    </xf>
    <xf numFmtId="165" fontId="7" fillId="0" borderId="82" xfId="0" applyNumberFormat="1" applyFont="1" applyBorder="1" applyAlignment="1">
      <alignment horizontal="center" vertical="center"/>
    </xf>
    <xf numFmtId="165" fontId="7" fillId="0" borderId="84" xfId="0" applyNumberFormat="1" applyFont="1" applyBorder="1" applyAlignment="1">
      <alignment horizontal="center" vertical="center"/>
    </xf>
    <xf numFmtId="164" fontId="7" fillId="4" borderId="85" xfId="0" applyNumberFormat="1" applyFont="1" applyFill="1" applyBorder="1" applyAlignment="1">
      <alignment horizontal="center" vertical="center"/>
    </xf>
    <xf numFmtId="164" fontId="7" fillId="4" borderId="84" xfId="0" applyNumberFormat="1" applyFont="1" applyFill="1" applyBorder="1" applyAlignment="1">
      <alignment horizontal="center" vertical="center"/>
    </xf>
    <xf numFmtId="164" fontId="7" fillId="0" borderId="34" xfId="0" applyNumberFormat="1" applyFont="1" applyBorder="1" applyAlignment="1">
      <alignment horizontal="center" vertical="center"/>
    </xf>
    <xf numFmtId="164" fontId="7" fillId="4" borderId="48" xfId="0" applyNumberFormat="1" applyFont="1" applyFill="1" applyBorder="1" applyAlignment="1">
      <alignment horizontal="center" vertical="center"/>
    </xf>
    <xf numFmtId="164" fontId="7" fillId="4" borderId="78" xfId="0" applyNumberFormat="1" applyFont="1" applyFill="1" applyBorder="1" applyAlignment="1">
      <alignment horizontal="center" vertical="center"/>
    </xf>
    <xf numFmtId="164" fontId="7" fillId="4" borderId="41" xfId="0" applyNumberFormat="1" applyFont="1" applyFill="1" applyBorder="1" applyAlignment="1">
      <alignment horizontal="center" vertical="center"/>
    </xf>
    <xf numFmtId="164" fontId="7" fillId="0" borderId="81" xfId="0" applyNumberFormat="1" applyFont="1" applyBorder="1" applyAlignment="1">
      <alignment horizontal="center" vertical="center"/>
    </xf>
    <xf numFmtId="164" fontId="7" fillId="0" borderId="82" xfId="0" applyNumberFormat="1" applyFont="1" applyBorder="1" applyAlignment="1">
      <alignment horizontal="center" vertical="center"/>
    </xf>
    <xf numFmtId="164" fontId="7" fillId="0" borderId="84" xfId="0" applyNumberFormat="1" applyFont="1" applyBorder="1" applyAlignment="1">
      <alignment horizontal="center" vertical="center"/>
    </xf>
    <xf numFmtId="0" fontId="11" fillId="0" borderId="9" xfId="0" applyFont="1" applyBorder="1" applyAlignment="1">
      <alignment horizontal="center" vertical="center" wrapText="1"/>
    </xf>
    <xf numFmtId="0" fontId="11" fillId="0" borderId="18" xfId="0" applyFont="1" applyBorder="1" applyAlignment="1">
      <alignment horizontal="center" vertical="center" wrapText="1"/>
    </xf>
    <xf numFmtId="0" fontId="11" fillId="0" borderId="26" xfId="0" applyFont="1" applyBorder="1" applyAlignment="1">
      <alignment horizontal="center" vertical="center" wrapText="1"/>
    </xf>
    <xf numFmtId="0" fontId="10" fillId="2" borderId="73" xfId="0" applyFont="1" applyFill="1" applyBorder="1" applyAlignment="1">
      <alignment horizontal="center" vertical="center"/>
    </xf>
    <xf numFmtId="0" fontId="10" fillId="2" borderId="50" xfId="0" applyFont="1" applyFill="1" applyBorder="1" applyAlignment="1">
      <alignment horizontal="center" vertical="center"/>
    </xf>
    <xf numFmtId="0" fontId="10" fillId="2" borderId="51" xfId="0" applyFont="1" applyFill="1" applyBorder="1" applyAlignment="1">
      <alignment horizontal="center" vertical="center"/>
    </xf>
    <xf numFmtId="0" fontId="10" fillId="2" borderId="46" xfId="0" applyFont="1" applyFill="1" applyBorder="1" applyAlignment="1">
      <alignment horizontal="center" vertical="center"/>
    </xf>
    <xf numFmtId="0" fontId="10" fillId="2" borderId="70" xfId="0" applyFont="1" applyFill="1" applyBorder="1" applyAlignment="1">
      <alignment horizontal="center" vertical="center"/>
    </xf>
    <xf numFmtId="0" fontId="10" fillId="2" borderId="47" xfId="0" applyFont="1" applyFill="1" applyBorder="1" applyAlignment="1">
      <alignment horizontal="center" vertical="center"/>
    </xf>
    <xf numFmtId="0" fontId="2" fillId="0" borderId="0" xfId="0" applyFont="1" applyAlignment="1">
      <alignment horizontal="center"/>
    </xf>
    <xf numFmtId="167" fontId="0" fillId="0" borderId="52" xfId="0" applyNumberFormat="1" applyBorder="1" applyAlignment="1">
      <alignment horizontal="center" vertical="center"/>
    </xf>
    <xf numFmtId="167" fontId="0" fillId="0" borderId="18" xfId="0" applyNumberFormat="1" applyBorder="1" applyAlignment="1">
      <alignment horizontal="center" vertical="center"/>
    </xf>
    <xf numFmtId="167" fontId="0" fillId="0" borderId="34" xfId="0" applyNumberFormat="1" applyBorder="1" applyAlignment="1">
      <alignment horizontal="center" vertical="center"/>
    </xf>
    <xf numFmtId="167" fontId="0" fillId="0" borderId="53" xfId="0" applyNumberFormat="1" applyBorder="1" applyAlignment="1">
      <alignment horizontal="center" vertical="center"/>
    </xf>
    <xf numFmtId="167" fontId="0" fillId="0" borderId="55" xfId="0" applyNumberFormat="1" applyBorder="1" applyAlignment="1">
      <alignment horizontal="center" vertical="center"/>
    </xf>
    <xf numFmtId="167" fontId="0" fillId="0" borderId="69" xfId="0" applyNumberFormat="1" applyBorder="1" applyAlignment="1">
      <alignment horizontal="center" vertical="center"/>
    </xf>
    <xf numFmtId="167" fontId="0" fillId="0" borderId="9" xfId="0" applyNumberFormat="1" applyBorder="1" applyAlignment="1">
      <alignment horizontal="center" vertical="center"/>
    </xf>
    <xf numFmtId="167" fontId="0" fillId="0" borderId="26" xfId="0" applyNumberFormat="1" applyBorder="1" applyAlignment="1">
      <alignment horizontal="center" vertical="center"/>
    </xf>
    <xf numFmtId="167" fontId="5" fillId="0" borderId="7" xfId="1" applyNumberFormat="1" applyFont="1" applyBorder="1" applyAlignment="1">
      <alignment horizontal="center" vertical="center"/>
    </xf>
    <xf numFmtId="167" fontId="5" fillId="0" borderId="89" xfId="1" applyNumberFormat="1" applyFont="1" applyBorder="1" applyAlignment="1">
      <alignment horizontal="center" vertical="center"/>
    </xf>
    <xf numFmtId="167" fontId="5" fillId="0" borderId="48" xfId="1" applyNumberFormat="1" applyFont="1" applyBorder="1" applyAlignment="1">
      <alignment horizontal="center" vertical="center"/>
    </xf>
    <xf numFmtId="167" fontId="5" fillId="0" borderId="90" xfId="1" applyNumberFormat="1" applyFont="1" applyBorder="1" applyAlignment="1">
      <alignment horizontal="center" vertical="center"/>
    </xf>
    <xf numFmtId="167" fontId="0" fillId="0" borderId="72" xfId="0" applyNumberFormat="1" applyBorder="1" applyAlignment="1">
      <alignment horizontal="center" vertical="center"/>
    </xf>
    <xf numFmtId="167" fontId="0" fillId="0" borderId="71" xfId="0" applyNumberFormat="1" applyBorder="1" applyAlignment="1">
      <alignment horizontal="center" vertical="center"/>
    </xf>
    <xf numFmtId="167" fontId="0" fillId="0" borderId="22" xfId="0" applyNumberFormat="1" applyBorder="1" applyAlignment="1">
      <alignment horizontal="center" vertical="center"/>
    </xf>
    <xf numFmtId="167" fontId="0" fillId="0" borderId="30" xfId="0" applyNumberFormat="1" applyBorder="1" applyAlignment="1">
      <alignment horizontal="center" vertical="center"/>
    </xf>
    <xf numFmtId="167" fontId="0" fillId="0" borderId="13" xfId="0" applyNumberFormat="1" applyBorder="1" applyAlignment="1">
      <alignment horizontal="center" vertical="center"/>
    </xf>
    <xf numFmtId="167" fontId="0" fillId="0" borderId="14" xfId="0" applyNumberFormat="1" applyBorder="1" applyAlignment="1">
      <alignment horizontal="center" vertical="center"/>
    </xf>
    <xf numFmtId="167" fontId="0" fillId="0" borderId="31" xfId="0" applyNumberFormat="1" applyBorder="1" applyAlignment="1">
      <alignment horizontal="center" vertical="center"/>
    </xf>
    <xf numFmtId="167" fontId="0" fillId="0" borderId="23" xfId="0" applyNumberFormat="1" applyBorder="1" applyAlignment="1">
      <alignment horizontal="center" vertical="center"/>
    </xf>
    <xf numFmtId="0" fontId="10" fillId="0" borderId="4" xfId="0" applyFont="1" applyFill="1" applyBorder="1" applyAlignment="1">
      <alignment horizontal="center" vertical="center"/>
    </xf>
    <xf numFmtId="0" fontId="10" fillId="0" borderId="46" xfId="0" applyFont="1" applyFill="1" applyBorder="1" applyAlignment="1">
      <alignment horizontal="center" vertical="center"/>
    </xf>
    <xf numFmtId="0" fontId="10" fillId="0" borderId="70" xfId="0" applyFont="1" applyFill="1" applyBorder="1" applyAlignment="1">
      <alignment horizontal="center" vertical="center"/>
    </xf>
    <xf numFmtId="0" fontId="11" fillId="0" borderId="9" xfId="0" applyFont="1" applyBorder="1" applyAlignment="1">
      <alignment horizontal="center" vertical="center"/>
    </xf>
    <xf numFmtId="0" fontId="11" fillId="0" borderId="18" xfId="0" applyFont="1" applyBorder="1" applyAlignment="1">
      <alignment horizontal="center" vertical="center"/>
    </xf>
    <xf numFmtId="0" fontId="10" fillId="0" borderId="47" xfId="0" applyFont="1" applyFill="1" applyBorder="1" applyAlignment="1">
      <alignment horizontal="center" vertical="center"/>
    </xf>
  </cellXfs>
  <cellStyles count="2">
    <cellStyle name="Normal" xfId="0" builtinId="0"/>
    <cellStyle name="Normal 3" xfId="1" xr:uid="{83204B43-55BB-4126-A432-E1B1C56E0D66}"/>
  </cellStyles>
  <dxfs count="127">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
      <fill>
        <patternFill patternType="solid">
          <fgColor rgb="FFB4C6E7"/>
          <bgColor rgb="FFB4C6E7"/>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externalLink" Target="externalLinks/externalLink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oneCellAnchor>
    <xdr:from>
      <xdr:col>2</xdr:col>
      <xdr:colOff>0</xdr:colOff>
      <xdr:row>79</xdr:row>
      <xdr:rowOff>0</xdr:rowOff>
    </xdr:from>
    <xdr:ext cx="314325" cy="1581150"/>
    <xdr:sp macro="" textlink="">
      <xdr:nvSpPr>
        <xdr:cNvPr id="2" name="Shape 3" descr="https://mail.google.com/mail/u/0?ui=2&amp;ik=206557150d&amp;attid=0.0.2&amp;permmsgid=msg-f:1805281650859721080&amp;th=190da618bf064178&amp;view=fimg&amp;fur=ip&amp;sz=s0-l75-ft&amp;attbid=ANGjdJ_0FA3T_7WSaXqA7wY9Au_6wk8CPQ0yGN5Ox3SI4dgAlt81zpv4p5oMWxzBK_Q_L_QmTvetPqWvToFYCRRob6gBMLlhWtKpP-LDMEOVvaP339MRLjsUyLW-uaY&amp;disp=emb">
          <a:extLst>
            <a:ext uri="{FF2B5EF4-FFF2-40B4-BE49-F238E27FC236}">
              <a16:creationId xmlns:a16="http://schemas.microsoft.com/office/drawing/2014/main" id="{2CE16DCC-16CA-4A57-8D43-A8B3B729DF63}"/>
            </a:ext>
          </a:extLst>
        </xdr:cNvPr>
        <xdr:cNvSpPr/>
      </xdr:nvSpPr>
      <xdr:spPr>
        <a:xfrm>
          <a:off x="1343025" y="104851200"/>
          <a:ext cx="314325" cy="15811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171</xdr:row>
      <xdr:rowOff>0</xdr:rowOff>
    </xdr:from>
    <xdr:ext cx="314325" cy="314325"/>
    <xdr:sp macro="" textlink="">
      <xdr:nvSpPr>
        <xdr:cNvPr id="3" name="Shape 4" descr="https://mail.google.com/mail/u/0?ui=2&amp;ik=206557150d&amp;attid=0.0.2&amp;permmsgid=msg-f:1805281650859721080&amp;th=190da618bf064178&amp;view=fimg&amp;fur=ip&amp;sz=s0-l75-ft&amp;attbid=ANGjdJ_0FA3T_7WSaXqA7wY9Au_6wk8CPQ0yGN5Ox3SI4dgAlt81zpv4p5oMWxzBK_Q_L_QmTvetPqWvToFYCRRob6gBMLlhWtKpP-LDMEOVvaP339MRLjsUyLW-uaY&amp;disp=emb">
          <a:extLst>
            <a:ext uri="{FF2B5EF4-FFF2-40B4-BE49-F238E27FC236}">
              <a16:creationId xmlns:a16="http://schemas.microsoft.com/office/drawing/2014/main" id="{4754E144-CEDF-4ED2-8B22-784C1BBA7E47}"/>
            </a:ext>
          </a:extLst>
        </xdr:cNvPr>
        <xdr:cNvSpPr/>
      </xdr:nvSpPr>
      <xdr:spPr>
        <a:xfrm>
          <a:off x="1343025" y="22201822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drawings/drawing2.xml><?xml version="1.0" encoding="utf-8"?>
<xdr:wsDr xmlns:xdr="http://schemas.openxmlformats.org/drawingml/2006/spreadsheetDrawing" xmlns:a="http://schemas.openxmlformats.org/drawingml/2006/main">
  <xdr:oneCellAnchor>
    <xdr:from>
      <xdr:col>2</xdr:col>
      <xdr:colOff>0</xdr:colOff>
      <xdr:row>79</xdr:row>
      <xdr:rowOff>0</xdr:rowOff>
    </xdr:from>
    <xdr:ext cx="314325" cy="1581150"/>
    <xdr:sp macro="" textlink="">
      <xdr:nvSpPr>
        <xdr:cNvPr id="2" name="Shape 3" descr="https://mail.google.com/mail/u/0?ui=2&amp;ik=206557150d&amp;attid=0.0.2&amp;permmsgid=msg-f:1805281650859721080&amp;th=190da618bf064178&amp;view=fimg&amp;fur=ip&amp;sz=s0-l75-ft&amp;attbid=ANGjdJ_0FA3T_7WSaXqA7wY9Au_6wk8CPQ0yGN5Ox3SI4dgAlt81zpv4p5oMWxzBK_Q_L_QmTvetPqWvToFYCRRob6gBMLlhWtKpP-LDMEOVvaP339MRLjsUyLW-uaY&amp;disp=emb">
          <a:extLst>
            <a:ext uri="{FF2B5EF4-FFF2-40B4-BE49-F238E27FC236}">
              <a16:creationId xmlns:a16="http://schemas.microsoft.com/office/drawing/2014/main" id="{5EAE180E-716B-4D37-9570-B3EF87FF4EA9}"/>
            </a:ext>
          </a:extLst>
        </xdr:cNvPr>
        <xdr:cNvSpPr/>
      </xdr:nvSpPr>
      <xdr:spPr>
        <a:xfrm>
          <a:off x="1343025" y="105175050"/>
          <a:ext cx="314325" cy="1581150"/>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oneCellAnchor>
    <xdr:from>
      <xdr:col>2</xdr:col>
      <xdr:colOff>0</xdr:colOff>
      <xdr:row>171</xdr:row>
      <xdr:rowOff>0</xdr:rowOff>
    </xdr:from>
    <xdr:ext cx="314325" cy="314325"/>
    <xdr:sp macro="" textlink="">
      <xdr:nvSpPr>
        <xdr:cNvPr id="3" name="Shape 4" descr="https://mail.google.com/mail/u/0?ui=2&amp;ik=206557150d&amp;attid=0.0.2&amp;permmsgid=msg-f:1805281650859721080&amp;th=190da618bf064178&amp;view=fimg&amp;fur=ip&amp;sz=s0-l75-ft&amp;attbid=ANGjdJ_0FA3T_7WSaXqA7wY9Au_6wk8CPQ0yGN5Ox3SI4dgAlt81zpv4p5oMWxzBK_Q_L_QmTvetPqWvToFYCRRob6gBMLlhWtKpP-LDMEOVvaP339MRLjsUyLW-uaY&amp;disp=emb">
          <a:extLst>
            <a:ext uri="{FF2B5EF4-FFF2-40B4-BE49-F238E27FC236}">
              <a16:creationId xmlns:a16="http://schemas.microsoft.com/office/drawing/2014/main" id="{89D17C73-8D02-4E7A-AC48-65A1F4C40372}"/>
            </a:ext>
          </a:extLst>
        </xdr:cNvPr>
        <xdr:cNvSpPr/>
      </xdr:nvSpPr>
      <xdr:spPr>
        <a:xfrm>
          <a:off x="1343025" y="220703775"/>
          <a:ext cx="314325" cy="314325"/>
        </a:xfrm>
        <a:prstGeom prst="rect">
          <a:avLst/>
        </a:prstGeom>
        <a:noFill/>
        <a:ln>
          <a:noFill/>
        </a:ln>
      </xdr:spPr>
      <xdr:txBody>
        <a:bodyPr spcFirstLastPara="1" wrap="square" lIns="91425" tIns="91425" rIns="91425" bIns="91425" anchor="ctr" anchorCtr="0">
          <a:noAutofit/>
        </a:bodyPr>
        <a:lstStyle/>
        <a:p>
          <a:pPr marL="0" lvl="0" indent="0" algn="l" rtl="0">
            <a:spcBef>
              <a:spcPts val="0"/>
            </a:spcBef>
            <a:spcAft>
              <a:spcPts val="0"/>
            </a:spcAft>
            <a:buNone/>
          </a:pPr>
          <a:endParaRPr sz="1400"/>
        </a:p>
      </xdr:txBody>
    </xdr:sp>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d.docs.live.net/5fa13a08e14fab72/Desktop/LABORATORIO%20SALUD%20PUBLICA/LSP2025/PROCESOS%20CONTRATACION/REACTIVOS/1%20PROCESO/MATERIALES-EM.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NO"/>
      <sheetName val="MATERIALES-no  (2)"/>
      <sheetName val="MATERIALES CENTRAL"/>
      <sheetName val="PENDEINTES "/>
      <sheetName val="MATERIALES P1"/>
    </sheetNames>
    <sheetDataSet>
      <sheetData sheetId="0"/>
      <sheetData sheetId="1"/>
      <sheetData sheetId="2"/>
      <sheetData sheetId="3"/>
      <sheetData sheetId="4"/>
    </sheetDataSet>
  </externalBook>
</externalLink>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233FE17-5AE1-4274-9F4D-12C0E73ECFDA}">
  <dimension ref="B2:AC208"/>
  <sheetViews>
    <sheetView zoomScale="60" zoomScaleNormal="60" workbookViewId="0">
      <pane xSplit="6" ySplit="8" topLeftCell="AD202" activePane="bottomRight" state="frozen"/>
      <selection pane="topRight" activeCell="I1" sqref="I1"/>
      <selection pane="bottomLeft" activeCell="A8" sqref="A8"/>
      <selection pane="bottomRight" activeCell="F211" sqref="F211"/>
    </sheetView>
  </sheetViews>
  <sheetFormatPr baseColWidth="10" defaultColWidth="14.42578125" defaultRowHeight="15" customHeight="1" x14ac:dyDescent="0.25"/>
  <cols>
    <col min="1" max="1" width="4.85546875" style="254" customWidth="1"/>
    <col min="2" max="2" width="15.28515625" style="1" customWidth="1"/>
    <col min="3" max="3" width="37.5703125" style="254" customWidth="1"/>
    <col min="4" max="4" width="19.85546875" style="7" customWidth="1"/>
    <col min="5" max="5" width="13" style="261" customWidth="1"/>
    <col min="6" max="6" width="14.28515625" style="225" customWidth="1"/>
    <col min="7" max="7" width="15" style="262" customWidth="1"/>
    <col min="8" max="8" width="14.42578125" style="6" customWidth="1"/>
    <col min="9" max="9" width="14.140625" style="6" customWidth="1"/>
    <col min="10" max="10" width="18" style="262" customWidth="1"/>
    <col min="11" max="11" width="16.5703125" style="262" customWidth="1"/>
    <col min="12" max="12" width="15.42578125" style="254" customWidth="1"/>
    <col min="13" max="13" width="16.42578125" style="262" customWidth="1"/>
    <col min="14" max="14" width="16.28515625" style="262" customWidth="1"/>
    <col min="15" max="23" width="16.42578125" style="262" customWidth="1"/>
    <col min="24" max="24" width="18.5703125" style="374" customWidth="1"/>
    <col min="25" max="25" width="30.42578125" style="6" customWidth="1"/>
    <col min="26" max="26" width="26.7109375" style="6" customWidth="1"/>
    <col min="27" max="27" width="37" style="7" customWidth="1"/>
    <col min="28" max="28" width="20.7109375" style="254" customWidth="1"/>
    <col min="29" max="29" width="30.5703125" style="254" customWidth="1"/>
    <col min="30" max="30" width="10.7109375" style="254" customWidth="1"/>
    <col min="31" max="31" width="22.5703125" style="254" customWidth="1"/>
    <col min="32" max="32" width="22.42578125" style="254" customWidth="1"/>
    <col min="33" max="16384" width="14.42578125" style="254"/>
  </cols>
  <sheetData>
    <row r="2" spans="2:29" x14ac:dyDescent="0.25">
      <c r="C2" s="390" t="s">
        <v>0</v>
      </c>
      <c r="D2" s="391"/>
      <c r="E2" s="391"/>
      <c r="F2" s="391"/>
      <c r="G2" s="391"/>
      <c r="H2" s="391"/>
      <c r="I2" s="391"/>
      <c r="J2" s="4"/>
      <c r="K2" s="4"/>
      <c r="L2" s="2"/>
      <c r="M2" s="4"/>
      <c r="N2" s="4"/>
      <c r="O2" s="4"/>
      <c r="P2" s="4"/>
      <c r="Q2" s="4"/>
      <c r="R2" s="4"/>
      <c r="S2" s="4"/>
      <c r="T2" s="4"/>
      <c r="U2" s="4"/>
      <c r="V2" s="4"/>
      <c r="W2" s="4"/>
      <c r="X2" s="353"/>
      <c r="AA2" s="7" t="s">
        <v>1</v>
      </c>
    </row>
    <row r="3" spans="2:29" x14ac:dyDescent="0.25">
      <c r="C3" s="390" t="s">
        <v>2</v>
      </c>
      <c r="D3" s="391"/>
      <c r="E3" s="391"/>
      <c r="F3" s="391"/>
      <c r="G3" s="391"/>
      <c r="H3" s="391"/>
      <c r="I3" s="391"/>
      <c r="J3" s="4"/>
      <c r="K3" s="4"/>
      <c r="L3" s="2"/>
      <c r="M3" s="4"/>
      <c r="N3" s="4"/>
      <c r="O3" s="4"/>
      <c r="P3" s="4"/>
      <c r="Q3" s="4"/>
      <c r="R3" s="4"/>
      <c r="S3" s="4"/>
      <c r="T3" s="4"/>
      <c r="U3" s="4"/>
      <c r="V3" s="4"/>
      <c r="W3" s="4"/>
      <c r="X3" s="353"/>
    </row>
    <row r="4" spans="2:29" x14ac:dyDescent="0.25">
      <c r="C4" s="390" t="s">
        <v>3</v>
      </c>
      <c r="D4" s="391"/>
      <c r="E4" s="391"/>
      <c r="F4" s="391"/>
      <c r="G4" s="391"/>
      <c r="H4" s="391"/>
      <c r="I4" s="391"/>
      <c r="J4" s="4"/>
      <c r="K4" s="4"/>
      <c r="L4" s="2"/>
      <c r="M4" s="4"/>
      <c r="N4" s="4"/>
      <c r="O4" s="4"/>
      <c r="P4" s="4"/>
      <c r="Q4" s="4"/>
      <c r="R4" s="4"/>
      <c r="S4" s="4"/>
      <c r="T4" s="4"/>
      <c r="U4" s="4"/>
      <c r="V4" s="4"/>
      <c r="W4" s="4"/>
      <c r="X4" s="353"/>
    </row>
    <row r="5" spans="2:29" x14ac:dyDescent="0.25">
      <c r="C5" s="8"/>
      <c r="D5" s="254"/>
      <c r="E5" s="254"/>
      <c r="F5" s="254"/>
      <c r="G5" s="254"/>
      <c r="H5" s="254"/>
      <c r="I5" s="254"/>
      <c r="J5" s="4"/>
      <c r="K5" s="5"/>
      <c r="L5" s="2" t="s">
        <v>396</v>
      </c>
      <c r="M5" s="4"/>
      <c r="N5" s="4"/>
      <c r="O5" s="4"/>
      <c r="P5" s="4"/>
      <c r="Q5" s="4"/>
      <c r="R5" s="4"/>
      <c r="S5" s="4"/>
      <c r="T5" s="4"/>
      <c r="U5" s="4"/>
      <c r="V5" s="4"/>
      <c r="W5" s="4"/>
      <c r="X5" s="353"/>
    </row>
    <row r="6" spans="2:29" x14ac:dyDescent="0.25">
      <c r="C6" s="9"/>
      <c r="D6" s="390" t="s">
        <v>4</v>
      </c>
      <c r="E6" s="390"/>
      <c r="F6" s="390"/>
      <c r="G6" s="10"/>
      <c r="H6" s="11"/>
      <c r="I6" s="11"/>
      <c r="J6" s="4"/>
      <c r="K6" s="12"/>
      <c r="L6" s="2" t="s">
        <v>397</v>
      </c>
      <c r="M6" s="4"/>
      <c r="N6" s="4"/>
      <c r="O6" s="4"/>
      <c r="P6" s="4"/>
      <c r="Q6" s="4"/>
      <c r="R6" s="4"/>
      <c r="S6" s="4"/>
      <c r="T6" s="4"/>
      <c r="U6" s="4"/>
      <c r="V6" s="4"/>
      <c r="W6" s="4"/>
      <c r="X6" s="353"/>
    </row>
    <row r="7" spans="2:29" ht="15.75" thickBot="1" x14ac:dyDescent="0.3">
      <c r="C7" s="13"/>
      <c r="D7" s="14"/>
      <c r="E7" s="14"/>
      <c r="F7" s="3"/>
      <c r="G7" s="392" t="s">
        <v>5</v>
      </c>
      <c r="H7" s="393"/>
      <c r="I7" s="394"/>
      <c r="J7" s="4"/>
      <c r="K7" s="4"/>
      <c r="L7" s="2"/>
      <c r="M7" s="4"/>
      <c r="N7" s="4"/>
      <c r="O7" s="4"/>
      <c r="P7" s="4"/>
      <c r="Q7" s="4"/>
      <c r="R7" s="4"/>
      <c r="S7" s="4"/>
      <c r="T7" s="4"/>
      <c r="U7" s="4"/>
      <c r="V7" s="4"/>
      <c r="W7" s="4"/>
      <c r="X7" s="353"/>
    </row>
    <row r="8" spans="2:29" s="255" customFormat="1" ht="66.75" customHeight="1" thickBot="1" x14ac:dyDescent="0.3">
      <c r="B8" s="15" t="s">
        <v>6</v>
      </c>
      <c r="C8" s="16" t="s">
        <v>7</v>
      </c>
      <c r="D8" s="16" t="s">
        <v>8</v>
      </c>
      <c r="E8" s="16" t="s">
        <v>9</v>
      </c>
      <c r="F8" s="17" t="s">
        <v>10</v>
      </c>
      <c r="G8" s="18" t="s">
        <v>11</v>
      </c>
      <c r="H8" s="18" t="s">
        <v>12</v>
      </c>
      <c r="I8" s="18" t="s">
        <v>13</v>
      </c>
      <c r="J8" s="19" t="s">
        <v>14</v>
      </c>
      <c r="K8" s="20" t="s">
        <v>15</v>
      </c>
      <c r="L8" s="21" t="s">
        <v>16</v>
      </c>
      <c r="M8" s="20" t="s">
        <v>17</v>
      </c>
      <c r="N8" s="20" t="s">
        <v>18</v>
      </c>
      <c r="O8" s="20" t="s">
        <v>19</v>
      </c>
      <c r="P8" s="20" t="s">
        <v>20</v>
      </c>
      <c r="Q8" s="20" t="s">
        <v>21</v>
      </c>
      <c r="R8" s="20" t="s">
        <v>22</v>
      </c>
      <c r="S8" s="20" t="s">
        <v>23</v>
      </c>
      <c r="T8" s="22" t="s">
        <v>24</v>
      </c>
      <c r="U8" s="22" t="s">
        <v>25</v>
      </c>
      <c r="V8" s="20" t="s">
        <v>385</v>
      </c>
      <c r="W8" s="19" t="s">
        <v>26</v>
      </c>
      <c r="X8" s="354" t="s">
        <v>27</v>
      </c>
      <c r="Y8" s="375" t="s">
        <v>28</v>
      </c>
      <c r="Z8" s="23" t="s">
        <v>29</v>
      </c>
      <c r="AA8" s="23" t="s">
        <v>30</v>
      </c>
      <c r="AB8" s="24" t="s">
        <v>31</v>
      </c>
      <c r="AC8" s="25" t="s">
        <v>32</v>
      </c>
    </row>
    <row r="9" spans="2:29" s="256" customFormat="1" ht="121.5" customHeight="1" x14ac:dyDescent="0.25">
      <c r="B9" s="395">
        <v>1</v>
      </c>
      <c r="C9" s="26" t="s">
        <v>33</v>
      </c>
      <c r="D9" s="27" t="s">
        <v>34</v>
      </c>
      <c r="E9" s="28">
        <v>1</v>
      </c>
      <c r="F9" s="29" t="s">
        <v>35</v>
      </c>
      <c r="G9" s="30">
        <f>484211*E9</f>
        <v>484211</v>
      </c>
      <c r="H9" s="31"/>
      <c r="I9" s="32">
        <f>996030*E9</f>
        <v>996030</v>
      </c>
      <c r="J9" s="33">
        <f>493017*E9</f>
        <v>493017</v>
      </c>
      <c r="K9" s="33">
        <f>943337*E9</f>
        <v>943337</v>
      </c>
      <c r="L9" s="33">
        <f>634270*E9</f>
        <v>634270</v>
      </c>
      <c r="M9" s="33"/>
      <c r="N9" s="33"/>
      <c r="O9" s="33"/>
      <c r="P9" s="33"/>
      <c r="Q9" s="33">
        <f>828240*E9</f>
        <v>828240</v>
      </c>
      <c r="R9" s="33"/>
      <c r="S9" s="33"/>
      <c r="T9" s="33"/>
      <c r="U9" s="33"/>
      <c r="V9" s="33"/>
      <c r="W9" s="34"/>
      <c r="X9" s="355">
        <f>AVERAGE(G9,I9,K9,J9,L9,Q9)</f>
        <v>729850.83333333337</v>
      </c>
      <c r="Y9" s="418">
        <f>SUM(X9:X12)/1</f>
        <v>4209130.833333334</v>
      </c>
      <c r="Z9" s="421">
        <f>ROUND(Y9,0)</f>
        <v>4209131</v>
      </c>
      <c r="AA9" s="421">
        <f>Z9/1</f>
        <v>4209131</v>
      </c>
      <c r="AB9" s="421">
        <f>ROUND(AA9,0)</f>
        <v>4209131</v>
      </c>
      <c r="AC9" s="416">
        <f>AB9*1</f>
        <v>4209131</v>
      </c>
    </row>
    <row r="10" spans="2:29" ht="121.5" customHeight="1" x14ac:dyDescent="0.25">
      <c r="B10" s="396"/>
      <c r="C10" s="35" t="s">
        <v>36</v>
      </c>
      <c r="D10" s="36" t="s">
        <v>34</v>
      </c>
      <c r="E10" s="37">
        <v>2</v>
      </c>
      <c r="F10" s="38" t="s">
        <v>37</v>
      </c>
      <c r="G10" s="40">
        <f>639630*E10</f>
        <v>1279260</v>
      </c>
      <c r="H10" s="41"/>
      <c r="I10" s="42">
        <f>506940*E10</f>
        <v>1013880</v>
      </c>
      <c r="J10" s="43">
        <f>416500*E10</f>
        <v>833000</v>
      </c>
      <c r="K10" s="44">
        <f>1164391*E10</f>
        <v>2328782</v>
      </c>
      <c r="L10" s="44">
        <f>996030*E10</f>
        <v>1992060</v>
      </c>
      <c r="M10" s="43"/>
      <c r="N10" s="43"/>
      <c r="O10" s="43"/>
      <c r="P10" s="43"/>
      <c r="Q10" s="44">
        <f>984130*E10</f>
        <v>1968260</v>
      </c>
      <c r="R10" s="43"/>
      <c r="S10" s="43"/>
      <c r="T10" s="43"/>
      <c r="U10" s="43"/>
      <c r="V10" s="43"/>
      <c r="W10" s="45"/>
      <c r="X10" s="356">
        <f>AVERAGE(G10,H10,I10,J10)</f>
        <v>1042046.6666666666</v>
      </c>
      <c r="Y10" s="419"/>
      <c r="Z10" s="422"/>
      <c r="AA10" s="422"/>
      <c r="AB10" s="422"/>
      <c r="AC10" s="417"/>
    </row>
    <row r="11" spans="2:29" ht="138" customHeight="1" x14ac:dyDescent="0.25">
      <c r="B11" s="396"/>
      <c r="C11" s="35" t="s">
        <v>38</v>
      </c>
      <c r="D11" s="36" t="s">
        <v>34</v>
      </c>
      <c r="E11" s="37">
        <v>2</v>
      </c>
      <c r="F11" s="38" t="s">
        <v>37</v>
      </c>
      <c r="G11" s="40">
        <f>717094*E11</f>
        <v>1434188</v>
      </c>
      <c r="H11" s="41"/>
      <c r="I11" s="42">
        <f>442680*E11</f>
        <v>885360</v>
      </c>
      <c r="J11" s="43">
        <f>619752*E11</f>
        <v>1239504</v>
      </c>
      <c r="K11" s="44">
        <f>2331353*E11</f>
        <v>4662706</v>
      </c>
      <c r="L11" s="44">
        <f>1993250*E11</f>
        <v>3986500</v>
      </c>
      <c r="M11" s="43"/>
      <c r="N11" s="43"/>
      <c r="O11" s="43"/>
      <c r="P11" s="43"/>
      <c r="Q11" s="44">
        <f>1724310*E11</f>
        <v>3448620</v>
      </c>
      <c r="R11" s="43"/>
      <c r="S11" s="43"/>
      <c r="T11" s="43"/>
      <c r="U11" s="43"/>
      <c r="V11" s="43"/>
      <c r="W11" s="45"/>
      <c r="X11" s="356">
        <f>AVERAGE(G11,I11,J11)</f>
        <v>1186350.6666666667</v>
      </c>
      <c r="Y11" s="419"/>
      <c r="Z11" s="422"/>
      <c r="AA11" s="422"/>
      <c r="AB11" s="422"/>
      <c r="AC11" s="417"/>
    </row>
    <row r="12" spans="2:29" s="257" customFormat="1" ht="121.5" customHeight="1" thickBot="1" x14ac:dyDescent="0.3">
      <c r="B12" s="397"/>
      <c r="C12" s="47" t="s">
        <v>39</v>
      </c>
      <c r="D12" s="48" t="s">
        <v>34</v>
      </c>
      <c r="E12" s="49">
        <v>2</v>
      </c>
      <c r="F12" s="50" t="s">
        <v>37</v>
      </c>
      <c r="G12" s="52">
        <f>760104*E12</f>
        <v>1520208</v>
      </c>
      <c r="H12" s="53"/>
      <c r="I12" s="54">
        <f>461720*E12</f>
        <v>923440</v>
      </c>
      <c r="J12" s="55">
        <f>654500*E12</f>
        <v>1309000</v>
      </c>
      <c r="K12" s="56">
        <f>1161821*E12</f>
        <v>2323642</v>
      </c>
      <c r="L12" s="56">
        <f>993650*E12</f>
        <v>1987300</v>
      </c>
      <c r="M12" s="55"/>
      <c r="N12" s="55"/>
      <c r="O12" s="55"/>
      <c r="P12" s="55"/>
      <c r="Q12" s="56">
        <f>1155490*E12</f>
        <v>2310980</v>
      </c>
      <c r="R12" s="55"/>
      <c r="S12" s="55"/>
      <c r="T12" s="55"/>
      <c r="U12" s="55"/>
      <c r="V12" s="55"/>
      <c r="W12" s="57"/>
      <c r="X12" s="357">
        <f>AVERAGE(G12,I12,J12)</f>
        <v>1250882.6666666667</v>
      </c>
      <c r="Y12" s="420"/>
      <c r="Z12" s="423"/>
      <c r="AA12" s="423"/>
      <c r="AB12" s="423"/>
      <c r="AC12" s="424"/>
    </row>
    <row r="13" spans="2:29" s="256" customFormat="1" ht="130.5" customHeight="1" x14ac:dyDescent="0.25">
      <c r="B13" s="395">
        <v>2</v>
      </c>
      <c r="C13" s="26" t="s">
        <v>40</v>
      </c>
      <c r="D13" s="27" t="s">
        <v>41</v>
      </c>
      <c r="E13" s="28">
        <v>2</v>
      </c>
      <c r="F13" s="29" t="s">
        <v>37</v>
      </c>
      <c r="G13" s="30"/>
      <c r="H13" s="31">
        <f>708050*E13</f>
        <v>1416100</v>
      </c>
      <c r="I13" s="32">
        <f>548590*E13</f>
        <v>1097180</v>
      </c>
      <c r="J13" s="33">
        <f>404600*E13</f>
        <v>809200</v>
      </c>
      <c r="K13" s="33">
        <f>537945*E13</f>
        <v>1075890</v>
      </c>
      <c r="L13" s="58">
        <f>1943270*E13</f>
        <v>3886540</v>
      </c>
      <c r="M13" s="33"/>
      <c r="N13" s="33"/>
      <c r="O13" s="33"/>
      <c r="P13" s="33"/>
      <c r="Q13" s="58">
        <f>1323280*E13</f>
        <v>2646560</v>
      </c>
      <c r="R13" s="33"/>
      <c r="S13" s="33"/>
      <c r="T13" s="33"/>
      <c r="U13" s="33"/>
      <c r="V13" s="33"/>
      <c r="W13" s="33"/>
      <c r="X13" s="355">
        <f>AVERAGE(I13,K13,J13,H13)</f>
        <v>1099592.5</v>
      </c>
      <c r="Y13" s="418">
        <f>SUM(X13:X18)/1</f>
        <v>13926176.083333332</v>
      </c>
      <c r="Z13" s="421">
        <f>ROUND(Y13,0)</f>
        <v>13926176</v>
      </c>
      <c r="AA13" s="421">
        <f>Z13/1</f>
        <v>13926176</v>
      </c>
      <c r="AB13" s="421">
        <f>ROUND(AA13,0)</f>
        <v>13926176</v>
      </c>
      <c r="AC13" s="416">
        <f>AB13*1</f>
        <v>13926176</v>
      </c>
    </row>
    <row r="14" spans="2:29" ht="79.5" customHeight="1" x14ac:dyDescent="0.25">
      <c r="B14" s="396"/>
      <c r="C14" s="35" t="s">
        <v>42</v>
      </c>
      <c r="D14" s="36" t="s">
        <v>34</v>
      </c>
      <c r="E14" s="37">
        <v>1</v>
      </c>
      <c r="F14" s="59" t="s">
        <v>35</v>
      </c>
      <c r="G14" s="40"/>
      <c r="H14" s="41">
        <f>268940*E14</f>
        <v>268940</v>
      </c>
      <c r="I14" s="42">
        <f>347480*E14</f>
        <v>347480</v>
      </c>
      <c r="J14" s="43">
        <f>440300*E14</f>
        <v>440300</v>
      </c>
      <c r="K14" s="44">
        <f>1026875*E14</f>
        <v>1026875</v>
      </c>
      <c r="L14" s="44">
        <f>1017450*E14</f>
        <v>1017450</v>
      </c>
      <c r="M14" s="43"/>
      <c r="N14" s="43"/>
      <c r="O14" s="43"/>
      <c r="P14" s="43"/>
      <c r="Q14" s="43">
        <f>615825*E14</f>
        <v>615825</v>
      </c>
      <c r="R14" s="43"/>
      <c r="S14" s="43"/>
      <c r="T14" s="43"/>
      <c r="U14" s="43"/>
      <c r="V14" s="43"/>
      <c r="W14" s="43"/>
      <c r="X14" s="356">
        <f>AVERAGE(H14,I14,J14,Q14)</f>
        <v>418136.25</v>
      </c>
      <c r="Y14" s="419"/>
      <c r="Z14" s="422"/>
      <c r="AA14" s="422"/>
      <c r="AB14" s="422"/>
      <c r="AC14" s="417"/>
    </row>
    <row r="15" spans="2:29" ht="121.5" customHeight="1" x14ac:dyDescent="0.25">
      <c r="B15" s="396"/>
      <c r="C15" s="35" t="s">
        <v>43</v>
      </c>
      <c r="D15" s="36" t="s">
        <v>44</v>
      </c>
      <c r="E15" s="37">
        <v>14</v>
      </c>
      <c r="F15" s="38" t="s">
        <v>45</v>
      </c>
      <c r="G15" s="40"/>
      <c r="H15" s="41">
        <f>622370*E15</f>
        <v>8713180</v>
      </c>
      <c r="I15" s="42">
        <f>564060*E15</f>
        <v>7896840</v>
      </c>
      <c r="J15" s="43">
        <f>357000*E15</f>
        <v>4998000</v>
      </c>
      <c r="K15" s="44">
        <f>1161820.78*E15</f>
        <v>16265490.92</v>
      </c>
      <c r="L15" s="44">
        <f>993650*E15</f>
        <v>13911100</v>
      </c>
      <c r="M15" s="43"/>
      <c r="N15" s="43"/>
      <c r="O15" s="43"/>
      <c r="P15" s="43"/>
      <c r="Q15" s="44">
        <f>1091230*E15</f>
        <v>15277220</v>
      </c>
      <c r="R15" s="43"/>
      <c r="S15" s="43"/>
      <c r="T15" s="43"/>
      <c r="U15" s="43"/>
      <c r="V15" s="43"/>
      <c r="W15" s="43"/>
      <c r="X15" s="356">
        <f>AVERAGE(H15:J15)</f>
        <v>7202673.333333333</v>
      </c>
      <c r="Y15" s="419"/>
      <c r="Z15" s="422"/>
      <c r="AA15" s="422"/>
      <c r="AB15" s="422"/>
      <c r="AC15" s="417"/>
    </row>
    <row r="16" spans="2:29" ht="121.5" customHeight="1" x14ac:dyDescent="0.25">
      <c r="B16" s="396"/>
      <c r="C16" s="35" t="s">
        <v>46</v>
      </c>
      <c r="D16" s="60" t="s">
        <v>44</v>
      </c>
      <c r="E16" s="37">
        <v>2</v>
      </c>
      <c r="F16" s="59" t="s">
        <v>37</v>
      </c>
      <c r="G16" s="40"/>
      <c r="H16" s="41">
        <f>936530*E16</f>
        <v>1873060</v>
      </c>
      <c r="I16" s="42">
        <f>825860*E16</f>
        <v>1651720</v>
      </c>
      <c r="J16" s="61">
        <f>202300*4</f>
        <v>809200</v>
      </c>
      <c r="K16" s="43"/>
      <c r="L16" s="43">
        <f>612850*E16</f>
        <v>1225700</v>
      </c>
      <c r="M16" s="43"/>
      <c r="N16" s="43"/>
      <c r="O16" s="43"/>
      <c r="P16" s="43"/>
      <c r="Q16" s="43">
        <f>997220*E16</f>
        <v>1994440</v>
      </c>
      <c r="R16" s="43"/>
      <c r="S16" s="43"/>
      <c r="T16" s="43"/>
      <c r="U16" s="43"/>
      <c r="V16" s="43"/>
      <c r="W16" s="43"/>
      <c r="X16" s="356">
        <f>AVERAGE(H16,I16,L16,Q16)</f>
        <v>1686230</v>
      </c>
      <c r="Y16" s="419"/>
      <c r="Z16" s="422"/>
      <c r="AA16" s="422"/>
      <c r="AB16" s="422"/>
      <c r="AC16" s="417"/>
    </row>
    <row r="17" spans="2:29" ht="121.5" customHeight="1" x14ac:dyDescent="0.25">
      <c r="B17" s="396"/>
      <c r="C17" s="35" t="s">
        <v>47</v>
      </c>
      <c r="D17" s="36" t="s">
        <v>34</v>
      </c>
      <c r="E17" s="37">
        <v>4</v>
      </c>
      <c r="F17" s="38" t="s">
        <v>48</v>
      </c>
      <c r="G17" s="40"/>
      <c r="H17" s="41">
        <f>384370*E17</f>
        <v>1537480</v>
      </c>
      <c r="I17" s="42">
        <f>714000*E17</f>
        <v>2856000</v>
      </c>
      <c r="J17" s="43">
        <f>440538*E17</f>
        <v>1762152</v>
      </c>
      <c r="K17" s="44">
        <f>1376449.25*E17</f>
        <v>5505797</v>
      </c>
      <c r="L17" s="44">
        <f>1178100*E17</f>
        <v>4712400</v>
      </c>
      <c r="M17" s="43"/>
      <c r="N17" s="43"/>
      <c r="O17" s="43"/>
      <c r="P17" s="43"/>
      <c r="Q17" s="44">
        <f>1032801*E17</f>
        <v>4131204</v>
      </c>
      <c r="R17" s="43"/>
      <c r="S17" s="43"/>
      <c r="T17" s="43"/>
      <c r="U17" s="43"/>
      <c r="V17" s="43"/>
      <c r="W17" s="43"/>
      <c r="X17" s="356">
        <f>AVERAGE(H17,J17,I17)</f>
        <v>2051877.3333333333</v>
      </c>
      <c r="Y17" s="419"/>
      <c r="Z17" s="422"/>
      <c r="AA17" s="422"/>
      <c r="AB17" s="422"/>
      <c r="AC17" s="417"/>
    </row>
    <row r="18" spans="2:29" s="257" customFormat="1" ht="121.5" customHeight="1" thickBot="1" x14ac:dyDescent="0.3">
      <c r="B18" s="396"/>
      <c r="C18" s="62" t="s">
        <v>49</v>
      </c>
      <c r="D18" s="63" t="s">
        <v>34</v>
      </c>
      <c r="E18" s="64">
        <v>5</v>
      </c>
      <c r="F18" s="65" t="s">
        <v>50</v>
      </c>
      <c r="G18" s="67">
        <f>649859*E18</f>
        <v>3249295</v>
      </c>
      <c r="H18" s="68">
        <f>277270*E18</f>
        <v>1386350</v>
      </c>
      <c r="I18" s="69">
        <f>270130*E18</f>
        <v>1350650</v>
      </c>
      <c r="J18" s="70">
        <f>333200*E18</f>
        <v>1666000</v>
      </c>
      <c r="K18" s="71">
        <f>583480.8*E18</f>
        <v>2917404</v>
      </c>
      <c r="L18" s="71">
        <f>499800*E18</f>
        <v>2499000</v>
      </c>
      <c r="M18" s="70"/>
      <c r="N18" s="70"/>
      <c r="O18" s="70"/>
      <c r="P18" s="70"/>
      <c r="Q18" s="71">
        <f>487662*E18</f>
        <v>2438310</v>
      </c>
      <c r="R18" s="70"/>
      <c r="S18" s="70"/>
      <c r="T18" s="70"/>
      <c r="U18" s="70"/>
      <c r="V18" s="70"/>
      <c r="W18" s="70"/>
      <c r="X18" s="358">
        <f>AVERAGE(H18,I18,J18)</f>
        <v>1467666.6666666667</v>
      </c>
      <c r="Y18" s="419"/>
      <c r="Z18" s="422"/>
      <c r="AA18" s="422"/>
      <c r="AB18" s="422"/>
      <c r="AC18" s="417"/>
    </row>
    <row r="19" spans="2:29" s="256" customFormat="1" ht="121.5" customHeight="1" x14ac:dyDescent="0.25">
      <c r="B19" s="395">
        <v>3</v>
      </c>
      <c r="C19" s="26" t="s">
        <v>51</v>
      </c>
      <c r="D19" s="72" t="s">
        <v>52</v>
      </c>
      <c r="E19" s="28">
        <v>1</v>
      </c>
      <c r="F19" s="73" t="s">
        <v>35</v>
      </c>
      <c r="G19" s="30"/>
      <c r="H19" s="31">
        <f>577150*E19</f>
        <v>577150</v>
      </c>
      <c r="I19" s="32"/>
      <c r="J19" s="58">
        <f>2137950*E19</f>
        <v>2137950</v>
      </c>
      <c r="K19" s="33">
        <f>386750*E19</f>
        <v>386750</v>
      </c>
      <c r="L19" s="33">
        <f>514000*E19</f>
        <v>514000</v>
      </c>
      <c r="M19" s="33"/>
      <c r="N19" s="33"/>
      <c r="O19" s="33"/>
      <c r="P19" s="33"/>
      <c r="Q19" s="33"/>
      <c r="R19" s="33"/>
      <c r="S19" s="33"/>
      <c r="T19" s="33"/>
      <c r="U19" s="33"/>
      <c r="V19" s="33"/>
      <c r="W19" s="33"/>
      <c r="X19" s="355">
        <f>AVERAGE(H19,K19,L19)</f>
        <v>492633.33333333331</v>
      </c>
      <c r="Y19" s="418">
        <f>SUM(X19:X21)/1</f>
        <v>1136136.6666666667</v>
      </c>
      <c r="Z19" s="421">
        <f>ROUND(Y19,0)</f>
        <v>1136137</v>
      </c>
      <c r="AA19" s="421">
        <f>Z19/1</f>
        <v>1136137</v>
      </c>
      <c r="AB19" s="421">
        <f>ROUND(AA19,0)</f>
        <v>1136137</v>
      </c>
      <c r="AC19" s="416">
        <f>AB19*1</f>
        <v>1136137</v>
      </c>
    </row>
    <row r="20" spans="2:29" ht="121.5" customHeight="1" x14ac:dyDescent="0.25">
      <c r="B20" s="396"/>
      <c r="C20" s="35" t="s">
        <v>53</v>
      </c>
      <c r="D20" s="36" t="s">
        <v>54</v>
      </c>
      <c r="E20" s="37">
        <v>1</v>
      </c>
      <c r="F20" s="38" t="s">
        <v>35</v>
      </c>
      <c r="G20" s="40"/>
      <c r="H20" s="41">
        <f>448630*E20</f>
        <v>448630</v>
      </c>
      <c r="I20" s="42"/>
      <c r="J20" s="43">
        <f>523005*E20</f>
        <v>523005</v>
      </c>
      <c r="K20" s="74">
        <f>177310*E20</f>
        <v>177310</v>
      </c>
      <c r="L20" s="43">
        <f>717570*E20</f>
        <v>717570</v>
      </c>
      <c r="M20" s="43"/>
      <c r="N20" s="43"/>
      <c r="O20" s="43"/>
      <c r="P20" s="43"/>
      <c r="Q20" s="43"/>
      <c r="R20" s="43"/>
      <c r="S20" s="43"/>
      <c r="T20" s="43"/>
      <c r="U20" s="43"/>
      <c r="V20" s="43"/>
      <c r="W20" s="43"/>
      <c r="X20" s="356">
        <f>AVERAGE(H20,J20,L20)</f>
        <v>563068.33333333337</v>
      </c>
      <c r="Y20" s="419"/>
      <c r="Z20" s="422"/>
      <c r="AA20" s="422"/>
      <c r="AB20" s="422"/>
      <c r="AC20" s="417"/>
    </row>
    <row r="21" spans="2:29" s="257" customFormat="1" ht="81" customHeight="1" thickBot="1" x14ac:dyDescent="0.3">
      <c r="B21" s="397"/>
      <c r="C21" s="47" t="s">
        <v>55</v>
      </c>
      <c r="D21" s="48" t="s">
        <v>56</v>
      </c>
      <c r="E21" s="49">
        <v>1</v>
      </c>
      <c r="F21" s="50" t="s">
        <v>35</v>
      </c>
      <c r="G21" s="52"/>
      <c r="H21" s="53">
        <f>108290*E21</f>
        <v>108290</v>
      </c>
      <c r="I21" s="54"/>
      <c r="J21" s="55">
        <f>65450*E21</f>
        <v>65450</v>
      </c>
      <c r="K21" s="55">
        <f>78000*E21</f>
        <v>78000</v>
      </c>
      <c r="L21" s="55">
        <f>70000*E21</f>
        <v>70000</v>
      </c>
      <c r="M21" s="55"/>
      <c r="N21" s="55"/>
      <c r="O21" s="55"/>
      <c r="P21" s="55"/>
      <c r="Q21" s="56">
        <f>837200*E21</f>
        <v>837200</v>
      </c>
      <c r="R21" s="55"/>
      <c r="S21" s="55"/>
      <c r="T21" s="55"/>
      <c r="U21" s="55"/>
      <c r="V21" s="55"/>
      <c r="W21" s="55"/>
      <c r="X21" s="357">
        <f>AVERAGE(H21,J21,K21,L21)</f>
        <v>80435</v>
      </c>
      <c r="Y21" s="420"/>
      <c r="Z21" s="423"/>
      <c r="AA21" s="423"/>
      <c r="AB21" s="423"/>
      <c r="AC21" s="424"/>
    </row>
    <row r="22" spans="2:29" ht="121.5" customHeight="1" thickBot="1" x14ac:dyDescent="0.3">
      <c r="B22" s="46">
        <v>4</v>
      </c>
      <c r="C22" s="169" t="s">
        <v>57</v>
      </c>
      <c r="D22" s="170" t="s">
        <v>58</v>
      </c>
      <c r="E22" s="171">
        <v>40</v>
      </c>
      <c r="F22" s="172" t="s">
        <v>59</v>
      </c>
      <c r="G22" s="130"/>
      <c r="H22" s="324">
        <f>202300*E22</f>
        <v>8092000</v>
      </c>
      <c r="I22" s="325">
        <f>291550*E22</f>
        <v>11662000</v>
      </c>
      <c r="J22" s="175">
        <f>83300*E22</f>
        <v>3332000</v>
      </c>
      <c r="K22" s="176">
        <f>759764.4*E22</f>
        <v>30390576</v>
      </c>
      <c r="L22" s="175">
        <f>655690*10</f>
        <v>6556900</v>
      </c>
      <c r="M22" s="175"/>
      <c r="N22" s="175"/>
      <c r="O22" s="175"/>
      <c r="P22" s="175"/>
      <c r="Q22" s="176">
        <f>802060*E22</f>
        <v>32082400</v>
      </c>
      <c r="R22" s="175"/>
      <c r="S22" s="175"/>
      <c r="T22" s="175"/>
      <c r="U22" s="175"/>
      <c r="V22" s="175"/>
      <c r="W22" s="175"/>
      <c r="X22" s="359">
        <f>AVERAGE(J22,L22,R22)</f>
        <v>4944450</v>
      </c>
      <c r="Y22" s="350">
        <f>X22/1</f>
        <v>4944450</v>
      </c>
      <c r="Z22" s="283">
        <f>ROUND(Y22,0)</f>
        <v>4944450</v>
      </c>
      <c r="AA22" s="283">
        <f>Z22/E22</f>
        <v>123611.25</v>
      </c>
      <c r="AB22" s="283">
        <f>ROUND(AA22,0)</f>
        <v>123611</v>
      </c>
      <c r="AC22" s="288">
        <f>AB22*E22</f>
        <v>4944440</v>
      </c>
    </row>
    <row r="23" spans="2:29" ht="121.5" customHeight="1" thickBot="1" x14ac:dyDescent="0.3">
      <c r="B23" s="82">
        <v>5</v>
      </c>
      <c r="C23" s="167" t="s">
        <v>60</v>
      </c>
      <c r="D23" s="84" t="s">
        <v>34</v>
      </c>
      <c r="E23" s="85">
        <v>2</v>
      </c>
      <c r="F23" s="86" t="s">
        <v>37</v>
      </c>
      <c r="G23" s="88"/>
      <c r="H23" s="89">
        <f>1255450*E23</f>
        <v>2510900</v>
      </c>
      <c r="I23" s="90">
        <f>2916690*E23</f>
        <v>5833380</v>
      </c>
      <c r="J23" s="91">
        <f>632425.5*E23</f>
        <v>1264851</v>
      </c>
      <c r="K23" s="92">
        <f>7138001*E23</f>
        <v>14276002</v>
      </c>
      <c r="L23" s="92">
        <f>6102320*E23</f>
        <v>12204640</v>
      </c>
      <c r="M23" s="91"/>
      <c r="N23" s="91"/>
      <c r="O23" s="91"/>
      <c r="P23" s="91"/>
      <c r="Q23" s="92">
        <f>6466222*E23</f>
        <v>12932444</v>
      </c>
      <c r="R23" s="91"/>
      <c r="S23" s="91"/>
      <c r="T23" s="91"/>
      <c r="U23" s="91"/>
      <c r="V23" s="91"/>
      <c r="W23" s="91"/>
      <c r="X23" s="360">
        <f>AVERAGE(H23,J23,W23)</f>
        <v>1887875.5</v>
      </c>
      <c r="Y23" s="243">
        <f>X23/1</f>
        <v>1887875.5</v>
      </c>
      <c r="Z23" s="142">
        <f>ROUND(Y23,0)</f>
        <v>1887876</v>
      </c>
      <c r="AA23" s="142">
        <f>Z23/E23</f>
        <v>943938</v>
      </c>
      <c r="AB23" s="142">
        <f>ROUND(AA23,0)</f>
        <v>943938</v>
      </c>
      <c r="AC23" s="150">
        <f>AB23*E23</f>
        <v>1887876</v>
      </c>
    </row>
    <row r="24" spans="2:29" ht="162" customHeight="1" thickBot="1" x14ac:dyDescent="0.3">
      <c r="B24" s="292">
        <v>6</v>
      </c>
      <c r="C24" s="169" t="s">
        <v>61</v>
      </c>
      <c r="D24" s="170" t="s">
        <v>34</v>
      </c>
      <c r="E24" s="171">
        <v>16</v>
      </c>
      <c r="F24" s="172" t="s">
        <v>62</v>
      </c>
      <c r="G24" s="130"/>
      <c r="H24" s="173"/>
      <c r="I24" s="174"/>
      <c r="J24" s="175">
        <f>819672*E24</f>
        <v>13114752</v>
      </c>
      <c r="K24" s="175">
        <f>1122289*E24</f>
        <v>17956624</v>
      </c>
      <c r="L24" s="176">
        <f>3267740*E24</f>
        <v>52283840</v>
      </c>
      <c r="M24" s="175"/>
      <c r="N24" s="175"/>
      <c r="O24" s="175"/>
      <c r="P24" s="175"/>
      <c r="Q24" s="175"/>
      <c r="R24" s="175"/>
      <c r="S24" s="175"/>
      <c r="T24" s="175"/>
      <c r="U24" s="175"/>
      <c r="V24" s="175"/>
      <c r="W24" s="175"/>
      <c r="X24" s="361">
        <f>AVERAGE(J24:K24)</f>
        <v>15535688</v>
      </c>
      <c r="Y24" s="350">
        <f>X24/1</f>
        <v>15535688</v>
      </c>
      <c r="Z24" s="283">
        <f>ROUND(Y24,0)</f>
        <v>15535688</v>
      </c>
      <c r="AA24" s="283">
        <f>Z24/E24</f>
        <v>970980.5</v>
      </c>
      <c r="AB24" s="283">
        <f>ROUND(AA24,0)</f>
        <v>970981</v>
      </c>
      <c r="AC24" s="288">
        <f>AB24*E24</f>
        <v>15535696</v>
      </c>
    </row>
    <row r="25" spans="2:29" ht="129" customHeight="1" x14ac:dyDescent="0.25">
      <c r="B25" s="387">
        <v>7</v>
      </c>
      <c r="C25" s="26" t="s">
        <v>63</v>
      </c>
      <c r="D25" s="27" t="s">
        <v>34</v>
      </c>
      <c r="E25" s="27">
        <v>1</v>
      </c>
      <c r="F25" s="94" t="s">
        <v>35</v>
      </c>
      <c r="G25" s="95"/>
      <c r="H25" s="96">
        <f>583100*E25</f>
        <v>583100</v>
      </c>
      <c r="I25" s="96">
        <f>968660*E25</f>
        <v>968660</v>
      </c>
      <c r="J25" s="33">
        <f>454818*E25</f>
        <v>454818</v>
      </c>
      <c r="K25" s="33"/>
      <c r="L25" s="33">
        <f>868700*E25</f>
        <v>868700</v>
      </c>
      <c r="M25" s="33"/>
      <c r="N25" s="33"/>
      <c r="O25" s="33"/>
      <c r="P25" s="33"/>
      <c r="Q25" s="33">
        <f>618800*E25</f>
        <v>618800</v>
      </c>
      <c r="R25" s="33"/>
      <c r="S25" s="33"/>
      <c r="T25" s="33"/>
      <c r="U25" s="33"/>
      <c r="V25" s="33"/>
      <c r="W25" s="33"/>
      <c r="X25" s="355">
        <f>AVERAGE(H25:Q25)</f>
        <v>698815.6</v>
      </c>
      <c r="Y25" s="427">
        <f>SUM(X25:X26)/1</f>
        <v>1191416.2666666666</v>
      </c>
      <c r="Z25" s="421">
        <f>ROUND(Y25,0)</f>
        <v>1191416</v>
      </c>
      <c r="AA25" s="421">
        <f>Z25/1</f>
        <v>1191416</v>
      </c>
      <c r="AB25" s="421">
        <f>ROUND(AA25,0)</f>
        <v>1191416</v>
      </c>
      <c r="AC25" s="416">
        <f>AB25*1</f>
        <v>1191416</v>
      </c>
    </row>
    <row r="26" spans="2:29" ht="120.75" customHeight="1" thickBot="1" x14ac:dyDescent="0.3">
      <c r="B26" s="389"/>
      <c r="C26" s="47" t="s">
        <v>64</v>
      </c>
      <c r="D26" s="48" t="s">
        <v>41</v>
      </c>
      <c r="E26" s="98">
        <v>1</v>
      </c>
      <c r="F26" s="99" t="s">
        <v>35</v>
      </c>
      <c r="G26" s="100"/>
      <c r="H26" s="101">
        <f>479570*E26</f>
        <v>479570</v>
      </c>
      <c r="I26" s="101">
        <f>491470*E26</f>
        <v>491470</v>
      </c>
      <c r="J26" s="55">
        <f>506762*E26</f>
        <v>506762</v>
      </c>
      <c r="K26" s="56">
        <f>1759439*E26</f>
        <v>1759439</v>
      </c>
      <c r="L26" s="56">
        <f>913920*E26</f>
        <v>913920</v>
      </c>
      <c r="M26" s="55"/>
      <c r="N26" s="55"/>
      <c r="O26" s="55"/>
      <c r="P26" s="55"/>
      <c r="Q26" s="56">
        <f>1005550*E26</f>
        <v>1005550</v>
      </c>
      <c r="R26" s="55"/>
      <c r="S26" s="55"/>
      <c r="T26" s="55"/>
      <c r="U26" s="55"/>
      <c r="V26" s="55"/>
      <c r="W26" s="55"/>
      <c r="X26" s="357">
        <f>AVERAGE(G26:J26)</f>
        <v>492600.66666666669</v>
      </c>
      <c r="Y26" s="428"/>
      <c r="Z26" s="423"/>
      <c r="AA26" s="423"/>
      <c r="AB26" s="423"/>
      <c r="AC26" s="426"/>
    </row>
    <row r="27" spans="2:29" ht="104.25" customHeight="1" thickBot="1" x14ac:dyDescent="0.3">
      <c r="B27" s="293">
        <v>8</v>
      </c>
      <c r="C27" s="306" t="s">
        <v>65</v>
      </c>
      <c r="D27" s="170" t="s">
        <v>58</v>
      </c>
      <c r="E27" s="170">
        <v>6</v>
      </c>
      <c r="F27" s="307" t="s">
        <v>66</v>
      </c>
      <c r="G27" s="326"/>
      <c r="H27" s="326">
        <f>174930*E27</f>
        <v>1049580</v>
      </c>
      <c r="I27" s="327">
        <f>105910*E27</f>
        <v>635460</v>
      </c>
      <c r="J27" s="328"/>
      <c r="K27" s="175">
        <f>237405*E27</f>
        <v>1424430</v>
      </c>
      <c r="L27" s="175">
        <f>185640*E27</f>
        <v>1113840</v>
      </c>
      <c r="M27" s="175"/>
      <c r="N27" s="175"/>
      <c r="O27" s="175"/>
      <c r="P27" s="175"/>
      <c r="Q27" s="175"/>
      <c r="R27" s="175"/>
      <c r="S27" s="175"/>
      <c r="T27" s="175"/>
      <c r="U27" s="175"/>
      <c r="V27" s="175"/>
      <c r="W27" s="175"/>
      <c r="X27" s="362">
        <f>AVERAGE(H27,K27,L27)</f>
        <v>1195950</v>
      </c>
      <c r="Y27" s="376">
        <f>X27/1</f>
        <v>1195950</v>
      </c>
      <c r="Z27" s="288">
        <f>ROUND(Y27,0)</f>
        <v>1195950</v>
      </c>
      <c r="AA27" s="284">
        <f>Z27/E27</f>
        <v>199325</v>
      </c>
      <c r="AB27" s="283">
        <f>ROUND(AA27,0)</f>
        <v>199325</v>
      </c>
      <c r="AC27" s="288">
        <f>AB27*E27</f>
        <v>1195950</v>
      </c>
    </row>
    <row r="28" spans="2:29" ht="135" customHeight="1" x14ac:dyDescent="0.25">
      <c r="B28" s="398">
        <v>9</v>
      </c>
      <c r="C28" s="94" t="s">
        <v>67</v>
      </c>
      <c r="D28" s="72" t="s">
        <v>68</v>
      </c>
      <c r="E28" s="27">
        <v>4</v>
      </c>
      <c r="F28" s="104" t="s">
        <v>48</v>
      </c>
      <c r="G28" s="95"/>
      <c r="H28" s="96"/>
      <c r="I28" s="96"/>
      <c r="J28" s="58">
        <f>1550272.5*6</f>
        <v>9301635</v>
      </c>
      <c r="K28" s="33"/>
      <c r="L28" s="33"/>
      <c r="M28" s="33">
        <f>597000*E28</f>
        <v>2388000</v>
      </c>
      <c r="N28" s="33"/>
      <c r="O28" s="33"/>
      <c r="P28" s="33"/>
      <c r="Q28" s="58">
        <f>1042300*E28</f>
        <v>4169200</v>
      </c>
      <c r="R28" s="33"/>
      <c r="S28" s="33"/>
      <c r="T28" s="33"/>
      <c r="U28" s="33"/>
      <c r="V28" s="33"/>
      <c r="W28" s="33"/>
      <c r="X28" s="355">
        <f>AVERAGE(M28)</f>
        <v>2388000</v>
      </c>
      <c r="Y28" s="418">
        <f>SUM(X28:X30)/1</f>
        <v>3506558.48</v>
      </c>
      <c r="Z28" s="421">
        <f>ROUND(Y28,0)</f>
        <v>3506558</v>
      </c>
      <c r="AA28" s="421">
        <f>Z28/1</f>
        <v>3506558</v>
      </c>
      <c r="AB28" s="421">
        <f>ROUND(AA28,0)</f>
        <v>3506558</v>
      </c>
      <c r="AC28" s="416">
        <f>AB28*1</f>
        <v>3506558</v>
      </c>
    </row>
    <row r="29" spans="2:29" ht="120.75" customHeight="1" x14ac:dyDescent="0.25">
      <c r="B29" s="399"/>
      <c r="C29" s="35" t="s">
        <v>69</v>
      </c>
      <c r="D29" s="36" t="s">
        <v>70</v>
      </c>
      <c r="E29" s="36">
        <v>2</v>
      </c>
      <c r="F29" s="105" t="s">
        <v>71</v>
      </c>
      <c r="G29" s="106"/>
      <c r="H29" s="107">
        <f>392700*E29</f>
        <v>785400</v>
      </c>
      <c r="I29" s="108"/>
      <c r="J29" s="43"/>
      <c r="K29" s="44">
        <f>928750*E29</f>
        <v>1857500</v>
      </c>
      <c r="L29" s="43"/>
      <c r="M29" s="43">
        <f>85850*E29</f>
        <v>171700</v>
      </c>
      <c r="N29" s="43"/>
      <c r="O29" s="43"/>
      <c r="P29" s="43"/>
      <c r="Q29" s="43"/>
      <c r="R29" s="43"/>
      <c r="S29" s="43"/>
      <c r="T29" s="43"/>
      <c r="U29" s="43"/>
      <c r="V29" s="43"/>
      <c r="W29" s="43">
        <f>85908.48*E29</f>
        <v>171816.95999999999</v>
      </c>
      <c r="X29" s="356">
        <f>AVERAGE(M29,W29)</f>
        <v>171758.47999999998</v>
      </c>
      <c r="Y29" s="419"/>
      <c r="Z29" s="422"/>
      <c r="AA29" s="422"/>
      <c r="AB29" s="422"/>
      <c r="AC29" s="425"/>
    </row>
    <row r="30" spans="2:29" ht="121.5" customHeight="1" thickBot="1" x14ac:dyDescent="0.3">
      <c r="B30" s="400"/>
      <c r="C30" s="47" t="s">
        <v>72</v>
      </c>
      <c r="D30" s="98" t="s">
        <v>73</v>
      </c>
      <c r="E30" s="48">
        <v>6</v>
      </c>
      <c r="F30" s="99" t="s">
        <v>74</v>
      </c>
      <c r="G30" s="138"/>
      <c r="H30" s="109"/>
      <c r="I30" s="109"/>
      <c r="J30" s="55"/>
      <c r="K30" s="55"/>
      <c r="L30" s="55"/>
      <c r="M30" s="55">
        <f>157800*E30</f>
        <v>946800</v>
      </c>
      <c r="N30" s="55"/>
      <c r="O30" s="55"/>
      <c r="P30" s="55"/>
      <c r="Q30" s="55"/>
      <c r="R30" s="55"/>
      <c r="S30" s="55"/>
      <c r="T30" s="55"/>
      <c r="U30" s="55"/>
      <c r="V30" s="55"/>
      <c r="W30" s="55"/>
      <c r="X30" s="357">
        <f>AVERAGE(M30)</f>
        <v>946800</v>
      </c>
      <c r="Y30" s="420"/>
      <c r="Z30" s="423"/>
      <c r="AA30" s="423"/>
      <c r="AB30" s="423"/>
      <c r="AC30" s="426"/>
    </row>
    <row r="31" spans="2:29" ht="112.5" customHeight="1" thickBot="1" x14ac:dyDescent="0.3">
      <c r="B31" s="278">
        <v>10</v>
      </c>
      <c r="C31" s="169" t="s">
        <v>75</v>
      </c>
      <c r="D31" s="170" t="s">
        <v>76</v>
      </c>
      <c r="E31" s="298">
        <v>5</v>
      </c>
      <c r="F31" s="129" t="s">
        <v>50</v>
      </c>
      <c r="G31" s="329"/>
      <c r="H31" s="301"/>
      <c r="I31" s="131"/>
      <c r="J31" s="175"/>
      <c r="K31" s="175">
        <f>987700*E31</f>
        <v>4938500</v>
      </c>
      <c r="L31" s="175">
        <f>973420*E31</f>
        <v>4867100</v>
      </c>
      <c r="M31" s="175"/>
      <c r="N31" s="175"/>
      <c r="O31" s="175"/>
      <c r="P31" s="175"/>
      <c r="Q31" s="175">
        <f>512890*E31</f>
        <v>2564450</v>
      </c>
      <c r="R31" s="175"/>
      <c r="S31" s="175"/>
      <c r="T31" s="175"/>
      <c r="U31" s="175"/>
      <c r="V31" s="175"/>
      <c r="W31" s="175"/>
      <c r="X31" s="361">
        <f>AVERAGE(K31,L31,Q31)</f>
        <v>4123350</v>
      </c>
      <c r="Y31" s="350">
        <f>X31/1</f>
        <v>4123350</v>
      </c>
      <c r="Z31" s="283">
        <f>ROUND(Y31,0)</f>
        <v>4123350</v>
      </c>
      <c r="AA31" s="284">
        <f>Z31/E31</f>
        <v>824670</v>
      </c>
      <c r="AB31" s="283">
        <f>ROUND(AA31,0)</f>
        <v>824670</v>
      </c>
      <c r="AC31" s="288">
        <f>AB31*E31</f>
        <v>4123350</v>
      </c>
    </row>
    <row r="32" spans="2:29" ht="106.5" customHeight="1" thickBot="1" x14ac:dyDescent="0.3">
      <c r="B32" s="113">
        <v>11</v>
      </c>
      <c r="C32" s="83" t="s">
        <v>77</v>
      </c>
      <c r="D32" s="84" t="s">
        <v>78</v>
      </c>
      <c r="E32" s="87">
        <v>1</v>
      </c>
      <c r="F32" s="114" t="s">
        <v>35</v>
      </c>
      <c r="G32" s="115"/>
      <c r="H32" s="116"/>
      <c r="I32" s="117">
        <f>2487100*E32</f>
        <v>2487100</v>
      </c>
      <c r="J32" s="91"/>
      <c r="K32" s="91">
        <f>1785000*E32</f>
        <v>1785000</v>
      </c>
      <c r="L32" s="91"/>
      <c r="M32" s="92">
        <f>2600150*E32</f>
        <v>2600150</v>
      </c>
      <c r="N32" s="91"/>
      <c r="O32" s="91"/>
      <c r="P32" s="91"/>
      <c r="Q32" s="91">
        <f>1715980*E32</f>
        <v>1715980</v>
      </c>
      <c r="R32" s="91"/>
      <c r="S32" s="91"/>
      <c r="T32" s="91"/>
      <c r="U32" s="91"/>
      <c r="V32" s="91"/>
      <c r="W32" s="91"/>
      <c r="X32" s="360">
        <f>AVERAGE(I32,Q32,K32)</f>
        <v>1996026.6666666667</v>
      </c>
      <c r="Y32" s="243">
        <f>X32/1</f>
        <v>1996026.6666666667</v>
      </c>
      <c r="Z32" s="142">
        <f>ROUND(Y32,0)</f>
        <v>1996027</v>
      </c>
      <c r="AA32" s="118">
        <f>Z32/E32</f>
        <v>1996027</v>
      </c>
      <c r="AB32" s="142">
        <f>ROUND(AA32,0)</f>
        <v>1996027</v>
      </c>
      <c r="AC32" s="150">
        <f>AB32*E32</f>
        <v>1996027</v>
      </c>
    </row>
    <row r="33" spans="2:29" ht="159" customHeight="1" x14ac:dyDescent="0.25">
      <c r="B33" s="403">
        <v>12</v>
      </c>
      <c r="C33" s="187" t="s">
        <v>79</v>
      </c>
      <c r="D33" s="406" t="s">
        <v>80</v>
      </c>
      <c r="E33" s="409">
        <v>1</v>
      </c>
      <c r="F33" s="411" t="s">
        <v>35</v>
      </c>
      <c r="G33" s="413"/>
      <c r="H33" s="413"/>
      <c r="I33" s="438">
        <f>5166000*E33</f>
        <v>5166000</v>
      </c>
      <c r="J33" s="401"/>
      <c r="K33" s="401"/>
      <c r="L33" s="383"/>
      <c r="M33" s="383"/>
      <c r="N33" s="383"/>
      <c r="O33" s="383"/>
      <c r="P33" s="383"/>
      <c r="Q33" s="383">
        <f>7605000*E33</f>
        <v>7605000</v>
      </c>
      <c r="R33" s="383"/>
      <c r="S33" s="383"/>
      <c r="T33" s="119"/>
      <c r="U33" s="119"/>
      <c r="V33" s="383"/>
      <c r="W33" s="383"/>
      <c r="X33" s="440">
        <f>AVERAGE(I33,Q33)</f>
        <v>6385500</v>
      </c>
      <c r="Y33" s="442">
        <f>6385500/1</f>
        <v>6385500</v>
      </c>
      <c r="Z33" s="422">
        <f>ROUND(Y33,0)</f>
        <v>6385500</v>
      </c>
      <c r="AA33" s="422">
        <f>Z33/1</f>
        <v>6385500</v>
      </c>
      <c r="AB33" s="446">
        <f>ROUND(AA33,0)</f>
        <v>6385500</v>
      </c>
      <c r="AC33" s="429">
        <f>AB33*1</f>
        <v>6385500</v>
      </c>
    </row>
    <row r="34" spans="2:29" ht="157.5" customHeight="1" x14ac:dyDescent="0.25">
      <c r="B34" s="404"/>
      <c r="C34" s="35" t="s">
        <v>81</v>
      </c>
      <c r="D34" s="407"/>
      <c r="E34" s="409"/>
      <c r="F34" s="411"/>
      <c r="G34" s="413"/>
      <c r="H34" s="413"/>
      <c r="I34" s="438"/>
      <c r="J34" s="401"/>
      <c r="K34" s="401"/>
      <c r="L34" s="383"/>
      <c r="M34" s="383"/>
      <c r="N34" s="383"/>
      <c r="O34" s="383"/>
      <c r="P34" s="383"/>
      <c r="Q34" s="383"/>
      <c r="R34" s="383"/>
      <c r="S34" s="383"/>
      <c r="T34" s="119"/>
      <c r="U34" s="119"/>
      <c r="V34" s="383"/>
      <c r="W34" s="383"/>
      <c r="X34" s="440"/>
      <c r="Y34" s="443"/>
      <c r="Z34" s="444"/>
      <c r="AA34" s="444"/>
      <c r="AB34" s="447"/>
      <c r="AC34" s="430"/>
    </row>
    <row r="35" spans="2:29" ht="157.5" customHeight="1" x14ac:dyDescent="0.25">
      <c r="B35" s="404"/>
      <c r="C35" s="35" t="s">
        <v>82</v>
      </c>
      <c r="D35" s="407"/>
      <c r="E35" s="409"/>
      <c r="F35" s="411"/>
      <c r="G35" s="413"/>
      <c r="H35" s="413"/>
      <c r="I35" s="438"/>
      <c r="J35" s="401"/>
      <c r="K35" s="401"/>
      <c r="L35" s="383"/>
      <c r="M35" s="383"/>
      <c r="N35" s="383"/>
      <c r="O35" s="383"/>
      <c r="P35" s="383"/>
      <c r="Q35" s="383"/>
      <c r="R35" s="383"/>
      <c r="S35" s="383"/>
      <c r="T35" s="119"/>
      <c r="U35" s="119"/>
      <c r="V35" s="383"/>
      <c r="W35" s="383"/>
      <c r="X35" s="440"/>
      <c r="Y35" s="443"/>
      <c r="Z35" s="444"/>
      <c r="AA35" s="444"/>
      <c r="AB35" s="447"/>
      <c r="AC35" s="430"/>
    </row>
    <row r="36" spans="2:29" ht="175.5" customHeight="1" x14ac:dyDescent="0.25">
      <c r="B36" s="404"/>
      <c r="C36" s="35" t="s">
        <v>83</v>
      </c>
      <c r="D36" s="407"/>
      <c r="E36" s="409"/>
      <c r="F36" s="411"/>
      <c r="G36" s="413"/>
      <c r="H36" s="413"/>
      <c r="I36" s="438"/>
      <c r="J36" s="401"/>
      <c r="K36" s="401"/>
      <c r="L36" s="383"/>
      <c r="M36" s="383"/>
      <c r="N36" s="383"/>
      <c r="O36" s="383"/>
      <c r="P36" s="383"/>
      <c r="Q36" s="383"/>
      <c r="R36" s="383"/>
      <c r="S36" s="383"/>
      <c r="T36" s="119"/>
      <c r="U36" s="119"/>
      <c r="V36" s="383"/>
      <c r="W36" s="383"/>
      <c r="X36" s="440"/>
      <c r="Y36" s="443"/>
      <c r="Z36" s="444"/>
      <c r="AA36" s="444"/>
      <c r="AB36" s="447"/>
      <c r="AC36" s="430"/>
    </row>
    <row r="37" spans="2:29" ht="163.5" customHeight="1" x14ac:dyDescent="0.25">
      <c r="B37" s="404"/>
      <c r="C37" s="35" t="s">
        <v>84</v>
      </c>
      <c r="D37" s="407"/>
      <c r="E37" s="409"/>
      <c r="F37" s="411"/>
      <c r="G37" s="413"/>
      <c r="H37" s="413"/>
      <c r="I37" s="438"/>
      <c r="J37" s="401"/>
      <c r="K37" s="401"/>
      <c r="L37" s="383"/>
      <c r="M37" s="383"/>
      <c r="N37" s="383"/>
      <c r="O37" s="383"/>
      <c r="P37" s="383"/>
      <c r="Q37" s="383"/>
      <c r="R37" s="383"/>
      <c r="S37" s="383"/>
      <c r="T37" s="383"/>
      <c r="U37" s="383"/>
      <c r="V37" s="383"/>
      <c r="W37" s="383"/>
      <c r="X37" s="440"/>
      <c r="Y37" s="443"/>
      <c r="Z37" s="444"/>
      <c r="AA37" s="444"/>
      <c r="AB37" s="447"/>
      <c r="AC37" s="430"/>
    </row>
    <row r="38" spans="2:29" ht="152.25" customHeight="1" x14ac:dyDescent="0.25">
      <c r="B38" s="404"/>
      <c r="C38" s="35" t="s">
        <v>85</v>
      </c>
      <c r="D38" s="407"/>
      <c r="E38" s="409"/>
      <c r="F38" s="411"/>
      <c r="G38" s="413"/>
      <c r="H38" s="413"/>
      <c r="I38" s="438"/>
      <c r="J38" s="401"/>
      <c r="K38" s="401"/>
      <c r="L38" s="383"/>
      <c r="M38" s="383"/>
      <c r="N38" s="383"/>
      <c r="O38" s="383"/>
      <c r="P38" s="383"/>
      <c r="Q38" s="383"/>
      <c r="R38" s="383"/>
      <c r="S38" s="383"/>
      <c r="T38" s="383"/>
      <c r="U38" s="383"/>
      <c r="V38" s="383"/>
      <c r="W38" s="383"/>
      <c r="X38" s="440"/>
      <c r="Y38" s="443"/>
      <c r="Z38" s="444"/>
      <c r="AA38" s="444"/>
      <c r="AB38" s="447"/>
      <c r="AC38" s="430"/>
    </row>
    <row r="39" spans="2:29" ht="154.5" customHeight="1" x14ac:dyDescent="0.25">
      <c r="B39" s="404"/>
      <c r="C39" s="35" t="s">
        <v>86</v>
      </c>
      <c r="D39" s="407"/>
      <c r="E39" s="409"/>
      <c r="F39" s="411"/>
      <c r="G39" s="413"/>
      <c r="H39" s="413"/>
      <c r="I39" s="438"/>
      <c r="J39" s="401"/>
      <c r="K39" s="401"/>
      <c r="L39" s="383"/>
      <c r="M39" s="383"/>
      <c r="N39" s="383"/>
      <c r="O39" s="383"/>
      <c r="P39" s="383"/>
      <c r="Q39" s="383"/>
      <c r="R39" s="383"/>
      <c r="S39" s="383"/>
      <c r="T39" s="383"/>
      <c r="U39" s="383"/>
      <c r="V39" s="383"/>
      <c r="W39" s="383"/>
      <c r="X39" s="440"/>
      <c r="Y39" s="443"/>
      <c r="Z39" s="444"/>
      <c r="AA39" s="444"/>
      <c r="AB39" s="447"/>
      <c r="AC39" s="430"/>
    </row>
    <row r="40" spans="2:29" ht="153" customHeight="1" x14ac:dyDescent="0.25">
      <c r="B40" s="404"/>
      <c r="C40" s="35" t="s">
        <v>87</v>
      </c>
      <c r="D40" s="407"/>
      <c r="E40" s="409"/>
      <c r="F40" s="411"/>
      <c r="G40" s="413"/>
      <c r="H40" s="413"/>
      <c r="I40" s="438"/>
      <c r="J40" s="401"/>
      <c r="K40" s="401"/>
      <c r="L40" s="383"/>
      <c r="M40" s="383"/>
      <c r="N40" s="383"/>
      <c r="O40" s="383"/>
      <c r="P40" s="383"/>
      <c r="Q40" s="383"/>
      <c r="R40" s="383"/>
      <c r="S40" s="383"/>
      <c r="T40" s="383"/>
      <c r="U40" s="383"/>
      <c r="V40" s="383"/>
      <c r="W40" s="383"/>
      <c r="X40" s="440"/>
      <c r="Y40" s="443"/>
      <c r="Z40" s="444"/>
      <c r="AA40" s="444"/>
      <c r="AB40" s="447"/>
      <c r="AC40" s="430"/>
    </row>
    <row r="41" spans="2:29" ht="148.5" customHeight="1" thickBot="1" x14ac:dyDescent="0.3">
      <c r="B41" s="405"/>
      <c r="C41" s="47" t="s">
        <v>88</v>
      </c>
      <c r="D41" s="408"/>
      <c r="E41" s="410"/>
      <c r="F41" s="412"/>
      <c r="G41" s="414"/>
      <c r="H41" s="414"/>
      <c r="I41" s="448"/>
      <c r="J41" s="402"/>
      <c r="K41" s="402"/>
      <c r="L41" s="384"/>
      <c r="M41" s="384"/>
      <c r="N41" s="384"/>
      <c r="O41" s="384"/>
      <c r="P41" s="384"/>
      <c r="Q41" s="384"/>
      <c r="R41" s="384"/>
      <c r="S41" s="384"/>
      <c r="T41" s="384"/>
      <c r="U41" s="384"/>
      <c r="V41" s="384"/>
      <c r="W41" s="384"/>
      <c r="X41" s="441"/>
      <c r="Y41" s="428"/>
      <c r="Z41" s="445"/>
      <c r="AA41" s="445"/>
      <c r="AB41" s="447"/>
      <c r="AC41" s="430"/>
    </row>
    <row r="42" spans="2:29" ht="172.5" customHeight="1" x14ac:dyDescent="0.25">
      <c r="B42" s="398">
        <v>13</v>
      </c>
      <c r="C42" s="26" t="s">
        <v>89</v>
      </c>
      <c r="D42" s="431" t="s">
        <v>80</v>
      </c>
      <c r="E42" s="433">
        <v>1</v>
      </c>
      <c r="F42" s="434" t="s">
        <v>35</v>
      </c>
      <c r="G42" s="435"/>
      <c r="H42" s="435">
        <f>2601340*E42</f>
        <v>2601340</v>
      </c>
      <c r="I42" s="437">
        <f>1722000*E42</f>
        <v>1722000</v>
      </c>
      <c r="J42" s="439"/>
      <c r="K42" s="439"/>
      <c r="L42" s="439"/>
      <c r="M42" s="439"/>
      <c r="N42" s="439"/>
      <c r="O42" s="439"/>
      <c r="P42" s="439"/>
      <c r="Q42" s="439"/>
      <c r="R42" s="439"/>
      <c r="S42" s="439"/>
      <c r="T42" s="439"/>
      <c r="U42" s="439"/>
      <c r="V42" s="439"/>
      <c r="W42" s="439"/>
      <c r="X42" s="458">
        <f>AVERAGE(H42:I44)</f>
        <v>2161670</v>
      </c>
      <c r="Y42" s="427">
        <f>2161670/1</f>
        <v>2161670</v>
      </c>
      <c r="Z42" s="449">
        <f>ROUND(Y42,0)</f>
        <v>2161670</v>
      </c>
      <c r="AA42" s="449">
        <f>Z42/1</f>
        <v>2161670</v>
      </c>
      <c r="AB42" s="450">
        <f>ROUND(AA42,0)</f>
        <v>2161670</v>
      </c>
      <c r="AC42" s="452">
        <f>AB42*1</f>
        <v>2161670</v>
      </c>
    </row>
    <row r="43" spans="2:29" ht="159" customHeight="1" x14ac:dyDescent="0.25">
      <c r="B43" s="399"/>
      <c r="C43" s="35" t="s">
        <v>90</v>
      </c>
      <c r="D43" s="407"/>
      <c r="E43" s="409"/>
      <c r="F43" s="411"/>
      <c r="G43" s="436"/>
      <c r="H43" s="436"/>
      <c r="I43" s="438"/>
      <c r="J43" s="383"/>
      <c r="K43" s="383"/>
      <c r="L43" s="383"/>
      <c r="M43" s="383"/>
      <c r="N43" s="383"/>
      <c r="O43" s="383"/>
      <c r="P43" s="383"/>
      <c r="Q43" s="383"/>
      <c r="R43" s="383"/>
      <c r="S43" s="383"/>
      <c r="T43" s="383"/>
      <c r="U43" s="383"/>
      <c r="V43" s="383"/>
      <c r="W43" s="383"/>
      <c r="X43" s="440"/>
      <c r="Y43" s="443"/>
      <c r="Z43" s="444"/>
      <c r="AA43" s="444"/>
      <c r="AB43" s="447"/>
      <c r="AC43" s="430"/>
    </row>
    <row r="44" spans="2:29" ht="168.75" customHeight="1" thickBot="1" x14ac:dyDescent="0.3">
      <c r="B44" s="415"/>
      <c r="C44" s="62" t="s">
        <v>91</v>
      </c>
      <c r="D44" s="432"/>
      <c r="E44" s="409"/>
      <c r="F44" s="411"/>
      <c r="G44" s="436"/>
      <c r="H44" s="436"/>
      <c r="I44" s="438"/>
      <c r="J44" s="383"/>
      <c r="K44" s="383"/>
      <c r="L44" s="383"/>
      <c r="M44" s="383"/>
      <c r="N44" s="383"/>
      <c r="O44" s="383"/>
      <c r="P44" s="383"/>
      <c r="Q44" s="383"/>
      <c r="R44" s="383"/>
      <c r="S44" s="383"/>
      <c r="T44" s="384"/>
      <c r="U44" s="384"/>
      <c r="V44" s="383"/>
      <c r="W44" s="383"/>
      <c r="X44" s="440"/>
      <c r="Y44" s="459"/>
      <c r="Z44" s="444"/>
      <c r="AA44" s="444"/>
      <c r="AB44" s="451"/>
      <c r="AC44" s="453"/>
    </row>
    <row r="45" spans="2:29" ht="60.75" customHeight="1" x14ac:dyDescent="0.25">
      <c r="B45" s="395">
        <v>14</v>
      </c>
      <c r="C45" s="26" t="s">
        <v>92</v>
      </c>
      <c r="D45" s="72" t="s">
        <v>93</v>
      </c>
      <c r="E45" s="28">
        <v>1</v>
      </c>
      <c r="F45" s="29" t="s">
        <v>94</v>
      </c>
      <c r="G45" s="120"/>
      <c r="H45" s="95"/>
      <c r="I45" s="121">
        <f>498000*E45</f>
        <v>498000</v>
      </c>
      <c r="J45" s="33"/>
      <c r="K45" s="33"/>
      <c r="L45" s="33"/>
      <c r="M45" s="33"/>
      <c r="N45" s="33"/>
      <c r="O45" s="33"/>
      <c r="P45" s="33"/>
      <c r="Q45" s="33">
        <f t="shared" ref="Q45:Q50" si="0">845000*E45</f>
        <v>845000</v>
      </c>
      <c r="R45" s="33"/>
      <c r="S45" s="33"/>
      <c r="T45" s="33"/>
      <c r="U45" s="33"/>
      <c r="V45" s="33"/>
      <c r="W45" s="33"/>
      <c r="X45" s="355">
        <f t="shared" ref="X45:X50" si="1">AVERAGE(I45,Q45)</f>
        <v>671500</v>
      </c>
      <c r="Y45" s="418">
        <f>SUM(X45:X50)/1</f>
        <v>4174000</v>
      </c>
      <c r="Z45" s="421">
        <f>ROUND(Y45,0)</f>
        <v>4174000</v>
      </c>
      <c r="AA45" s="421">
        <f>Z45/1</f>
        <v>4174000</v>
      </c>
      <c r="AB45" s="454">
        <f>ROUND(AA45,0)</f>
        <v>4174000</v>
      </c>
      <c r="AC45" s="456">
        <f>AB45*1</f>
        <v>4174000</v>
      </c>
    </row>
    <row r="46" spans="2:29" ht="63" customHeight="1" x14ac:dyDescent="0.25">
      <c r="B46" s="396"/>
      <c r="C46" s="35" t="s">
        <v>95</v>
      </c>
      <c r="D46" s="60" t="s">
        <v>93</v>
      </c>
      <c r="E46" s="37">
        <v>1</v>
      </c>
      <c r="F46" s="38" t="s">
        <v>94</v>
      </c>
      <c r="G46" s="122"/>
      <c r="H46" s="106"/>
      <c r="I46" s="123">
        <f>551000*E46</f>
        <v>551000</v>
      </c>
      <c r="J46" s="43"/>
      <c r="K46" s="43"/>
      <c r="L46" s="43"/>
      <c r="M46" s="43"/>
      <c r="N46" s="43"/>
      <c r="O46" s="43"/>
      <c r="P46" s="43"/>
      <c r="Q46" s="43">
        <f t="shared" si="0"/>
        <v>845000</v>
      </c>
      <c r="R46" s="43"/>
      <c r="S46" s="43"/>
      <c r="T46" s="43"/>
      <c r="U46" s="43"/>
      <c r="V46" s="43"/>
      <c r="W46" s="43"/>
      <c r="X46" s="356">
        <f t="shared" si="1"/>
        <v>698000</v>
      </c>
      <c r="Y46" s="419"/>
      <c r="Z46" s="422"/>
      <c r="AA46" s="422"/>
      <c r="AB46" s="447"/>
      <c r="AC46" s="430"/>
    </row>
    <row r="47" spans="2:29" ht="57" customHeight="1" x14ac:dyDescent="0.25">
      <c r="B47" s="396"/>
      <c r="C47" s="35" t="s">
        <v>96</v>
      </c>
      <c r="D47" s="60" t="s">
        <v>93</v>
      </c>
      <c r="E47" s="37">
        <v>1</v>
      </c>
      <c r="F47" s="38" t="s">
        <v>94</v>
      </c>
      <c r="G47" s="122"/>
      <c r="H47" s="106"/>
      <c r="I47" s="123">
        <f>498000*E47</f>
        <v>498000</v>
      </c>
      <c r="J47" s="43"/>
      <c r="K47" s="43"/>
      <c r="L47" s="43"/>
      <c r="M47" s="43"/>
      <c r="N47" s="43"/>
      <c r="O47" s="43"/>
      <c r="P47" s="43"/>
      <c r="Q47" s="43">
        <f t="shared" si="0"/>
        <v>845000</v>
      </c>
      <c r="R47" s="43"/>
      <c r="S47" s="43"/>
      <c r="T47" s="43"/>
      <c r="U47" s="43"/>
      <c r="V47" s="43"/>
      <c r="W47" s="43"/>
      <c r="X47" s="356">
        <f t="shared" si="1"/>
        <v>671500</v>
      </c>
      <c r="Y47" s="419"/>
      <c r="Z47" s="422"/>
      <c r="AA47" s="422"/>
      <c r="AB47" s="447"/>
      <c r="AC47" s="430"/>
    </row>
    <row r="48" spans="2:29" ht="77.25" customHeight="1" x14ac:dyDescent="0.25">
      <c r="B48" s="396"/>
      <c r="C48" s="35" t="s">
        <v>97</v>
      </c>
      <c r="D48" s="60" t="s">
        <v>93</v>
      </c>
      <c r="E48" s="64">
        <v>1</v>
      </c>
      <c r="F48" s="124" t="s">
        <v>94</v>
      </c>
      <c r="G48" s="125"/>
      <c r="H48" s="106"/>
      <c r="I48" s="126">
        <f>498000*E48</f>
        <v>498000</v>
      </c>
      <c r="J48" s="70"/>
      <c r="K48" s="70"/>
      <c r="L48" s="70"/>
      <c r="M48" s="70"/>
      <c r="N48" s="70"/>
      <c r="O48" s="70"/>
      <c r="P48" s="70"/>
      <c r="Q48" s="70">
        <f t="shared" si="0"/>
        <v>845000</v>
      </c>
      <c r="R48" s="70"/>
      <c r="S48" s="70"/>
      <c r="T48" s="70"/>
      <c r="U48" s="70"/>
      <c r="V48" s="70"/>
      <c r="W48" s="70"/>
      <c r="X48" s="356">
        <f t="shared" si="1"/>
        <v>671500</v>
      </c>
      <c r="Y48" s="419"/>
      <c r="Z48" s="422"/>
      <c r="AA48" s="422"/>
      <c r="AB48" s="447"/>
      <c r="AC48" s="430"/>
    </row>
    <row r="49" spans="2:29" ht="72" customHeight="1" x14ac:dyDescent="0.25">
      <c r="B49" s="396"/>
      <c r="C49" s="62" t="s">
        <v>98</v>
      </c>
      <c r="D49" s="127" t="s">
        <v>93</v>
      </c>
      <c r="E49" s="290">
        <v>1</v>
      </c>
      <c r="F49" s="128" t="s">
        <v>99</v>
      </c>
      <c r="G49" s="106"/>
      <c r="H49" s="106"/>
      <c r="I49" s="108">
        <f>551000*E49</f>
        <v>551000</v>
      </c>
      <c r="J49" s="43"/>
      <c r="K49" s="43"/>
      <c r="L49" s="43"/>
      <c r="M49" s="43"/>
      <c r="N49" s="43"/>
      <c r="O49" s="43"/>
      <c r="P49" s="43"/>
      <c r="Q49" s="43">
        <f t="shared" si="0"/>
        <v>845000</v>
      </c>
      <c r="R49" s="43"/>
      <c r="S49" s="43"/>
      <c r="T49" s="43"/>
      <c r="U49" s="43"/>
      <c r="V49" s="43"/>
      <c r="W49" s="43"/>
      <c r="X49" s="356">
        <f t="shared" si="1"/>
        <v>698000</v>
      </c>
      <c r="Y49" s="419"/>
      <c r="Z49" s="422"/>
      <c r="AA49" s="422"/>
      <c r="AB49" s="447"/>
      <c r="AC49" s="430"/>
    </row>
    <row r="50" spans="2:29" ht="168.75" customHeight="1" thickBot="1" x14ac:dyDescent="0.3">
      <c r="B50" s="397"/>
      <c r="C50" s="47" t="s">
        <v>100</v>
      </c>
      <c r="D50" s="239" t="s">
        <v>93</v>
      </c>
      <c r="E50" s="299">
        <v>1</v>
      </c>
      <c r="F50" s="110" t="s">
        <v>94</v>
      </c>
      <c r="G50" s="302"/>
      <c r="H50" s="79"/>
      <c r="I50" s="111">
        <f>682000*E50</f>
        <v>682000</v>
      </c>
      <c r="J50" s="286"/>
      <c r="K50" s="286"/>
      <c r="L50" s="286"/>
      <c r="M50" s="286"/>
      <c r="N50" s="286"/>
      <c r="O50" s="286"/>
      <c r="P50" s="286"/>
      <c r="Q50" s="332">
        <f t="shared" si="0"/>
        <v>845000</v>
      </c>
      <c r="R50" s="286"/>
      <c r="S50" s="286"/>
      <c r="T50" s="286"/>
      <c r="U50" s="286"/>
      <c r="V50" s="286"/>
      <c r="W50" s="286"/>
      <c r="X50" s="363">
        <f t="shared" si="1"/>
        <v>763500</v>
      </c>
      <c r="Y50" s="420"/>
      <c r="Z50" s="423"/>
      <c r="AA50" s="423"/>
      <c r="AB50" s="455"/>
      <c r="AC50" s="457"/>
    </row>
    <row r="51" spans="2:29" ht="111" customHeight="1" x14ac:dyDescent="0.25">
      <c r="B51" s="388">
        <v>15</v>
      </c>
      <c r="C51" s="187" t="s">
        <v>101</v>
      </c>
      <c r="D51" s="199" t="s">
        <v>102</v>
      </c>
      <c r="E51" s="157">
        <v>1</v>
      </c>
      <c r="F51" s="213" t="s">
        <v>35</v>
      </c>
      <c r="G51" s="330"/>
      <c r="H51" s="331">
        <f>1092420*E51</f>
        <v>1092420</v>
      </c>
      <c r="I51" s="331"/>
      <c r="J51" s="191"/>
      <c r="K51" s="191">
        <f>1517250*E51</f>
        <v>1517250</v>
      </c>
      <c r="L51" s="191"/>
      <c r="M51" s="191"/>
      <c r="N51" s="191"/>
      <c r="O51" s="190">
        <f>2115701*E51</f>
        <v>2115701</v>
      </c>
      <c r="P51" s="191"/>
      <c r="Q51" s="191"/>
      <c r="R51" s="191"/>
      <c r="S51" s="191"/>
      <c r="T51" s="191"/>
      <c r="U51" s="191"/>
      <c r="V51" s="191"/>
      <c r="W51" s="191"/>
      <c r="X51" s="364">
        <f>AVERAGE(K51,H51)</f>
        <v>1304835</v>
      </c>
      <c r="Y51" s="419">
        <f>SUM(X51:X53)/1</f>
        <v>3062227</v>
      </c>
      <c r="Z51" s="422">
        <f>ROUND(Y51,0)</f>
        <v>3062227</v>
      </c>
      <c r="AA51" s="422">
        <f>Z51/1</f>
        <v>3062227</v>
      </c>
      <c r="AB51" s="422">
        <f>ROUND(AA51,0)</f>
        <v>3062227</v>
      </c>
      <c r="AC51" s="425">
        <f>AB51*1</f>
        <v>3062227</v>
      </c>
    </row>
    <row r="52" spans="2:29" ht="88.5" customHeight="1" x14ac:dyDescent="0.25">
      <c r="B52" s="388"/>
      <c r="C52" s="35" t="s">
        <v>103</v>
      </c>
      <c r="D52" s="36" t="s">
        <v>104</v>
      </c>
      <c r="E52" s="60">
        <v>1</v>
      </c>
      <c r="F52" s="105" t="s">
        <v>35</v>
      </c>
      <c r="G52" s="134"/>
      <c r="H52" s="135"/>
      <c r="I52" s="135"/>
      <c r="J52" s="43"/>
      <c r="K52" s="43">
        <f>765646*E52</f>
        <v>765646</v>
      </c>
      <c r="L52" s="43"/>
      <c r="M52" s="43"/>
      <c r="N52" s="43"/>
      <c r="O52" s="43"/>
      <c r="P52" s="43"/>
      <c r="Q52" s="43"/>
      <c r="R52" s="43"/>
      <c r="S52" s="43"/>
      <c r="T52" s="43"/>
      <c r="U52" s="43"/>
      <c r="V52" s="43"/>
      <c r="W52" s="43"/>
      <c r="X52" s="356">
        <f>AVERAGE(K52)</f>
        <v>765646</v>
      </c>
      <c r="Y52" s="419"/>
      <c r="Z52" s="422"/>
      <c r="AA52" s="422"/>
      <c r="AB52" s="422"/>
      <c r="AC52" s="425"/>
    </row>
    <row r="53" spans="2:29" ht="59.25" customHeight="1" thickBot="1" x14ac:dyDescent="0.3">
      <c r="B53" s="389"/>
      <c r="C53" s="47" t="s">
        <v>105</v>
      </c>
      <c r="D53" s="136" t="s">
        <v>106</v>
      </c>
      <c r="E53" s="136">
        <v>1</v>
      </c>
      <c r="F53" s="137" t="s">
        <v>107</v>
      </c>
      <c r="G53" s="138"/>
      <c r="H53" s="109"/>
      <c r="I53" s="109"/>
      <c r="J53" s="55"/>
      <c r="K53" s="55">
        <f>991746*E53</f>
        <v>991746</v>
      </c>
      <c r="L53" s="55"/>
      <c r="M53" s="55"/>
      <c r="N53" s="55"/>
      <c r="O53" s="55"/>
      <c r="P53" s="55"/>
      <c r="Q53" s="55"/>
      <c r="R53" s="55"/>
      <c r="S53" s="55"/>
      <c r="T53" s="55"/>
      <c r="U53" s="55"/>
      <c r="V53" s="55"/>
      <c r="W53" s="55"/>
      <c r="X53" s="357">
        <f>AVERAGE(K53)</f>
        <v>991746</v>
      </c>
      <c r="Y53" s="420"/>
      <c r="Z53" s="423"/>
      <c r="AA53" s="423"/>
      <c r="AB53" s="423"/>
      <c r="AC53" s="426"/>
    </row>
    <row r="54" spans="2:29" ht="121.5" customHeight="1" thickBot="1" x14ac:dyDescent="0.3">
      <c r="B54" s="82">
        <v>16</v>
      </c>
      <c r="C54" s="83" t="s">
        <v>108</v>
      </c>
      <c r="D54" s="139" t="s">
        <v>109</v>
      </c>
      <c r="E54" s="84">
        <v>1</v>
      </c>
      <c r="F54" s="140" t="s">
        <v>35</v>
      </c>
      <c r="G54" s="168"/>
      <c r="H54" s="141">
        <f>671160*E54</f>
        <v>671160</v>
      </c>
      <c r="I54" s="141"/>
      <c r="J54" s="91">
        <f>641529*E54</f>
        <v>641529</v>
      </c>
      <c r="K54" s="92">
        <f>1087660*E54</f>
        <v>1087660</v>
      </c>
      <c r="L54" s="92">
        <f>969850*E54</f>
        <v>969850</v>
      </c>
      <c r="M54" s="91"/>
      <c r="N54" s="91"/>
      <c r="O54" s="91"/>
      <c r="P54" s="91"/>
      <c r="Q54" s="91">
        <f>658000*E54</f>
        <v>658000</v>
      </c>
      <c r="R54" s="91"/>
      <c r="S54" s="91"/>
      <c r="T54" s="91"/>
      <c r="U54" s="91"/>
      <c r="V54" s="91"/>
      <c r="W54" s="91"/>
      <c r="X54" s="360">
        <f>AVERAGE(H54,J54,Q54)</f>
        <v>656896.33333333337</v>
      </c>
      <c r="Y54" s="243">
        <f>X54/1</f>
        <v>656896.33333333337</v>
      </c>
      <c r="Z54" s="142">
        <f>ROUND(Y54,0)</f>
        <v>656896</v>
      </c>
      <c r="AA54" s="142">
        <f>Z54/E54</f>
        <v>656896</v>
      </c>
      <c r="AB54" s="143">
        <f>ROUND(AA54,0)</f>
        <v>656896</v>
      </c>
      <c r="AC54" s="144">
        <f>AB54*E54</f>
        <v>656896</v>
      </c>
    </row>
    <row r="55" spans="2:29" ht="121.5" customHeight="1" x14ac:dyDescent="0.25">
      <c r="B55" s="395">
        <v>17</v>
      </c>
      <c r="C55" s="26" t="s">
        <v>110</v>
      </c>
      <c r="D55" s="27" t="s">
        <v>111</v>
      </c>
      <c r="E55" s="28">
        <v>6</v>
      </c>
      <c r="F55" s="29" t="s">
        <v>112</v>
      </c>
      <c r="G55" s="30"/>
      <c r="H55" s="31">
        <f>101507*E55</f>
        <v>609042</v>
      </c>
      <c r="I55" s="32"/>
      <c r="J55" s="33"/>
      <c r="K55" s="33"/>
      <c r="L55" s="33"/>
      <c r="M55" s="33"/>
      <c r="N55" s="33">
        <f>100000*E55</f>
        <v>600000</v>
      </c>
      <c r="O55" s="33"/>
      <c r="P55" s="33"/>
      <c r="Q55" s="33"/>
      <c r="R55" s="33"/>
      <c r="S55" s="33"/>
      <c r="T55" s="33"/>
      <c r="U55" s="33"/>
      <c r="V55" s="33"/>
      <c r="W55" s="33"/>
      <c r="X55" s="355">
        <f>AVERAGE(H55,N55)</f>
        <v>604521</v>
      </c>
      <c r="Y55" s="427">
        <f>SUM(X55:X56)/1</f>
        <v>973681</v>
      </c>
      <c r="Z55" s="421">
        <f>ROUND(Y55,0)</f>
        <v>973681</v>
      </c>
      <c r="AA55" s="421">
        <f>Z55/1</f>
        <v>973681</v>
      </c>
      <c r="AB55" s="454">
        <f>ROUND(AA55,0)</f>
        <v>973681</v>
      </c>
      <c r="AC55" s="456">
        <f>AB55*1</f>
        <v>973681</v>
      </c>
    </row>
    <row r="56" spans="2:29" ht="121.5" customHeight="1" thickBot="1" x14ac:dyDescent="0.3">
      <c r="B56" s="397"/>
      <c r="C56" s="47" t="s">
        <v>113</v>
      </c>
      <c r="D56" s="98" t="s">
        <v>114</v>
      </c>
      <c r="E56" s="49">
        <v>4</v>
      </c>
      <c r="F56" s="146" t="s">
        <v>115</v>
      </c>
      <c r="G56" s="52"/>
      <c r="H56" s="53">
        <f>86870*E56</f>
        <v>347480</v>
      </c>
      <c r="I56" s="54"/>
      <c r="J56" s="55"/>
      <c r="K56" s="55"/>
      <c r="L56" s="55"/>
      <c r="M56" s="55"/>
      <c r="N56" s="55">
        <f>80000*E56</f>
        <v>320000</v>
      </c>
      <c r="O56" s="55"/>
      <c r="P56" s="55"/>
      <c r="Q56" s="55">
        <f>110000*E56</f>
        <v>440000</v>
      </c>
      <c r="R56" s="55"/>
      <c r="S56" s="55"/>
      <c r="T56" s="55"/>
      <c r="U56" s="55"/>
      <c r="V56" s="55"/>
      <c r="W56" s="55"/>
      <c r="X56" s="357">
        <f>AVERAGE(H56,N56,Q56)</f>
        <v>369160</v>
      </c>
      <c r="Y56" s="428"/>
      <c r="Z56" s="460"/>
      <c r="AA56" s="460"/>
      <c r="AB56" s="455"/>
      <c r="AC56" s="457"/>
    </row>
    <row r="57" spans="2:29" ht="69.75" customHeight="1" x14ac:dyDescent="0.25">
      <c r="B57" s="461">
        <v>18</v>
      </c>
      <c r="C57" s="26" t="s">
        <v>386</v>
      </c>
      <c r="D57" s="72" t="s">
        <v>116</v>
      </c>
      <c r="E57" s="28">
        <v>1</v>
      </c>
      <c r="F57" s="29" t="s">
        <v>94</v>
      </c>
      <c r="G57" s="30"/>
      <c r="H57" s="31">
        <f>517650*E57</f>
        <v>517650</v>
      </c>
      <c r="I57" s="32"/>
      <c r="J57" s="33"/>
      <c r="K57" s="58">
        <f>879291*E57</f>
        <v>879291</v>
      </c>
      <c r="L57" s="33">
        <f>550970*E57</f>
        <v>550970</v>
      </c>
      <c r="M57" s="33"/>
      <c r="N57" s="33"/>
      <c r="O57" s="33"/>
      <c r="P57" s="33"/>
      <c r="Q57" s="33">
        <f>220000*E57</f>
        <v>220000</v>
      </c>
      <c r="R57" s="33"/>
      <c r="S57" s="33"/>
      <c r="T57" s="33"/>
      <c r="U57" s="33"/>
      <c r="V57" s="33"/>
      <c r="W57" s="33"/>
      <c r="X57" s="355">
        <f>AVERAGE(H57,Q57,L57)</f>
        <v>429540</v>
      </c>
      <c r="Y57" s="427">
        <f>SUM(X57:X64)/1</f>
        <v>1711607.7666666664</v>
      </c>
      <c r="Z57" s="421">
        <f>ROUND(Y57,0)</f>
        <v>1711608</v>
      </c>
      <c r="AA57" s="421">
        <f>Z57/1</f>
        <v>1711608</v>
      </c>
      <c r="AB57" s="454">
        <f>ROUND(AA57,0)</f>
        <v>1711608</v>
      </c>
      <c r="AC57" s="456">
        <f>AB57*1</f>
        <v>1711608</v>
      </c>
    </row>
    <row r="58" spans="2:29" ht="69.75" customHeight="1" x14ac:dyDescent="0.25">
      <c r="B58" s="462"/>
      <c r="C58" s="35" t="s">
        <v>117</v>
      </c>
      <c r="D58" s="60" t="s">
        <v>116</v>
      </c>
      <c r="E58" s="37">
        <v>1</v>
      </c>
      <c r="F58" s="59" t="s">
        <v>94</v>
      </c>
      <c r="G58" s="40"/>
      <c r="H58" s="41">
        <f>136850*E58</f>
        <v>136850</v>
      </c>
      <c r="I58" s="42"/>
      <c r="J58" s="43"/>
      <c r="K58" s="43">
        <f>272986*E58</f>
        <v>272986</v>
      </c>
      <c r="L58" s="43">
        <f>171360*E58</f>
        <v>171360</v>
      </c>
      <c r="M58" s="43">
        <f>144810*E58</f>
        <v>144810</v>
      </c>
      <c r="N58" s="43"/>
      <c r="O58" s="43"/>
      <c r="P58" s="43"/>
      <c r="Q58" s="43">
        <f t="shared" ref="Q58:Q64" si="2">230000*E58</f>
        <v>230000</v>
      </c>
      <c r="R58" s="43"/>
      <c r="S58" s="43"/>
      <c r="T58" s="43"/>
      <c r="U58" s="43"/>
      <c r="V58" s="43"/>
      <c r="W58" s="43"/>
      <c r="X58" s="356">
        <f>AVERAGE(H58:Q58)</f>
        <v>191201.2</v>
      </c>
      <c r="Y58" s="443"/>
      <c r="Z58" s="444"/>
      <c r="AA58" s="444"/>
      <c r="AB58" s="447"/>
      <c r="AC58" s="430"/>
    </row>
    <row r="59" spans="2:29" ht="69.75" customHeight="1" x14ac:dyDescent="0.25">
      <c r="B59" s="462"/>
      <c r="C59" s="35" t="s">
        <v>118</v>
      </c>
      <c r="D59" s="60" t="s">
        <v>119</v>
      </c>
      <c r="E59" s="37">
        <v>1</v>
      </c>
      <c r="F59" s="59" t="s">
        <v>94</v>
      </c>
      <c r="G59" s="40"/>
      <c r="H59" s="41">
        <f>136850*E59</f>
        <v>136850</v>
      </c>
      <c r="I59" s="42"/>
      <c r="J59" s="43"/>
      <c r="K59" s="43">
        <f>206941*E59</f>
        <v>206941</v>
      </c>
      <c r="L59" s="43">
        <f>129710*E59</f>
        <v>129710</v>
      </c>
      <c r="M59" s="43">
        <f>144810*E59</f>
        <v>144810</v>
      </c>
      <c r="N59" s="43"/>
      <c r="O59" s="43"/>
      <c r="P59" s="43"/>
      <c r="Q59" s="43">
        <f t="shared" si="2"/>
        <v>230000</v>
      </c>
      <c r="R59" s="43"/>
      <c r="S59" s="43"/>
      <c r="T59" s="43"/>
      <c r="U59" s="43"/>
      <c r="V59" s="43"/>
      <c r="W59" s="43"/>
      <c r="X59" s="356">
        <f>AVERAGE(H59:Q59)</f>
        <v>169662.2</v>
      </c>
      <c r="Y59" s="443"/>
      <c r="Z59" s="444"/>
      <c r="AA59" s="444"/>
      <c r="AB59" s="447"/>
      <c r="AC59" s="430"/>
    </row>
    <row r="60" spans="2:29" ht="77.25" customHeight="1" x14ac:dyDescent="0.25">
      <c r="B60" s="462"/>
      <c r="C60" s="35" t="s">
        <v>120</v>
      </c>
      <c r="D60" s="60" t="s">
        <v>116</v>
      </c>
      <c r="E60" s="37">
        <v>1</v>
      </c>
      <c r="F60" s="59" t="s">
        <v>94</v>
      </c>
      <c r="G60" s="40"/>
      <c r="H60" s="147">
        <f>517650*E60</f>
        <v>517650</v>
      </c>
      <c r="I60" s="42"/>
      <c r="J60" s="43"/>
      <c r="K60" s="43">
        <f>206941*E60</f>
        <v>206941</v>
      </c>
      <c r="L60" s="43">
        <f>129710*E60</f>
        <v>129710</v>
      </c>
      <c r="M60" s="74">
        <f>112625*E60</f>
        <v>112625</v>
      </c>
      <c r="N60" s="43"/>
      <c r="O60" s="43"/>
      <c r="P60" s="43"/>
      <c r="Q60" s="43">
        <f t="shared" si="2"/>
        <v>230000</v>
      </c>
      <c r="R60" s="43"/>
      <c r="S60" s="43"/>
      <c r="T60" s="43"/>
      <c r="U60" s="43"/>
      <c r="V60" s="43"/>
      <c r="W60" s="43"/>
      <c r="X60" s="356">
        <f>AVERAGE(K60,L60,Q60)</f>
        <v>188883.66666666666</v>
      </c>
      <c r="Y60" s="443"/>
      <c r="Z60" s="444"/>
      <c r="AA60" s="444"/>
      <c r="AB60" s="447"/>
      <c r="AC60" s="430"/>
    </row>
    <row r="61" spans="2:29" ht="91.5" customHeight="1" x14ac:dyDescent="0.25">
      <c r="B61" s="462"/>
      <c r="C61" s="35" t="s">
        <v>388</v>
      </c>
      <c r="D61" s="60" t="s">
        <v>119</v>
      </c>
      <c r="E61" s="37">
        <v>1</v>
      </c>
      <c r="F61" s="59" t="s">
        <v>94</v>
      </c>
      <c r="G61" s="40"/>
      <c r="H61" s="41">
        <f>136850*E61</f>
        <v>136850</v>
      </c>
      <c r="I61" s="42"/>
      <c r="J61" s="43"/>
      <c r="K61" s="43">
        <f>206941*E61</f>
        <v>206941</v>
      </c>
      <c r="L61" s="43">
        <f>129710*E61</f>
        <v>129710</v>
      </c>
      <c r="M61" s="43"/>
      <c r="N61" s="43"/>
      <c r="O61" s="43"/>
      <c r="P61" s="43"/>
      <c r="Q61" s="43">
        <f t="shared" si="2"/>
        <v>230000</v>
      </c>
      <c r="R61" s="43"/>
      <c r="S61" s="43"/>
      <c r="T61" s="43"/>
      <c r="U61" s="43"/>
      <c r="V61" s="43"/>
      <c r="W61" s="43"/>
      <c r="X61" s="356">
        <f>AVERAGE(H61:Q61)</f>
        <v>175875.25</v>
      </c>
      <c r="Y61" s="443"/>
      <c r="Z61" s="444"/>
      <c r="AA61" s="444"/>
      <c r="AB61" s="447"/>
      <c r="AC61" s="430"/>
    </row>
    <row r="62" spans="2:29" ht="87.75" customHeight="1" x14ac:dyDescent="0.25">
      <c r="B62" s="462"/>
      <c r="C62" s="35" t="s">
        <v>387</v>
      </c>
      <c r="D62" s="60" t="s">
        <v>119</v>
      </c>
      <c r="E62" s="37">
        <v>1</v>
      </c>
      <c r="F62" s="59" t="s">
        <v>94</v>
      </c>
      <c r="G62" s="40"/>
      <c r="H62" s="41">
        <f>136850*E62</f>
        <v>136850</v>
      </c>
      <c r="I62" s="42"/>
      <c r="J62" s="43"/>
      <c r="K62" s="43">
        <f>206941*E62</f>
        <v>206941</v>
      </c>
      <c r="L62" s="43">
        <f>129710*E62</f>
        <v>129710</v>
      </c>
      <c r="M62" s="43">
        <f>128425*E62</f>
        <v>128425</v>
      </c>
      <c r="N62" s="43"/>
      <c r="O62" s="43"/>
      <c r="P62" s="43"/>
      <c r="Q62" s="43">
        <f t="shared" si="2"/>
        <v>230000</v>
      </c>
      <c r="R62" s="43"/>
      <c r="S62" s="43"/>
      <c r="T62" s="43"/>
      <c r="U62" s="43"/>
      <c r="V62" s="43"/>
      <c r="W62" s="43"/>
      <c r="X62" s="356">
        <f>AVERAGE(H62:Q62)</f>
        <v>166385.20000000001</v>
      </c>
      <c r="Y62" s="443"/>
      <c r="Z62" s="444"/>
      <c r="AA62" s="444"/>
      <c r="AB62" s="447"/>
      <c r="AC62" s="430"/>
    </row>
    <row r="63" spans="2:29" ht="75.75" customHeight="1" x14ac:dyDescent="0.25">
      <c r="B63" s="462"/>
      <c r="C63" s="35" t="s">
        <v>121</v>
      </c>
      <c r="D63" s="60" t="s">
        <v>389</v>
      </c>
      <c r="E63" s="37">
        <v>1</v>
      </c>
      <c r="F63" s="38" t="s">
        <v>94</v>
      </c>
      <c r="G63" s="40"/>
      <c r="H63" s="41">
        <f>136850*E63</f>
        <v>136850</v>
      </c>
      <c r="I63" s="42"/>
      <c r="J63" s="43"/>
      <c r="K63" s="44">
        <f>674373*E63</f>
        <v>674373</v>
      </c>
      <c r="L63" s="43"/>
      <c r="M63" s="43">
        <f>276500*E63</f>
        <v>276500</v>
      </c>
      <c r="N63" s="43"/>
      <c r="O63" s="43"/>
      <c r="P63" s="43"/>
      <c r="Q63" s="43">
        <f t="shared" si="2"/>
        <v>230000</v>
      </c>
      <c r="R63" s="43"/>
      <c r="S63" s="43"/>
      <c r="T63" s="43"/>
      <c r="U63" s="43"/>
      <c r="V63" s="43"/>
      <c r="W63" s="43"/>
      <c r="X63" s="356">
        <f>AVERAGE(H63,M63,Q63)</f>
        <v>214450</v>
      </c>
      <c r="Y63" s="443"/>
      <c r="Z63" s="444"/>
      <c r="AA63" s="444"/>
      <c r="AB63" s="447"/>
      <c r="AC63" s="430"/>
    </row>
    <row r="64" spans="2:29" ht="62.25" customHeight="1" thickBot="1" x14ac:dyDescent="0.3">
      <c r="B64" s="463"/>
      <c r="C64" s="47" t="s">
        <v>123</v>
      </c>
      <c r="D64" s="98" t="s">
        <v>389</v>
      </c>
      <c r="E64" s="49">
        <v>1</v>
      </c>
      <c r="F64" s="50" t="s">
        <v>94</v>
      </c>
      <c r="G64" s="52"/>
      <c r="H64" s="53">
        <f>136850*E64</f>
        <v>136850</v>
      </c>
      <c r="I64" s="54"/>
      <c r="J64" s="55"/>
      <c r="K64" s="55">
        <f>206941*E64</f>
        <v>206941</v>
      </c>
      <c r="L64" s="55"/>
      <c r="M64" s="55">
        <f>128650*E64</f>
        <v>128650</v>
      </c>
      <c r="N64" s="55"/>
      <c r="O64" s="55"/>
      <c r="P64" s="55"/>
      <c r="Q64" s="55">
        <f t="shared" si="2"/>
        <v>230000</v>
      </c>
      <c r="R64" s="55"/>
      <c r="S64" s="55"/>
      <c r="T64" s="55"/>
      <c r="U64" s="55"/>
      <c r="V64" s="55"/>
      <c r="W64" s="55"/>
      <c r="X64" s="357">
        <f>AVERAGE(H64:Q64)</f>
        <v>175610.25</v>
      </c>
      <c r="Y64" s="428"/>
      <c r="Z64" s="460"/>
      <c r="AA64" s="460"/>
      <c r="AB64" s="455"/>
      <c r="AC64" s="457"/>
    </row>
    <row r="65" spans="2:29" ht="121.5" customHeight="1" x14ac:dyDescent="0.25">
      <c r="B65" s="387">
        <v>19</v>
      </c>
      <c r="C65" s="26" t="s">
        <v>124</v>
      </c>
      <c r="D65" s="72" t="s">
        <v>44</v>
      </c>
      <c r="E65" s="27">
        <v>2</v>
      </c>
      <c r="F65" s="94" t="s">
        <v>125</v>
      </c>
      <c r="G65" s="96"/>
      <c r="H65" s="96"/>
      <c r="I65" s="96"/>
      <c r="J65" s="33"/>
      <c r="K65" s="33"/>
      <c r="L65" s="33"/>
      <c r="M65" s="33"/>
      <c r="N65" s="33"/>
      <c r="O65" s="33"/>
      <c r="P65" s="33"/>
      <c r="Q65" s="33">
        <f>1175482*E65</f>
        <v>2350964</v>
      </c>
      <c r="R65" s="33"/>
      <c r="S65" s="33"/>
      <c r="T65" s="33"/>
      <c r="U65" s="33"/>
      <c r="V65" s="33"/>
      <c r="W65" s="33"/>
      <c r="X65" s="355">
        <f>AVERAGE(Q65)</f>
        <v>2350964</v>
      </c>
      <c r="Y65" s="418">
        <f>SUM(X65:X68)/1</f>
        <v>8099614</v>
      </c>
      <c r="Z65" s="421">
        <f>ROUND(Y65,0)</f>
        <v>8099614</v>
      </c>
      <c r="AA65" s="421">
        <f>Z65/1</f>
        <v>8099614</v>
      </c>
      <c r="AB65" s="421">
        <f>ROUND(AA65,0)</f>
        <v>8099614</v>
      </c>
      <c r="AC65" s="416">
        <f>AB65*1</f>
        <v>8099614</v>
      </c>
    </row>
    <row r="66" spans="2:29" ht="121.5" customHeight="1" x14ac:dyDescent="0.25">
      <c r="B66" s="388"/>
      <c r="C66" s="35" t="s">
        <v>126</v>
      </c>
      <c r="D66" s="60" t="s">
        <v>104</v>
      </c>
      <c r="E66" s="36">
        <v>5</v>
      </c>
      <c r="F66" s="128" t="s">
        <v>127</v>
      </c>
      <c r="G66" s="106"/>
      <c r="H66" s="108"/>
      <c r="I66" s="108"/>
      <c r="J66" s="43"/>
      <c r="K66" s="44">
        <f>1108723*E66</f>
        <v>5543615</v>
      </c>
      <c r="L66" s="43"/>
      <c r="M66" s="43"/>
      <c r="N66" s="43"/>
      <c r="O66" s="43"/>
      <c r="P66" s="43"/>
      <c r="Q66" s="43">
        <f>912730*E66</f>
        <v>4563650</v>
      </c>
      <c r="R66" s="43"/>
      <c r="S66" s="43"/>
      <c r="T66" s="43"/>
      <c r="U66" s="43"/>
      <c r="V66" s="43"/>
      <c r="W66" s="43"/>
      <c r="X66" s="356">
        <f>AVERAGE(Q66)</f>
        <v>4563650</v>
      </c>
      <c r="Y66" s="419"/>
      <c r="Z66" s="422"/>
      <c r="AA66" s="422"/>
      <c r="AB66" s="422"/>
      <c r="AC66" s="425"/>
    </row>
    <row r="67" spans="2:29" ht="85.5" customHeight="1" x14ac:dyDescent="0.25">
      <c r="B67" s="388"/>
      <c r="C67" s="35" t="s">
        <v>390</v>
      </c>
      <c r="D67" s="36" t="s">
        <v>128</v>
      </c>
      <c r="E67" s="60">
        <v>1</v>
      </c>
      <c r="F67" s="105" t="s">
        <v>35</v>
      </c>
      <c r="G67" s="134"/>
      <c r="H67" s="135"/>
      <c r="I67" s="135"/>
      <c r="J67" s="43"/>
      <c r="K67" s="44">
        <f>1097500*E67</f>
        <v>1097500</v>
      </c>
      <c r="L67" s="43"/>
      <c r="M67" s="43"/>
      <c r="N67" s="43"/>
      <c r="O67" s="43"/>
      <c r="P67" s="43"/>
      <c r="Q67" s="43">
        <f>513000*E67</f>
        <v>513000</v>
      </c>
      <c r="R67" s="43"/>
      <c r="S67" s="43"/>
      <c r="T67" s="43"/>
      <c r="U67" s="43"/>
      <c r="V67" s="43"/>
      <c r="W67" s="43"/>
      <c r="X67" s="356">
        <f>AVERAGE(Q67)</f>
        <v>513000</v>
      </c>
      <c r="Y67" s="419"/>
      <c r="Z67" s="422"/>
      <c r="AA67" s="422"/>
      <c r="AB67" s="422"/>
      <c r="AC67" s="425"/>
    </row>
    <row r="68" spans="2:29" ht="72.75" customHeight="1" thickBot="1" x14ac:dyDescent="0.3">
      <c r="B68" s="389"/>
      <c r="C68" s="47" t="s">
        <v>129</v>
      </c>
      <c r="D68" s="98" t="s">
        <v>122</v>
      </c>
      <c r="E68" s="48">
        <v>1</v>
      </c>
      <c r="F68" s="137" t="s">
        <v>94</v>
      </c>
      <c r="G68" s="138"/>
      <c r="H68" s="109"/>
      <c r="I68" s="109"/>
      <c r="J68" s="55"/>
      <c r="K68" s="55"/>
      <c r="L68" s="55"/>
      <c r="M68" s="55"/>
      <c r="N68" s="55"/>
      <c r="O68" s="55"/>
      <c r="P68" s="55"/>
      <c r="Q68" s="55">
        <f>672000*E68</f>
        <v>672000</v>
      </c>
      <c r="R68" s="55"/>
      <c r="S68" s="55"/>
      <c r="T68" s="55"/>
      <c r="U68" s="55"/>
      <c r="V68" s="55"/>
      <c r="W68" s="55"/>
      <c r="X68" s="357">
        <f>AVERAGE(Q68)</f>
        <v>672000</v>
      </c>
      <c r="Y68" s="420"/>
      <c r="Z68" s="423"/>
      <c r="AA68" s="423"/>
      <c r="AB68" s="423"/>
      <c r="AC68" s="426"/>
    </row>
    <row r="69" spans="2:29" ht="99" customHeight="1" thickBot="1" x14ac:dyDescent="0.3">
      <c r="B69" s="113">
        <v>20</v>
      </c>
      <c r="C69" s="83" t="s">
        <v>130</v>
      </c>
      <c r="D69" s="84" t="s">
        <v>131</v>
      </c>
      <c r="E69" s="85">
        <v>6</v>
      </c>
      <c r="F69" s="114" t="s">
        <v>112</v>
      </c>
      <c r="G69" s="88"/>
      <c r="H69" s="148">
        <f>779450*E69</f>
        <v>4676700</v>
      </c>
      <c r="I69" s="93">
        <f>253470*E69</f>
        <v>1520820</v>
      </c>
      <c r="J69" s="91"/>
      <c r="K69" s="91"/>
      <c r="L69" s="92">
        <f>793730*E69</f>
        <v>4762380</v>
      </c>
      <c r="M69" s="149">
        <f>403172*E69</f>
        <v>2419032</v>
      </c>
      <c r="N69" s="91"/>
      <c r="O69" s="91"/>
      <c r="P69" s="91"/>
      <c r="Q69" s="91">
        <f>496825*E69</f>
        <v>2980950</v>
      </c>
      <c r="R69" s="91"/>
      <c r="S69" s="91"/>
      <c r="T69" s="91"/>
      <c r="U69" s="91"/>
      <c r="V69" s="91"/>
      <c r="W69" s="91"/>
      <c r="X69" s="360">
        <f>AVERAGE(I69,M69,Q69)</f>
        <v>2306934</v>
      </c>
      <c r="Y69" s="243">
        <f>X69/1</f>
        <v>2306934</v>
      </c>
      <c r="Z69" s="142">
        <f>ROUND(Y69,0)</f>
        <v>2306934</v>
      </c>
      <c r="AA69" s="142">
        <f>Z69/E69</f>
        <v>384489</v>
      </c>
      <c r="AB69" s="142">
        <f>ROUND(AA69,0)</f>
        <v>384489</v>
      </c>
      <c r="AC69" s="150">
        <f>AB69*E69</f>
        <v>2306934</v>
      </c>
    </row>
    <row r="70" spans="2:29" ht="121.5" customHeight="1" x14ac:dyDescent="0.25">
      <c r="B70" s="387">
        <v>21</v>
      </c>
      <c r="C70" s="151" t="s">
        <v>132</v>
      </c>
      <c r="D70" s="72" t="s">
        <v>133</v>
      </c>
      <c r="E70" s="28">
        <v>3</v>
      </c>
      <c r="F70" s="73" t="s">
        <v>134</v>
      </c>
      <c r="G70" s="152">
        <f>370209*E70</f>
        <v>1110627</v>
      </c>
      <c r="H70" s="153">
        <f>530740*E70</f>
        <v>1592220</v>
      </c>
      <c r="I70" s="32">
        <f>202300*E70</f>
        <v>606900</v>
      </c>
      <c r="J70" s="33"/>
      <c r="K70" s="33"/>
      <c r="L70" s="58">
        <f>681870*E70</f>
        <v>2045610</v>
      </c>
      <c r="M70" s="154">
        <f>207512*E70</f>
        <v>622536</v>
      </c>
      <c r="N70" s="154"/>
      <c r="O70" s="154"/>
      <c r="P70" s="154"/>
      <c r="Q70" s="155">
        <f>395675*E70</f>
        <v>1187025</v>
      </c>
      <c r="R70" s="154"/>
      <c r="S70" s="154"/>
      <c r="T70" s="154"/>
      <c r="U70" s="154"/>
      <c r="V70" s="154"/>
      <c r="W70" s="154">
        <f>200032*E70</f>
        <v>600096</v>
      </c>
      <c r="X70" s="355">
        <f>AVERAGE(W70,I70,M70)</f>
        <v>609844</v>
      </c>
      <c r="Y70" s="418">
        <f>SUM(X70:X72)/1</f>
        <v>1649304</v>
      </c>
      <c r="Z70" s="421">
        <f>ROUND(Y70,0)</f>
        <v>1649304</v>
      </c>
      <c r="AA70" s="421">
        <f>Z70/1</f>
        <v>1649304</v>
      </c>
      <c r="AB70" s="421">
        <f>ROUND(AA70,0)</f>
        <v>1649304</v>
      </c>
      <c r="AC70" s="416">
        <f>AB70*1</f>
        <v>1649304</v>
      </c>
    </row>
    <row r="71" spans="2:29" ht="121.5" customHeight="1" x14ac:dyDescent="0.25">
      <c r="B71" s="388"/>
      <c r="C71" s="156" t="s">
        <v>135</v>
      </c>
      <c r="D71" s="157" t="s">
        <v>136</v>
      </c>
      <c r="E71" s="158">
        <v>3</v>
      </c>
      <c r="F71" s="159" t="s">
        <v>134</v>
      </c>
      <c r="G71" s="188"/>
      <c r="H71" s="160">
        <f>147560*E71</f>
        <v>442680</v>
      </c>
      <c r="I71" s="161">
        <f>191590*E71</f>
        <v>574770</v>
      </c>
      <c r="J71" s="191"/>
      <c r="K71" s="191"/>
      <c r="L71" s="191"/>
      <c r="M71" s="162">
        <f>232000*E71</f>
        <v>696000</v>
      </c>
      <c r="N71" s="191"/>
      <c r="O71" s="191"/>
      <c r="P71" s="191"/>
      <c r="Q71" s="191"/>
      <c r="R71" s="191"/>
      <c r="S71" s="191"/>
      <c r="T71" s="191"/>
      <c r="U71" s="191"/>
      <c r="V71" s="191"/>
      <c r="W71" s="191"/>
      <c r="X71" s="364">
        <f>AVERAGE(H71:M71)</f>
        <v>571150</v>
      </c>
      <c r="Y71" s="419"/>
      <c r="Z71" s="422"/>
      <c r="AA71" s="422"/>
      <c r="AB71" s="422"/>
      <c r="AC71" s="425"/>
    </row>
    <row r="72" spans="2:29" ht="121.5" customHeight="1" thickBot="1" x14ac:dyDescent="0.3">
      <c r="B72" s="388"/>
      <c r="C72" s="163" t="s">
        <v>137</v>
      </c>
      <c r="D72" s="63" t="s">
        <v>136</v>
      </c>
      <c r="E72" s="64">
        <v>2</v>
      </c>
      <c r="F72" s="65" t="s">
        <v>125</v>
      </c>
      <c r="G72" s="258"/>
      <c r="H72" s="68">
        <f>188020*E72</f>
        <v>376040</v>
      </c>
      <c r="I72" s="69">
        <f>270000*E72</f>
        <v>540000</v>
      </c>
      <c r="J72" s="70"/>
      <c r="K72" s="70"/>
      <c r="L72" s="70"/>
      <c r="M72" s="164">
        <f>290580*E72</f>
        <v>581160</v>
      </c>
      <c r="N72" s="70"/>
      <c r="O72" s="70"/>
      <c r="P72" s="70"/>
      <c r="Q72" s="70">
        <f>188020*E72</f>
        <v>376040</v>
      </c>
      <c r="R72" s="70"/>
      <c r="S72" s="70"/>
      <c r="T72" s="70"/>
      <c r="U72" s="70"/>
      <c r="V72" s="70"/>
      <c r="W72" s="70"/>
      <c r="X72" s="358">
        <f>AVERAGE(H72,I72,M72,Q72)</f>
        <v>468310</v>
      </c>
      <c r="Y72" s="419"/>
      <c r="Z72" s="422"/>
      <c r="AA72" s="422"/>
      <c r="AB72" s="422"/>
      <c r="AC72" s="425"/>
    </row>
    <row r="73" spans="2:29" ht="94.5" customHeight="1" x14ac:dyDescent="0.25">
      <c r="B73" s="398">
        <v>22</v>
      </c>
      <c r="C73" s="26" t="s">
        <v>138</v>
      </c>
      <c r="D73" s="72" t="s">
        <v>139</v>
      </c>
      <c r="E73" s="27">
        <v>1</v>
      </c>
      <c r="F73" s="94" t="s">
        <v>94</v>
      </c>
      <c r="G73" s="95"/>
      <c r="H73" s="96">
        <f>1505350*E73</f>
        <v>1505350</v>
      </c>
      <c r="I73" s="96"/>
      <c r="J73" s="33">
        <f>1424073*E73</f>
        <v>1424073</v>
      </c>
      <c r="K73" s="33">
        <f>1129905*E73</f>
        <v>1129905</v>
      </c>
      <c r="L73" s="33"/>
      <c r="M73" s="33"/>
      <c r="N73" s="33"/>
      <c r="O73" s="33"/>
      <c r="P73" s="33"/>
      <c r="Q73" s="33"/>
      <c r="R73" s="33"/>
      <c r="S73" s="33"/>
      <c r="T73" s="33"/>
      <c r="U73" s="33"/>
      <c r="V73" s="33"/>
      <c r="W73" s="33"/>
      <c r="X73" s="355">
        <f>AVERAGE(H73,J73,K73)</f>
        <v>1353109.3333333333</v>
      </c>
      <c r="Y73" s="427">
        <f>SUM(X73:X74)/1</f>
        <v>1999081</v>
      </c>
      <c r="Z73" s="454">
        <f>ROUND(Y73,0)</f>
        <v>1999081</v>
      </c>
      <c r="AA73" s="454">
        <f>Z73/1</f>
        <v>1999081</v>
      </c>
      <c r="AB73" s="454">
        <f>ROUND(AA73,0)</f>
        <v>1999081</v>
      </c>
      <c r="AC73" s="456">
        <f>AB73*1</f>
        <v>1999081</v>
      </c>
    </row>
    <row r="74" spans="2:29" ht="93.75" customHeight="1" thickBot="1" x14ac:dyDescent="0.3">
      <c r="B74" s="415"/>
      <c r="C74" s="62" t="s">
        <v>140</v>
      </c>
      <c r="D74" s="195" t="s">
        <v>141</v>
      </c>
      <c r="E74" s="195">
        <v>1</v>
      </c>
      <c r="F74" s="221" t="s">
        <v>94</v>
      </c>
      <c r="G74" s="222"/>
      <c r="H74" s="223">
        <f>902020*E74</f>
        <v>902020</v>
      </c>
      <c r="I74" s="223">
        <f>498610*E74</f>
        <v>498610</v>
      </c>
      <c r="J74" s="70">
        <f>537285*E74</f>
        <v>537285</v>
      </c>
      <c r="K74" s="71">
        <f>1679756*E74</f>
        <v>1679756</v>
      </c>
      <c r="L74" s="70"/>
      <c r="M74" s="70"/>
      <c r="N74" s="70"/>
      <c r="O74" s="70"/>
      <c r="P74" s="70"/>
      <c r="Q74" s="71">
        <f>1194760*E74</f>
        <v>1194760</v>
      </c>
      <c r="R74" s="70"/>
      <c r="S74" s="70"/>
      <c r="T74" s="70"/>
      <c r="U74" s="70"/>
      <c r="V74" s="70"/>
      <c r="W74" s="70"/>
      <c r="X74" s="358">
        <f>AVERAGE(H74:J74)</f>
        <v>645971.66666666663</v>
      </c>
      <c r="Y74" s="459"/>
      <c r="Z74" s="449"/>
      <c r="AA74" s="449"/>
      <c r="AB74" s="449"/>
      <c r="AC74" s="464"/>
    </row>
    <row r="75" spans="2:29" ht="84" customHeight="1" thickBot="1" x14ac:dyDescent="0.3">
      <c r="B75" s="277">
        <v>23</v>
      </c>
      <c r="C75" s="181" t="s">
        <v>142</v>
      </c>
      <c r="D75" s="314" t="s">
        <v>143</v>
      </c>
      <c r="E75" s="315">
        <v>4</v>
      </c>
      <c r="F75" s="310" t="s">
        <v>144</v>
      </c>
      <c r="G75" s="103"/>
      <c r="H75" s="285"/>
      <c r="I75" s="285"/>
      <c r="J75" s="103"/>
      <c r="K75" s="103"/>
      <c r="L75" s="334"/>
      <c r="M75" s="103"/>
      <c r="N75" s="103"/>
      <c r="O75" s="103"/>
      <c r="P75" s="103"/>
      <c r="Q75" s="103"/>
      <c r="R75" s="103"/>
      <c r="S75" s="103">
        <f>2301341*E75</f>
        <v>9205364</v>
      </c>
      <c r="T75" s="103"/>
      <c r="U75" s="103"/>
      <c r="V75" s="103"/>
      <c r="W75" s="103"/>
      <c r="X75" s="365">
        <f>AVERAGE(S75)</f>
        <v>9205364</v>
      </c>
      <c r="Y75" s="352">
        <f>X75/1</f>
        <v>9205364</v>
      </c>
      <c r="Z75" s="287">
        <f t="shared" ref="Z75:Z80" si="3">ROUND(Y75,0)</f>
        <v>9205364</v>
      </c>
      <c r="AA75" s="281">
        <f>Z75/E75</f>
        <v>2301341</v>
      </c>
      <c r="AB75" s="279">
        <f t="shared" ref="AB75:AB80" si="4">ROUND(AA75,0)</f>
        <v>2301341</v>
      </c>
      <c r="AC75" s="287">
        <f>AB75*E75</f>
        <v>9205364</v>
      </c>
    </row>
    <row r="76" spans="2:29" ht="148.5" customHeight="1" thickBot="1" x14ac:dyDescent="0.3">
      <c r="B76" s="113">
        <v>24</v>
      </c>
      <c r="C76" s="83" t="s">
        <v>145</v>
      </c>
      <c r="D76" s="84" t="s">
        <v>44</v>
      </c>
      <c r="E76" s="84">
        <v>8</v>
      </c>
      <c r="F76" s="140" t="s">
        <v>146</v>
      </c>
      <c r="G76" s="168"/>
      <c r="H76" s="141">
        <f>716380*E76</f>
        <v>5731040</v>
      </c>
      <c r="I76" s="141">
        <f>1003170*E76</f>
        <v>8025360</v>
      </c>
      <c r="J76" s="92">
        <f>828240*16</f>
        <v>13251840</v>
      </c>
      <c r="K76" s="92">
        <f>2112868.75*E76</f>
        <v>16902950</v>
      </c>
      <c r="L76" s="91"/>
      <c r="M76" s="91"/>
      <c r="N76" s="91"/>
      <c r="O76" s="91"/>
      <c r="P76" s="91"/>
      <c r="Q76" s="91">
        <f>790160*E76</f>
        <v>6321280</v>
      </c>
      <c r="R76" s="91"/>
      <c r="S76" s="91"/>
      <c r="T76" s="91"/>
      <c r="U76" s="91"/>
      <c r="V76" s="91"/>
      <c r="W76" s="91"/>
      <c r="X76" s="360">
        <f>AVERAGE(H76,I76,Q76)</f>
        <v>6692560</v>
      </c>
      <c r="Y76" s="243">
        <f>X76/1</f>
        <v>6692560</v>
      </c>
      <c r="Z76" s="142">
        <f t="shared" si="3"/>
        <v>6692560</v>
      </c>
      <c r="AA76" s="142">
        <f>Z76/E76</f>
        <v>836570</v>
      </c>
      <c r="AB76" s="142">
        <f t="shared" si="4"/>
        <v>836570</v>
      </c>
      <c r="AC76" s="150">
        <f>AB76*E76</f>
        <v>6692560</v>
      </c>
    </row>
    <row r="77" spans="2:29" ht="111.75" customHeight="1" thickBot="1" x14ac:dyDescent="0.3">
      <c r="B77" s="296">
        <v>25</v>
      </c>
      <c r="C77" s="75" t="s">
        <v>147</v>
      </c>
      <c r="D77" s="76" t="s">
        <v>148</v>
      </c>
      <c r="E77" s="77">
        <v>1</v>
      </c>
      <c r="F77" s="78" t="s">
        <v>94</v>
      </c>
      <c r="G77" s="79"/>
      <c r="H77" s="203">
        <f>698530*E77</f>
        <v>698530</v>
      </c>
      <c r="I77" s="178"/>
      <c r="J77" s="80"/>
      <c r="K77" s="80">
        <f>977466*E77</f>
        <v>977466</v>
      </c>
      <c r="L77" s="80"/>
      <c r="M77" s="80"/>
      <c r="N77" s="80"/>
      <c r="O77" s="80"/>
      <c r="P77" s="80"/>
      <c r="Q77" s="81">
        <f>2652510*E77</f>
        <v>2652510</v>
      </c>
      <c r="R77" s="80"/>
      <c r="S77" s="80"/>
      <c r="T77" s="80"/>
      <c r="U77" s="80"/>
      <c r="V77" s="80"/>
      <c r="W77" s="80"/>
      <c r="X77" s="366">
        <f>AVERAGE(H77,K77)</f>
        <v>837998</v>
      </c>
      <c r="Y77" s="351">
        <f>X77/1</f>
        <v>837998</v>
      </c>
      <c r="Z77" s="280">
        <f t="shared" si="3"/>
        <v>837998</v>
      </c>
      <c r="AA77" s="280">
        <f>Z77/E77</f>
        <v>837998</v>
      </c>
      <c r="AB77" s="280">
        <f t="shared" si="4"/>
        <v>837998</v>
      </c>
      <c r="AC77" s="289">
        <f>AB77*E77</f>
        <v>837998</v>
      </c>
    </row>
    <row r="78" spans="2:29" ht="121.5" customHeight="1" thickBot="1" x14ac:dyDescent="0.3">
      <c r="B78" s="295">
        <v>26</v>
      </c>
      <c r="C78" s="169" t="s">
        <v>149</v>
      </c>
      <c r="D78" s="170" t="s">
        <v>136</v>
      </c>
      <c r="E78" s="171">
        <v>7</v>
      </c>
      <c r="F78" s="129" t="s">
        <v>150</v>
      </c>
      <c r="G78" s="130"/>
      <c r="H78" s="173"/>
      <c r="I78" s="174">
        <f>196350*E78</f>
        <v>1374450</v>
      </c>
      <c r="J78" s="175"/>
      <c r="K78" s="175"/>
      <c r="L78" s="175"/>
      <c r="M78" s="175"/>
      <c r="N78" s="175"/>
      <c r="O78" s="175"/>
      <c r="P78" s="175"/>
      <c r="Q78" s="175"/>
      <c r="R78" s="175"/>
      <c r="S78" s="175"/>
      <c r="T78" s="175"/>
      <c r="U78" s="175"/>
      <c r="V78" s="175"/>
      <c r="W78" s="175">
        <f>143580.864*E78</f>
        <v>1005066.048</v>
      </c>
      <c r="X78" s="361">
        <f>AVERAGE(I78,W78)</f>
        <v>1189758.024</v>
      </c>
      <c r="Y78" s="350">
        <f>X78/1</f>
        <v>1189758.024</v>
      </c>
      <c r="Z78" s="283">
        <f t="shared" si="3"/>
        <v>1189758</v>
      </c>
      <c r="AA78" s="283">
        <f>Z78/E78</f>
        <v>169965.42857142858</v>
      </c>
      <c r="AB78" s="283">
        <f t="shared" si="4"/>
        <v>169965</v>
      </c>
      <c r="AC78" s="288">
        <f>AB78*E78</f>
        <v>1189755</v>
      </c>
    </row>
    <row r="79" spans="2:29" ht="108" customHeight="1" thickBot="1" x14ac:dyDescent="0.3">
      <c r="B79" s="177">
        <v>27</v>
      </c>
      <c r="C79" s="83" t="s">
        <v>151</v>
      </c>
      <c r="D79" s="139" t="s">
        <v>152</v>
      </c>
      <c r="E79" s="85">
        <v>6</v>
      </c>
      <c r="F79" s="114" t="s">
        <v>153</v>
      </c>
      <c r="G79" s="88"/>
      <c r="H79" s="148">
        <f>343910*E79</f>
        <v>2063460</v>
      </c>
      <c r="I79" s="93"/>
      <c r="J79" s="91"/>
      <c r="K79" s="91">
        <f>250614*E79</f>
        <v>1503684</v>
      </c>
      <c r="L79" s="91">
        <f>214200*E79</f>
        <v>1285200</v>
      </c>
      <c r="M79" s="91"/>
      <c r="N79" s="91"/>
      <c r="O79" s="91"/>
      <c r="P79" s="91"/>
      <c r="Q79" s="91"/>
      <c r="R79" s="91"/>
      <c r="S79" s="91"/>
      <c r="T79" s="91"/>
      <c r="U79" s="91"/>
      <c r="V79" s="91"/>
      <c r="W79" s="91"/>
      <c r="X79" s="360">
        <f>AVERAGE(K79:L79)</f>
        <v>1394442</v>
      </c>
      <c r="Y79" s="243">
        <f>X79/1</f>
        <v>1394442</v>
      </c>
      <c r="Z79" s="142">
        <f t="shared" si="3"/>
        <v>1394442</v>
      </c>
      <c r="AA79" s="142">
        <f>Z79/E79</f>
        <v>232407</v>
      </c>
      <c r="AB79" s="142">
        <f t="shared" si="4"/>
        <v>232407</v>
      </c>
      <c r="AC79" s="150">
        <f>AB79*E79</f>
        <v>1394442</v>
      </c>
    </row>
    <row r="80" spans="2:29" ht="69.75" customHeight="1" x14ac:dyDescent="0.25">
      <c r="B80" s="395">
        <v>28</v>
      </c>
      <c r="C80" s="26" t="s">
        <v>154</v>
      </c>
      <c r="D80" s="27" t="s">
        <v>155</v>
      </c>
      <c r="E80" s="28">
        <v>1</v>
      </c>
      <c r="F80" s="29" t="s">
        <v>156</v>
      </c>
      <c r="G80" s="31">
        <f>505000*E80</f>
        <v>505000</v>
      </c>
      <c r="H80" s="31"/>
      <c r="I80" s="32">
        <f>700000*E80</f>
        <v>700000</v>
      </c>
      <c r="J80" s="33"/>
      <c r="K80" s="33"/>
      <c r="L80" s="179"/>
      <c r="M80" s="33">
        <f>419750*E80</f>
        <v>419750</v>
      </c>
      <c r="N80" s="33"/>
      <c r="O80" s="33"/>
      <c r="P80" s="33"/>
      <c r="Q80" s="33"/>
      <c r="R80" s="33"/>
      <c r="S80" s="33"/>
      <c r="T80" s="33"/>
      <c r="U80" s="33"/>
      <c r="V80" s="33"/>
      <c r="W80" s="33"/>
      <c r="X80" s="355">
        <f>AVERAGE(G80,M80,I80)</f>
        <v>541583.33333333337</v>
      </c>
      <c r="Y80" s="427">
        <f>SUM(X80:X86)/1</f>
        <v>55436759.166666664</v>
      </c>
      <c r="Z80" s="421">
        <f t="shared" si="3"/>
        <v>55436759</v>
      </c>
      <c r="AA80" s="421">
        <f>Z80/1</f>
        <v>55436759</v>
      </c>
      <c r="AB80" s="454">
        <f t="shared" si="4"/>
        <v>55436759</v>
      </c>
      <c r="AC80" s="456">
        <f>AB80*1</f>
        <v>55436759</v>
      </c>
    </row>
    <row r="81" spans="2:29" ht="91.5" customHeight="1" x14ac:dyDescent="0.25">
      <c r="B81" s="396"/>
      <c r="C81" s="35" t="s">
        <v>157</v>
      </c>
      <c r="D81" s="36" t="s">
        <v>158</v>
      </c>
      <c r="E81" s="37">
        <v>1</v>
      </c>
      <c r="F81" s="38" t="s">
        <v>156</v>
      </c>
      <c r="G81" s="40"/>
      <c r="H81" s="41"/>
      <c r="I81" s="42">
        <f>700000*E81</f>
        <v>700000</v>
      </c>
      <c r="J81" s="43"/>
      <c r="K81" s="43"/>
      <c r="L81" s="43"/>
      <c r="M81" s="43">
        <f>317710*E81</f>
        <v>317710</v>
      </c>
      <c r="N81" s="43"/>
      <c r="O81" s="43"/>
      <c r="P81" s="43"/>
      <c r="Q81" s="43"/>
      <c r="R81" s="43"/>
      <c r="S81" s="43"/>
      <c r="T81" s="43"/>
      <c r="U81" s="43"/>
      <c r="V81" s="43"/>
      <c r="W81" s="43"/>
      <c r="X81" s="356">
        <f>AVERAGE(I81,M81)</f>
        <v>508855</v>
      </c>
      <c r="Y81" s="443"/>
      <c r="Z81" s="444"/>
      <c r="AA81" s="444"/>
      <c r="AB81" s="447"/>
      <c r="AC81" s="430"/>
    </row>
    <row r="82" spans="2:29" ht="121.5" customHeight="1" x14ac:dyDescent="0.25">
      <c r="B82" s="396"/>
      <c r="C82" s="35" t="s">
        <v>159</v>
      </c>
      <c r="D82" s="60" t="s">
        <v>160</v>
      </c>
      <c r="E82" s="37">
        <v>20</v>
      </c>
      <c r="F82" s="38" t="s">
        <v>161</v>
      </c>
      <c r="G82" s="40">
        <f>41524*600</f>
        <v>24914400</v>
      </c>
      <c r="H82" s="41"/>
      <c r="I82" s="42">
        <f>1200000*E82</f>
        <v>24000000</v>
      </c>
      <c r="J82" s="43"/>
      <c r="K82" s="43"/>
      <c r="L82" s="43"/>
      <c r="M82" s="43">
        <f>878950*24</f>
        <v>21094800</v>
      </c>
      <c r="N82" s="43"/>
      <c r="O82" s="43"/>
      <c r="P82" s="43">
        <f>285000*60</f>
        <v>17100000</v>
      </c>
      <c r="Q82" s="43"/>
      <c r="R82" s="43"/>
      <c r="S82" s="43"/>
      <c r="T82" s="43"/>
      <c r="U82" s="43"/>
      <c r="V82" s="43"/>
      <c r="W82" s="43"/>
      <c r="X82" s="356">
        <f>AVERAGE(G82,I82,M82,P82)</f>
        <v>21777300</v>
      </c>
      <c r="Y82" s="443"/>
      <c r="Z82" s="444"/>
      <c r="AA82" s="444"/>
      <c r="AB82" s="447"/>
      <c r="AC82" s="430"/>
    </row>
    <row r="83" spans="2:29" ht="121.5" customHeight="1" x14ac:dyDescent="0.25">
      <c r="B83" s="396"/>
      <c r="C83" s="35" t="s">
        <v>162</v>
      </c>
      <c r="D83" s="60" t="s">
        <v>163</v>
      </c>
      <c r="E83" s="37">
        <v>10</v>
      </c>
      <c r="F83" s="59" t="s">
        <v>164</v>
      </c>
      <c r="G83" s="40"/>
      <c r="H83" s="41"/>
      <c r="I83" s="42">
        <f>195000*E83</f>
        <v>1950000</v>
      </c>
      <c r="J83" s="43"/>
      <c r="K83" s="43"/>
      <c r="L83" s="43"/>
      <c r="M83" s="43">
        <f>186420*E83</f>
        <v>1864200</v>
      </c>
      <c r="N83" s="43"/>
      <c r="O83" s="43"/>
      <c r="P83" s="43"/>
      <c r="Q83" s="43"/>
      <c r="R83" s="43"/>
      <c r="S83" s="43"/>
      <c r="T83" s="43"/>
      <c r="U83" s="43"/>
      <c r="V83" s="43"/>
      <c r="W83" s="43"/>
      <c r="X83" s="356">
        <f>AVERAGE(I83,M83)</f>
        <v>1907100</v>
      </c>
      <c r="Y83" s="443"/>
      <c r="Z83" s="444"/>
      <c r="AA83" s="444"/>
      <c r="AB83" s="447"/>
      <c r="AC83" s="430"/>
    </row>
    <row r="84" spans="2:29" ht="121.5" customHeight="1" x14ac:dyDescent="0.25">
      <c r="B84" s="396"/>
      <c r="C84" s="35" t="s">
        <v>165</v>
      </c>
      <c r="D84" s="60" t="s">
        <v>166</v>
      </c>
      <c r="E84" s="37">
        <v>10</v>
      </c>
      <c r="F84" s="59" t="s">
        <v>164</v>
      </c>
      <c r="G84" s="40"/>
      <c r="H84" s="41"/>
      <c r="I84" s="42">
        <f>240000*E84</f>
        <v>2400000</v>
      </c>
      <c r="J84" s="43"/>
      <c r="K84" s="43"/>
      <c r="L84" s="43"/>
      <c r="M84" s="43">
        <f>193570*E84</f>
        <v>1935700</v>
      </c>
      <c r="N84" s="43"/>
      <c r="O84" s="43"/>
      <c r="P84" s="43">
        <f>190000*12</f>
        <v>2280000</v>
      </c>
      <c r="Q84" s="43"/>
      <c r="R84" s="43"/>
      <c r="S84" s="43"/>
      <c r="T84" s="43"/>
      <c r="U84" s="43"/>
      <c r="V84" s="43"/>
      <c r="W84" s="43"/>
      <c r="X84" s="356">
        <f>AVERAGE(I84,M84,P84)</f>
        <v>2205233.3333333335</v>
      </c>
      <c r="Y84" s="443"/>
      <c r="Z84" s="444"/>
      <c r="AA84" s="444"/>
      <c r="AB84" s="447"/>
      <c r="AC84" s="430"/>
    </row>
    <row r="85" spans="2:29" ht="121.5" customHeight="1" x14ac:dyDescent="0.25">
      <c r="B85" s="396"/>
      <c r="C85" s="35" t="s">
        <v>167</v>
      </c>
      <c r="D85" s="60" t="s">
        <v>168</v>
      </c>
      <c r="E85" s="37">
        <v>30</v>
      </c>
      <c r="F85" s="59" t="s">
        <v>169</v>
      </c>
      <c r="G85" s="40"/>
      <c r="H85" s="41"/>
      <c r="I85" s="42">
        <f>500000*E85</f>
        <v>15000000</v>
      </c>
      <c r="J85" s="43"/>
      <c r="K85" s="43"/>
      <c r="L85" s="43"/>
      <c r="M85" s="43">
        <f>231975*45</f>
        <v>10438875</v>
      </c>
      <c r="N85" s="43"/>
      <c r="O85" s="43"/>
      <c r="P85" s="43"/>
      <c r="Q85" s="43"/>
      <c r="R85" s="43"/>
      <c r="S85" s="43"/>
      <c r="T85" s="43"/>
      <c r="U85" s="43"/>
      <c r="V85" s="43"/>
      <c r="W85" s="43"/>
      <c r="X85" s="356">
        <f>AVERAGE(I85,M85)</f>
        <v>12719437.5</v>
      </c>
      <c r="Y85" s="443"/>
      <c r="Z85" s="444"/>
      <c r="AA85" s="444"/>
      <c r="AB85" s="447"/>
      <c r="AC85" s="430"/>
    </row>
    <row r="86" spans="2:29" ht="96.75" customHeight="1" thickBot="1" x14ac:dyDescent="0.3">
      <c r="B86" s="397"/>
      <c r="C86" s="47" t="s">
        <v>170</v>
      </c>
      <c r="D86" s="98" t="s">
        <v>171</v>
      </c>
      <c r="E86" s="49">
        <v>50</v>
      </c>
      <c r="F86" s="146" t="s">
        <v>172</v>
      </c>
      <c r="G86" s="52"/>
      <c r="H86" s="53"/>
      <c r="I86" s="54">
        <f>400000*42</f>
        <v>16800000</v>
      </c>
      <c r="J86" s="55"/>
      <c r="K86" s="55"/>
      <c r="L86" s="55"/>
      <c r="M86" s="55">
        <f>295090*E86</f>
        <v>14754500</v>
      </c>
      <c r="N86" s="55"/>
      <c r="O86" s="55"/>
      <c r="P86" s="55"/>
      <c r="Q86" s="55"/>
      <c r="R86" s="55"/>
      <c r="S86" s="55"/>
      <c r="T86" s="55"/>
      <c r="U86" s="55"/>
      <c r="V86" s="55"/>
      <c r="W86" s="55"/>
      <c r="X86" s="357">
        <f>AVERAGE(I86,M86)</f>
        <v>15777250</v>
      </c>
      <c r="Y86" s="428"/>
      <c r="Z86" s="460"/>
      <c r="AA86" s="460"/>
      <c r="AB86" s="455"/>
      <c r="AC86" s="457"/>
    </row>
    <row r="87" spans="2:29" ht="52.5" customHeight="1" thickBot="1" x14ac:dyDescent="0.3">
      <c r="B87" s="294">
        <v>29</v>
      </c>
      <c r="C87" s="309" t="s">
        <v>173</v>
      </c>
      <c r="D87" s="102" t="s">
        <v>56</v>
      </c>
      <c r="E87" s="182">
        <v>1</v>
      </c>
      <c r="F87" s="183" t="s">
        <v>156</v>
      </c>
      <c r="G87" s="260"/>
      <c r="H87" s="184">
        <f>2579920*E87</f>
        <v>2579920</v>
      </c>
      <c r="I87" s="185"/>
      <c r="J87" s="103">
        <f>2313723*E87</f>
        <v>2313723</v>
      </c>
      <c r="K87" s="186">
        <f>14929740*E87</f>
        <v>14929740</v>
      </c>
      <c r="L87" s="103"/>
      <c r="M87" s="103"/>
      <c r="N87" s="103"/>
      <c r="O87" s="103"/>
      <c r="P87" s="103"/>
      <c r="Q87" s="103"/>
      <c r="R87" s="103"/>
      <c r="S87" s="103"/>
      <c r="T87" s="103"/>
      <c r="U87" s="103"/>
      <c r="V87" s="103"/>
      <c r="W87" s="103"/>
      <c r="X87" s="365">
        <f>AVERAGE(H87,J87)</f>
        <v>2446821.5</v>
      </c>
      <c r="Y87" s="352">
        <f>X87/1</f>
        <v>2446821.5</v>
      </c>
      <c r="Z87" s="279">
        <f>ROUND(Y87,0)</f>
        <v>2446822</v>
      </c>
      <c r="AA87" s="281">
        <f>Z87/E87</f>
        <v>2446822</v>
      </c>
      <c r="AB87" s="279">
        <f>ROUND(AA87,0)</f>
        <v>2446822</v>
      </c>
      <c r="AC87" s="287">
        <f>AB87*E87</f>
        <v>2446822</v>
      </c>
    </row>
    <row r="88" spans="2:29" ht="52.5" customHeight="1" thickBot="1" x14ac:dyDescent="0.3">
      <c r="B88" s="177">
        <v>30</v>
      </c>
      <c r="C88" s="83" t="s">
        <v>174</v>
      </c>
      <c r="D88" s="84" t="s">
        <v>175</v>
      </c>
      <c r="E88" s="85">
        <v>1</v>
      </c>
      <c r="F88" s="86" t="s">
        <v>156</v>
      </c>
      <c r="G88" s="88"/>
      <c r="H88" s="89"/>
      <c r="I88" s="93"/>
      <c r="J88" s="91"/>
      <c r="K88" s="91">
        <f>293000*E88</f>
        <v>293000</v>
      </c>
      <c r="L88" s="91"/>
      <c r="M88" s="91"/>
      <c r="N88" s="91"/>
      <c r="O88" s="91">
        <f>928200*E88</f>
        <v>928200</v>
      </c>
      <c r="P88" s="91"/>
      <c r="Q88" s="91"/>
      <c r="R88" s="91"/>
      <c r="S88" s="91"/>
      <c r="T88" s="91"/>
      <c r="U88" s="91"/>
      <c r="V88" s="91"/>
      <c r="W88" s="91"/>
      <c r="X88" s="360">
        <f>AVERAGE(O88,K88)</f>
        <v>610600</v>
      </c>
      <c r="Y88" s="243">
        <f>X88/1</f>
        <v>610600</v>
      </c>
      <c r="Z88" s="142">
        <f>ROUND(Y88,0)</f>
        <v>610600</v>
      </c>
      <c r="AA88" s="118">
        <f>Z88/E88</f>
        <v>610600</v>
      </c>
      <c r="AB88" s="142">
        <f>ROUND(AA88,0)</f>
        <v>610600</v>
      </c>
      <c r="AC88" s="150">
        <f>AB88*E88</f>
        <v>610600</v>
      </c>
    </row>
    <row r="89" spans="2:29" ht="52.5" customHeight="1" thickBot="1" x14ac:dyDescent="0.3">
      <c r="B89" s="295">
        <v>31</v>
      </c>
      <c r="C89" s="169" t="s">
        <v>176</v>
      </c>
      <c r="D89" s="170" t="s">
        <v>177</v>
      </c>
      <c r="E89" s="171">
        <v>1</v>
      </c>
      <c r="F89" s="172" t="s">
        <v>156</v>
      </c>
      <c r="G89" s="130"/>
      <c r="H89" s="173">
        <f>199920*E89</f>
        <v>199920</v>
      </c>
      <c r="I89" s="174"/>
      <c r="J89" s="175"/>
      <c r="K89" s="175">
        <f>112000*E89</f>
        <v>112000</v>
      </c>
      <c r="L89" s="175"/>
      <c r="M89" s="175"/>
      <c r="N89" s="175"/>
      <c r="O89" s="176">
        <f>546210*E89</f>
        <v>546210</v>
      </c>
      <c r="P89" s="175"/>
      <c r="Q89" s="175"/>
      <c r="R89" s="175"/>
      <c r="S89" s="175"/>
      <c r="T89" s="175"/>
      <c r="U89" s="175"/>
      <c r="V89" s="175"/>
      <c r="W89" s="175"/>
      <c r="X89" s="361">
        <f>AVERAGE(H89,K89)</f>
        <v>155960</v>
      </c>
      <c r="Y89" s="350">
        <f>X89/1</f>
        <v>155960</v>
      </c>
      <c r="Z89" s="283">
        <f>ROUND(Y89,0)</f>
        <v>155960</v>
      </c>
      <c r="AA89" s="284">
        <f>Z89/E89</f>
        <v>155960</v>
      </c>
      <c r="AB89" s="283">
        <f>ROUND(AA89,0)</f>
        <v>155960</v>
      </c>
      <c r="AC89" s="288">
        <f>AB89*E89</f>
        <v>155960</v>
      </c>
    </row>
    <row r="90" spans="2:29" ht="90" customHeight="1" x14ac:dyDescent="0.25">
      <c r="B90" s="398">
        <v>32</v>
      </c>
      <c r="C90" s="94" t="s">
        <v>393</v>
      </c>
      <c r="D90" s="27" t="s">
        <v>178</v>
      </c>
      <c r="E90" s="27">
        <v>7</v>
      </c>
      <c r="F90" s="104" t="s">
        <v>179</v>
      </c>
      <c r="G90" s="95">
        <f>155600*E90</f>
        <v>1089200</v>
      </c>
      <c r="H90" s="96"/>
      <c r="I90" s="96"/>
      <c r="J90" s="33"/>
      <c r="K90" s="33"/>
      <c r="L90" s="33"/>
      <c r="M90" s="33"/>
      <c r="N90" s="33"/>
      <c r="O90" s="33"/>
      <c r="P90" s="33"/>
      <c r="Q90" s="33"/>
      <c r="R90" s="33"/>
      <c r="S90" s="33"/>
      <c r="T90" s="33"/>
      <c r="U90" s="33"/>
      <c r="V90" s="33"/>
      <c r="W90" s="33"/>
      <c r="X90" s="355">
        <f>AVERAGE(G90)</f>
        <v>1089200</v>
      </c>
      <c r="Y90" s="418">
        <f>SUM(X90:X91)/1</f>
        <v>7650200</v>
      </c>
      <c r="Z90" s="421">
        <f>ROUND(Y90,0)</f>
        <v>7650200</v>
      </c>
      <c r="AA90" s="421">
        <f>Z90/1</f>
        <v>7650200</v>
      </c>
      <c r="AB90" s="421">
        <f>ROUND(AA90,0)</f>
        <v>7650200</v>
      </c>
      <c r="AC90" s="416">
        <f>AB90*1</f>
        <v>7650200</v>
      </c>
    </row>
    <row r="91" spans="2:29" ht="105.75" customHeight="1" thickBot="1" x14ac:dyDescent="0.3">
      <c r="B91" s="415"/>
      <c r="C91" s="62" t="s">
        <v>180</v>
      </c>
      <c r="D91" s="63" t="s">
        <v>181</v>
      </c>
      <c r="E91" s="291">
        <v>3</v>
      </c>
      <c r="F91" s="221" t="s">
        <v>134</v>
      </c>
      <c r="G91" s="164">
        <f>2187000*E91</f>
        <v>6561000</v>
      </c>
      <c r="H91" s="164"/>
      <c r="I91" s="164"/>
      <c r="J91" s="70"/>
      <c r="K91" s="71">
        <f>4683400*E91</f>
        <v>14050200</v>
      </c>
      <c r="L91" s="70"/>
      <c r="M91" s="335">
        <f>3280140*E91</f>
        <v>9840420</v>
      </c>
      <c r="N91" s="164"/>
      <c r="O91" s="164"/>
      <c r="P91" s="164"/>
      <c r="Q91" s="164"/>
      <c r="R91" s="164"/>
      <c r="S91" s="164"/>
      <c r="T91" s="164"/>
      <c r="U91" s="164"/>
      <c r="V91" s="164"/>
      <c r="W91" s="164"/>
      <c r="X91" s="358">
        <f>AVERAGE(G91)</f>
        <v>6561000</v>
      </c>
      <c r="Y91" s="419"/>
      <c r="Z91" s="422"/>
      <c r="AA91" s="422"/>
      <c r="AB91" s="422"/>
      <c r="AC91" s="425"/>
    </row>
    <row r="92" spans="2:29" ht="121.5" customHeight="1" thickBot="1" x14ac:dyDescent="0.3">
      <c r="B92" s="113">
        <v>33</v>
      </c>
      <c r="C92" s="83" t="s">
        <v>182</v>
      </c>
      <c r="D92" s="84" t="s">
        <v>183</v>
      </c>
      <c r="E92" s="84">
        <v>50</v>
      </c>
      <c r="F92" s="140" t="s">
        <v>184</v>
      </c>
      <c r="G92" s="141"/>
      <c r="H92" s="141"/>
      <c r="I92" s="141"/>
      <c r="J92" s="91">
        <f>547281*E92</f>
        <v>27364050</v>
      </c>
      <c r="K92" s="91"/>
      <c r="L92" s="91"/>
      <c r="M92" s="91"/>
      <c r="N92" s="91"/>
      <c r="O92" s="92">
        <f>685440*E92</f>
        <v>34272000</v>
      </c>
      <c r="P92" s="91"/>
      <c r="Q92" s="91"/>
      <c r="R92" s="91"/>
      <c r="S92" s="91"/>
      <c r="T92" s="91"/>
      <c r="U92" s="91"/>
      <c r="V92" s="91"/>
      <c r="W92" s="91"/>
      <c r="X92" s="360">
        <f>AVERAGE(J92)</f>
        <v>27364050</v>
      </c>
      <c r="Y92" s="243">
        <f>X92/1</f>
        <v>27364050</v>
      </c>
      <c r="Z92" s="142">
        <f>ROUND(Y92,0)</f>
        <v>27364050</v>
      </c>
      <c r="AA92" s="142">
        <f>Z92/E92</f>
        <v>547281</v>
      </c>
      <c r="AB92" s="142">
        <f>ROUND(AA92,0)</f>
        <v>547281</v>
      </c>
      <c r="AC92" s="150">
        <f>AB92*E92</f>
        <v>27364050</v>
      </c>
    </row>
    <row r="93" spans="2:29" ht="121.5" customHeight="1" thickBot="1" x14ac:dyDescent="0.3">
      <c r="B93" s="296">
        <v>34</v>
      </c>
      <c r="C93" s="75" t="s">
        <v>185</v>
      </c>
      <c r="D93" s="76" t="s">
        <v>186</v>
      </c>
      <c r="E93" s="77">
        <v>1</v>
      </c>
      <c r="F93" s="78" t="s">
        <v>187</v>
      </c>
      <c r="G93" s="79"/>
      <c r="H93" s="203">
        <f>2735810*E93</f>
        <v>2735810</v>
      </c>
      <c r="I93" s="178"/>
      <c r="J93" s="81">
        <f>14039620*E93</f>
        <v>14039620</v>
      </c>
      <c r="K93" s="80"/>
      <c r="L93" s="80"/>
      <c r="M93" s="80"/>
      <c r="N93" s="80"/>
      <c r="O93" s="80"/>
      <c r="P93" s="80"/>
      <c r="Q93" s="80"/>
      <c r="R93" s="80"/>
      <c r="S93" s="80"/>
      <c r="T93" s="80"/>
      <c r="U93" s="80"/>
      <c r="V93" s="80"/>
      <c r="W93" s="80">
        <f>2710000*E93</f>
        <v>2710000</v>
      </c>
      <c r="X93" s="366">
        <f>AVERAGE(W93,H93)</f>
        <v>2722905</v>
      </c>
      <c r="Y93" s="351">
        <f>X93/1</f>
        <v>2722905</v>
      </c>
      <c r="Z93" s="280">
        <f>ROUND(Y93,0)</f>
        <v>2722905</v>
      </c>
      <c r="AA93" s="282">
        <f>Z93/E93</f>
        <v>2722905</v>
      </c>
      <c r="AB93" s="280">
        <f>ROUND(AA93,0)</f>
        <v>2722905</v>
      </c>
      <c r="AC93" s="289">
        <f>AB93*E93</f>
        <v>2722905</v>
      </c>
    </row>
    <row r="94" spans="2:29" ht="121.5" customHeight="1" thickBot="1" x14ac:dyDescent="0.3">
      <c r="B94" s="349">
        <v>35</v>
      </c>
      <c r="C94" s="309" t="s">
        <v>188</v>
      </c>
      <c r="D94" s="310" t="s">
        <v>189</v>
      </c>
      <c r="E94" s="182">
        <v>5</v>
      </c>
      <c r="F94" s="311" t="s">
        <v>379</v>
      </c>
      <c r="G94" s="260"/>
      <c r="H94" s="184">
        <f>1034110*E94</f>
        <v>5170550</v>
      </c>
      <c r="I94" s="185"/>
      <c r="J94" s="103"/>
      <c r="K94" s="103"/>
      <c r="L94" s="103"/>
      <c r="M94" s="103"/>
      <c r="N94" s="103"/>
      <c r="O94" s="103"/>
      <c r="P94" s="103"/>
      <c r="Q94" s="103"/>
      <c r="R94" s="103"/>
      <c r="S94" s="103"/>
      <c r="T94" s="103"/>
      <c r="U94" s="103"/>
      <c r="V94" s="103"/>
      <c r="W94" s="103"/>
      <c r="X94" s="365">
        <f>AVERAGE(H94)</f>
        <v>5170550</v>
      </c>
      <c r="Y94" s="352">
        <f>X94/1</f>
        <v>5170550</v>
      </c>
      <c r="Z94" s="279">
        <f>ROUND(Y94,0)</f>
        <v>5170550</v>
      </c>
      <c r="AA94" s="281">
        <f>Z94/E94</f>
        <v>1034110</v>
      </c>
      <c r="AB94" s="279">
        <f>ROUND(AA94,0)</f>
        <v>1034110</v>
      </c>
      <c r="AC94" s="287">
        <f>AB94*E94</f>
        <v>5170550</v>
      </c>
    </row>
    <row r="95" spans="2:29" ht="121.5" customHeight="1" thickBot="1" x14ac:dyDescent="0.3">
      <c r="B95" s="113">
        <v>36</v>
      </c>
      <c r="C95" s="83" t="s">
        <v>191</v>
      </c>
      <c r="D95" s="84" t="s">
        <v>186</v>
      </c>
      <c r="E95" s="84">
        <v>1</v>
      </c>
      <c r="F95" s="211" t="s">
        <v>187</v>
      </c>
      <c r="G95" s="168"/>
      <c r="H95" s="141">
        <f>531930*E95</f>
        <v>531930</v>
      </c>
      <c r="I95" s="141"/>
      <c r="J95" s="91">
        <f>799680*E95</f>
        <v>799680</v>
      </c>
      <c r="K95" s="92">
        <f>1727260*E95</f>
        <v>1727260</v>
      </c>
      <c r="L95" s="91"/>
      <c r="M95" s="91"/>
      <c r="N95" s="91"/>
      <c r="O95" s="91"/>
      <c r="P95" s="91"/>
      <c r="Q95" s="91"/>
      <c r="R95" s="91"/>
      <c r="S95" s="91"/>
      <c r="T95" s="91"/>
      <c r="U95" s="91"/>
      <c r="V95" s="91"/>
      <c r="W95" s="91"/>
      <c r="X95" s="360">
        <f>AVERAGE(H95,J95)</f>
        <v>665805</v>
      </c>
      <c r="Y95" s="243">
        <f>X95/1</f>
        <v>665805</v>
      </c>
      <c r="Z95" s="142">
        <f>ROUND(Y95,0)</f>
        <v>665805</v>
      </c>
      <c r="AA95" s="142">
        <f>Z95/E95</f>
        <v>665805</v>
      </c>
      <c r="AB95" s="142">
        <f>ROUND(AA95,0)</f>
        <v>665805</v>
      </c>
      <c r="AC95" s="150">
        <f>AB95*E95</f>
        <v>665805</v>
      </c>
    </row>
    <row r="96" spans="2:29" ht="121.5" customHeight="1" x14ac:dyDescent="0.25">
      <c r="B96" s="465">
        <v>37</v>
      </c>
      <c r="C96" s="187" t="s">
        <v>192</v>
      </c>
      <c r="D96" s="199" t="s">
        <v>186</v>
      </c>
      <c r="E96" s="199">
        <v>1</v>
      </c>
      <c r="F96" s="200" t="s">
        <v>187</v>
      </c>
      <c r="G96" s="201"/>
      <c r="H96" s="202">
        <f>397460*E96</f>
        <v>397460</v>
      </c>
      <c r="I96" s="202"/>
      <c r="J96" s="202"/>
      <c r="K96" s="191"/>
      <c r="L96" s="191">
        <f>809200*E96</f>
        <v>809200</v>
      </c>
      <c r="M96" s="191"/>
      <c r="N96" s="191"/>
      <c r="O96" s="191"/>
      <c r="P96" s="191"/>
      <c r="Q96" s="191"/>
      <c r="R96" s="191"/>
      <c r="S96" s="191"/>
      <c r="T96" s="191"/>
      <c r="U96" s="191"/>
      <c r="V96" s="191"/>
      <c r="W96" s="191"/>
      <c r="X96" s="364">
        <f>AVERAGE(H96,L96)</f>
        <v>603330</v>
      </c>
      <c r="Y96" s="442">
        <f>SUM(X96:X97)/1</f>
        <v>1023400</v>
      </c>
      <c r="Z96" s="446">
        <f>ROUND(Y96,0)</f>
        <v>1023400</v>
      </c>
      <c r="AA96" s="446">
        <f>Z96/1</f>
        <v>1023400</v>
      </c>
      <c r="AB96" s="446">
        <f>ROUND(AA96,0)</f>
        <v>1023400</v>
      </c>
      <c r="AC96" s="429">
        <f>AB96*1</f>
        <v>1023400</v>
      </c>
    </row>
    <row r="97" spans="2:29" ht="121.5" customHeight="1" thickBot="1" x14ac:dyDescent="0.3">
      <c r="B97" s="400"/>
      <c r="C97" s="47" t="s">
        <v>193</v>
      </c>
      <c r="D97" s="48" t="s">
        <v>207</v>
      </c>
      <c r="E97" s="98">
        <v>1</v>
      </c>
      <c r="F97" s="99" t="s">
        <v>187</v>
      </c>
      <c r="G97" s="138"/>
      <c r="H97" s="101">
        <f>234430*E97</f>
        <v>234430</v>
      </c>
      <c r="I97" s="101"/>
      <c r="J97" s="55"/>
      <c r="K97" s="56">
        <f>3274523*E97</f>
        <v>3274523</v>
      </c>
      <c r="L97" s="55">
        <f>605710*E97</f>
        <v>605710</v>
      </c>
      <c r="M97" s="55"/>
      <c r="N97" s="55"/>
      <c r="O97" s="55"/>
      <c r="P97" s="55"/>
      <c r="Q97" s="55"/>
      <c r="R97" s="55"/>
      <c r="S97" s="55"/>
      <c r="T97" s="55"/>
      <c r="U97" s="55"/>
      <c r="V97" s="55"/>
      <c r="W97" s="55"/>
      <c r="X97" s="357">
        <f>AVERAGE(L97,H97)</f>
        <v>420070</v>
      </c>
      <c r="Y97" s="428"/>
      <c r="Z97" s="466"/>
      <c r="AA97" s="466"/>
      <c r="AB97" s="466"/>
      <c r="AC97" s="467"/>
    </row>
    <row r="98" spans="2:29" ht="113.25" customHeight="1" x14ac:dyDescent="0.25">
      <c r="B98" s="465">
        <v>38</v>
      </c>
      <c r="C98" s="187" t="s">
        <v>391</v>
      </c>
      <c r="D98" s="157" t="s">
        <v>195</v>
      </c>
      <c r="E98" s="158">
        <v>1</v>
      </c>
      <c r="F98" s="159" t="s">
        <v>187</v>
      </c>
      <c r="G98" s="188"/>
      <c r="H98" s="188">
        <f>1642200*E98</f>
        <v>1642200</v>
      </c>
      <c r="I98" s="189"/>
      <c r="J98" s="190">
        <f>11420133*E98</f>
        <v>11420133</v>
      </c>
      <c r="K98" s="191">
        <f>1100750*E98</f>
        <v>1100750</v>
      </c>
      <c r="L98" s="191">
        <f>1461320*E98</f>
        <v>1461320</v>
      </c>
      <c r="M98" s="191"/>
      <c r="N98" s="191"/>
      <c r="O98" s="191"/>
      <c r="P98" s="191"/>
      <c r="Q98" s="191"/>
      <c r="R98" s="191"/>
      <c r="S98" s="191"/>
      <c r="T98" s="191"/>
      <c r="U98" s="191"/>
      <c r="V98" s="191"/>
      <c r="W98" s="191"/>
      <c r="X98" s="364">
        <f>AVERAGE(H98,K98,L98)</f>
        <v>1401423.3333333333</v>
      </c>
      <c r="Y98" s="442">
        <f>SUM(X98:X105)/1</f>
        <v>5105191.25</v>
      </c>
      <c r="Z98" s="422">
        <f>ROUND(Y98,0)</f>
        <v>5105191</v>
      </c>
      <c r="AA98" s="422">
        <f>Z98/1</f>
        <v>5105191</v>
      </c>
      <c r="AB98" s="446">
        <f>ROUND(AA98,0)</f>
        <v>5105191</v>
      </c>
      <c r="AC98" s="429">
        <f>AB98*1</f>
        <v>5105191</v>
      </c>
    </row>
    <row r="99" spans="2:29" ht="74.25" customHeight="1" x14ac:dyDescent="0.25">
      <c r="B99" s="399"/>
      <c r="C99" s="35" t="s">
        <v>196</v>
      </c>
      <c r="D99" s="36" t="s">
        <v>52</v>
      </c>
      <c r="E99" s="37">
        <v>1</v>
      </c>
      <c r="F99" s="38" t="s">
        <v>187</v>
      </c>
      <c r="G99" s="40"/>
      <c r="H99" s="41">
        <f>694960*E99</f>
        <v>694960</v>
      </c>
      <c r="I99" s="43">
        <f>554540*E99</f>
        <v>554540</v>
      </c>
      <c r="J99" s="43"/>
      <c r="K99" s="44">
        <f>1316140*E99</f>
        <v>1316140</v>
      </c>
      <c r="L99" s="44">
        <f>1173340*E99</f>
        <v>1173340</v>
      </c>
      <c r="M99" s="43"/>
      <c r="N99" s="43"/>
      <c r="O99" s="43"/>
      <c r="P99" s="43"/>
      <c r="Q99" s="43"/>
      <c r="R99" s="43">
        <f>614834*E99</f>
        <v>614834</v>
      </c>
      <c r="S99" s="43"/>
      <c r="T99" s="43"/>
      <c r="U99" s="43"/>
      <c r="V99" s="43"/>
      <c r="W99" s="43"/>
      <c r="X99" s="356">
        <f>AVERAGE(R99,I99,H99)</f>
        <v>621444.66666666663</v>
      </c>
      <c r="Y99" s="443"/>
      <c r="Z99" s="444"/>
      <c r="AA99" s="444"/>
      <c r="AB99" s="447"/>
      <c r="AC99" s="430"/>
    </row>
    <row r="100" spans="2:29" ht="81" customHeight="1" x14ac:dyDescent="0.25">
      <c r="B100" s="399"/>
      <c r="C100" s="35" t="s">
        <v>197</v>
      </c>
      <c r="D100" s="36" t="s">
        <v>56</v>
      </c>
      <c r="E100" s="37">
        <v>1</v>
      </c>
      <c r="F100" s="38" t="s">
        <v>187</v>
      </c>
      <c r="G100" s="40"/>
      <c r="H100" s="41">
        <f>332010*E100</f>
        <v>332010</v>
      </c>
      <c r="I100" s="43">
        <f>406980*E100</f>
        <v>406980</v>
      </c>
      <c r="J100" s="43"/>
      <c r="K100" s="43">
        <f>465290*E100</f>
        <v>465290</v>
      </c>
      <c r="L100" s="43">
        <f>415310*E100</f>
        <v>415310</v>
      </c>
      <c r="M100" s="43"/>
      <c r="N100" s="43"/>
      <c r="O100" s="43"/>
      <c r="P100" s="43"/>
      <c r="Q100" s="43"/>
      <c r="R100" s="43"/>
      <c r="S100" s="43"/>
      <c r="T100" s="43"/>
      <c r="U100" s="43"/>
      <c r="V100" s="43"/>
      <c r="W100" s="43"/>
      <c r="X100" s="356">
        <f>AVERAGE(H100:L100)</f>
        <v>404897.5</v>
      </c>
      <c r="Y100" s="443"/>
      <c r="Z100" s="444"/>
      <c r="AA100" s="444"/>
      <c r="AB100" s="447"/>
      <c r="AC100" s="430"/>
    </row>
    <row r="101" spans="2:29" ht="74.25" customHeight="1" x14ac:dyDescent="0.25">
      <c r="B101" s="399"/>
      <c r="C101" s="35" t="s">
        <v>198</v>
      </c>
      <c r="D101" s="36" t="s">
        <v>52</v>
      </c>
      <c r="E101" s="37">
        <v>1</v>
      </c>
      <c r="F101" s="38" t="s">
        <v>187</v>
      </c>
      <c r="G101" s="40"/>
      <c r="H101" s="41">
        <f>182070*E101</f>
        <v>182070</v>
      </c>
      <c r="I101" s="42"/>
      <c r="J101" s="43">
        <f>366461*E101</f>
        <v>366461</v>
      </c>
      <c r="K101" s="43">
        <f>121380*E101</f>
        <v>121380</v>
      </c>
      <c r="L101" s="43">
        <f>161840*E101</f>
        <v>161840</v>
      </c>
      <c r="M101" s="43"/>
      <c r="N101" s="43"/>
      <c r="O101" s="43"/>
      <c r="P101" s="43"/>
      <c r="Q101" s="43"/>
      <c r="R101" s="43"/>
      <c r="S101" s="43"/>
      <c r="T101" s="43"/>
      <c r="U101" s="43"/>
      <c r="V101" s="43"/>
      <c r="W101" s="43"/>
      <c r="X101" s="356">
        <f>AVERAGE(H101:L101)</f>
        <v>207937.75</v>
      </c>
      <c r="Y101" s="443"/>
      <c r="Z101" s="444"/>
      <c r="AA101" s="444"/>
      <c r="AB101" s="447"/>
      <c r="AC101" s="430"/>
    </row>
    <row r="102" spans="2:29" ht="52.5" customHeight="1" x14ac:dyDescent="0.25">
      <c r="B102" s="399"/>
      <c r="C102" s="35" t="s">
        <v>199</v>
      </c>
      <c r="D102" s="36" t="s">
        <v>200</v>
      </c>
      <c r="E102" s="39">
        <v>1</v>
      </c>
      <c r="F102" s="59" t="s">
        <v>187</v>
      </c>
      <c r="G102" s="192"/>
      <c r="H102" s="193">
        <f>708050*E102</f>
        <v>708050</v>
      </c>
      <c r="I102" s="43">
        <f>1613640*E102</f>
        <v>1613640</v>
      </c>
      <c r="J102" s="74">
        <f>321300*E102</f>
        <v>321300</v>
      </c>
      <c r="K102" s="43">
        <f>1585080*E102</f>
        <v>1585080</v>
      </c>
      <c r="L102" s="43">
        <f>714000*E102</f>
        <v>714000</v>
      </c>
      <c r="M102" s="43"/>
      <c r="N102" s="43"/>
      <c r="O102" s="43"/>
      <c r="P102" s="43"/>
      <c r="Q102" s="43">
        <f>824670*E102</f>
        <v>824670</v>
      </c>
      <c r="R102" s="43"/>
      <c r="S102" s="43"/>
      <c r="T102" s="43"/>
      <c r="U102" s="43"/>
      <c r="V102" s="43"/>
      <c r="W102" s="43"/>
      <c r="X102" s="356">
        <f>AVERAGE(H102,K102,L102,Q102,I102)</f>
        <v>1089088</v>
      </c>
      <c r="Y102" s="443"/>
      <c r="Z102" s="444"/>
      <c r="AA102" s="444"/>
      <c r="AB102" s="447"/>
      <c r="AC102" s="430"/>
    </row>
    <row r="103" spans="2:29" ht="66.75" customHeight="1" x14ac:dyDescent="0.25">
      <c r="B103" s="399"/>
      <c r="C103" s="35" t="s">
        <v>201</v>
      </c>
      <c r="D103" s="36" t="s">
        <v>186</v>
      </c>
      <c r="E103" s="39">
        <v>1</v>
      </c>
      <c r="F103" s="59" t="s">
        <v>187</v>
      </c>
      <c r="G103" s="192"/>
      <c r="H103" s="193">
        <f>766360*E103</f>
        <v>766360</v>
      </c>
      <c r="I103" s="194"/>
      <c r="J103" s="44">
        <f>1413720*E103</f>
        <v>1413720</v>
      </c>
      <c r="K103" s="43">
        <f>512890*E103</f>
        <v>512890</v>
      </c>
      <c r="L103" s="43">
        <f>529550*E103</f>
        <v>529550</v>
      </c>
      <c r="M103" s="43"/>
      <c r="N103" s="43"/>
      <c r="O103" s="43"/>
      <c r="P103" s="43"/>
      <c r="Q103" s="43"/>
      <c r="R103" s="43"/>
      <c r="S103" s="43"/>
      <c r="T103" s="43"/>
      <c r="U103" s="43"/>
      <c r="V103" s="43"/>
      <c r="W103" s="43"/>
      <c r="X103" s="356">
        <f>AVERAGE(H103,K103,L103)</f>
        <v>602933.33333333337</v>
      </c>
      <c r="Y103" s="443"/>
      <c r="Z103" s="444"/>
      <c r="AA103" s="444"/>
      <c r="AB103" s="447"/>
      <c r="AC103" s="430"/>
    </row>
    <row r="104" spans="2:29" ht="56.25" customHeight="1" x14ac:dyDescent="0.25">
      <c r="B104" s="399"/>
      <c r="C104" s="35" t="s">
        <v>202</v>
      </c>
      <c r="D104" s="36" t="s">
        <v>186</v>
      </c>
      <c r="E104" s="39">
        <v>1</v>
      </c>
      <c r="F104" s="59" t="s">
        <v>187</v>
      </c>
      <c r="G104" s="192"/>
      <c r="H104" s="193">
        <f>496230*E104</f>
        <v>496230</v>
      </c>
      <c r="I104" s="194"/>
      <c r="J104" s="44">
        <f>1770720*E104</f>
        <v>1770720</v>
      </c>
      <c r="K104" s="43">
        <f>322490*E104</f>
        <v>322490</v>
      </c>
      <c r="L104" s="43">
        <f>428400*E104</f>
        <v>428400</v>
      </c>
      <c r="M104" s="43"/>
      <c r="N104" s="43"/>
      <c r="O104" s="43"/>
      <c r="P104" s="43"/>
      <c r="Q104" s="43"/>
      <c r="R104" s="43"/>
      <c r="S104" s="43"/>
      <c r="T104" s="43"/>
      <c r="U104" s="43"/>
      <c r="V104" s="43"/>
      <c r="W104" s="43"/>
      <c r="X104" s="356">
        <f>AVERAGE(H104,K104,L104)</f>
        <v>415706.66666666669</v>
      </c>
      <c r="Y104" s="443"/>
      <c r="Z104" s="444"/>
      <c r="AA104" s="444"/>
      <c r="AB104" s="447"/>
      <c r="AC104" s="430"/>
    </row>
    <row r="105" spans="2:29" ht="69" customHeight="1" thickBot="1" x14ac:dyDescent="0.3">
      <c r="B105" s="415"/>
      <c r="C105" s="62" t="s">
        <v>203</v>
      </c>
      <c r="D105" s="195" t="s">
        <v>186</v>
      </c>
      <c r="E105" s="66">
        <v>1</v>
      </c>
      <c r="F105" s="65" t="s">
        <v>187</v>
      </c>
      <c r="G105" s="196"/>
      <c r="H105" s="197">
        <f>433160*E105</f>
        <v>433160</v>
      </c>
      <c r="I105" s="198"/>
      <c r="J105" s="71">
        <f>1499400*E105</f>
        <v>1499400</v>
      </c>
      <c r="K105" s="70">
        <f>290360*E105</f>
        <v>290360</v>
      </c>
      <c r="L105" s="70"/>
      <c r="M105" s="70"/>
      <c r="N105" s="70"/>
      <c r="O105" s="70"/>
      <c r="P105" s="70"/>
      <c r="Q105" s="70"/>
      <c r="R105" s="70"/>
      <c r="S105" s="70"/>
      <c r="T105" s="70"/>
      <c r="U105" s="70"/>
      <c r="V105" s="70"/>
      <c r="W105" s="70"/>
      <c r="X105" s="358">
        <f>AVERAGE(H105,K105)</f>
        <v>361760</v>
      </c>
      <c r="Y105" s="459"/>
      <c r="Z105" s="444"/>
      <c r="AA105" s="444"/>
      <c r="AB105" s="451"/>
      <c r="AC105" s="453"/>
    </row>
    <row r="106" spans="2:29" ht="64.5" customHeight="1" x14ac:dyDescent="0.25">
      <c r="B106" s="398">
        <v>39</v>
      </c>
      <c r="C106" s="26" t="s">
        <v>204</v>
      </c>
      <c r="D106" s="27" t="s">
        <v>56</v>
      </c>
      <c r="E106" s="72">
        <v>1</v>
      </c>
      <c r="F106" s="94" t="s">
        <v>187</v>
      </c>
      <c r="G106" s="132"/>
      <c r="H106" s="133">
        <f>608090*E106</f>
        <v>608090</v>
      </c>
      <c r="I106" s="58">
        <f>1137640*E106</f>
        <v>1137640</v>
      </c>
      <c r="J106" s="33"/>
      <c r="K106" s="33">
        <f>543830*E106</f>
        <v>543830</v>
      </c>
      <c r="L106" s="33">
        <f>637840*E106</f>
        <v>637840</v>
      </c>
      <c r="M106" s="33"/>
      <c r="N106" s="33"/>
      <c r="O106" s="33"/>
      <c r="P106" s="33"/>
      <c r="Q106" s="33">
        <f>649740*E106</f>
        <v>649740</v>
      </c>
      <c r="R106" s="33"/>
      <c r="S106" s="33"/>
      <c r="T106" s="33"/>
      <c r="U106" s="33"/>
      <c r="V106" s="33"/>
      <c r="W106" s="33"/>
      <c r="X106" s="355">
        <f>AVERAGE(H106,K106,L106,Q106)</f>
        <v>609875</v>
      </c>
      <c r="Y106" s="427">
        <f>SUM(X106:X108)/1</f>
        <v>1504636</v>
      </c>
      <c r="Z106" s="421">
        <f>ROUND(Y106,0)</f>
        <v>1504636</v>
      </c>
      <c r="AA106" s="421">
        <f>Z106/1</f>
        <v>1504636</v>
      </c>
      <c r="AB106" s="454">
        <f>ROUND(AA106,0)</f>
        <v>1504636</v>
      </c>
      <c r="AC106" s="456">
        <f>AB106*1</f>
        <v>1504636</v>
      </c>
    </row>
    <row r="107" spans="2:29" ht="78.75" customHeight="1" x14ac:dyDescent="0.25">
      <c r="B107" s="399"/>
      <c r="C107" s="35" t="s">
        <v>205</v>
      </c>
      <c r="D107" s="36" t="s">
        <v>194</v>
      </c>
      <c r="E107" s="60">
        <v>1</v>
      </c>
      <c r="F107" s="105" t="s">
        <v>187</v>
      </c>
      <c r="G107" s="134"/>
      <c r="H107" s="135">
        <f>249900*E107</f>
        <v>249900</v>
      </c>
      <c r="I107" s="43">
        <f>111860*E107</f>
        <v>111860</v>
      </c>
      <c r="J107" s="43">
        <f>130900*E107</f>
        <v>130900</v>
      </c>
      <c r="K107" s="43">
        <f>207060*E107</f>
        <v>207060</v>
      </c>
      <c r="L107" s="43">
        <f>185640*E107</f>
        <v>185640</v>
      </c>
      <c r="M107" s="43"/>
      <c r="N107" s="43"/>
      <c r="O107" s="43"/>
      <c r="P107" s="43"/>
      <c r="Q107" s="43">
        <f>224910*E107</f>
        <v>224910</v>
      </c>
      <c r="R107" s="43"/>
      <c r="S107" s="43"/>
      <c r="T107" s="43"/>
      <c r="U107" s="43"/>
      <c r="V107" s="43"/>
      <c r="W107" s="43"/>
      <c r="X107" s="356">
        <f>AVERAGE(H107:Q107)</f>
        <v>185045</v>
      </c>
      <c r="Y107" s="443"/>
      <c r="Z107" s="444"/>
      <c r="AA107" s="444"/>
      <c r="AB107" s="447"/>
      <c r="AC107" s="430"/>
    </row>
    <row r="108" spans="2:29" ht="70.5" customHeight="1" thickBot="1" x14ac:dyDescent="0.3">
      <c r="B108" s="400"/>
      <c r="C108" s="47" t="s">
        <v>206</v>
      </c>
      <c r="D108" s="48" t="s">
        <v>200</v>
      </c>
      <c r="E108" s="98">
        <v>1</v>
      </c>
      <c r="F108" s="99" t="s">
        <v>187</v>
      </c>
      <c r="G108" s="100"/>
      <c r="H108" s="101">
        <f>787780*E108</f>
        <v>787780</v>
      </c>
      <c r="I108" s="55">
        <f>810390*E108</f>
        <v>810390</v>
      </c>
      <c r="J108" s="55">
        <f>714000*E108</f>
        <v>714000</v>
      </c>
      <c r="K108" s="55">
        <f>653310*E108</f>
        <v>653310</v>
      </c>
      <c r="L108" s="55">
        <f>583100*E108</f>
        <v>583100</v>
      </c>
      <c r="M108" s="55"/>
      <c r="N108" s="55"/>
      <c r="O108" s="55"/>
      <c r="P108" s="55"/>
      <c r="Q108" s="56">
        <f>1581034*E108</f>
        <v>1581034</v>
      </c>
      <c r="R108" s="55"/>
      <c r="S108" s="55"/>
      <c r="T108" s="55"/>
      <c r="U108" s="55"/>
      <c r="V108" s="55"/>
      <c r="W108" s="55"/>
      <c r="X108" s="357">
        <f>AVERAGE(H108:L108)</f>
        <v>709716</v>
      </c>
      <c r="Y108" s="428"/>
      <c r="Z108" s="460"/>
      <c r="AA108" s="460"/>
      <c r="AB108" s="455"/>
      <c r="AC108" s="457"/>
    </row>
    <row r="109" spans="2:29" ht="170.25" customHeight="1" x14ac:dyDescent="0.25">
      <c r="B109" s="398">
        <v>40</v>
      </c>
      <c r="C109" s="26" t="s">
        <v>392</v>
      </c>
      <c r="D109" s="72" t="s">
        <v>207</v>
      </c>
      <c r="E109" s="28">
        <v>1</v>
      </c>
      <c r="F109" s="73" t="s">
        <v>187</v>
      </c>
      <c r="G109" s="30"/>
      <c r="H109" s="31"/>
      <c r="I109" s="32"/>
      <c r="J109" s="33"/>
      <c r="K109" s="33">
        <f>450743*E109</f>
        <v>450743</v>
      </c>
      <c r="L109" s="33">
        <f>368900*E109</f>
        <v>368900</v>
      </c>
      <c r="M109" s="33"/>
      <c r="N109" s="33"/>
      <c r="O109" s="33"/>
      <c r="P109" s="33"/>
      <c r="Q109" s="33"/>
      <c r="R109" s="33"/>
      <c r="S109" s="33"/>
      <c r="T109" s="33"/>
      <c r="U109" s="33"/>
      <c r="V109" s="33"/>
      <c r="W109" s="33"/>
      <c r="X109" s="355">
        <f>AVERAGE(K109,L109)</f>
        <v>409821.5</v>
      </c>
      <c r="Y109" s="427">
        <f>SUM(X109:X112)/1</f>
        <v>4519486.5</v>
      </c>
      <c r="Z109" s="421">
        <f>ROUND(Y109,0)</f>
        <v>4519487</v>
      </c>
      <c r="AA109" s="421">
        <f>Z109/1</f>
        <v>4519487</v>
      </c>
      <c r="AB109" s="454">
        <f>ROUND(AA109,0)</f>
        <v>4519487</v>
      </c>
      <c r="AC109" s="456">
        <f>AB109*1</f>
        <v>4519487</v>
      </c>
    </row>
    <row r="110" spans="2:29" ht="147.75" customHeight="1" x14ac:dyDescent="0.25">
      <c r="B110" s="399"/>
      <c r="C110" s="35" t="s">
        <v>208</v>
      </c>
      <c r="D110" s="60" t="s">
        <v>209</v>
      </c>
      <c r="E110" s="37">
        <v>3</v>
      </c>
      <c r="F110" s="59" t="s">
        <v>210</v>
      </c>
      <c r="G110" s="40"/>
      <c r="H110" s="41"/>
      <c r="I110" s="42"/>
      <c r="J110" s="43"/>
      <c r="K110" s="43">
        <f>285600*E110</f>
        <v>856800</v>
      </c>
      <c r="L110" s="43">
        <f>254660*E110</f>
        <v>763980</v>
      </c>
      <c r="M110" s="43"/>
      <c r="N110" s="43"/>
      <c r="O110" s="43"/>
      <c r="P110" s="43"/>
      <c r="Q110" s="43"/>
      <c r="R110" s="43"/>
      <c r="S110" s="43"/>
      <c r="T110" s="43"/>
      <c r="U110" s="43"/>
      <c r="V110" s="43"/>
      <c r="W110" s="43"/>
      <c r="X110" s="356">
        <f>AVERAGE(K110:L110)</f>
        <v>810390</v>
      </c>
      <c r="Y110" s="443"/>
      <c r="Z110" s="444"/>
      <c r="AA110" s="444"/>
      <c r="AB110" s="447"/>
      <c r="AC110" s="430"/>
    </row>
    <row r="111" spans="2:29" ht="149.25" customHeight="1" x14ac:dyDescent="0.25">
      <c r="B111" s="399"/>
      <c r="C111" s="35" t="s">
        <v>211</v>
      </c>
      <c r="D111" s="60" t="s">
        <v>209</v>
      </c>
      <c r="E111" s="37">
        <v>5</v>
      </c>
      <c r="F111" s="59" t="s">
        <v>212</v>
      </c>
      <c r="G111" s="40"/>
      <c r="H111" s="41"/>
      <c r="I111" s="42"/>
      <c r="J111" s="43"/>
      <c r="K111" s="43">
        <f>502180*E111</f>
        <v>2510900</v>
      </c>
      <c r="L111" s="43">
        <f>410550*E111</f>
        <v>2052750</v>
      </c>
      <c r="M111" s="43"/>
      <c r="N111" s="43"/>
      <c r="O111" s="43"/>
      <c r="P111" s="43"/>
      <c r="Q111" s="43"/>
      <c r="R111" s="43"/>
      <c r="S111" s="43"/>
      <c r="T111" s="43"/>
      <c r="U111" s="43"/>
      <c r="V111" s="43"/>
      <c r="W111" s="43"/>
      <c r="X111" s="356">
        <f>AVERAGE(K111:L111)</f>
        <v>2281825</v>
      </c>
      <c r="Y111" s="443"/>
      <c r="Z111" s="444"/>
      <c r="AA111" s="444"/>
      <c r="AB111" s="447"/>
      <c r="AC111" s="430"/>
    </row>
    <row r="112" spans="2:29" ht="156" customHeight="1" thickBot="1" x14ac:dyDescent="0.3">
      <c r="B112" s="400"/>
      <c r="C112" s="47" t="s">
        <v>213</v>
      </c>
      <c r="D112" s="98" t="s">
        <v>209</v>
      </c>
      <c r="E112" s="49">
        <v>5</v>
      </c>
      <c r="F112" s="146" t="s">
        <v>214</v>
      </c>
      <c r="G112" s="52"/>
      <c r="H112" s="53"/>
      <c r="I112" s="54"/>
      <c r="J112" s="55"/>
      <c r="K112" s="55">
        <f>223720*E112</f>
        <v>1118600</v>
      </c>
      <c r="L112" s="55">
        <f>183260*E112</f>
        <v>916300</v>
      </c>
      <c r="M112" s="55"/>
      <c r="N112" s="55"/>
      <c r="O112" s="55"/>
      <c r="P112" s="55"/>
      <c r="Q112" s="55"/>
      <c r="R112" s="55"/>
      <c r="S112" s="55"/>
      <c r="T112" s="55"/>
      <c r="U112" s="55"/>
      <c r="V112" s="55"/>
      <c r="W112" s="55"/>
      <c r="X112" s="357">
        <f>AVERAGE(K112:L112)</f>
        <v>1017450</v>
      </c>
      <c r="Y112" s="428"/>
      <c r="Z112" s="460"/>
      <c r="AA112" s="460"/>
      <c r="AB112" s="455"/>
      <c r="AC112" s="457"/>
    </row>
    <row r="113" spans="2:29" ht="86.25" customHeight="1" x14ac:dyDescent="0.25">
      <c r="B113" s="385">
        <v>41</v>
      </c>
      <c r="C113" s="187" t="s">
        <v>215</v>
      </c>
      <c r="D113" s="199" t="s">
        <v>216</v>
      </c>
      <c r="E113" s="199">
        <v>1</v>
      </c>
      <c r="F113" s="200" t="s">
        <v>187</v>
      </c>
      <c r="G113" s="201"/>
      <c r="H113" s="202">
        <f>1708840*E113</f>
        <v>1708840</v>
      </c>
      <c r="I113" s="202"/>
      <c r="J113" s="191"/>
      <c r="K113" s="191">
        <f>1144780*E113</f>
        <v>1144780</v>
      </c>
      <c r="L113" s="191">
        <f>1519630*E113</f>
        <v>1519630</v>
      </c>
      <c r="M113" s="191"/>
      <c r="N113" s="191"/>
      <c r="O113" s="191"/>
      <c r="P113" s="191"/>
      <c r="Q113" s="191"/>
      <c r="R113" s="191"/>
      <c r="S113" s="191"/>
      <c r="T113" s="191"/>
      <c r="U113" s="191"/>
      <c r="V113" s="191"/>
      <c r="W113" s="191"/>
      <c r="X113" s="364">
        <f>AVERAGE(H113:L113)</f>
        <v>1457750</v>
      </c>
      <c r="Y113" s="418">
        <f>SUM(X113:X114)/1</f>
        <v>2363340</v>
      </c>
      <c r="Z113" s="421">
        <f>ROUND(Y113,0)</f>
        <v>2363340</v>
      </c>
      <c r="AA113" s="421">
        <f>Z113/1</f>
        <v>2363340</v>
      </c>
      <c r="AB113" s="421">
        <f>ROUND(AA113,0)</f>
        <v>2363340</v>
      </c>
      <c r="AC113" s="416">
        <f>AB113*1</f>
        <v>2363340</v>
      </c>
    </row>
    <row r="114" spans="2:29" ht="159" customHeight="1" thickBot="1" x14ac:dyDescent="0.3">
      <c r="B114" s="386"/>
      <c r="C114" s="47" t="s">
        <v>217</v>
      </c>
      <c r="D114" s="98" t="s">
        <v>209</v>
      </c>
      <c r="E114" s="48">
        <v>3</v>
      </c>
      <c r="F114" s="99" t="s">
        <v>218</v>
      </c>
      <c r="G114" s="138"/>
      <c r="H114" s="109">
        <f>234430*E114</f>
        <v>703290</v>
      </c>
      <c r="I114" s="109"/>
      <c r="J114" s="55"/>
      <c r="K114" s="55">
        <f>357000*E114</f>
        <v>1071000</v>
      </c>
      <c r="L114" s="180">
        <f>314160*E114</f>
        <v>942480</v>
      </c>
      <c r="M114" s="55"/>
      <c r="N114" s="55"/>
      <c r="O114" s="55"/>
      <c r="P114" s="55"/>
      <c r="Q114" s="55"/>
      <c r="R114" s="55"/>
      <c r="S114" s="55"/>
      <c r="T114" s="55"/>
      <c r="U114" s="55"/>
      <c r="V114" s="55"/>
      <c r="W114" s="55"/>
      <c r="X114" s="357">
        <f>AVERAGE(H114,K114,L114)</f>
        <v>905590</v>
      </c>
      <c r="Y114" s="420"/>
      <c r="Z114" s="423"/>
      <c r="AA114" s="423"/>
      <c r="AB114" s="423"/>
      <c r="AC114" s="426"/>
    </row>
    <row r="115" spans="2:29" ht="121.5" customHeight="1" thickBot="1" x14ac:dyDescent="0.3">
      <c r="B115" s="97">
        <v>42</v>
      </c>
      <c r="C115" s="75" t="s">
        <v>219</v>
      </c>
      <c r="D115" s="166" t="s">
        <v>220</v>
      </c>
      <c r="E115" s="77">
        <v>1</v>
      </c>
      <c r="F115" s="110" t="s">
        <v>221</v>
      </c>
      <c r="G115" s="79"/>
      <c r="H115" s="203">
        <f>530740*E115</f>
        <v>530740</v>
      </c>
      <c r="I115" s="178"/>
      <c r="J115" s="80"/>
      <c r="K115" s="81">
        <f>1244740*E115</f>
        <v>1244740</v>
      </c>
      <c r="L115" s="81">
        <f>1109080*E115</f>
        <v>1109080</v>
      </c>
      <c r="M115" s="80"/>
      <c r="N115" s="80"/>
      <c r="O115" s="80"/>
      <c r="P115" s="80"/>
      <c r="Q115" s="80">
        <f>743036*E115</f>
        <v>743036</v>
      </c>
      <c r="R115" s="80"/>
      <c r="S115" s="80"/>
      <c r="T115" s="80"/>
      <c r="U115" s="80"/>
      <c r="V115" s="80"/>
      <c r="W115" s="80">
        <f>372691.2*E115</f>
        <v>372691.20000000001</v>
      </c>
      <c r="X115" s="366">
        <f>AVERAGE(H115,Q115,W115)</f>
        <v>548822.4</v>
      </c>
      <c r="Y115" s="351">
        <f>X115/1</f>
        <v>548822.4</v>
      </c>
      <c r="Z115" s="112">
        <f t="shared" ref="Z115:Z120" si="5">ROUND(Y115,0)</f>
        <v>548822</v>
      </c>
      <c r="AA115" s="112">
        <f>Z115/E115</f>
        <v>548822</v>
      </c>
      <c r="AB115" s="204">
        <f t="shared" ref="AB115:AB120" si="6">ROUND(AA115,0)</f>
        <v>548822</v>
      </c>
      <c r="AC115" s="303">
        <f>AB115*E115</f>
        <v>548822</v>
      </c>
    </row>
    <row r="116" spans="2:29" ht="131.25" customHeight="1" thickBot="1" x14ac:dyDescent="0.3">
      <c r="B116" s="113">
        <v>43</v>
      </c>
      <c r="C116" s="83" t="s">
        <v>222</v>
      </c>
      <c r="D116" s="139" t="s">
        <v>223</v>
      </c>
      <c r="E116" s="85">
        <v>1</v>
      </c>
      <c r="F116" s="114" t="s">
        <v>224</v>
      </c>
      <c r="G116" s="88"/>
      <c r="H116" s="89"/>
      <c r="I116" s="93"/>
      <c r="J116" s="91"/>
      <c r="K116" s="91">
        <f>249900*E116</f>
        <v>249900</v>
      </c>
      <c r="L116" s="91">
        <f>223720*E116</f>
        <v>223720</v>
      </c>
      <c r="M116" s="91"/>
      <c r="N116" s="91"/>
      <c r="O116" s="91"/>
      <c r="P116" s="91"/>
      <c r="Q116" s="91">
        <f>248234*E116</f>
        <v>248234</v>
      </c>
      <c r="R116" s="91"/>
      <c r="S116" s="91"/>
      <c r="T116" s="91"/>
      <c r="U116" s="91"/>
      <c r="V116" s="91"/>
      <c r="W116" s="91"/>
      <c r="X116" s="360">
        <f>AVERAGE(K116:Q116)</f>
        <v>240618</v>
      </c>
      <c r="Y116" s="243">
        <f>X116/1</f>
        <v>240618</v>
      </c>
      <c r="Z116" s="165">
        <f t="shared" si="5"/>
        <v>240618</v>
      </c>
      <c r="AA116" s="165">
        <f>Z116/E116</f>
        <v>240618</v>
      </c>
      <c r="AB116" s="205">
        <f t="shared" si="6"/>
        <v>240618</v>
      </c>
      <c r="AC116" s="206">
        <f>AB116*E116</f>
        <v>240618</v>
      </c>
    </row>
    <row r="117" spans="2:29" ht="136.5" customHeight="1" thickBot="1" x14ac:dyDescent="0.3">
      <c r="B117" s="113">
        <v>44</v>
      </c>
      <c r="C117" s="83" t="s">
        <v>225</v>
      </c>
      <c r="D117" s="139" t="s">
        <v>226</v>
      </c>
      <c r="E117" s="85">
        <v>1</v>
      </c>
      <c r="F117" s="114" t="s">
        <v>221</v>
      </c>
      <c r="G117" s="88"/>
      <c r="H117" s="89"/>
      <c r="I117" s="93"/>
      <c r="J117" s="92">
        <f>924630*E117</f>
        <v>924630</v>
      </c>
      <c r="K117" s="91">
        <f>265370*E117</f>
        <v>265370</v>
      </c>
      <c r="L117" s="91"/>
      <c r="M117" s="91"/>
      <c r="N117" s="91"/>
      <c r="O117" s="91"/>
      <c r="P117" s="91"/>
      <c r="Q117" s="91"/>
      <c r="R117" s="91"/>
      <c r="S117" s="91"/>
      <c r="T117" s="91"/>
      <c r="U117" s="91"/>
      <c r="V117" s="91"/>
      <c r="W117" s="91">
        <f>246881.6*E117</f>
        <v>246881.6</v>
      </c>
      <c r="X117" s="360">
        <f>AVERAGE(K117,W117)</f>
        <v>256125.8</v>
      </c>
      <c r="Y117" s="243">
        <f>X117/1</f>
        <v>256125.8</v>
      </c>
      <c r="Z117" s="145">
        <f t="shared" si="5"/>
        <v>256126</v>
      </c>
      <c r="AA117" s="145">
        <f>Z117/E117</f>
        <v>256126</v>
      </c>
      <c r="AB117" s="207">
        <f t="shared" si="6"/>
        <v>256126</v>
      </c>
      <c r="AC117" s="208">
        <f>AB117*E117</f>
        <v>256126</v>
      </c>
    </row>
    <row r="118" spans="2:29" ht="121.5" customHeight="1" thickBot="1" x14ac:dyDescent="0.3">
      <c r="B118" s="277">
        <v>45</v>
      </c>
      <c r="C118" s="309" t="s">
        <v>227</v>
      </c>
      <c r="D118" s="310" t="s">
        <v>111</v>
      </c>
      <c r="E118" s="182">
        <v>4</v>
      </c>
      <c r="F118" s="311" t="s">
        <v>228</v>
      </c>
      <c r="G118" s="260">
        <f>108400*E118</f>
        <v>433600</v>
      </c>
      <c r="H118" s="300"/>
      <c r="I118" s="185"/>
      <c r="J118" s="103"/>
      <c r="K118" s="103"/>
      <c r="L118" s="103"/>
      <c r="M118" s="103">
        <f>124140*E118</f>
        <v>496560</v>
      </c>
      <c r="N118" s="103"/>
      <c r="O118" s="103"/>
      <c r="P118" s="103"/>
      <c r="Q118" s="103"/>
      <c r="R118" s="103"/>
      <c r="S118" s="103"/>
      <c r="T118" s="103"/>
      <c r="U118" s="103"/>
      <c r="V118" s="103"/>
      <c r="W118" s="103"/>
      <c r="X118" s="365">
        <f>AVERAGE(G118,M118)</f>
        <v>465080</v>
      </c>
      <c r="Y118" s="352">
        <f>X118/1</f>
        <v>465080</v>
      </c>
      <c r="Z118" s="297">
        <f t="shared" si="5"/>
        <v>465080</v>
      </c>
      <c r="AA118" s="297">
        <f>Z118/E118</f>
        <v>116270</v>
      </c>
      <c r="AB118" s="336">
        <f t="shared" si="6"/>
        <v>116270</v>
      </c>
      <c r="AC118" s="337">
        <f>AB118*E118</f>
        <v>465080</v>
      </c>
    </row>
    <row r="119" spans="2:29" ht="133.15" customHeight="1" thickBot="1" x14ac:dyDescent="0.3">
      <c r="B119" s="113">
        <v>46</v>
      </c>
      <c r="C119" s="83" t="s">
        <v>229</v>
      </c>
      <c r="D119" s="84" t="s">
        <v>230</v>
      </c>
      <c r="E119" s="85">
        <v>1</v>
      </c>
      <c r="F119" s="86" t="s">
        <v>221</v>
      </c>
      <c r="G119" s="88"/>
      <c r="H119" s="89"/>
      <c r="I119" s="93"/>
      <c r="J119" s="91"/>
      <c r="K119" s="92">
        <f>1093610*E119</f>
        <v>1093610</v>
      </c>
      <c r="L119" s="91">
        <f>694960*E119</f>
        <v>694960</v>
      </c>
      <c r="M119" s="91"/>
      <c r="N119" s="91"/>
      <c r="O119" s="91"/>
      <c r="P119" s="91"/>
      <c r="Q119" s="91"/>
      <c r="R119" s="91"/>
      <c r="S119" s="91"/>
      <c r="T119" s="91"/>
      <c r="U119" s="91"/>
      <c r="V119" s="91"/>
      <c r="W119" s="91">
        <f>631680*E119</f>
        <v>631680</v>
      </c>
      <c r="X119" s="360">
        <f>AVERAGE(L119,W119)</f>
        <v>663320</v>
      </c>
      <c r="Y119" s="243">
        <f>X119/1</f>
        <v>663320</v>
      </c>
      <c r="Z119" s="142">
        <f t="shared" si="5"/>
        <v>663320</v>
      </c>
      <c r="AA119" s="142">
        <f>Z119/E119</f>
        <v>663320</v>
      </c>
      <c r="AB119" s="143">
        <f t="shared" si="6"/>
        <v>663320</v>
      </c>
      <c r="AC119" s="144">
        <f>AB119*E119</f>
        <v>663320</v>
      </c>
    </row>
    <row r="120" spans="2:29" ht="162.6" customHeight="1" x14ac:dyDescent="0.25">
      <c r="B120" s="388">
        <v>47</v>
      </c>
      <c r="C120" s="187" t="s">
        <v>231</v>
      </c>
      <c r="D120" s="199" t="s">
        <v>209</v>
      </c>
      <c r="E120" s="199">
        <v>1</v>
      </c>
      <c r="F120" s="200" t="s">
        <v>221</v>
      </c>
      <c r="G120" s="201"/>
      <c r="H120" s="202"/>
      <c r="I120" s="202"/>
      <c r="J120" s="191"/>
      <c r="K120" s="191">
        <f>1550570*E120</f>
        <v>1550570</v>
      </c>
      <c r="L120" s="191"/>
      <c r="M120" s="191"/>
      <c r="N120" s="191"/>
      <c r="O120" s="191"/>
      <c r="P120" s="191"/>
      <c r="Q120" s="191"/>
      <c r="R120" s="191"/>
      <c r="S120" s="191"/>
      <c r="T120" s="191"/>
      <c r="U120" s="191"/>
      <c r="V120" s="191"/>
      <c r="W120" s="191">
        <f>1490000*E120</f>
        <v>1490000</v>
      </c>
      <c r="X120" s="364">
        <f>AVERAGE(K120,W120)</f>
        <v>1520285</v>
      </c>
      <c r="Y120" s="419">
        <f>SUM(X120:X123)/1</f>
        <v>6348265.9299999997</v>
      </c>
      <c r="Z120" s="422">
        <f t="shared" si="5"/>
        <v>6348266</v>
      </c>
      <c r="AA120" s="422">
        <f>Z120/1</f>
        <v>6348266</v>
      </c>
      <c r="AB120" s="422">
        <f t="shared" si="6"/>
        <v>6348266</v>
      </c>
      <c r="AC120" s="425">
        <f>AB120*1</f>
        <v>6348266</v>
      </c>
    </row>
    <row r="121" spans="2:29" ht="200.25" customHeight="1" x14ac:dyDescent="0.25">
      <c r="B121" s="388"/>
      <c r="C121" s="35" t="s">
        <v>232</v>
      </c>
      <c r="D121" s="36" t="s">
        <v>226</v>
      </c>
      <c r="E121" s="36">
        <v>2</v>
      </c>
      <c r="F121" s="128" t="s">
        <v>233</v>
      </c>
      <c r="G121" s="106"/>
      <c r="H121" s="108"/>
      <c r="I121" s="108"/>
      <c r="J121" s="43"/>
      <c r="K121" s="43">
        <f>365330*E121</f>
        <v>730660</v>
      </c>
      <c r="L121" s="43"/>
      <c r="M121" s="43"/>
      <c r="N121" s="43"/>
      <c r="O121" s="43"/>
      <c r="P121" s="43"/>
      <c r="Q121" s="43"/>
      <c r="R121" s="43"/>
      <c r="S121" s="43"/>
      <c r="T121" s="43"/>
      <c r="U121" s="43"/>
      <c r="V121" s="43"/>
      <c r="W121" s="43"/>
      <c r="X121" s="356">
        <f>AVERAGE(K121)</f>
        <v>730660</v>
      </c>
      <c r="Y121" s="419"/>
      <c r="Z121" s="422"/>
      <c r="AA121" s="422"/>
      <c r="AB121" s="422"/>
      <c r="AC121" s="425"/>
    </row>
    <row r="122" spans="2:29" ht="152.25" customHeight="1" x14ac:dyDescent="0.25">
      <c r="B122" s="388"/>
      <c r="C122" s="35" t="s">
        <v>234</v>
      </c>
      <c r="D122" s="60" t="s">
        <v>209</v>
      </c>
      <c r="E122" s="36">
        <v>1</v>
      </c>
      <c r="F122" s="105" t="s">
        <v>221</v>
      </c>
      <c r="G122" s="134"/>
      <c r="H122" s="135"/>
      <c r="I122" s="135"/>
      <c r="J122" s="43"/>
      <c r="K122" s="43">
        <f>875840*E122</f>
        <v>875840</v>
      </c>
      <c r="L122" s="43"/>
      <c r="M122" s="43"/>
      <c r="N122" s="43"/>
      <c r="O122" s="43"/>
      <c r="P122" s="43"/>
      <c r="Q122" s="43"/>
      <c r="R122" s="43"/>
      <c r="S122" s="43"/>
      <c r="T122" s="43"/>
      <c r="U122" s="43"/>
      <c r="V122" s="43"/>
      <c r="W122" s="43"/>
      <c r="X122" s="356">
        <f>AVERAGE(K122)</f>
        <v>875840</v>
      </c>
      <c r="Y122" s="419"/>
      <c r="Z122" s="422"/>
      <c r="AA122" s="422"/>
      <c r="AB122" s="422"/>
      <c r="AC122" s="425"/>
    </row>
    <row r="123" spans="2:29" ht="121.5" customHeight="1" thickBot="1" x14ac:dyDescent="0.3">
      <c r="B123" s="389"/>
      <c r="C123" s="99" t="s">
        <v>235</v>
      </c>
      <c r="D123" s="98" t="s">
        <v>236</v>
      </c>
      <c r="E123" s="48">
        <v>2</v>
      </c>
      <c r="F123" s="137" t="s">
        <v>233</v>
      </c>
      <c r="G123" s="138"/>
      <c r="H123" s="109"/>
      <c r="I123" s="109"/>
      <c r="J123" s="55"/>
      <c r="K123" s="55">
        <f>1652910*E123</f>
        <v>3305820</v>
      </c>
      <c r="L123" s="55"/>
      <c r="M123" s="55"/>
      <c r="N123" s="55"/>
      <c r="O123" s="55"/>
      <c r="P123" s="55"/>
      <c r="Q123" s="55"/>
      <c r="R123" s="55"/>
      <c r="S123" s="55"/>
      <c r="T123" s="55"/>
      <c r="U123" s="55"/>
      <c r="V123" s="55"/>
      <c r="W123" s="55">
        <f>1568570.93*E123</f>
        <v>3137141.86</v>
      </c>
      <c r="X123" s="357">
        <f>AVERAGE(K123,W123)</f>
        <v>3221480.9299999997</v>
      </c>
      <c r="Y123" s="420"/>
      <c r="Z123" s="423"/>
      <c r="AA123" s="423"/>
      <c r="AB123" s="423"/>
      <c r="AC123" s="426"/>
    </row>
    <row r="124" spans="2:29" ht="75" customHeight="1" x14ac:dyDescent="0.25">
      <c r="B124" s="387">
        <v>48</v>
      </c>
      <c r="C124" s="26" t="s">
        <v>237</v>
      </c>
      <c r="D124" s="72" t="s">
        <v>102</v>
      </c>
      <c r="E124" s="27">
        <v>2</v>
      </c>
      <c r="F124" s="94" t="s">
        <v>238</v>
      </c>
      <c r="G124" s="95"/>
      <c r="H124" s="96"/>
      <c r="I124" s="96">
        <f>578340*1</f>
        <v>578340</v>
      </c>
      <c r="J124" s="33"/>
      <c r="K124" s="33">
        <f>240380*E124</f>
        <v>480760</v>
      </c>
      <c r="L124" s="33">
        <f>230118*E124</f>
        <v>460236</v>
      </c>
      <c r="M124" s="33"/>
      <c r="N124" s="33"/>
      <c r="O124" s="33"/>
      <c r="P124" s="33"/>
      <c r="Q124" s="58">
        <f>829668*E124</f>
        <v>1659336</v>
      </c>
      <c r="R124" s="33"/>
      <c r="S124" s="33"/>
      <c r="T124" s="33"/>
      <c r="U124" s="33"/>
      <c r="V124" s="33"/>
      <c r="W124" s="33"/>
      <c r="X124" s="355">
        <f>AVERAGE(I124,K124,L124)</f>
        <v>506445.33333333331</v>
      </c>
      <c r="Y124" s="418">
        <f>SUM(X124:X127)/1</f>
        <v>1717115.6333333333</v>
      </c>
      <c r="Z124" s="421">
        <f>ROUND(Y124,0)</f>
        <v>1717116</v>
      </c>
      <c r="AA124" s="421">
        <f>Z124/1</f>
        <v>1717116</v>
      </c>
      <c r="AB124" s="421">
        <f>ROUND(AA124,0)</f>
        <v>1717116</v>
      </c>
      <c r="AC124" s="416">
        <f>AB124*1</f>
        <v>1717116</v>
      </c>
    </row>
    <row r="125" spans="2:29" ht="121.5" customHeight="1" x14ac:dyDescent="0.25">
      <c r="B125" s="388"/>
      <c r="C125" s="187" t="s">
        <v>239</v>
      </c>
      <c r="D125" s="199" t="s">
        <v>223</v>
      </c>
      <c r="E125" s="199">
        <v>1</v>
      </c>
      <c r="F125" s="200" t="s">
        <v>221</v>
      </c>
      <c r="G125" s="201"/>
      <c r="H125" s="202">
        <f>164220*E125</f>
        <v>164220</v>
      </c>
      <c r="I125" s="202"/>
      <c r="J125" s="191">
        <f>238000*E125</f>
        <v>238000</v>
      </c>
      <c r="K125" s="191">
        <f>273700*E125</f>
        <v>273700</v>
      </c>
      <c r="L125" s="191">
        <f>184450*E125</f>
        <v>184450</v>
      </c>
      <c r="M125" s="191"/>
      <c r="N125" s="191"/>
      <c r="O125" s="191"/>
      <c r="P125" s="191"/>
      <c r="Q125" s="191"/>
      <c r="R125" s="191"/>
      <c r="S125" s="191"/>
      <c r="T125" s="191"/>
      <c r="U125" s="191"/>
      <c r="V125" s="191"/>
      <c r="W125" s="191"/>
      <c r="X125" s="364">
        <f>AVERAGE(H125:L125)</f>
        <v>215092.5</v>
      </c>
      <c r="Y125" s="419"/>
      <c r="Z125" s="422"/>
      <c r="AA125" s="422"/>
      <c r="AB125" s="422"/>
      <c r="AC125" s="425"/>
    </row>
    <row r="126" spans="2:29" ht="98.25" customHeight="1" x14ac:dyDescent="0.25">
      <c r="B126" s="388"/>
      <c r="C126" s="35" t="s">
        <v>240</v>
      </c>
      <c r="D126" s="36" t="s">
        <v>258</v>
      </c>
      <c r="E126" s="36">
        <v>1</v>
      </c>
      <c r="F126" s="128" t="s">
        <v>221</v>
      </c>
      <c r="G126" s="106"/>
      <c r="H126" s="108"/>
      <c r="I126" s="108">
        <f>536690*E126</f>
        <v>536690</v>
      </c>
      <c r="J126" s="43"/>
      <c r="K126" s="43">
        <f>916300*E126</f>
        <v>916300</v>
      </c>
      <c r="L126" s="43">
        <f>816340*E126</f>
        <v>816340</v>
      </c>
      <c r="M126" s="43"/>
      <c r="N126" s="43"/>
      <c r="O126" s="43"/>
      <c r="P126" s="43"/>
      <c r="Q126" s="43">
        <f>594762*E126</f>
        <v>594762</v>
      </c>
      <c r="R126" s="43"/>
      <c r="S126" s="43"/>
      <c r="T126" s="43"/>
      <c r="U126" s="43"/>
      <c r="V126" s="43"/>
      <c r="W126" s="43"/>
      <c r="X126" s="356">
        <f>AVERAGE(I126,K126,L126,Q126)</f>
        <v>716023</v>
      </c>
      <c r="Y126" s="419"/>
      <c r="Z126" s="422"/>
      <c r="AA126" s="422"/>
      <c r="AB126" s="422"/>
      <c r="AC126" s="425"/>
    </row>
    <row r="127" spans="2:29" ht="121.5" customHeight="1" thickBot="1" x14ac:dyDescent="0.3">
      <c r="B127" s="389"/>
      <c r="C127" s="99" t="s">
        <v>242</v>
      </c>
      <c r="D127" s="98" t="s">
        <v>56</v>
      </c>
      <c r="E127" s="48">
        <v>1</v>
      </c>
      <c r="F127" s="99" t="s">
        <v>221</v>
      </c>
      <c r="G127" s="138"/>
      <c r="H127" s="109">
        <f>248710*E127</f>
        <v>248710</v>
      </c>
      <c r="I127" s="109">
        <f>197540*E127</f>
        <v>197540</v>
      </c>
      <c r="J127" s="55"/>
      <c r="K127" s="55">
        <f>318920*E127</f>
        <v>318920</v>
      </c>
      <c r="L127" s="55">
        <f>284410*E127</f>
        <v>284410</v>
      </c>
      <c r="M127" s="55"/>
      <c r="N127" s="55"/>
      <c r="O127" s="55"/>
      <c r="P127" s="55"/>
      <c r="Q127" s="55">
        <f>348194*E127</f>
        <v>348194</v>
      </c>
      <c r="R127" s="55"/>
      <c r="S127" s="55"/>
      <c r="T127" s="55"/>
      <c r="U127" s="55"/>
      <c r="V127" s="55"/>
      <c r="W127" s="55"/>
      <c r="X127" s="357">
        <f>AVERAGE(H127:Q127)</f>
        <v>279554.8</v>
      </c>
      <c r="Y127" s="420"/>
      <c r="Z127" s="423"/>
      <c r="AA127" s="423"/>
      <c r="AB127" s="423"/>
      <c r="AC127" s="426"/>
    </row>
    <row r="128" spans="2:29" ht="121.5" customHeight="1" x14ac:dyDescent="0.25">
      <c r="B128" s="398">
        <v>49</v>
      </c>
      <c r="C128" s="26" t="s">
        <v>243</v>
      </c>
      <c r="D128" s="27" t="s">
        <v>54</v>
      </c>
      <c r="E128" s="27">
        <v>1</v>
      </c>
      <c r="F128" s="104" t="s">
        <v>221</v>
      </c>
      <c r="G128" s="95"/>
      <c r="H128" s="96">
        <f>497420*E128</f>
        <v>497420</v>
      </c>
      <c r="I128" s="209">
        <f>1204280*E128</f>
        <v>1204280</v>
      </c>
      <c r="J128" s="33">
        <f>595000*E128</f>
        <v>595000</v>
      </c>
      <c r="K128" s="33"/>
      <c r="L128" s="33">
        <f>694960*E128</f>
        <v>694960</v>
      </c>
      <c r="M128" s="33"/>
      <c r="N128" s="33"/>
      <c r="O128" s="33"/>
      <c r="P128" s="33"/>
      <c r="Q128" s="33"/>
      <c r="R128" s="33"/>
      <c r="S128" s="33"/>
      <c r="T128" s="33"/>
      <c r="U128" s="33"/>
      <c r="V128" s="33"/>
      <c r="W128" s="33"/>
      <c r="X128" s="355">
        <f>AVERAGE(H128,L128,J128)</f>
        <v>595793.33333333337</v>
      </c>
      <c r="Y128" s="418">
        <f>SUM(X128:X129)/1</f>
        <v>1173498.6666666667</v>
      </c>
      <c r="Z128" s="421">
        <f>ROUND(Y128,0)</f>
        <v>1173499</v>
      </c>
      <c r="AA128" s="421">
        <f>Z128*1</f>
        <v>1173499</v>
      </c>
      <c r="AB128" s="439">
        <f>ROUND(AA128,0)</f>
        <v>1173499</v>
      </c>
      <c r="AC128" s="468">
        <f>AB128*1</f>
        <v>1173499</v>
      </c>
    </row>
    <row r="129" spans="2:29" ht="80.25" customHeight="1" thickBot="1" x14ac:dyDescent="0.3">
      <c r="B129" s="400"/>
      <c r="C129" s="47" t="s">
        <v>244</v>
      </c>
      <c r="D129" s="98" t="s">
        <v>245</v>
      </c>
      <c r="E129" s="98">
        <v>1</v>
      </c>
      <c r="F129" s="99" t="s">
        <v>221</v>
      </c>
      <c r="G129" s="100"/>
      <c r="H129" s="101">
        <f>591430*E129</f>
        <v>591430</v>
      </c>
      <c r="I129" s="101">
        <f>257040*E129</f>
        <v>257040</v>
      </c>
      <c r="J129" s="55">
        <f>884646*E129</f>
        <v>884646</v>
      </c>
      <c r="K129" s="55"/>
      <c r="L129" s="56">
        <f>1438710*E129</f>
        <v>1438710</v>
      </c>
      <c r="M129" s="55"/>
      <c r="N129" s="55"/>
      <c r="O129" s="55"/>
      <c r="P129" s="55"/>
      <c r="Q129" s="55"/>
      <c r="R129" s="55"/>
      <c r="S129" s="55"/>
      <c r="T129" s="55"/>
      <c r="U129" s="55"/>
      <c r="V129" s="55"/>
      <c r="W129" s="55"/>
      <c r="X129" s="357">
        <f>AVERAGE(H129:J129)</f>
        <v>577705.33333333337</v>
      </c>
      <c r="Y129" s="420"/>
      <c r="Z129" s="423"/>
      <c r="AA129" s="423"/>
      <c r="AB129" s="384"/>
      <c r="AC129" s="469"/>
    </row>
    <row r="130" spans="2:29" ht="121.5" customHeight="1" thickBot="1" x14ac:dyDescent="0.3">
      <c r="B130" s="278">
        <v>50</v>
      </c>
      <c r="C130" s="318" t="s">
        <v>246</v>
      </c>
      <c r="D130" s="305" t="s">
        <v>247</v>
      </c>
      <c r="E130" s="170">
        <v>1</v>
      </c>
      <c r="F130" s="318" t="s">
        <v>221</v>
      </c>
      <c r="G130" s="333"/>
      <c r="H130" s="326"/>
      <c r="I130" s="326"/>
      <c r="J130" s="175"/>
      <c r="K130" s="175">
        <f>1093610*E130</f>
        <v>1093610</v>
      </c>
      <c r="L130" s="175">
        <f>974510*E130</f>
        <v>974510</v>
      </c>
      <c r="M130" s="175"/>
      <c r="N130" s="175"/>
      <c r="O130" s="175"/>
      <c r="P130" s="175"/>
      <c r="Q130" s="175"/>
      <c r="R130" s="175"/>
      <c r="S130" s="175"/>
      <c r="T130" s="175"/>
      <c r="U130" s="175"/>
      <c r="V130" s="175"/>
      <c r="W130" s="175"/>
      <c r="X130" s="361">
        <f>AVERAGE(K130:L130)</f>
        <v>1034060</v>
      </c>
      <c r="Y130" s="350">
        <f>X130/1</f>
        <v>1034060</v>
      </c>
      <c r="Z130" s="283">
        <f>ROUND(Y130,0)</f>
        <v>1034060</v>
      </c>
      <c r="AA130" s="283">
        <f>Z130/E130</f>
        <v>1034060</v>
      </c>
      <c r="AB130" s="119">
        <f>ROUND(AA130,0)</f>
        <v>1034060</v>
      </c>
      <c r="AC130" s="338">
        <f>AB130*E130</f>
        <v>1034060</v>
      </c>
    </row>
    <row r="131" spans="2:29" ht="98.25" customHeight="1" x14ac:dyDescent="0.25">
      <c r="B131" s="398">
        <v>51</v>
      </c>
      <c r="C131" s="26" t="s">
        <v>248</v>
      </c>
      <c r="D131" s="27" t="s">
        <v>209</v>
      </c>
      <c r="E131" s="27">
        <v>4</v>
      </c>
      <c r="F131" s="104" t="s">
        <v>228</v>
      </c>
      <c r="G131" s="95"/>
      <c r="H131" s="339"/>
      <c r="I131" s="96">
        <f>299880*E131</f>
        <v>1199520</v>
      </c>
      <c r="J131" s="33">
        <f>283900*E131</f>
        <v>1135600</v>
      </c>
      <c r="K131" s="33">
        <f>331296*E131</f>
        <v>1325184</v>
      </c>
      <c r="L131" s="33"/>
      <c r="M131" s="33"/>
      <c r="N131" s="33"/>
      <c r="O131" s="33"/>
      <c r="P131" s="33"/>
      <c r="Q131" s="33"/>
      <c r="R131" s="33"/>
      <c r="S131" s="33"/>
      <c r="T131" s="33"/>
      <c r="U131" s="33"/>
      <c r="V131" s="33"/>
      <c r="W131" s="33"/>
      <c r="X131" s="355">
        <f>AVERAGE(I131:K131)</f>
        <v>1220101.3333333333</v>
      </c>
      <c r="Y131" s="427">
        <f>SUM(X131:X132)/1</f>
        <v>2183967.333333333</v>
      </c>
      <c r="Z131" s="454">
        <f>ROUND(Y131,0)</f>
        <v>2183967</v>
      </c>
      <c r="AA131" s="454">
        <f>Z131/1</f>
        <v>2183967</v>
      </c>
      <c r="AB131" s="454">
        <f>ROUND(AA131,0)</f>
        <v>2183967</v>
      </c>
      <c r="AC131" s="456">
        <f>AB131*1</f>
        <v>2183967</v>
      </c>
    </row>
    <row r="132" spans="2:29" ht="121.5" customHeight="1" thickBot="1" x14ac:dyDescent="0.3">
      <c r="B132" s="400"/>
      <c r="C132" s="47" t="s">
        <v>249</v>
      </c>
      <c r="D132" s="48" t="s">
        <v>209</v>
      </c>
      <c r="E132" s="48">
        <v>3</v>
      </c>
      <c r="F132" s="137" t="s">
        <v>218</v>
      </c>
      <c r="G132" s="138"/>
      <c r="H132" s="340"/>
      <c r="I132" s="109">
        <f>348670*E132</f>
        <v>1046010</v>
      </c>
      <c r="J132" s="55">
        <f>283900*E132</f>
        <v>851700</v>
      </c>
      <c r="K132" s="55">
        <f>331296*E132</f>
        <v>993888</v>
      </c>
      <c r="L132" s="55"/>
      <c r="M132" s="55"/>
      <c r="N132" s="55"/>
      <c r="O132" s="55"/>
      <c r="P132" s="55"/>
      <c r="Q132" s="55"/>
      <c r="R132" s="55"/>
      <c r="S132" s="55"/>
      <c r="T132" s="55"/>
      <c r="U132" s="55"/>
      <c r="V132" s="55"/>
      <c r="W132" s="55"/>
      <c r="X132" s="357">
        <f>AVERAGE(I132:K132)</f>
        <v>963866</v>
      </c>
      <c r="Y132" s="428"/>
      <c r="Z132" s="455"/>
      <c r="AA132" s="455"/>
      <c r="AB132" s="455"/>
      <c r="AC132" s="457"/>
    </row>
    <row r="133" spans="2:29" ht="123.75" customHeight="1" thickBot="1" x14ac:dyDescent="0.3">
      <c r="B133" s="278">
        <v>52</v>
      </c>
      <c r="C133" s="169" t="s">
        <v>250</v>
      </c>
      <c r="D133" s="305" t="s">
        <v>56</v>
      </c>
      <c r="E133" s="170">
        <v>1</v>
      </c>
      <c r="F133" s="307" t="s">
        <v>221</v>
      </c>
      <c r="G133" s="333"/>
      <c r="H133" s="326">
        <f>570010*E133</f>
        <v>570010</v>
      </c>
      <c r="I133" s="326">
        <f>587860*E133</f>
        <v>587860</v>
      </c>
      <c r="J133" s="176">
        <f>5940659*E133</f>
        <v>5940659</v>
      </c>
      <c r="K133" s="341">
        <f>176120*E133</f>
        <v>176120</v>
      </c>
      <c r="L133" s="176">
        <f>1320900*E133</f>
        <v>1320900</v>
      </c>
      <c r="M133" s="175"/>
      <c r="N133" s="175"/>
      <c r="O133" s="175"/>
      <c r="P133" s="175"/>
      <c r="Q133" s="175"/>
      <c r="R133" s="175"/>
      <c r="S133" s="175"/>
      <c r="T133" s="175"/>
      <c r="U133" s="175"/>
      <c r="V133" s="175"/>
      <c r="W133" s="175"/>
      <c r="X133" s="361">
        <f>AVERAGE(H133:I133)</f>
        <v>578935</v>
      </c>
      <c r="Y133" s="350">
        <f>X133/1</f>
        <v>578935</v>
      </c>
      <c r="Z133" s="288">
        <f>ROUND(Y133,0)</f>
        <v>578935</v>
      </c>
      <c r="AA133" s="284">
        <f>Z133/E33</f>
        <v>578935</v>
      </c>
      <c r="AB133" s="283">
        <f>ROUND(AA133,0)</f>
        <v>578935</v>
      </c>
      <c r="AC133" s="288">
        <f>AB133*E133</f>
        <v>578935</v>
      </c>
    </row>
    <row r="134" spans="2:29" ht="98.25" customHeight="1" x14ac:dyDescent="0.25">
      <c r="B134" s="387">
        <v>53</v>
      </c>
      <c r="C134" s="26" t="s">
        <v>251</v>
      </c>
      <c r="D134" s="27" t="s">
        <v>102</v>
      </c>
      <c r="E134" s="27">
        <v>1</v>
      </c>
      <c r="F134" s="94" t="s">
        <v>252</v>
      </c>
      <c r="G134" s="95"/>
      <c r="H134" s="96">
        <f>61880*E134</f>
        <v>61880</v>
      </c>
      <c r="I134" s="209">
        <f>509320*E134</f>
        <v>509320</v>
      </c>
      <c r="J134" s="33">
        <f>87143*E134</f>
        <v>87143</v>
      </c>
      <c r="K134" s="33">
        <f>76250*E134</f>
        <v>76250</v>
      </c>
      <c r="L134" s="58">
        <f>442000*E134</f>
        <v>442000</v>
      </c>
      <c r="M134" s="270">
        <f>20410*E134</f>
        <v>20410</v>
      </c>
      <c r="N134" s="33"/>
      <c r="O134" s="33"/>
      <c r="P134" s="33"/>
      <c r="Q134" s="33"/>
      <c r="R134" s="33"/>
      <c r="S134" s="33"/>
      <c r="T134" s="33"/>
      <c r="U134" s="33"/>
      <c r="V134" s="33"/>
      <c r="W134" s="33"/>
      <c r="X134" s="355">
        <f>AVERAGE(H134,K134,J134)</f>
        <v>75091</v>
      </c>
      <c r="Y134" s="427">
        <f>SUM(X134:X137)/1</f>
        <v>1565387.5</v>
      </c>
      <c r="Z134" s="454">
        <f>ROUND(Y134,0)</f>
        <v>1565388</v>
      </c>
      <c r="AA134" s="454">
        <f>Z134/1</f>
        <v>1565388</v>
      </c>
      <c r="AB134" s="454">
        <f>ROUND(AA134,0)</f>
        <v>1565388</v>
      </c>
      <c r="AC134" s="456">
        <f>AB134*1</f>
        <v>1565388</v>
      </c>
    </row>
    <row r="135" spans="2:29" ht="121.5" customHeight="1" x14ac:dyDescent="0.25">
      <c r="B135" s="388"/>
      <c r="C135" s="35" t="s">
        <v>253</v>
      </c>
      <c r="D135" s="36" t="s">
        <v>52</v>
      </c>
      <c r="E135" s="36">
        <v>1</v>
      </c>
      <c r="F135" s="128" t="s">
        <v>221</v>
      </c>
      <c r="G135" s="106"/>
      <c r="H135" s="108">
        <f>953190*E135</f>
        <v>953190</v>
      </c>
      <c r="I135" s="108">
        <f>993650*E135</f>
        <v>993650</v>
      </c>
      <c r="J135" s="43"/>
      <c r="K135" s="43">
        <f>780640*E135</f>
        <v>780640</v>
      </c>
      <c r="L135" s="44">
        <f>4342310*E135</f>
        <v>4342310</v>
      </c>
      <c r="M135" s="43"/>
      <c r="N135" s="43"/>
      <c r="O135" s="43"/>
      <c r="P135" s="43"/>
      <c r="Q135" s="43"/>
      <c r="R135" s="43"/>
      <c r="S135" s="43"/>
      <c r="T135" s="43"/>
      <c r="U135" s="43"/>
      <c r="V135" s="43"/>
      <c r="W135" s="43"/>
      <c r="X135" s="356">
        <f>AVERAGE(H135,I135,K135)</f>
        <v>909160</v>
      </c>
      <c r="Y135" s="443"/>
      <c r="Z135" s="450"/>
      <c r="AA135" s="450"/>
      <c r="AB135" s="447"/>
      <c r="AC135" s="430"/>
    </row>
    <row r="136" spans="2:29" ht="91.5" customHeight="1" x14ac:dyDescent="0.25">
      <c r="B136" s="388"/>
      <c r="C136" s="35" t="s">
        <v>254</v>
      </c>
      <c r="D136" s="36" t="s">
        <v>56</v>
      </c>
      <c r="E136" s="36">
        <v>1</v>
      </c>
      <c r="F136" s="128" t="s">
        <v>221</v>
      </c>
      <c r="G136" s="106"/>
      <c r="H136" s="108">
        <f>416500*E136</f>
        <v>416500</v>
      </c>
      <c r="I136" s="108">
        <f>393890*E136</f>
        <v>393890</v>
      </c>
      <c r="J136" s="43"/>
      <c r="K136" s="43">
        <f>278460*E136</f>
        <v>278460</v>
      </c>
      <c r="L136" s="43">
        <f>370090*E136</f>
        <v>370090</v>
      </c>
      <c r="M136" s="43"/>
      <c r="N136" s="43"/>
      <c r="O136" s="43"/>
      <c r="P136" s="43"/>
      <c r="Q136" s="44">
        <f>899640*E136</f>
        <v>899640</v>
      </c>
      <c r="R136" s="43"/>
      <c r="S136" s="43"/>
      <c r="T136" s="43"/>
      <c r="U136" s="43"/>
      <c r="V136" s="43"/>
      <c r="W136" s="43"/>
      <c r="X136" s="356">
        <f>AVERAGE(H136:L136)</f>
        <v>364735</v>
      </c>
      <c r="Y136" s="443"/>
      <c r="Z136" s="450"/>
      <c r="AA136" s="450"/>
      <c r="AB136" s="447"/>
      <c r="AC136" s="430"/>
    </row>
    <row r="137" spans="2:29" ht="121.5" customHeight="1" thickBot="1" x14ac:dyDescent="0.3">
      <c r="B137" s="389"/>
      <c r="C137" s="99" t="s">
        <v>255</v>
      </c>
      <c r="D137" s="98" t="s">
        <v>209</v>
      </c>
      <c r="E137" s="48">
        <v>1</v>
      </c>
      <c r="F137" s="137" t="s">
        <v>221</v>
      </c>
      <c r="G137" s="138"/>
      <c r="H137" s="109">
        <f>148750*E137</f>
        <v>148750</v>
      </c>
      <c r="I137" s="109">
        <f>258230*E137</f>
        <v>258230</v>
      </c>
      <c r="J137" s="55"/>
      <c r="K137" s="55">
        <f>247996*E137</f>
        <v>247996</v>
      </c>
      <c r="L137" s="55">
        <f>210630*E137</f>
        <v>210630</v>
      </c>
      <c r="M137" s="55"/>
      <c r="N137" s="55"/>
      <c r="O137" s="55"/>
      <c r="P137" s="55"/>
      <c r="Q137" s="55"/>
      <c r="R137" s="55"/>
      <c r="S137" s="55"/>
      <c r="T137" s="55"/>
      <c r="U137" s="55"/>
      <c r="V137" s="55"/>
      <c r="W137" s="55"/>
      <c r="X137" s="357">
        <f>AVERAGE(H137:L137)</f>
        <v>216401.5</v>
      </c>
      <c r="Y137" s="428"/>
      <c r="Z137" s="466"/>
      <c r="AA137" s="466"/>
      <c r="AB137" s="455"/>
      <c r="AC137" s="457"/>
    </row>
    <row r="138" spans="2:29" ht="121.5" customHeight="1" x14ac:dyDescent="0.25">
      <c r="B138" s="465">
        <v>54</v>
      </c>
      <c r="C138" s="213" t="s">
        <v>256</v>
      </c>
      <c r="D138" s="157" t="s">
        <v>226</v>
      </c>
      <c r="E138" s="199">
        <v>2</v>
      </c>
      <c r="F138" s="200" t="s">
        <v>233</v>
      </c>
      <c r="G138" s="201"/>
      <c r="H138" s="202">
        <f>849660*E138</f>
        <v>1699320</v>
      </c>
      <c r="I138" s="202"/>
      <c r="J138" s="190">
        <f>1439424*E138</f>
        <v>2878848</v>
      </c>
      <c r="K138" s="191">
        <f>609280*E138</f>
        <v>1218560</v>
      </c>
      <c r="L138" s="191">
        <f>543830*E138</f>
        <v>1087660</v>
      </c>
      <c r="M138" s="191"/>
      <c r="N138" s="191"/>
      <c r="O138" s="191"/>
      <c r="P138" s="191"/>
      <c r="Q138" s="191"/>
      <c r="R138" s="191"/>
      <c r="S138" s="191"/>
      <c r="T138" s="191"/>
      <c r="U138" s="191"/>
      <c r="V138" s="191"/>
      <c r="W138" s="191"/>
      <c r="X138" s="364">
        <f>AVERAGE(H138,K138,L138)</f>
        <v>1335180</v>
      </c>
      <c r="Y138" s="442">
        <f>SUM(X138:X140)/1</f>
        <v>2607543.8666666667</v>
      </c>
      <c r="Z138" s="422">
        <f>ROUND(Y138,0)</f>
        <v>2607544</v>
      </c>
      <c r="AA138" s="422">
        <f>Z138/1</f>
        <v>2607544</v>
      </c>
      <c r="AB138" s="446">
        <f>ROUND(AA138,0)</f>
        <v>2607544</v>
      </c>
      <c r="AC138" s="470">
        <f>AB138*1</f>
        <v>2607544</v>
      </c>
    </row>
    <row r="139" spans="2:29" ht="121.5" customHeight="1" x14ac:dyDescent="0.25">
      <c r="B139" s="399"/>
      <c r="C139" s="214" t="s">
        <v>257</v>
      </c>
      <c r="D139" s="60" t="s">
        <v>258</v>
      </c>
      <c r="E139" s="36">
        <v>1</v>
      </c>
      <c r="F139" s="128" t="s">
        <v>221</v>
      </c>
      <c r="G139" s="106"/>
      <c r="H139" s="108">
        <f>149940*E139</f>
        <v>149940</v>
      </c>
      <c r="I139" s="108"/>
      <c r="J139" s="43"/>
      <c r="K139" s="43">
        <f>205870*E139</f>
        <v>205870</v>
      </c>
      <c r="L139" s="43">
        <f>184450*E139</f>
        <v>184450</v>
      </c>
      <c r="M139" s="43"/>
      <c r="N139" s="43"/>
      <c r="O139" s="43"/>
      <c r="P139" s="43"/>
      <c r="Q139" s="43"/>
      <c r="R139" s="43"/>
      <c r="S139" s="43"/>
      <c r="T139" s="43"/>
      <c r="U139" s="43"/>
      <c r="V139" s="43"/>
      <c r="W139" s="43"/>
      <c r="X139" s="356">
        <f>AVERAGE(H139,K139,L139)</f>
        <v>180086.66666666666</v>
      </c>
      <c r="Y139" s="443"/>
      <c r="Z139" s="444"/>
      <c r="AA139" s="444"/>
      <c r="AB139" s="447"/>
      <c r="AC139" s="471"/>
    </row>
    <row r="140" spans="2:29" ht="70.5" customHeight="1" thickBot="1" x14ac:dyDescent="0.3">
      <c r="B140" s="415"/>
      <c r="C140" s="62" t="s">
        <v>259</v>
      </c>
      <c r="D140" s="63" t="s">
        <v>209</v>
      </c>
      <c r="E140" s="63">
        <v>3</v>
      </c>
      <c r="F140" s="308" t="s">
        <v>218</v>
      </c>
      <c r="G140" s="342"/>
      <c r="H140" s="342">
        <f>264180*E140</f>
        <v>792540</v>
      </c>
      <c r="I140" s="342"/>
      <c r="J140" s="70">
        <f>249900*E140</f>
        <v>749700</v>
      </c>
      <c r="K140" s="70">
        <f>495040*E140</f>
        <v>1485120</v>
      </c>
      <c r="L140" s="70">
        <f>441490*E140</f>
        <v>1324470</v>
      </c>
      <c r="M140" s="70"/>
      <c r="N140" s="70"/>
      <c r="O140" s="70"/>
      <c r="P140" s="70"/>
      <c r="Q140" s="70">
        <f>369852*E140</f>
        <v>1109556</v>
      </c>
      <c r="R140" s="70"/>
      <c r="S140" s="70"/>
      <c r="T140" s="70"/>
      <c r="U140" s="70"/>
      <c r="V140" s="70"/>
      <c r="W140" s="70"/>
      <c r="X140" s="358">
        <f>AVERAGE(H140:Q140)</f>
        <v>1092277.2</v>
      </c>
      <c r="Y140" s="459"/>
      <c r="Z140" s="444"/>
      <c r="AA140" s="444"/>
      <c r="AB140" s="451"/>
      <c r="AC140" s="472"/>
    </row>
    <row r="141" spans="2:29" ht="91.5" customHeight="1" thickBot="1" x14ac:dyDescent="0.3">
      <c r="B141" s="113">
        <v>55</v>
      </c>
      <c r="C141" s="83" t="s">
        <v>260</v>
      </c>
      <c r="D141" s="139" t="s">
        <v>41</v>
      </c>
      <c r="E141" s="139">
        <v>1</v>
      </c>
      <c r="F141" s="140" t="s">
        <v>221</v>
      </c>
      <c r="G141" s="215"/>
      <c r="H141" s="216">
        <f>211820*E141</f>
        <v>211820</v>
      </c>
      <c r="I141" s="216"/>
      <c r="J141" s="91"/>
      <c r="K141" s="91"/>
      <c r="L141" s="91"/>
      <c r="M141" s="91"/>
      <c r="N141" s="91"/>
      <c r="O141" s="91"/>
      <c r="P141" s="91"/>
      <c r="Q141" s="91">
        <f>296548*E141</f>
        <v>296548</v>
      </c>
      <c r="R141" s="91"/>
      <c r="S141" s="91"/>
      <c r="T141" s="91"/>
      <c r="U141" s="91"/>
      <c r="V141" s="91"/>
      <c r="W141" s="91"/>
      <c r="X141" s="360">
        <f>AVERAGE(H141,Q141)</f>
        <v>254184</v>
      </c>
      <c r="Y141" s="243">
        <f>X141/1</f>
        <v>254184</v>
      </c>
      <c r="Z141" s="142">
        <f>ROUND(Y141,0)</f>
        <v>254184</v>
      </c>
      <c r="AA141" s="142">
        <f>Z141/E141</f>
        <v>254184</v>
      </c>
      <c r="AB141" s="142">
        <f>ROUND(AA141,0)</f>
        <v>254184</v>
      </c>
      <c r="AC141" s="150">
        <f>AB141*E141</f>
        <v>254184</v>
      </c>
    </row>
    <row r="142" spans="2:29" ht="99" customHeight="1" thickBot="1" x14ac:dyDescent="0.3">
      <c r="B142" s="278">
        <v>56</v>
      </c>
      <c r="C142" s="169" t="s">
        <v>261</v>
      </c>
      <c r="D142" s="305" t="s">
        <v>394</v>
      </c>
      <c r="E142" s="305">
        <v>2</v>
      </c>
      <c r="F142" s="318" t="s">
        <v>233</v>
      </c>
      <c r="G142" s="345"/>
      <c r="H142" s="346"/>
      <c r="I142" s="347">
        <f>771120*E142</f>
        <v>1542240</v>
      </c>
      <c r="J142" s="175"/>
      <c r="K142" s="175"/>
      <c r="L142" s="175">
        <f>728280*E142</f>
        <v>1456560</v>
      </c>
      <c r="M142" s="175"/>
      <c r="N142" s="175"/>
      <c r="O142" s="175"/>
      <c r="P142" s="175"/>
      <c r="Q142" s="175"/>
      <c r="R142" s="175"/>
      <c r="S142" s="175"/>
      <c r="T142" s="175"/>
      <c r="U142" s="175"/>
      <c r="V142" s="175"/>
      <c r="W142" s="175"/>
      <c r="X142" s="361">
        <f>AVERAGE(I142:L142)</f>
        <v>1499400</v>
      </c>
      <c r="Y142" s="350">
        <f>X142/1</f>
        <v>1499400</v>
      </c>
      <c r="Z142" s="283">
        <f>ROUND(Y142,0)</f>
        <v>1499400</v>
      </c>
      <c r="AA142" s="283">
        <f>Z142/E142</f>
        <v>749700</v>
      </c>
      <c r="AB142" s="283">
        <f>ROUND(AA142,0)</f>
        <v>749700</v>
      </c>
      <c r="AC142" s="288">
        <f>AB142*E142</f>
        <v>1499400</v>
      </c>
    </row>
    <row r="143" spans="2:29" ht="85.5" customHeight="1" x14ac:dyDescent="0.25">
      <c r="B143" s="387">
        <v>57</v>
      </c>
      <c r="C143" s="26" t="s">
        <v>263</v>
      </c>
      <c r="D143" s="72" t="s">
        <v>264</v>
      </c>
      <c r="E143" s="72">
        <v>1</v>
      </c>
      <c r="F143" s="94" t="s">
        <v>221</v>
      </c>
      <c r="G143" s="132"/>
      <c r="H143" s="133">
        <f>452200*E143</f>
        <v>452200</v>
      </c>
      <c r="I143" s="217">
        <f>195160*E143</f>
        <v>195160</v>
      </c>
      <c r="J143" s="33">
        <f>739347*E143</f>
        <v>739347</v>
      </c>
      <c r="K143" s="58">
        <f>1094800*E143</f>
        <v>1094800</v>
      </c>
      <c r="L143" s="33">
        <f>975800*E143</f>
        <v>975800</v>
      </c>
      <c r="M143" s="33"/>
      <c r="N143" s="33"/>
      <c r="O143" s="33"/>
      <c r="P143" s="33"/>
      <c r="Q143" s="33">
        <f>633080*E143</f>
        <v>633080</v>
      </c>
      <c r="R143" s="33"/>
      <c r="S143" s="33"/>
      <c r="T143" s="33"/>
      <c r="U143" s="33"/>
      <c r="V143" s="33"/>
      <c r="W143" s="33"/>
      <c r="X143" s="355">
        <f>AVERAGE(H143,J143,L143,Q143)</f>
        <v>700106.75</v>
      </c>
      <c r="Y143" s="473">
        <f>SUM(X143:X146)/1</f>
        <v>2533501.6</v>
      </c>
      <c r="Z143" s="476">
        <f>ROUND(Y143,0)</f>
        <v>2533502</v>
      </c>
      <c r="AA143" s="421">
        <f>Z143/1</f>
        <v>2533502</v>
      </c>
      <c r="AB143" s="421">
        <f>ROUND(AA143,0)</f>
        <v>2533502</v>
      </c>
      <c r="AC143" s="416">
        <f>AB143*1</f>
        <v>2533502</v>
      </c>
    </row>
    <row r="144" spans="2:29" ht="94.5" customHeight="1" x14ac:dyDescent="0.25">
      <c r="B144" s="388"/>
      <c r="C144" s="35" t="s">
        <v>265</v>
      </c>
      <c r="D144" s="60" t="s">
        <v>266</v>
      </c>
      <c r="E144" s="60">
        <v>1</v>
      </c>
      <c r="F144" s="105" t="s">
        <v>221</v>
      </c>
      <c r="G144" s="134"/>
      <c r="H144" s="135">
        <f>761600*E144</f>
        <v>761600</v>
      </c>
      <c r="I144" s="135"/>
      <c r="J144" s="43"/>
      <c r="K144" s="43">
        <f>1269373*E144</f>
        <v>1269373</v>
      </c>
      <c r="L144" s="43">
        <f>749000*E144</f>
        <v>749000</v>
      </c>
      <c r="M144" s="43"/>
      <c r="N144" s="43"/>
      <c r="O144" s="43"/>
      <c r="P144" s="43"/>
      <c r="Q144" s="43">
        <f>1066240*E144</f>
        <v>1066240</v>
      </c>
      <c r="R144" s="43"/>
      <c r="S144" s="43"/>
      <c r="T144" s="43"/>
      <c r="U144" s="43"/>
      <c r="V144" s="43"/>
      <c r="W144" s="43"/>
      <c r="X144" s="356">
        <f>AVERAGE(H144:Q144)</f>
        <v>961553.25</v>
      </c>
      <c r="Y144" s="474"/>
      <c r="Z144" s="477"/>
      <c r="AA144" s="444"/>
      <c r="AB144" s="444"/>
      <c r="AC144" s="417"/>
    </row>
    <row r="145" spans="2:29" ht="74.25" customHeight="1" x14ac:dyDescent="0.25">
      <c r="B145" s="388"/>
      <c r="C145" s="35" t="s">
        <v>267</v>
      </c>
      <c r="D145" s="60" t="s">
        <v>41</v>
      </c>
      <c r="E145" s="60">
        <v>1</v>
      </c>
      <c r="F145" s="105" t="s">
        <v>221</v>
      </c>
      <c r="G145" s="134"/>
      <c r="H145" s="135">
        <f>226100*E145</f>
        <v>226100</v>
      </c>
      <c r="I145" s="135"/>
      <c r="J145" s="43">
        <f>238000*E145</f>
        <v>238000</v>
      </c>
      <c r="K145" s="43">
        <f>309400*E145</f>
        <v>309400</v>
      </c>
      <c r="L145" s="43">
        <f>276080*E145</f>
        <v>276080</v>
      </c>
      <c r="M145" s="43"/>
      <c r="N145" s="43"/>
      <c r="O145" s="43"/>
      <c r="P145" s="43"/>
      <c r="Q145" s="43">
        <f>316540*E145</f>
        <v>316540</v>
      </c>
      <c r="R145" s="43"/>
      <c r="S145" s="43"/>
      <c r="T145" s="43"/>
      <c r="U145" s="43"/>
      <c r="V145" s="43"/>
      <c r="W145" s="43"/>
      <c r="X145" s="356">
        <f>AVERAGE(H145:Q145)</f>
        <v>273224</v>
      </c>
      <c r="Y145" s="474"/>
      <c r="Z145" s="477"/>
      <c r="AA145" s="444"/>
      <c r="AB145" s="444"/>
      <c r="AC145" s="417"/>
    </row>
    <row r="146" spans="2:29" ht="81" customHeight="1" thickBot="1" x14ac:dyDescent="0.3">
      <c r="B146" s="389"/>
      <c r="C146" s="47" t="s">
        <v>268</v>
      </c>
      <c r="D146" s="98" t="s">
        <v>264</v>
      </c>
      <c r="E146" s="98">
        <v>1</v>
      </c>
      <c r="F146" s="99" t="s">
        <v>221</v>
      </c>
      <c r="G146" s="100"/>
      <c r="H146" s="101">
        <f>610470*E146</f>
        <v>610470</v>
      </c>
      <c r="I146" s="101">
        <f>455770*E146</f>
        <v>455770</v>
      </c>
      <c r="J146" s="55">
        <f>357000*E146</f>
        <v>357000</v>
      </c>
      <c r="K146" s="56">
        <f>1017450*E146</f>
        <v>1017450</v>
      </c>
      <c r="L146" s="55">
        <f>715190*E146</f>
        <v>715190</v>
      </c>
      <c r="M146" s="55"/>
      <c r="N146" s="55"/>
      <c r="O146" s="55"/>
      <c r="P146" s="55"/>
      <c r="Q146" s="55">
        <f>854658*E146</f>
        <v>854658</v>
      </c>
      <c r="R146" s="55"/>
      <c r="S146" s="55"/>
      <c r="T146" s="55"/>
      <c r="U146" s="55"/>
      <c r="V146" s="55"/>
      <c r="W146" s="55"/>
      <c r="X146" s="357">
        <f>AVERAGE(H146,I146,J146,L146,Q146)</f>
        <v>598617.59999999998</v>
      </c>
      <c r="Y146" s="475"/>
      <c r="Z146" s="478"/>
      <c r="AA146" s="460"/>
      <c r="AB146" s="460"/>
      <c r="AC146" s="424"/>
    </row>
    <row r="147" spans="2:29" ht="113.25" customHeight="1" thickBot="1" x14ac:dyDescent="0.3">
      <c r="B147" s="97">
        <v>58</v>
      </c>
      <c r="C147" s="75" t="s">
        <v>269</v>
      </c>
      <c r="D147" s="166" t="s">
        <v>270</v>
      </c>
      <c r="E147" s="76">
        <v>2</v>
      </c>
      <c r="F147" s="210" t="s">
        <v>233</v>
      </c>
      <c r="G147" s="343"/>
      <c r="H147" s="344"/>
      <c r="I147" s="344"/>
      <c r="J147" s="80"/>
      <c r="K147" s="80">
        <f>12410272*E147</f>
        <v>24820544</v>
      </c>
      <c r="L147" s="80">
        <f>14898800*E147</f>
        <v>29797600</v>
      </c>
      <c r="M147" s="80"/>
      <c r="N147" s="80"/>
      <c r="O147" s="80"/>
      <c r="P147" s="80"/>
      <c r="Q147" s="80"/>
      <c r="R147" s="80"/>
      <c r="S147" s="80"/>
      <c r="T147" s="80"/>
      <c r="U147" s="80"/>
      <c r="V147" s="80"/>
      <c r="W147" s="80"/>
      <c r="X147" s="366">
        <f>AVERAGE(K147,L147)</f>
        <v>27309072</v>
      </c>
      <c r="Y147" s="351">
        <f>X147/1</f>
        <v>27309072</v>
      </c>
      <c r="Z147" s="280">
        <f>ROUND(Y147,0)</f>
        <v>27309072</v>
      </c>
      <c r="AA147" s="280">
        <f>Z147/E147</f>
        <v>13654536</v>
      </c>
      <c r="AB147" s="280">
        <f>ROUND(AA147,0)</f>
        <v>13654536</v>
      </c>
      <c r="AC147" s="289">
        <f>AB147*E147</f>
        <v>27309072</v>
      </c>
    </row>
    <row r="148" spans="2:29" ht="121.5" customHeight="1" x14ac:dyDescent="0.25">
      <c r="B148" s="387">
        <v>59</v>
      </c>
      <c r="C148" s="26" t="s">
        <v>271</v>
      </c>
      <c r="D148" s="27" t="s">
        <v>236</v>
      </c>
      <c r="E148" s="27">
        <v>1</v>
      </c>
      <c r="F148" s="94" t="s">
        <v>272</v>
      </c>
      <c r="G148" s="95"/>
      <c r="H148" s="96">
        <f>71400*E148</f>
        <v>71400</v>
      </c>
      <c r="I148" s="96"/>
      <c r="J148" s="33"/>
      <c r="K148" s="33">
        <f>137743*E148</f>
        <v>137743</v>
      </c>
      <c r="L148" s="33"/>
      <c r="M148" s="33">
        <f>40190*E148</f>
        <v>40190</v>
      </c>
      <c r="N148" s="33"/>
      <c r="O148" s="33"/>
      <c r="P148" s="33"/>
      <c r="Q148" s="33"/>
      <c r="R148" s="33"/>
      <c r="S148" s="33"/>
      <c r="T148" s="33"/>
      <c r="U148" s="33"/>
      <c r="V148" s="33"/>
      <c r="W148" s="33"/>
      <c r="X148" s="355">
        <f>AVERAGE(H148,K148,M148)</f>
        <v>83111</v>
      </c>
      <c r="Y148" s="418">
        <f>SUM(X148:X150)/1</f>
        <v>479256.66666666663</v>
      </c>
      <c r="Z148" s="421">
        <f>ROUND(Y148,0)</f>
        <v>479257</v>
      </c>
      <c r="AA148" s="421">
        <f>Z148/1</f>
        <v>479257</v>
      </c>
      <c r="AB148" s="421">
        <f>ROUND(AA148,0)</f>
        <v>479257</v>
      </c>
      <c r="AC148" s="416">
        <f>AB148*1</f>
        <v>479257</v>
      </c>
    </row>
    <row r="149" spans="2:29" ht="108" customHeight="1" x14ac:dyDescent="0.25">
      <c r="B149" s="388"/>
      <c r="C149" s="35" t="s">
        <v>273</v>
      </c>
      <c r="D149" s="36" t="s">
        <v>226</v>
      </c>
      <c r="E149" s="36">
        <v>2</v>
      </c>
      <c r="F149" s="105" t="s">
        <v>274</v>
      </c>
      <c r="G149" s="106"/>
      <c r="H149" s="108">
        <f>102340*E149</f>
        <v>204680</v>
      </c>
      <c r="I149" s="108">
        <f>155890*E149</f>
        <v>311780</v>
      </c>
      <c r="J149" s="43"/>
      <c r="K149" s="43">
        <f>183558*E149</f>
        <v>367116</v>
      </c>
      <c r="L149" s="44">
        <f>406980*E149</f>
        <v>813960</v>
      </c>
      <c r="M149" s="43">
        <f>56970*E149</f>
        <v>113940</v>
      </c>
      <c r="N149" s="43"/>
      <c r="O149" s="43"/>
      <c r="P149" s="43"/>
      <c r="Q149" s="43"/>
      <c r="R149" s="43"/>
      <c r="S149" s="43"/>
      <c r="T149" s="43"/>
      <c r="U149" s="43"/>
      <c r="V149" s="43"/>
      <c r="W149" s="43"/>
      <c r="X149" s="356">
        <f>AVERAGE(H149,I149,K149,M149)</f>
        <v>249379</v>
      </c>
      <c r="Y149" s="419"/>
      <c r="Z149" s="422"/>
      <c r="AA149" s="422"/>
      <c r="AB149" s="422"/>
      <c r="AC149" s="425"/>
    </row>
    <row r="150" spans="2:29" ht="105.75" customHeight="1" thickBot="1" x14ac:dyDescent="0.3">
      <c r="B150" s="389"/>
      <c r="C150" s="47" t="s">
        <v>275</v>
      </c>
      <c r="D150" s="48" t="s">
        <v>276</v>
      </c>
      <c r="E150" s="48">
        <v>1</v>
      </c>
      <c r="F150" s="99" t="s">
        <v>272</v>
      </c>
      <c r="G150" s="138"/>
      <c r="H150" s="109">
        <f>69020*E150</f>
        <v>69020</v>
      </c>
      <c r="I150" s="109">
        <f>270130*E150</f>
        <v>270130</v>
      </c>
      <c r="J150" s="55"/>
      <c r="K150" s="55">
        <f>101150*E150</f>
        <v>101150</v>
      </c>
      <c r="L150" s="55"/>
      <c r="M150" s="218">
        <f>23990*E150</f>
        <v>23990</v>
      </c>
      <c r="N150" s="55"/>
      <c r="O150" s="55"/>
      <c r="P150" s="55"/>
      <c r="Q150" s="180"/>
      <c r="R150" s="55"/>
      <c r="S150" s="55"/>
      <c r="T150" s="55"/>
      <c r="U150" s="55"/>
      <c r="V150" s="55"/>
      <c r="W150" s="55"/>
      <c r="X150" s="357">
        <f>AVERAGE(H150:K150)</f>
        <v>146766.66666666666</v>
      </c>
      <c r="Y150" s="420"/>
      <c r="Z150" s="423"/>
      <c r="AA150" s="423"/>
      <c r="AB150" s="423"/>
      <c r="AC150" s="426"/>
    </row>
    <row r="151" spans="2:29" ht="73.5" customHeight="1" x14ac:dyDescent="0.25">
      <c r="B151" s="388">
        <v>60</v>
      </c>
      <c r="C151" s="187" t="s">
        <v>277</v>
      </c>
      <c r="D151" s="199" t="s">
        <v>56</v>
      </c>
      <c r="E151" s="199">
        <v>2</v>
      </c>
      <c r="F151" s="200" t="s">
        <v>278</v>
      </c>
      <c r="G151" s="202"/>
      <c r="H151" s="219">
        <f>364140*E151</f>
        <v>728280</v>
      </c>
      <c r="I151" s="202">
        <f>728280*E151</f>
        <v>1456560</v>
      </c>
      <c r="J151" s="191">
        <f>771834*E151</f>
        <v>1543668</v>
      </c>
      <c r="K151" s="191">
        <f>1145970*E151</f>
        <v>2291940</v>
      </c>
      <c r="L151" s="191">
        <f>1021020*E151</f>
        <v>2042040</v>
      </c>
      <c r="M151" s="191"/>
      <c r="N151" s="191"/>
      <c r="O151" s="191"/>
      <c r="P151" s="191"/>
      <c r="Q151" s="191"/>
      <c r="R151" s="191"/>
      <c r="S151" s="191"/>
      <c r="T151" s="191"/>
      <c r="U151" s="191"/>
      <c r="V151" s="191"/>
      <c r="W151" s="191"/>
      <c r="X151" s="364">
        <f>AVERAGE(I151:L151)</f>
        <v>1833552</v>
      </c>
      <c r="Y151" s="419">
        <f>SUM(X151:X154)/1</f>
        <v>3688364.8333333335</v>
      </c>
      <c r="Z151" s="422">
        <f>ROUND(Y151,0)</f>
        <v>3688365</v>
      </c>
      <c r="AA151" s="422">
        <f>Z151/1</f>
        <v>3688365</v>
      </c>
      <c r="AB151" s="422">
        <f>ROUND(AA151,0)</f>
        <v>3688365</v>
      </c>
      <c r="AC151" s="425">
        <f>AB151*1</f>
        <v>3688365</v>
      </c>
    </row>
    <row r="152" spans="2:29" ht="75" customHeight="1" x14ac:dyDescent="0.25">
      <c r="B152" s="388"/>
      <c r="C152" s="35" t="s">
        <v>279</v>
      </c>
      <c r="D152" s="36" t="s">
        <v>280</v>
      </c>
      <c r="E152" s="36">
        <v>1</v>
      </c>
      <c r="F152" s="128" t="s">
        <v>281</v>
      </c>
      <c r="G152" s="106"/>
      <c r="H152" s="108">
        <f>1541050*E152</f>
        <v>1541050</v>
      </c>
      <c r="I152" s="108"/>
      <c r="J152" s="43"/>
      <c r="K152" s="43">
        <f>946050*E152</f>
        <v>946050</v>
      </c>
      <c r="L152" s="43">
        <f>1369690*E152</f>
        <v>1369690</v>
      </c>
      <c r="M152" s="43"/>
      <c r="N152" s="43"/>
      <c r="O152" s="43"/>
      <c r="P152" s="43"/>
      <c r="Q152" s="43"/>
      <c r="R152" s="43"/>
      <c r="S152" s="43"/>
      <c r="T152" s="43"/>
      <c r="U152" s="43"/>
      <c r="V152" s="43"/>
      <c r="W152" s="43"/>
      <c r="X152" s="356">
        <f>AVERAGE(H152,K152,L152)</f>
        <v>1285596.6666666667</v>
      </c>
      <c r="Y152" s="419"/>
      <c r="Z152" s="422"/>
      <c r="AA152" s="422"/>
      <c r="AB152" s="422"/>
      <c r="AC152" s="425"/>
    </row>
    <row r="153" spans="2:29" ht="70.5" customHeight="1" x14ac:dyDescent="0.25">
      <c r="B153" s="388"/>
      <c r="C153" s="35" t="s">
        <v>282</v>
      </c>
      <c r="D153" s="36" t="s">
        <v>283</v>
      </c>
      <c r="E153" s="36">
        <v>1</v>
      </c>
      <c r="F153" s="128" t="s">
        <v>281</v>
      </c>
      <c r="G153" s="108"/>
      <c r="H153" s="108">
        <f>499800*E153</f>
        <v>499800</v>
      </c>
      <c r="I153" s="220">
        <f>101150*E153</f>
        <v>101150</v>
      </c>
      <c r="J153" s="74">
        <f>214200*E153</f>
        <v>214200</v>
      </c>
      <c r="K153" s="43">
        <f>415310*E153</f>
        <v>415310</v>
      </c>
      <c r="L153" s="43">
        <f>502180*E153</f>
        <v>502180</v>
      </c>
      <c r="M153" s="43"/>
      <c r="N153" s="43"/>
      <c r="O153" s="43"/>
      <c r="P153" s="43"/>
      <c r="Q153" s="43">
        <f>539784*E153</f>
        <v>539784</v>
      </c>
      <c r="R153" s="43"/>
      <c r="S153" s="43"/>
      <c r="T153" s="43"/>
      <c r="U153" s="43"/>
      <c r="V153" s="43"/>
      <c r="W153" s="43"/>
      <c r="X153" s="356">
        <f>AVERAGE(H153,K153:Q153)</f>
        <v>489268.5</v>
      </c>
      <c r="Y153" s="419"/>
      <c r="Z153" s="422"/>
      <c r="AA153" s="422"/>
      <c r="AB153" s="422"/>
      <c r="AC153" s="425"/>
    </row>
    <row r="154" spans="2:29" ht="60" customHeight="1" thickBot="1" x14ac:dyDescent="0.3">
      <c r="B154" s="388"/>
      <c r="C154" s="62" t="s">
        <v>284</v>
      </c>
      <c r="D154" s="195" t="s">
        <v>58</v>
      </c>
      <c r="E154" s="195">
        <v>1</v>
      </c>
      <c r="F154" s="221" t="s">
        <v>285</v>
      </c>
      <c r="G154" s="222"/>
      <c r="H154" s="223">
        <f>153510*E154</f>
        <v>153510</v>
      </c>
      <c r="I154" s="223"/>
      <c r="J154" s="70"/>
      <c r="K154" s="70">
        <f>66343*E154</f>
        <v>66343</v>
      </c>
      <c r="L154" s="70"/>
      <c r="M154" s="70">
        <f>19990*E154</f>
        <v>19990</v>
      </c>
      <c r="N154" s="70"/>
      <c r="O154" s="70"/>
      <c r="P154" s="70"/>
      <c r="Q154" s="70"/>
      <c r="R154" s="70"/>
      <c r="S154" s="70"/>
      <c r="T154" s="70"/>
      <c r="U154" s="70"/>
      <c r="V154" s="70"/>
      <c r="W154" s="70"/>
      <c r="X154" s="358">
        <f>AVERAGE(H154,K154,M154)</f>
        <v>79947.666666666672</v>
      </c>
      <c r="Y154" s="419"/>
      <c r="Z154" s="422"/>
      <c r="AA154" s="422"/>
      <c r="AB154" s="422"/>
      <c r="AC154" s="425"/>
    </row>
    <row r="155" spans="2:29" ht="63" customHeight="1" thickBot="1" x14ac:dyDescent="0.3">
      <c r="B155" s="113">
        <v>61</v>
      </c>
      <c r="C155" s="83" t="s">
        <v>286</v>
      </c>
      <c r="D155" s="84" t="s">
        <v>58</v>
      </c>
      <c r="E155" s="84">
        <v>1</v>
      </c>
      <c r="F155" s="140" t="s">
        <v>272</v>
      </c>
      <c r="G155" s="141"/>
      <c r="H155" s="141">
        <f>1894480*E155</f>
        <v>1894480</v>
      </c>
      <c r="I155" s="141"/>
      <c r="J155" s="91"/>
      <c r="K155" s="212">
        <f>253470*E155</f>
        <v>253470</v>
      </c>
      <c r="L155" s="91">
        <f>1742160*E155</f>
        <v>1742160</v>
      </c>
      <c r="M155" s="91"/>
      <c r="N155" s="91"/>
      <c r="O155" s="91"/>
      <c r="P155" s="91"/>
      <c r="Q155" s="91"/>
      <c r="R155" s="91"/>
      <c r="S155" s="91"/>
      <c r="T155" s="91"/>
      <c r="U155" s="91"/>
      <c r="V155" s="91"/>
      <c r="W155" s="91"/>
      <c r="X155" s="360">
        <f>AVERAGE(H155,L155)</f>
        <v>1818320</v>
      </c>
      <c r="Y155" s="243">
        <f>X155/1</f>
        <v>1818320</v>
      </c>
      <c r="Z155" s="142">
        <f>ROUND(Y155,0)</f>
        <v>1818320</v>
      </c>
      <c r="AA155" s="118">
        <f>Z155/E155</f>
        <v>1818320</v>
      </c>
      <c r="AB155" s="142">
        <f>ROUND(AA155,0)</f>
        <v>1818320</v>
      </c>
      <c r="AC155" s="150">
        <f>AB155*E155</f>
        <v>1818320</v>
      </c>
    </row>
    <row r="156" spans="2:29" ht="87" customHeight="1" thickBot="1" x14ac:dyDescent="0.3">
      <c r="B156" s="113">
        <v>62</v>
      </c>
      <c r="C156" s="83" t="s">
        <v>287</v>
      </c>
      <c r="D156" s="84" t="s">
        <v>58</v>
      </c>
      <c r="E156" s="84">
        <v>1</v>
      </c>
      <c r="F156" s="211" t="s">
        <v>107</v>
      </c>
      <c r="G156" s="168"/>
      <c r="H156" s="141">
        <f>47600*E156</f>
        <v>47600</v>
      </c>
      <c r="I156" s="141"/>
      <c r="J156" s="91"/>
      <c r="K156" s="91"/>
      <c r="L156" s="91"/>
      <c r="M156" s="91"/>
      <c r="N156" s="91"/>
      <c r="O156" s="91"/>
      <c r="P156" s="91"/>
      <c r="Q156" s="91"/>
      <c r="R156" s="91"/>
      <c r="S156" s="91"/>
      <c r="T156" s="91"/>
      <c r="U156" s="91"/>
      <c r="V156" s="91"/>
      <c r="W156" s="91"/>
      <c r="X156" s="360">
        <f>AVERAGE(H156)</f>
        <v>47600</v>
      </c>
      <c r="Y156" s="243">
        <f>X156/1</f>
        <v>47600</v>
      </c>
      <c r="Z156" s="142">
        <f>ROUND(Y156,0)</f>
        <v>47600</v>
      </c>
      <c r="AA156" s="118">
        <f>Z156/E156</f>
        <v>47600</v>
      </c>
      <c r="AB156" s="142">
        <f>ROUND(AA156,0)</f>
        <v>47600</v>
      </c>
      <c r="AC156" s="150">
        <f>AB156*E156</f>
        <v>47600</v>
      </c>
    </row>
    <row r="157" spans="2:29" ht="75" customHeight="1" x14ac:dyDescent="0.25">
      <c r="B157" s="465">
        <v>63</v>
      </c>
      <c r="C157" s="187" t="s">
        <v>288</v>
      </c>
      <c r="D157" s="253" t="s">
        <v>289</v>
      </c>
      <c r="E157" s="253">
        <v>2</v>
      </c>
      <c r="F157" s="213" t="s">
        <v>290</v>
      </c>
      <c r="G157" s="201"/>
      <c r="H157" s="202">
        <f>197540*E157</f>
        <v>395080</v>
      </c>
      <c r="I157" s="191">
        <f>366520*E157</f>
        <v>733040</v>
      </c>
      <c r="J157" s="191">
        <f>345100*E157</f>
        <v>690200</v>
      </c>
      <c r="K157" s="191">
        <f>398650*E157</f>
        <v>797300</v>
      </c>
      <c r="L157" s="190">
        <f>511700*E157</f>
        <v>1023400</v>
      </c>
      <c r="M157" s="191"/>
      <c r="N157" s="191"/>
      <c r="O157" s="191"/>
      <c r="P157" s="191"/>
      <c r="Q157" s="191">
        <f>329868*E157</f>
        <v>659736</v>
      </c>
      <c r="R157" s="191"/>
      <c r="S157" s="191"/>
      <c r="T157" s="191"/>
      <c r="U157" s="191"/>
      <c r="V157" s="191"/>
      <c r="W157" s="191"/>
      <c r="X157" s="364">
        <f>AVERAGE(H157,I157,K157,Q157,J157)</f>
        <v>655071.19999999995</v>
      </c>
      <c r="Y157" s="442">
        <f>SUM(X157:X158)/1</f>
        <v>1240551.2</v>
      </c>
      <c r="Z157" s="422">
        <f>ROUND(Y157,0)</f>
        <v>1240551</v>
      </c>
      <c r="AA157" s="422">
        <f>Z157/1</f>
        <v>1240551</v>
      </c>
      <c r="AB157" s="479">
        <f>ROUND(AA157,0)</f>
        <v>1240551</v>
      </c>
      <c r="AC157" s="429">
        <f>AB157*1</f>
        <v>1240551</v>
      </c>
    </row>
    <row r="158" spans="2:29" ht="71.25" customHeight="1" thickBot="1" x14ac:dyDescent="0.3">
      <c r="B158" s="400"/>
      <c r="C158" s="47" t="s">
        <v>291</v>
      </c>
      <c r="D158" s="136" t="s">
        <v>292</v>
      </c>
      <c r="E158" s="136">
        <v>3</v>
      </c>
      <c r="F158" s="99" t="s">
        <v>293</v>
      </c>
      <c r="G158" s="138"/>
      <c r="H158" s="109">
        <f>172550*E158</f>
        <v>517650</v>
      </c>
      <c r="I158" s="109">
        <f>246330*E158</f>
        <v>738990</v>
      </c>
      <c r="J158" s="55">
        <f>166600*E158</f>
        <v>499800</v>
      </c>
      <c r="K158" s="56">
        <f>723996*E158</f>
        <v>2171988</v>
      </c>
      <c r="L158" s="56">
        <f>368106.66*E158</f>
        <v>1104319.98</v>
      </c>
      <c r="M158" s="55"/>
      <c r="N158" s="55"/>
      <c r="O158" s="55"/>
      <c r="P158" s="55"/>
      <c r="Q158" s="55"/>
      <c r="R158" s="55"/>
      <c r="S158" s="55"/>
      <c r="T158" s="55"/>
      <c r="U158" s="55"/>
      <c r="V158" s="55"/>
      <c r="W158" s="55"/>
      <c r="X158" s="357">
        <f>AVERAGE(H158:J158)</f>
        <v>585480</v>
      </c>
      <c r="Y158" s="428"/>
      <c r="Z158" s="460"/>
      <c r="AA158" s="423"/>
      <c r="AB158" s="480"/>
      <c r="AC158" s="467"/>
    </row>
    <row r="159" spans="2:29" ht="121.5" customHeight="1" thickBot="1" x14ac:dyDescent="0.3">
      <c r="B159" s="113">
        <v>64</v>
      </c>
      <c r="C159" s="140" t="s">
        <v>294</v>
      </c>
      <c r="D159" s="84" t="s">
        <v>226</v>
      </c>
      <c r="E159" s="84">
        <v>7</v>
      </c>
      <c r="F159" s="140" t="s">
        <v>295</v>
      </c>
      <c r="G159" s="141"/>
      <c r="H159" s="224">
        <f>195160*E159</f>
        <v>1366120</v>
      </c>
      <c r="I159" s="141"/>
      <c r="J159" s="91"/>
      <c r="K159" s="91">
        <f>495040*E159</f>
        <v>3465280</v>
      </c>
      <c r="L159" s="91">
        <f>441490*E159</f>
        <v>3090430</v>
      </c>
      <c r="M159" s="92">
        <f>604280*E159</f>
        <v>4229960</v>
      </c>
      <c r="N159" s="91"/>
      <c r="O159" s="91"/>
      <c r="P159" s="91"/>
      <c r="Q159" s="91"/>
      <c r="R159" s="91"/>
      <c r="S159" s="91"/>
      <c r="T159" s="91"/>
      <c r="U159" s="91"/>
      <c r="V159" s="91"/>
      <c r="W159" s="91"/>
      <c r="X159" s="360">
        <f>AVERAGE(K159,L159)</f>
        <v>3277855</v>
      </c>
      <c r="Y159" s="243">
        <f>X159/1</f>
        <v>3277855</v>
      </c>
      <c r="Z159" s="150">
        <f>ROUND(Y159,0)</f>
        <v>3277855</v>
      </c>
      <c r="AA159" s="118">
        <f>Z159/E159</f>
        <v>468265</v>
      </c>
      <c r="AB159" s="142">
        <f>ROUND(AA159,0)</f>
        <v>468265</v>
      </c>
      <c r="AC159" s="150">
        <f>AB159*E159</f>
        <v>3277855</v>
      </c>
    </row>
    <row r="160" spans="2:29" ht="58.5" customHeight="1" x14ac:dyDescent="0.25">
      <c r="B160" s="387">
        <v>65</v>
      </c>
      <c r="C160" s="94" t="s">
        <v>297</v>
      </c>
      <c r="D160" s="27" t="s">
        <v>298</v>
      </c>
      <c r="E160" s="72">
        <v>13</v>
      </c>
      <c r="F160" s="94" t="s">
        <v>299</v>
      </c>
      <c r="G160" s="263"/>
      <c r="H160" s="226">
        <f>102000*E160</f>
        <v>1326000</v>
      </c>
      <c r="I160" s="154"/>
      <c r="J160" s="154"/>
      <c r="K160" s="33">
        <f>105612.5*E160</f>
        <v>1372962.5</v>
      </c>
      <c r="L160" s="33">
        <f>82110*E160</f>
        <v>1067430</v>
      </c>
      <c r="M160" s="33"/>
      <c r="N160" s="33"/>
      <c r="O160" s="33"/>
      <c r="P160" s="33"/>
      <c r="Q160" s="33"/>
      <c r="R160" s="33"/>
      <c r="S160" s="33"/>
      <c r="T160" s="33"/>
      <c r="U160" s="33"/>
      <c r="V160" s="33">
        <f>71196.538*E160</f>
        <v>925554.99399999995</v>
      </c>
      <c r="W160" s="33"/>
      <c r="X160" s="367">
        <f>AVERAGE(H160:V160)</f>
        <v>1172986.8735</v>
      </c>
      <c r="Y160" s="427">
        <f>SUM(X160:X167)/1</f>
        <v>7028075.8734999998</v>
      </c>
      <c r="Z160" s="454">
        <f>ROUND(Y160,0)</f>
        <v>7028076</v>
      </c>
      <c r="AA160" s="487">
        <f>Z160/1</f>
        <v>7028076</v>
      </c>
      <c r="AB160" s="439">
        <f>ROUND(AA160,0)</f>
        <v>7028076</v>
      </c>
      <c r="AC160" s="485">
        <f>AB160*1</f>
        <v>7028076</v>
      </c>
    </row>
    <row r="161" spans="2:29" ht="58.5" customHeight="1" x14ac:dyDescent="0.25">
      <c r="B161" s="388"/>
      <c r="C161" s="105" t="s">
        <v>300</v>
      </c>
      <c r="D161" s="60" t="s">
        <v>80</v>
      </c>
      <c r="E161" s="36">
        <v>100</v>
      </c>
      <c r="F161" s="227" t="s">
        <v>301</v>
      </c>
      <c r="G161" s="264"/>
      <c r="H161" s="229">
        <f>7800*E161</f>
        <v>780000</v>
      </c>
      <c r="I161" s="230"/>
      <c r="J161" s="230"/>
      <c r="K161" s="43">
        <f>8508.5*E161</f>
        <v>850850</v>
      </c>
      <c r="L161" s="43">
        <f>8330*E161</f>
        <v>833000</v>
      </c>
      <c r="M161" s="43"/>
      <c r="N161" s="43"/>
      <c r="O161" s="44">
        <f>91656*E161</f>
        <v>9165600</v>
      </c>
      <c r="P161" s="43"/>
      <c r="Q161" s="43"/>
      <c r="R161" s="43"/>
      <c r="S161" s="43"/>
      <c r="T161" s="43"/>
      <c r="U161" s="43"/>
      <c r="V161" s="43">
        <f>7885.71*E161</f>
        <v>788571</v>
      </c>
      <c r="W161" s="43"/>
      <c r="X161" s="368">
        <f>AVERAGE(H161:L161,V161)</f>
        <v>813105.25</v>
      </c>
      <c r="Y161" s="443"/>
      <c r="Z161" s="450"/>
      <c r="AA161" s="488"/>
      <c r="AB161" s="383"/>
      <c r="AC161" s="471"/>
    </row>
    <row r="162" spans="2:29" ht="58.5" customHeight="1" x14ac:dyDescent="0.25">
      <c r="B162" s="388"/>
      <c r="C162" s="251" t="s">
        <v>302</v>
      </c>
      <c r="D162" s="231" t="s">
        <v>80</v>
      </c>
      <c r="E162" s="36">
        <v>10</v>
      </c>
      <c r="F162" s="232" t="s">
        <v>303</v>
      </c>
      <c r="G162" s="264"/>
      <c r="H162" s="229">
        <f>48500*E162</f>
        <v>485000</v>
      </c>
      <c r="I162" s="230"/>
      <c r="J162" s="230"/>
      <c r="K162" s="43">
        <f>80206*E162</f>
        <v>802060</v>
      </c>
      <c r="L162" s="43">
        <f>74970*E162</f>
        <v>749700</v>
      </c>
      <c r="M162" s="43"/>
      <c r="N162" s="43"/>
      <c r="O162" s="43"/>
      <c r="P162" s="43"/>
      <c r="Q162" s="43"/>
      <c r="R162" s="43"/>
      <c r="S162" s="43"/>
      <c r="T162" s="74">
        <f>28441*E162</f>
        <v>284410</v>
      </c>
      <c r="U162" s="43"/>
      <c r="V162" s="43">
        <f>60285.7*E162</f>
        <v>602857</v>
      </c>
      <c r="W162" s="43"/>
      <c r="X162" s="368">
        <f>AVERAGE(H162,K162:L162,V162)</f>
        <v>659904.25</v>
      </c>
      <c r="Y162" s="443"/>
      <c r="Z162" s="450"/>
      <c r="AA162" s="488"/>
      <c r="AB162" s="383"/>
      <c r="AC162" s="471"/>
    </row>
    <row r="163" spans="2:29" ht="58.5" customHeight="1" x14ac:dyDescent="0.25">
      <c r="B163" s="388"/>
      <c r="C163" s="251" t="s">
        <v>304</v>
      </c>
      <c r="D163" s="231" t="s">
        <v>80</v>
      </c>
      <c r="E163" s="36">
        <v>50</v>
      </c>
      <c r="F163" s="232" t="s">
        <v>305</v>
      </c>
      <c r="G163" s="264"/>
      <c r="H163" s="229">
        <f>20000*E163</f>
        <v>1000000</v>
      </c>
      <c r="I163" s="230"/>
      <c r="J163" s="230"/>
      <c r="K163" s="43">
        <f>29750*E163</f>
        <v>1487500</v>
      </c>
      <c r="L163" s="43">
        <f>26180*E163</f>
        <v>1309000</v>
      </c>
      <c r="M163" s="43"/>
      <c r="N163" s="43"/>
      <c r="O163" s="44">
        <f>90047*E163</f>
        <v>4502350</v>
      </c>
      <c r="P163" s="43"/>
      <c r="Q163" s="43"/>
      <c r="R163" s="43"/>
      <c r="S163" s="43"/>
      <c r="T163" s="43"/>
      <c r="U163" s="43"/>
      <c r="V163" s="43">
        <f>20571.42*E163</f>
        <v>1028570.9999999999</v>
      </c>
      <c r="W163" s="43"/>
      <c r="X163" s="368">
        <f>AVERAGE(H163:L163,V163)</f>
        <v>1206267.75</v>
      </c>
      <c r="Y163" s="443"/>
      <c r="Z163" s="450"/>
      <c r="AA163" s="488"/>
      <c r="AB163" s="383"/>
      <c r="AC163" s="471"/>
    </row>
    <row r="164" spans="2:29" ht="58.5" customHeight="1" x14ac:dyDescent="0.25">
      <c r="B164" s="388"/>
      <c r="C164" s="251" t="s">
        <v>306</v>
      </c>
      <c r="D164" s="231" t="s">
        <v>307</v>
      </c>
      <c r="E164" s="60">
        <v>10</v>
      </c>
      <c r="F164" s="232" t="s">
        <v>308</v>
      </c>
      <c r="G164" s="264"/>
      <c r="H164" s="229">
        <f>210000*E164</f>
        <v>2100000</v>
      </c>
      <c r="I164" s="230"/>
      <c r="J164" s="230"/>
      <c r="K164" s="43">
        <f>141312.5*E164</f>
        <v>1413125</v>
      </c>
      <c r="L164" s="43">
        <f>234430*E164</f>
        <v>2344300</v>
      </c>
      <c r="M164" s="43"/>
      <c r="N164" s="43"/>
      <c r="O164" s="43"/>
      <c r="P164" s="43"/>
      <c r="Q164" s="43"/>
      <c r="R164" s="43"/>
      <c r="S164" s="43"/>
      <c r="T164" s="43"/>
      <c r="U164" s="43"/>
      <c r="V164" s="43">
        <f>271428.6*E164</f>
        <v>2714286</v>
      </c>
      <c r="W164" s="43"/>
      <c r="X164" s="368">
        <f>AVERAGE(H164:L164,V164)</f>
        <v>2142927.75</v>
      </c>
      <c r="Y164" s="443"/>
      <c r="Z164" s="450"/>
      <c r="AA164" s="488"/>
      <c r="AB164" s="383"/>
      <c r="AC164" s="471"/>
    </row>
    <row r="165" spans="2:29" ht="58.5" customHeight="1" x14ac:dyDescent="0.25">
      <c r="B165" s="388"/>
      <c r="C165" s="251" t="s">
        <v>309</v>
      </c>
      <c r="D165" s="231" t="s">
        <v>80</v>
      </c>
      <c r="E165" s="36">
        <v>1</v>
      </c>
      <c r="F165" s="232" t="s">
        <v>281</v>
      </c>
      <c r="G165" s="264"/>
      <c r="H165" s="229">
        <f>121000*E165</f>
        <v>121000</v>
      </c>
      <c r="I165" s="230"/>
      <c r="J165" s="230"/>
      <c r="K165" s="43">
        <f>89250*E165</f>
        <v>89250</v>
      </c>
      <c r="L165" s="43">
        <f>119000*E165</f>
        <v>119000</v>
      </c>
      <c r="M165" s="43"/>
      <c r="N165" s="43"/>
      <c r="O165" s="43"/>
      <c r="P165" s="43"/>
      <c r="Q165" s="43"/>
      <c r="R165" s="43"/>
      <c r="S165" s="43"/>
      <c r="T165" s="43"/>
      <c r="U165" s="43"/>
      <c r="V165" s="43">
        <f>165857*E165</f>
        <v>165857</v>
      </c>
      <c r="W165" s="43"/>
      <c r="X165" s="368">
        <f>AVERAGE(H165:L165,V165)</f>
        <v>123776.75</v>
      </c>
      <c r="Y165" s="443"/>
      <c r="Z165" s="450"/>
      <c r="AA165" s="488"/>
      <c r="AB165" s="383"/>
      <c r="AC165" s="471"/>
    </row>
    <row r="166" spans="2:29" ht="58.5" customHeight="1" x14ac:dyDescent="0.25">
      <c r="B166" s="388"/>
      <c r="C166" s="251" t="s">
        <v>310</v>
      </c>
      <c r="D166" s="231" t="s">
        <v>80</v>
      </c>
      <c r="E166" s="60">
        <v>20</v>
      </c>
      <c r="F166" s="233" t="s">
        <v>311</v>
      </c>
      <c r="G166" s="265"/>
      <c r="H166" s="229">
        <f>22500*E166</f>
        <v>450000</v>
      </c>
      <c r="I166" s="230"/>
      <c r="J166" s="230"/>
      <c r="K166" s="43">
        <f>23502.5*E166</f>
        <v>470050</v>
      </c>
      <c r="L166" s="43">
        <f>21420*E166</f>
        <v>428400</v>
      </c>
      <c r="M166" s="43"/>
      <c r="N166" s="43"/>
      <c r="O166" s="44">
        <f>92820*E166</f>
        <v>1856400</v>
      </c>
      <c r="P166" s="43"/>
      <c r="Q166" s="43"/>
      <c r="R166" s="43"/>
      <c r="S166" s="43"/>
      <c r="T166" s="43"/>
      <c r="U166" s="43"/>
      <c r="V166" s="43">
        <f>22571.45*E166</f>
        <v>451429</v>
      </c>
      <c r="W166" s="43"/>
      <c r="X166" s="368">
        <f>AVERAGE(H166:L166,V166)</f>
        <v>449969.75</v>
      </c>
      <c r="Y166" s="443"/>
      <c r="Z166" s="450"/>
      <c r="AA166" s="488"/>
      <c r="AB166" s="383"/>
      <c r="AC166" s="471"/>
    </row>
    <row r="167" spans="2:29" ht="58.5" customHeight="1" thickBot="1" x14ac:dyDescent="0.3">
      <c r="B167" s="389"/>
      <c r="C167" s="266" t="s">
        <v>312</v>
      </c>
      <c r="D167" s="234" t="s">
        <v>313</v>
      </c>
      <c r="E167" s="98">
        <v>10</v>
      </c>
      <c r="F167" s="235" t="s">
        <v>308</v>
      </c>
      <c r="G167" s="267"/>
      <c r="H167" s="240">
        <f>45000*E167</f>
        <v>450000</v>
      </c>
      <c r="I167" s="180"/>
      <c r="J167" s="180"/>
      <c r="K167" s="55">
        <f>37485*E167</f>
        <v>374850</v>
      </c>
      <c r="L167" s="55">
        <f>51170*E167</f>
        <v>511700</v>
      </c>
      <c r="M167" s="55"/>
      <c r="N167" s="55"/>
      <c r="O167" s="55"/>
      <c r="P167" s="55"/>
      <c r="Q167" s="55"/>
      <c r="R167" s="55"/>
      <c r="S167" s="55"/>
      <c r="T167" s="55"/>
      <c r="U167" s="55"/>
      <c r="V167" s="55">
        <f>50000*E167</f>
        <v>500000</v>
      </c>
      <c r="W167" s="55"/>
      <c r="X167" s="369">
        <f>AVERAGE(H167:L167,V167)</f>
        <v>459137.5</v>
      </c>
      <c r="Y167" s="428"/>
      <c r="Z167" s="466"/>
      <c r="AA167" s="489"/>
      <c r="AB167" s="384"/>
      <c r="AC167" s="486"/>
    </row>
    <row r="168" spans="2:29" ht="87" customHeight="1" x14ac:dyDescent="0.25">
      <c r="B168" s="387">
        <v>66</v>
      </c>
      <c r="C168" s="94" t="s">
        <v>314</v>
      </c>
      <c r="D168" s="27" t="s">
        <v>315</v>
      </c>
      <c r="E168" s="236">
        <v>7</v>
      </c>
      <c r="F168" s="237" t="s">
        <v>316</v>
      </c>
      <c r="G168" s="33"/>
      <c r="H168" s="226">
        <f>71400*E168</f>
        <v>499800</v>
      </c>
      <c r="I168" s="154"/>
      <c r="J168" s="58">
        <f>238000*E168</f>
        <v>1666000</v>
      </c>
      <c r="K168" s="33">
        <f>52062.5*E168</f>
        <v>364437.5</v>
      </c>
      <c r="L168" s="58">
        <f>143990*E168</f>
        <v>1007930</v>
      </c>
      <c r="M168" s="33">
        <f>113799*E168</f>
        <v>796593</v>
      </c>
      <c r="N168" s="33"/>
      <c r="O168" s="33"/>
      <c r="P168" s="33"/>
      <c r="Q168" s="33"/>
      <c r="R168" s="33"/>
      <c r="S168" s="33"/>
      <c r="T168" s="33">
        <f>71400*E168</f>
        <v>499800</v>
      </c>
      <c r="U168" s="33"/>
      <c r="V168" s="33">
        <f>114364.57*E168</f>
        <v>800551.99</v>
      </c>
      <c r="W168" s="33"/>
      <c r="X168" s="367">
        <f>AVERAGE(H168,K168,M168,T168:V168)</f>
        <v>592236.49800000002</v>
      </c>
      <c r="Y168" s="427">
        <f>SUM(X168:X174)/1</f>
        <v>10044118.414666668</v>
      </c>
      <c r="Z168" s="482">
        <f>ROUND(Y168,0)</f>
        <v>10044118</v>
      </c>
      <c r="AA168" s="487">
        <f>Y168/1</f>
        <v>10044118.414666668</v>
      </c>
      <c r="AB168" s="439">
        <f>ROUND(AA168,0)</f>
        <v>10044118</v>
      </c>
      <c r="AC168" s="485">
        <f>AB168*1</f>
        <v>10044118</v>
      </c>
    </row>
    <row r="169" spans="2:29" ht="88.5" customHeight="1" x14ac:dyDescent="0.25">
      <c r="B169" s="388"/>
      <c r="C169" s="105" t="s">
        <v>317</v>
      </c>
      <c r="D169" s="36" t="s">
        <v>318</v>
      </c>
      <c r="E169" s="238">
        <v>8</v>
      </c>
      <c r="F169" s="105" t="s">
        <v>319</v>
      </c>
      <c r="G169" s="43"/>
      <c r="H169" s="229">
        <f>211000*E169</f>
        <v>1688000</v>
      </c>
      <c r="I169" s="230"/>
      <c r="J169" s="43"/>
      <c r="K169" s="43">
        <f>173145*E169</f>
        <v>1385160</v>
      </c>
      <c r="L169" s="44">
        <f>345100*E169</f>
        <v>2760800</v>
      </c>
      <c r="M169" s="43"/>
      <c r="N169" s="43"/>
      <c r="O169" s="43"/>
      <c r="P169" s="43"/>
      <c r="Q169" s="43"/>
      <c r="R169" s="43"/>
      <c r="S169" s="43"/>
      <c r="T169" s="44">
        <f>295596*E169</f>
        <v>2364768</v>
      </c>
      <c r="U169" s="43"/>
      <c r="V169" s="43">
        <f>223428.625*E169</f>
        <v>1787429</v>
      </c>
      <c r="W169" s="43"/>
      <c r="X169" s="368">
        <f>AVERAGE(H169,K169,V169)</f>
        <v>1620196.3333333333</v>
      </c>
      <c r="Y169" s="443"/>
      <c r="Z169" s="483"/>
      <c r="AA169" s="488"/>
      <c r="AB169" s="383"/>
      <c r="AC169" s="471"/>
    </row>
    <row r="170" spans="2:29" ht="63" customHeight="1" x14ac:dyDescent="0.25">
      <c r="B170" s="388"/>
      <c r="C170" s="105" t="s">
        <v>320</v>
      </c>
      <c r="D170" s="36" t="s">
        <v>315</v>
      </c>
      <c r="E170" s="60">
        <v>5</v>
      </c>
      <c r="F170" s="105" t="s">
        <v>321</v>
      </c>
      <c r="G170" s="43"/>
      <c r="H170" s="229">
        <f>62000*E170</f>
        <v>310000</v>
      </c>
      <c r="I170" s="230"/>
      <c r="J170" s="43"/>
      <c r="K170" s="43">
        <f>74077.6*E170</f>
        <v>370388</v>
      </c>
      <c r="L170" s="44">
        <f>487900*E170</f>
        <v>2439500</v>
      </c>
      <c r="M170" s="43"/>
      <c r="N170" s="43"/>
      <c r="O170" s="43"/>
      <c r="P170" s="43"/>
      <c r="Q170" s="43"/>
      <c r="R170" s="43"/>
      <c r="S170" s="43"/>
      <c r="T170" s="43"/>
      <c r="U170" s="43"/>
      <c r="V170" s="43">
        <f>73485.8*E170</f>
        <v>367429</v>
      </c>
      <c r="W170" s="43"/>
      <c r="X170" s="368">
        <f>AVERAGE(H170:K170,V170)</f>
        <v>349272.33333333331</v>
      </c>
      <c r="Y170" s="443"/>
      <c r="Z170" s="483"/>
      <c r="AA170" s="488"/>
      <c r="AB170" s="383"/>
      <c r="AC170" s="471"/>
    </row>
    <row r="171" spans="2:29" ht="75.75" customHeight="1" x14ac:dyDescent="0.25">
      <c r="B171" s="388"/>
      <c r="C171" s="251" t="s">
        <v>322</v>
      </c>
      <c r="D171" s="231" t="s">
        <v>80</v>
      </c>
      <c r="E171" s="36">
        <v>10</v>
      </c>
      <c r="F171" s="233" t="s">
        <v>303</v>
      </c>
      <c r="G171" s="43"/>
      <c r="H171" s="229">
        <f>75600*E171</f>
        <v>756000</v>
      </c>
      <c r="I171" s="230"/>
      <c r="J171" s="44">
        <f>200437.65*E171</f>
        <v>2004376.5</v>
      </c>
      <c r="K171" s="43">
        <f>92522.5*E171</f>
        <v>925225</v>
      </c>
      <c r="L171" s="43">
        <f>138040*E171</f>
        <v>1380400</v>
      </c>
      <c r="M171" s="43"/>
      <c r="N171" s="43"/>
      <c r="O171" s="44">
        <f>705432*E171</f>
        <v>7054320</v>
      </c>
      <c r="P171" s="43"/>
      <c r="Q171" s="43"/>
      <c r="R171" s="43"/>
      <c r="S171" s="43"/>
      <c r="T171" s="43"/>
      <c r="U171" s="43"/>
      <c r="V171" s="43">
        <f>79971.4*E171</f>
        <v>799714</v>
      </c>
      <c r="W171" s="43"/>
      <c r="X171" s="368">
        <f>AVERAGE(H171,K171,V171,L171)</f>
        <v>965334.75</v>
      </c>
      <c r="Y171" s="443"/>
      <c r="Z171" s="483"/>
      <c r="AA171" s="488"/>
      <c r="AB171" s="383"/>
      <c r="AC171" s="471"/>
    </row>
    <row r="172" spans="2:29" ht="75.75" customHeight="1" x14ac:dyDescent="0.25">
      <c r="B172" s="388"/>
      <c r="C172" s="105" t="s">
        <v>323</v>
      </c>
      <c r="D172" s="60" t="s">
        <v>80</v>
      </c>
      <c r="E172" s="36">
        <v>40</v>
      </c>
      <c r="F172" s="128" t="s">
        <v>324</v>
      </c>
      <c r="G172" s="43"/>
      <c r="H172" s="229">
        <f>64000*E172</f>
        <v>2560000</v>
      </c>
      <c r="I172" s="230"/>
      <c r="J172" s="44">
        <f>346159.1*E172</f>
        <v>13846364</v>
      </c>
      <c r="K172" s="43">
        <f>75862.5*E172</f>
        <v>3034500</v>
      </c>
      <c r="L172" s="43">
        <f>95200*E172</f>
        <v>3808000</v>
      </c>
      <c r="M172" s="43"/>
      <c r="N172" s="43"/>
      <c r="O172" s="44">
        <f>327381*E172</f>
        <v>13095240</v>
      </c>
      <c r="P172" s="43"/>
      <c r="Q172" s="43"/>
      <c r="R172" s="43"/>
      <c r="S172" s="43"/>
      <c r="T172" s="44">
        <f>355215*E172</f>
        <v>14208600</v>
      </c>
      <c r="U172" s="43"/>
      <c r="V172" s="43">
        <f>96000*E172</f>
        <v>3840000</v>
      </c>
      <c r="W172" s="43"/>
      <c r="X172" s="368">
        <f>AVERAGE(H172,K172:L172,V172)</f>
        <v>3310625</v>
      </c>
      <c r="Y172" s="443"/>
      <c r="Z172" s="483"/>
      <c r="AA172" s="488"/>
      <c r="AB172" s="383"/>
      <c r="AC172" s="471"/>
    </row>
    <row r="173" spans="2:29" ht="75.75" customHeight="1" x14ac:dyDescent="0.25">
      <c r="B173" s="388"/>
      <c r="C173" s="105" t="s">
        <v>325</v>
      </c>
      <c r="D173" s="60" t="s">
        <v>80</v>
      </c>
      <c r="E173" s="36">
        <v>10</v>
      </c>
      <c r="F173" s="128" t="s">
        <v>308</v>
      </c>
      <c r="G173" s="43"/>
      <c r="H173" s="229">
        <f>167000*E173</f>
        <v>1670000</v>
      </c>
      <c r="I173" s="230"/>
      <c r="J173" s="44">
        <f>513925.3*E173</f>
        <v>5139253</v>
      </c>
      <c r="K173" s="43">
        <f>178500*E173</f>
        <v>1785000</v>
      </c>
      <c r="L173" s="43">
        <f>242760*E173</f>
        <v>2427600</v>
      </c>
      <c r="M173" s="43"/>
      <c r="N173" s="43"/>
      <c r="O173" s="44">
        <f>582172*E173</f>
        <v>5821720</v>
      </c>
      <c r="P173" s="43"/>
      <c r="Q173" s="43"/>
      <c r="R173" s="43"/>
      <c r="S173" s="43"/>
      <c r="T173" s="44">
        <f>513128*E173</f>
        <v>5131280</v>
      </c>
      <c r="U173" s="43"/>
      <c r="V173" s="43">
        <f>171428.6*E173</f>
        <v>1714286</v>
      </c>
      <c r="W173" s="43"/>
      <c r="X173" s="368">
        <f>AVERAGE(H173,K173:L173,V173)</f>
        <v>1899221.5</v>
      </c>
      <c r="Y173" s="443"/>
      <c r="Z173" s="483"/>
      <c r="AA173" s="488"/>
      <c r="AB173" s="383"/>
      <c r="AC173" s="471"/>
    </row>
    <row r="174" spans="2:29" ht="75.75" customHeight="1" thickBot="1" x14ac:dyDescent="0.3">
      <c r="B174" s="389"/>
      <c r="C174" s="99" t="s">
        <v>326</v>
      </c>
      <c r="D174" s="98" t="s">
        <v>80</v>
      </c>
      <c r="E174" s="48">
        <v>5</v>
      </c>
      <c r="F174" s="137" t="s">
        <v>327</v>
      </c>
      <c r="G174" s="55"/>
      <c r="H174" s="240">
        <f>248000*E174</f>
        <v>1240000</v>
      </c>
      <c r="I174" s="180"/>
      <c r="J174" s="56">
        <f>506351*E174</f>
        <v>2531755</v>
      </c>
      <c r="K174" s="55">
        <f>282625*E174</f>
        <v>1413125</v>
      </c>
      <c r="L174" s="56">
        <f>731850*E174</f>
        <v>3659250</v>
      </c>
      <c r="M174" s="55"/>
      <c r="N174" s="55"/>
      <c r="O174" s="56">
        <f>380800*E174</f>
        <v>1904000</v>
      </c>
      <c r="P174" s="55"/>
      <c r="Q174" s="55"/>
      <c r="R174" s="55"/>
      <c r="S174" s="55"/>
      <c r="T174" s="56">
        <f>523600*E174</f>
        <v>2618000</v>
      </c>
      <c r="U174" s="55"/>
      <c r="V174" s="55">
        <f>253714.2*E174</f>
        <v>1268571</v>
      </c>
      <c r="W174" s="55"/>
      <c r="X174" s="369">
        <f>AVERAGE(H174,K174,V174)</f>
        <v>1307232</v>
      </c>
      <c r="Y174" s="428"/>
      <c r="Z174" s="484"/>
      <c r="AA174" s="489"/>
      <c r="AB174" s="384"/>
      <c r="AC174" s="486"/>
    </row>
    <row r="175" spans="2:29" ht="75.75" customHeight="1" x14ac:dyDescent="0.25">
      <c r="B175" s="387">
        <v>67</v>
      </c>
      <c r="C175" s="268" t="s">
        <v>328</v>
      </c>
      <c r="D175" s="241" t="s">
        <v>80</v>
      </c>
      <c r="E175" s="27">
        <v>5</v>
      </c>
      <c r="F175" s="242" t="s">
        <v>329</v>
      </c>
      <c r="G175" s="33"/>
      <c r="H175" s="33">
        <f>54000*E175</f>
        <v>270000</v>
      </c>
      <c r="I175" s="33"/>
      <c r="J175" s="33">
        <f>35700*E175</f>
        <v>178500</v>
      </c>
      <c r="K175" s="33">
        <f>115430*E175</f>
        <v>577150</v>
      </c>
      <c r="L175" s="33">
        <f>90440*E175</f>
        <v>452200</v>
      </c>
      <c r="M175" s="33"/>
      <c r="N175" s="33"/>
      <c r="O175" s="33"/>
      <c r="P175" s="33"/>
      <c r="Q175" s="33"/>
      <c r="R175" s="33"/>
      <c r="S175" s="33"/>
      <c r="T175" s="33"/>
      <c r="U175" s="33"/>
      <c r="V175" s="33">
        <f>68428.6*E175</f>
        <v>342143</v>
      </c>
      <c r="W175" s="33"/>
      <c r="X175" s="370">
        <f>AVERAGE(H175:V175)</f>
        <v>363998.6</v>
      </c>
      <c r="Y175" s="418">
        <f>SUM(X175:X180)/1</f>
        <v>5012615.6847619042</v>
      </c>
      <c r="Z175" s="421">
        <f>ROUND(Y175,0)</f>
        <v>5012616</v>
      </c>
      <c r="AA175" s="481">
        <f>Z175/1</f>
        <v>5012616</v>
      </c>
      <c r="AB175" s="482">
        <f>ROUND(AA175,0)</f>
        <v>5012616</v>
      </c>
      <c r="AC175" s="485">
        <f>AB175*1</f>
        <v>5012616</v>
      </c>
    </row>
    <row r="176" spans="2:29" ht="75.75" customHeight="1" x14ac:dyDescent="0.25">
      <c r="B176" s="388"/>
      <c r="C176" s="105" t="s">
        <v>330</v>
      </c>
      <c r="D176" s="36" t="s">
        <v>80</v>
      </c>
      <c r="E176" s="36">
        <v>1</v>
      </c>
      <c r="F176" s="128" t="s">
        <v>187</v>
      </c>
      <c r="G176" s="43"/>
      <c r="H176" s="43">
        <f>1440000*E176</f>
        <v>1440000</v>
      </c>
      <c r="I176" s="43"/>
      <c r="J176" s="43">
        <f>2963100*E176</f>
        <v>2963100</v>
      </c>
      <c r="K176" s="43">
        <f>3570000*E176</f>
        <v>3570000</v>
      </c>
      <c r="L176" s="43">
        <f>3171350*E176</f>
        <v>3171350</v>
      </c>
      <c r="M176" s="43"/>
      <c r="N176" s="43"/>
      <c r="O176" s="43">
        <f>3493840*E176</f>
        <v>3493840</v>
      </c>
      <c r="P176" s="43"/>
      <c r="Q176" s="43"/>
      <c r="R176" s="43"/>
      <c r="S176" s="43"/>
      <c r="T176" s="43">
        <f>3397093*E176</f>
        <v>3397093</v>
      </c>
      <c r="U176" s="43"/>
      <c r="V176" s="43">
        <f>2857143*E176</f>
        <v>2857143</v>
      </c>
      <c r="W176" s="43"/>
      <c r="X176" s="368">
        <f>AVERAGE(H176:V176)</f>
        <v>2984646.5714285714</v>
      </c>
      <c r="Y176" s="419"/>
      <c r="Z176" s="422"/>
      <c r="AA176" s="479"/>
      <c r="AB176" s="483"/>
      <c r="AC176" s="471"/>
    </row>
    <row r="177" spans="2:29" ht="75.75" customHeight="1" x14ac:dyDescent="0.25">
      <c r="B177" s="388"/>
      <c r="C177" s="105" t="s">
        <v>331</v>
      </c>
      <c r="D177" s="36" t="s">
        <v>80</v>
      </c>
      <c r="E177" s="36">
        <v>2</v>
      </c>
      <c r="F177" s="128" t="s">
        <v>233</v>
      </c>
      <c r="G177" s="43"/>
      <c r="H177" s="43">
        <f>278000*E177</f>
        <v>556000</v>
      </c>
      <c r="I177" s="43"/>
      <c r="J177" s="43">
        <f>154700*E177</f>
        <v>309400</v>
      </c>
      <c r="K177" s="43">
        <f>278460*E177</f>
        <v>556920</v>
      </c>
      <c r="L177" s="43">
        <f>417690*E177</f>
        <v>835380</v>
      </c>
      <c r="M177" s="43"/>
      <c r="N177" s="43"/>
      <c r="O177" s="43"/>
      <c r="P177" s="43"/>
      <c r="Q177" s="43"/>
      <c r="R177" s="43"/>
      <c r="S177" s="43"/>
      <c r="T177" s="43">
        <f>507416*E177</f>
        <v>1014832</v>
      </c>
      <c r="U177" s="43"/>
      <c r="V177" s="43">
        <f>299428.5*E177</f>
        <v>598857</v>
      </c>
      <c r="W177" s="43"/>
      <c r="X177" s="368">
        <f>AVERAGE(H177:L177,V177,T177)</f>
        <v>645231.5</v>
      </c>
      <c r="Y177" s="419"/>
      <c r="Z177" s="422"/>
      <c r="AA177" s="479"/>
      <c r="AB177" s="483"/>
      <c r="AC177" s="471"/>
    </row>
    <row r="178" spans="2:29" ht="75.75" customHeight="1" x14ac:dyDescent="0.25">
      <c r="B178" s="388"/>
      <c r="C178" s="251" t="s">
        <v>332</v>
      </c>
      <c r="D178" s="231" t="s">
        <v>80</v>
      </c>
      <c r="E178" s="60">
        <v>20</v>
      </c>
      <c r="F178" s="233" t="s">
        <v>333</v>
      </c>
      <c r="G178" s="43"/>
      <c r="H178" s="43">
        <f>2100*E178</f>
        <v>42000</v>
      </c>
      <c r="I178" s="43"/>
      <c r="J178" s="43">
        <f>4104.86*E178</f>
        <v>82097.2</v>
      </c>
      <c r="K178" s="43">
        <f>4760*E178</f>
        <v>95200</v>
      </c>
      <c r="L178" s="43">
        <f>9520*E178</f>
        <v>190400</v>
      </c>
      <c r="M178" s="43"/>
      <c r="N178" s="43"/>
      <c r="O178" s="43"/>
      <c r="P178" s="43"/>
      <c r="Q178" s="43"/>
      <c r="R178" s="43"/>
      <c r="S178" s="43"/>
      <c r="T178" s="43">
        <f>22383.9*E178</f>
        <v>447678</v>
      </c>
      <c r="U178" s="43"/>
      <c r="V178" s="43">
        <f>17142.866*E178</f>
        <v>342857.32000000007</v>
      </c>
      <c r="W178" s="43"/>
      <c r="X178" s="368">
        <f>AVERAGE(H178:V178)</f>
        <v>200038.75333333333</v>
      </c>
      <c r="Y178" s="419"/>
      <c r="Z178" s="422"/>
      <c r="AA178" s="479"/>
      <c r="AB178" s="483"/>
      <c r="AC178" s="471"/>
    </row>
    <row r="179" spans="2:29" ht="75.75" customHeight="1" x14ac:dyDescent="0.25">
      <c r="B179" s="388"/>
      <c r="C179" s="251" t="s">
        <v>334</v>
      </c>
      <c r="D179" s="231" t="s">
        <v>80</v>
      </c>
      <c r="E179" s="36">
        <v>20</v>
      </c>
      <c r="F179" s="233" t="s">
        <v>333</v>
      </c>
      <c r="G179" s="43"/>
      <c r="H179" s="43">
        <f>9100*E179</f>
        <v>182000</v>
      </c>
      <c r="I179" s="43"/>
      <c r="J179" s="43">
        <f>13600*E179</f>
        <v>272000</v>
      </c>
      <c r="K179" s="43">
        <f>11900*E179</f>
        <v>238000</v>
      </c>
      <c r="L179" s="43">
        <f>15470*E179</f>
        <v>309400</v>
      </c>
      <c r="M179" s="43"/>
      <c r="N179" s="43"/>
      <c r="O179" s="43">
        <f>20230*E179</f>
        <v>404600</v>
      </c>
      <c r="P179" s="43"/>
      <c r="Q179" s="43"/>
      <c r="R179" s="43"/>
      <c r="S179" s="43"/>
      <c r="T179" s="43"/>
      <c r="U179" s="43"/>
      <c r="V179" s="43">
        <f>12857.15*E179</f>
        <v>257143</v>
      </c>
      <c r="W179" s="43"/>
      <c r="X179" s="368">
        <f>AVERAGE(H179:V179)</f>
        <v>277190.5</v>
      </c>
      <c r="Y179" s="419"/>
      <c r="Z179" s="422"/>
      <c r="AA179" s="479"/>
      <c r="AB179" s="483"/>
      <c r="AC179" s="471"/>
    </row>
    <row r="180" spans="2:29" ht="75.75" customHeight="1" thickBot="1" x14ac:dyDescent="0.3">
      <c r="B180" s="389"/>
      <c r="C180" s="266" t="s">
        <v>335</v>
      </c>
      <c r="D180" s="234" t="s">
        <v>80</v>
      </c>
      <c r="E180" s="48">
        <v>40</v>
      </c>
      <c r="F180" s="235" t="s">
        <v>324</v>
      </c>
      <c r="G180" s="55"/>
      <c r="H180" s="55">
        <f>9900*E180</f>
        <v>396000</v>
      </c>
      <c r="I180" s="55"/>
      <c r="J180" s="55">
        <f>14110*E180</f>
        <v>564400</v>
      </c>
      <c r="K180" s="55">
        <f>12733*E180</f>
        <v>509320</v>
      </c>
      <c r="L180" s="55">
        <f>16660*E180</f>
        <v>666400</v>
      </c>
      <c r="M180" s="55"/>
      <c r="N180" s="55"/>
      <c r="O180" s="56">
        <f>27370*E180</f>
        <v>1094800</v>
      </c>
      <c r="P180" s="55"/>
      <c r="Q180" s="55"/>
      <c r="R180" s="55"/>
      <c r="S180" s="55"/>
      <c r="T180" s="55"/>
      <c r="U180" s="55"/>
      <c r="V180" s="55">
        <f>14285.72*E180</f>
        <v>571428.79999999993</v>
      </c>
      <c r="W180" s="55"/>
      <c r="X180" s="371">
        <f>AVERAGE(H180:L180,V180)</f>
        <v>541509.76</v>
      </c>
      <c r="Y180" s="420"/>
      <c r="Z180" s="423"/>
      <c r="AA180" s="480"/>
      <c r="AB180" s="484"/>
      <c r="AC180" s="486"/>
    </row>
    <row r="181" spans="2:29" ht="75.75" customHeight="1" x14ac:dyDescent="0.25">
      <c r="B181" s="387">
        <v>68</v>
      </c>
      <c r="C181" s="268" t="s">
        <v>336</v>
      </c>
      <c r="D181" s="241" t="s">
        <v>80</v>
      </c>
      <c r="E181" s="27">
        <v>2</v>
      </c>
      <c r="F181" s="242" t="s">
        <v>190</v>
      </c>
      <c r="G181" s="33"/>
      <c r="H181" s="33">
        <f>420000*E181</f>
        <v>840000</v>
      </c>
      <c r="I181" s="33"/>
      <c r="J181" s="33">
        <f>261800*E181</f>
        <v>523600</v>
      </c>
      <c r="K181" s="33">
        <f>433755*E181</f>
        <v>867510</v>
      </c>
      <c r="L181" s="58">
        <f>675920*E181</f>
        <v>1351840</v>
      </c>
      <c r="M181" s="33"/>
      <c r="N181" s="33"/>
      <c r="O181" s="33"/>
      <c r="P181" s="33"/>
      <c r="Q181" s="33"/>
      <c r="R181" s="33"/>
      <c r="S181" s="33"/>
      <c r="T181" s="58">
        <f>781592*E181</f>
        <v>1563184</v>
      </c>
      <c r="U181" s="33"/>
      <c r="V181" s="33">
        <f>416571.5*E181</f>
        <v>833143</v>
      </c>
      <c r="W181" s="33"/>
      <c r="X181" s="367">
        <f>AVERAGE(H181:K181,V181)</f>
        <v>766063.25</v>
      </c>
      <c r="Y181" s="418">
        <f>SUM(X181:X184)/1</f>
        <v>3512372.7466666666</v>
      </c>
      <c r="Z181" s="421">
        <f>ROUND(Y181,0)</f>
        <v>3512373</v>
      </c>
      <c r="AA181" s="481">
        <f>Z181/1</f>
        <v>3512373</v>
      </c>
      <c r="AB181" s="482">
        <f>ROUND(AA181,0)</f>
        <v>3512373</v>
      </c>
      <c r="AC181" s="485">
        <f>AB181*1</f>
        <v>3512373</v>
      </c>
    </row>
    <row r="182" spans="2:29" ht="75.75" customHeight="1" x14ac:dyDescent="0.25">
      <c r="B182" s="388"/>
      <c r="C182" s="251" t="s">
        <v>337</v>
      </c>
      <c r="D182" s="231" t="s">
        <v>80</v>
      </c>
      <c r="E182" s="60">
        <v>10</v>
      </c>
      <c r="F182" s="233" t="s">
        <v>308</v>
      </c>
      <c r="G182" s="43"/>
      <c r="H182" s="74">
        <f>18400*E182</f>
        <v>184000</v>
      </c>
      <c r="I182" s="43"/>
      <c r="J182" s="43">
        <f>59500*E182</f>
        <v>595000</v>
      </c>
      <c r="K182" s="44">
        <f>114537.5*E182</f>
        <v>1145375</v>
      </c>
      <c r="L182" s="44">
        <f>167790*E182</f>
        <v>1677900</v>
      </c>
      <c r="M182" s="43"/>
      <c r="N182" s="43"/>
      <c r="O182" s="43"/>
      <c r="P182" s="43"/>
      <c r="Q182" s="43"/>
      <c r="R182" s="43"/>
      <c r="S182" s="43"/>
      <c r="T182" s="44">
        <f>165291*E182</f>
        <v>1652910</v>
      </c>
      <c r="U182" s="43"/>
      <c r="V182" s="43">
        <f>74285.7*E182</f>
        <v>742857</v>
      </c>
      <c r="W182" s="43"/>
      <c r="X182" s="368">
        <f>AVERAGE(J182,V182)</f>
        <v>668928.5</v>
      </c>
      <c r="Y182" s="419"/>
      <c r="Z182" s="422"/>
      <c r="AA182" s="479"/>
      <c r="AB182" s="483"/>
      <c r="AC182" s="471"/>
    </row>
    <row r="183" spans="2:29" ht="38.25" x14ac:dyDescent="0.25">
      <c r="B183" s="388"/>
      <c r="C183" s="251" t="s">
        <v>338</v>
      </c>
      <c r="D183" s="231" t="s">
        <v>80</v>
      </c>
      <c r="E183" s="36">
        <v>20</v>
      </c>
      <c r="F183" s="233" t="s">
        <v>339</v>
      </c>
      <c r="G183" s="43"/>
      <c r="H183" s="43">
        <f>45600*E183</f>
        <v>912000</v>
      </c>
      <c r="I183" s="43"/>
      <c r="J183" s="43">
        <f>47600*E183</f>
        <v>952000</v>
      </c>
      <c r="K183" s="44">
        <f>69793.5*E183</f>
        <v>1395870</v>
      </c>
      <c r="L183" s="44">
        <f>64260*E183</f>
        <v>1285200</v>
      </c>
      <c r="M183" s="43"/>
      <c r="N183" s="43"/>
      <c r="O183" s="43"/>
      <c r="P183" s="43"/>
      <c r="Q183" s="43"/>
      <c r="R183" s="43"/>
      <c r="S183" s="43"/>
      <c r="T183" s="43"/>
      <c r="U183" s="43"/>
      <c r="V183" s="43">
        <f>50000*E183</f>
        <v>1000000</v>
      </c>
      <c r="W183" s="43"/>
      <c r="X183" s="368">
        <f>AVERAGE(H183:J183,V183)</f>
        <v>954666.66666666663</v>
      </c>
      <c r="Y183" s="419"/>
      <c r="Z183" s="422"/>
      <c r="AA183" s="479"/>
      <c r="AB183" s="483"/>
      <c r="AC183" s="471"/>
    </row>
    <row r="184" spans="2:29" ht="26.25" thickBot="1" x14ac:dyDescent="0.3">
      <c r="B184" s="388"/>
      <c r="C184" s="271" t="s">
        <v>340</v>
      </c>
      <c r="D184" s="272" t="s">
        <v>80</v>
      </c>
      <c r="E184" s="195">
        <v>3</v>
      </c>
      <c r="F184" s="273" t="s">
        <v>341</v>
      </c>
      <c r="G184" s="70"/>
      <c r="H184" s="70">
        <f>340000*E184</f>
        <v>1020000</v>
      </c>
      <c r="I184" s="70"/>
      <c r="J184" s="70">
        <f>357000*E184</f>
        <v>1071000</v>
      </c>
      <c r="K184" s="70"/>
      <c r="L184" s="71">
        <f>3611650*E184</f>
        <v>10834950</v>
      </c>
      <c r="M184" s="70"/>
      <c r="N184" s="70"/>
      <c r="O184" s="71">
        <f>2241603*E184</f>
        <v>6724809</v>
      </c>
      <c r="P184" s="70"/>
      <c r="Q184" s="70"/>
      <c r="R184" s="70"/>
      <c r="S184" s="70"/>
      <c r="T184" s="70"/>
      <c r="U184" s="70"/>
      <c r="V184" s="70">
        <f>425714.33*E184</f>
        <v>1277142.99</v>
      </c>
      <c r="W184" s="70"/>
      <c r="X184" s="372">
        <f>AVERAGE(H184:J184,V184)</f>
        <v>1122714.33</v>
      </c>
      <c r="Y184" s="419"/>
      <c r="Z184" s="422"/>
      <c r="AA184" s="479"/>
      <c r="AB184" s="492"/>
      <c r="AC184" s="472"/>
    </row>
    <row r="185" spans="2:29" ht="75.75" customHeight="1" x14ac:dyDescent="0.25">
      <c r="B185" s="398">
        <v>69</v>
      </c>
      <c r="C185" s="268" t="s">
        <v>342</v>
      </c>
      <c r="D185" s="241" t="s">
        <v>80</v>
      </c>
      <c r="E185" s="27">
        <v>10</v>
      </c>
      <c r="F185" s="242" t="s">
        <v>303</v>
      </c>
      <c r="G185" s="269"/>
      <c r="H185" s="33">
        <f>75600*E185</f>
        <v>756000</v>
      </c>
      <c r="I185" s="154"/>
      <c r="J185" s="33"/>
      <c r="K185" s="33"/>
      <c r="L185" s="270">
        <f>22610*E185</f>
        <v>226100</v>
      </c>
      <c r="M185" s="33"/>
      <c r="N185" s="33"/>
      <c r="O185" s="33"/>
      <c r="P185" s="33"/>
      <c r="Q185" s="33"/>
      <c r="R185" s="33"/>
      <c r="S185" s="33"/>
      <c r="T185" s="33"/>
      <c r="U185" s="33"/>
      <c r="V185" s="33">
        <f>85428.6*E185</f>
        <v>854286</v>
      </c>
      <c r="W185" s="226"/>
      <c r="X185" s="367">
        <f>AVERAGE(H185,V185)</f>
        <v>805143</v>
      </c>
      <c r="Y185" s="490">
        <f>SUM(X185:X186)/1</f>
        <v>867928.5</v>
      </c>
      <c r="Z185" s="454">
        <f>ROUND(Y185,0)</f>
        <v>867929</v>
      </c>
      <c r="AA185" s="487">
        <f>Z185/1</f>
        <v>867929</v>
      </c>
      <c r="AB185" s="482">
        <f>ROUND(AA185,0)</f>
        <v>867929</v>
      </c>
      <c r="AC185" s="485">
        <f>AB185*1</f>
        <v>867929</v>
      </c>
    </row>
    <row r="186" spans="2:29" ht="75.75" customHeight="1" thickBot="1" x14ac:dyDescent="0.3">
      <c r="B186" s="400"/>
      <c r="C186" s="99" t="s">
        <v>343</v>
      </c>
      <c r="D186" s="98" t="s">
        <v>104</v>
      </c>
      <c r="E186" s="48">
        <v>1</v>
      </c>
      <c r="F186" s="137" t="s">
        <v>281</v>
      </c>
      <c r="G186" s="244">
        <f>103292*E186</f>
        <v>103292</v>
      </c>
      <c r="H186" s="55">
        <f>97000*E186</f>
        <v>97000</v>
      </c>
      <c r="I186" s="180"/>
      <c r="J186" s="55"/>
      <c r="K186" s="55"/>
      <c r="L186" s="55"/>
      <c r="M186" s="55"/>
      <c r="N186" s="55"/>
      <c r="O186" s="55"/>
      <c r="P186" s="55"/>
      <c r="Q186" s="55"/>
      <c r="R186" s="55"/>
      <c r="S186" s="55"/>
      <c r="T186" s="55"/>
      <c r="U186" s="55"/>
      <c r="V186" s="55">
        <f>28571*E186</f>
        <v>28571</v>
      </c>
      <c r="W186" s="55"/>
      <c r="X186" s="371">
        <f>AVERAGE(H186,V186)</f>
        <v>62785.5</v>
      </c>
      <c r="Y186" s="491"/>
      <c r="Z186" s="466"/>
      <c r="AA186" s="489"/>
      <c r="AB186" s="484"/>
      <c r="AC186" s="486"/>
    </row>
    <row r="187" spans="2:29" ht="75.75" customHeight="1" x14ac:dyDescent="0.25">
      <c r="B187" s="387">
        <v>70</v>
      </c>
      <c r="C187" s="268" t="s">
        <v>344</v>
      </c>
      <c r="D187" s="241" t="s">
        <v>80</v>
      </c>
      <c r="E187" s="72">
        <v>10</v>
      </c>
      <c r="F187" s="242" t="s">
        <v>345</v>
      </c>
      <c r="G187" s="33"/>
      <c r="H187" s="154"/>
      <c r="I187" s="154"/>
      <c r="J187" s="33"/>
      <c r="K187" s="33">
        <f>67711*E187</f>
        <v>677110</v>
      </c>
      <c r="L187" s="33">
        <f>72590*E187</f>
        <v>725900</v>
      </c>
      <c r="M187" s="33"/>
      <c r="N187" s="33"/>
      <c r="O187" s="33"/>
      <c r="P187" s="33"/>
      <c r="Q187" s="33"/>
      <c r="R187" s="33"/>
      <c r="S187" s="33"/>
      <c r="T187" s="33"/>
      <c r="U187" s="33"/>
      <c r="V187" s="33">
        <f>65000*E187</f>
        <v>650000</v>
      </c>
      <c r="W187" s="33"/>
      <c r="X187" s="370">
        <f>AVERAGE(K187:V187)</f>
        <v>684336.66666666663</v>
      </c>
      <c r="Y187" s="427">
        <f>SUM(X187:X190)/1</f>
        <v>2736217.66</v>
      </c>
      <c r="Z187" s="454">
        <f>ROUND(Y187,0)</f>
        <v>2736218</v>
      </c>
      <c r="AA187" s="454">
        <f>Z187/1</f>
        <v>2736218</v>
      </c>
      <c r="AB187" s="482">
        <f>ROUND(AA187,0)</f>
        <v>2736218</v>
      </c>
      <c r="AC187" s="485">
        <f>AB187*1</f>
        <v>2736218</v>
      </c>
    </row>
    <row r="188" spans="2:29" ht="75.75" customHeight="1" x14ac:dyDescent="0.25">
      <c r="B188" s="388"/>
      <c r="C188" s="251" t="s">
        <v>346</v>
      </c>
      <c r="D188" s="231" t="s">
        <v>347</v>
      </c>
      <c r="E188" s="36">
        <v>1</v>
      </c>
      <c r="F188" s="233" t="s">
        <v>187</v>
      </c>
      <c r="G188" s="43"/>
      <c r="H188" s="230"/>
      <c r="I188" s="230"/>
      <c r="J188" s="43"/>
      <c r="K188" s="43">
        <f>1388373*E188</f>
        <v>1388373</v>
      </c>
      <c r="L188" s="43">
        <f>1212610*E188</f>
        <v>1212610</v>
      </c>
      <c r="M188" s="43"/>
      <c r="N188" s="43"/>
      <c r="O188" s="43"/>
      <c r="P188" s="43"/>
      <c r="Q188" s="43"/>
      <c r="R188" s="43"/>
      <c r="S188" s="43"/>
      <c r="T188" s="43"/>
      <c r="U188" s="43"/>
      <c r="V188" s="245">
        <f>952000*E188</f>
        <v>952000</v>
      </c>
      <c r="W188" s="245"/>
      <c r="X188" s="368">
        <f>AVERAGE(K188:V188)</f>
        <v>1184327.6666666667</v>
      </c>
      <c r="Y188" s="443"/>
      <c r="Z188" s="450"/>
      <c r="AA188" s="450"/>
      <c r="AB188" s="483"/>
      <c r="AC188" s="471"/>
    </row>
    <row r="189" spans="2:29" ht="75.75" customHeight="1" x14ac:dyDescent="0.25">
      <c r="B189" s="388"/>
      <c r="C189" s="251" t="s">
        <v>348</v>
      </c>
      <c r="D189" s="231" t="s">
        <v>349</v>
      </c>
      <c r="E189" s="36">
        <v>3</v>
      </c>
      <c r="F189" s="233" t="s">
        <v>341</v>
      </c>
      <c r="G189" s="43"/>
      <c r="H189" s="230"/>
      <c r="I189" s="230"/>
      <c r="J189" s="43"/>
      <c r="K189" s="43">
        <f>208190.66*E189</f>
        <v>624571.98</v>
      </c>
      <c r="L189" s="43">
        <f>154700*E189</f>
        <v>464100</v>
      </c>
      <c r="M189" s="43"/>
      <c r="N189" s="43"/>
      <c r="O189" s="43"/>
      <c r="P189" s="43"/>
      <c r="Q189" s="43"/>
      <c r="R189" s="43"/>
      <c r="S189" s="43"/>
      <c r="T189" s="43"/>
      <c r="U189" s="43"/>
      <c r="V189" s="43">
        <f>142857*E189</f>
        <v>428571</v>
      </c>
      <c r="W189" s="43"/>
      <c r="X189" s="368">
        <f>AVERAGE(K189:V189)</f>
        <v>505747.66</v>
      </c>
      <c r="Y189" s="443"/>
      <c r="Z189" s="450"/>
      <c r="AA189" s="450"/>
      <c r="AB189" s="483"/>
      <c r="AC189" s="471"/>
    </row>
    <row r="190" spans="2:29" ht="75.75" customHeight="1" thickBot="1" x14ac:dyDescent="0.3">
      <c r="B190" s="389"/>
      <c r="C190" s="266" t="s">
        <v>395</v>
      </c>
      <c r="D190" s="234" t="s">
        <v>80</v>
      </c>
      <c r="E190" s="48">
        <v>20</v>
      </c>
      <c r="F190" s="235" t="s">
        <v>351</v>
      </c>
      <c r="G190" s="55"/>
      <c r="H190" s="180"/>
      <c r="I190" s="180"/>
      <c r="J190" s="55"/>
      <c r="K190" s="55">
        <f>15708*E190</f>
        <v>314160</v>
      </c>
      <c r="L190" s="55">
        <f>21420*E190</f>
        <v>428400</v>
      </c>
      <c r="M190" s="55"/>
      <c r="N190" s="55"/>
      <c r="O190" s="56">
        <f>54383*E190</f>
        <v>1087660</v>
      </c>
      <c r="P190" s="55"/>
      <c r="Q190" s="55"/>
      <c r="R190" s="55"/>
      <c r="S190" s="55"/>
      <c r="T190" s="55"/>
      <c r="U190" s="55"/>
      <c r="V190" s="55">
        <f>17142.85*E190</f>
        <v>342857</v>
      </c>
      <c r="W190" s="55"/>
      <c r="X190" s="371">
        <f>AVERAGE(K190,V190,L190)</f>
        <v>361805.66666666669</v>
      </c>
      <c r="Y190" s="428"/>
      <c r="Z190" s="466"/>
      <c r="AA190" s="466"/>
      <c r="AB190" s="484"/>
      <c r="AC190" s="486"/>
    </row>
    <row r="191" spans="2:29" ht="99.75" customHeight="1" thickBot="1" x14ac:dyDescent="0.3">
      <c r="B191" s="177">
        <v>71</v>
      </c>
      <c r="C191" s="252" t="s">
        <v>352</v>
      </c>
      <c r="D191" s="246" t="s">
        <v>80</v>
      </c>
      <c r="E191" s="139">
        <v>60</v>
      </c>
      <c r="F191" s="247" t="s">
        <v>353</v>
      </c>
      <c r="G191" s="91"/>
      <c r="H191" s="248">
        <f>99000*E191</f>
        <v>5940000</v>
      </c>
      <c r="I191" s="91"/>
      <c r="J191" s="91">
        <f>71400*E191</f>
        <v>4284000</v>
      </c>
      <c r="K191" s="92">
        <f>230265*E191</f>
        <v>13815900</v>
      </c>
      <c r="L191" s="92">
        <f>148750*E191</f>
        <v>8925000</v>
      </c>
      <c r="M191" s="91"/>
      <c r="N191" s="91"/>
      <c r="O191" s="92">
        <f>309400*E191</f>
        <v>18564000</v>
      </c>
      <c r="P191" s="91"/>
      <c r="Q191" s="91"/>
      <c r="R191" s="91"/>
      <c r="S191" s="91"/>
      <c r="T191" s="91"/>
      <c r="U191" s="91"/>
      <c r="V191" s="92">
        <f>133857.15*E191</f>
        <v>8031429</v>
      </c>
      <c r="W191" s="91"/>
      <c r="X191" s="373">
        <f>AVERAGE(H191:J191)</f>
        <v>5112000</v>
      </c>
      <c r="Y191" s="377">
        <f>X191*1</f>
        <v>5112000</v>
      </c>
      <c r="Z191" s="142">
        <f>ROUND(Y191,0)</f>
        <v>5112000</v>
      </c>
      <c r="AA191" s="118">
        <f>Z191/E191</f>
        <v>85200</v>
      </c>
      <c r="AB191" s="149">
        <f>ROUND(AA191,0)</f>
        <v>85200</v>
      </c>
      <c r="AC191" s="249">
        <f>AB191*E191</f>
        <v>5112000</v>
      </c>
    </row>
    <row r="192" spans="2:29" ht="75.75" customHeight="1" x14ac:dyDescent="0.25">
      <c r="B192" s="387">
        <v>72</v>
      </c>
      <c r="C192" s="94" t="s">
        <v>354</v>
      </c>
      <c r="D192" s="72" t="s">
        <v>355</v>
      </c>
      <c r="E192" s="72">
        <v>13</v>
      </c>
      <c r="F192" s="94" t="s">
        <v>356</v>
      </c>
      <c r="G192" s="33"/>
      <c r="H192" s="154"/>
      <c r="I192" s="154"/>
      <c r="J192" s="33"/>
      <c r="K192" s="33"/>
      <c r="L192" s="33"/>
      <c r="M192" s="33"/>
      <c r="N192" s="33"/>
      <c r="O192" s="33"/>
      <c r="P192" s="33"/>
      <c r="Q192" s="33"/>
      <c r="R192" s="33"/>
      <c r="S192" s="33"/>
      <c r="T192" s="33">
        <f>36890*E192</f>
        <v>479570</v>
      </c>
      <c r="U192" s="33"/>
      <c r="V192" s="33">
        <f>43428.5*E192</f>
        <v>564570.5</v>
      </c>
      <c r="W192" s="33"/>
      <c r="X192" s="370">
        <f>AVERAGE(T192:V192)</f>
        <v>522070.25</v>
      </c>
      <c r="Y192" s="418">
        <f>SUM(X192:X194)/1</f>
        <v>2132181.0499999998</v>
      </c>
      <c r="Z192" s="421">
        <f>ROUND(Y192,0)</f>
        <v>2132181</v>
      </c>
      <c r="AA192" s="481">
        <f>Z192/1</f>
        <v>2132181</v>
      </c>
      <c r="AB192" s="482">
        <f>ROUND(AA192,0)</f>
        <v>2132181</v>
      </c>
      <c r="AC192" s="485">
        <f>AB192*1</f>
        <v>2132181</v>
      </c>
    </row>
    <row r="193" spans="2:29" ht="75.75" customHeight="1" x14ac:dyDescent="0.25">
      <c r="B193" s="388"/>
      <c r="C193" s="105" t="s">
        <v>357</v>
      </c>
      <c r="D193" s="60" t="s">
        <v>355</v>
      </c>
      <c r="E193" s="60">
        <v>12</v>
      </c>
      <c r="F193" s="105" t="s">
        <v>358</v>
      </c>
      <c r="G193" s="43"/>
      <c r="H193" s="230"/>
      <c r="I193" s="230"/>
      <c r="J193" s="43"/>
      <c r="K193" s="43"/>
      <c r="L193" s="43"/>
      <c r="M193" s="43"/>
      <c r="N193" s="43"/>
      <c r="O193" s="43"/>
      <c r="P193" s="43"/>
      <c r="Q193" s="43"/>
      <c r="R193" s="43"/>
      <c r="S193" s="43"/>
      <c r="T193" s="43">
        <f>11662*E193</f>
        <v>139944</v>
      </c>
      <c r="U193" s="43"/>
      <c r="V193" s="43">
        <f>17142.8*E193</f>
        <v>205713.59999999998</v>
      </c>
      <c r="W193" s="43"/>
      <c r="X193" s="368">
        <f>AVERAGE(T193:V193)</f>
        <v>172828.79999999999</v>
      </c>
      <c r="Y193" s="419"/>
      <c r="Z193" s="422"/>
      <c r="AA193" s="479"/>
      <c r="AB193" s="483"/>
      <c r="AC193" s="471"/>
    </row>
    <row r="194" spans="2:29" ht="75.75" customHeight="1" thickBot="1" x14ac:dyDescent="0.3">
      <c r="B194" s="389"/>
      <c r="C194" s="266" t="s">
        <v>359</v>
      </c>
      <c r="D194" s="234" t="s">
        <v>80</v>
      </c>
      <c r="E194" s="48">
        <v>50</v>
      </c>
      <c r="F194" s="235" t="s">
        <v>360</v>
      </c>
      <c r="G194" s="55"/>
      <c r="H194" s="180"/>
      <c r="I194" s="180"/>
      <c r="J194" s="55"/>
      <c r="K194" s="56">
        <f>65152.5*E194</f>
        <v>3257625</v>
      </c>
      <c r="L194" s="56">
        <f>74970*E194</f>
        <v>3748500</v>
      </c>
      <c r="M194" s="55"/>
      <c r="N194" s="55"/>
      <c r="O194" s="55"/>
      <c r="P194" s="55"/>
      <c r="Q194" s="55"/>
      <c r="R194" s="55"/>
      <c r="S194" s="55"/>
      <c r="T194" s="55">
        <f>21777*E194</f>
        <v>1088850</v>
      </c>
      <c r="U194" s="55"/>
      <c r="V194" s="55">
        <f>35714.28*E194</f>
        <v>1785714</v>
      </c>
      <c r="W194" s="55"/>
      <c r="X194" s="371">
        <f>AVERAGE(T194:V194)</f>
        <v>1437282</v>
      </c>
      <c r="Y194" s="420"/>
      <c r="Z194" s="423"/>
      <c r="AA194" s="480"/>
      <c r="AB194" s="484"/>
      <c r="AC194" s="486"/>
    </row>
    <row r="195" spans="2:29" ht="93" customHeight="1" thickBot="1" x14ac:dyDescent="0.3">
      <c r="B195" s="82">
        <v>73</v>
      </c>
      <c r="C195" s="140" t="s">
        <v>361</v>
      </c>
      <c r="D195" s="84" t="s">
        <v>315</v>
      </c>
      <c r="E195" s="139">
        <v>7</v>
      </c>
      <c r="F195" s="140" t="s">
        <v>362</v>
      </c>
      <c r="G195" s="91"/>
      <c r="H195" s="91">
        <f>88000*E195</f>
        <v>616000</v>
      </c>
      <c r="I195" s="91"/>
      <c r="J195" s="92">
        <f>238000*E195</f>
        <v>1666000</v>
      </c>
      <c r="K195" s="92">
        <f>427210*E195</f>
        <v>2990470</v>
      </c>
      <c r="L195" s="92">
        <f>213010*E195</f>
        <v>1491070</v>
      </c>
      <c r="M195" s="92">
        <f>167254*E195</f>
        <v>1170778</v>
      </c>
      <c r="N195" s="91"/>
      <c r="O195" s="91"/>
      <c r="P195" s="91"/>
      <c r="Q195" s="91"/>
      <c r="R195" s="91"/>
      <c r="S195" s="91"/>
      <c r="T195" s="91">
        <f>89250*E195</f>
        <v>624750</v>
      </c>
      <c r="U195" s="91"/>
      <c r="V195" s="91">
        <f>135714.28*E195</f>
        <v>949999.96</v>
      </c>
      <c r="W195" s="91"/>
      <c r="X195" s="373">
        <f>AVERAGE(H195,T195:V195)</f>
        <v>730249.98666666669</v>
      </c>
      <c r="Y195" s="243">
        <f>X195*1</f>
        <v>730249.98666666669</v>
      </c>
      <c r="Z195" s="142">
        <f>ROUND(Y195,0)</f>
        <v>730250</v>
      </c>
      <c r="AA195" s="118">
        <f>Z195/E195</f>
        <v>104321.42857142857</v>
      </c>
      <c r="AB195" s="149">
        <f>ROUND(AA195,0)</f>
        <v>104321</v>
      </c>
      <c r="AC195" s="249">
        <f>AB195*E195</f>
        <v>730247</v>
      </c>
    </row>
    <row r="196" spans="2:29" ht="75.75" customHeight="1" thickBot="1" x14ac:dyDescent="0.3">
      <c r="B196" s="113">
        <v>74</v>
      </c>
      <c r="C196" s="140" t="s">
        <v>363</v>
      </c>
      <c r="D196" s="84" t="s">
        <v>315</v>
      </c>
      <c r="E196" s="84">
        <v>8</v>
      </c>
      <c r="F196" s="140" t="s">
        <v>364</v>
      </c>
      <c r="G196" s="91"/>
      <c r="H196" s="92">
        <f>475000*E196</f>
        <v>3800000</v>
      </c>
      <c r="I196" s="149"/>
      <c r="J196" s="91"/>
      <c r="K196" s="91">
        <f>198432.5*E196</f>
        <v>1587460</v>
      </c>
      <c r="L196" s="92">
        <f>1466080*E196</f>
        <v>11728640</v>
      </c>
      <c r="M196" s="91"/>
      <c r="N196" s="91"/>
      <c r="O196" s="91"/>
      <c r="P196" s="91"/>
      <c r="Q196" s="91"/>
      <c r="R196" s="91"/>
      <c r="S196" s="91"/>
      <c r="T196" s="91">
        <f>127806*E196</f>
        <v>1022448</v>
      </c>
      <c r="U196" s="91"/>
      <c r="V196" s="91"/>
      <c r="W196" s="91"/>
      <c r="X196" s="373">
        <f>AVERAGE(K196,T196)</f>
        <v>1304954</v>
      </c>
      <c r="Y196" s="243">
        <f>X196*1</f>
        <v>1304954</v>
      </c>
      <c r="Z196" s="142">
        <f>ROUND(Y196,0)</f>
        <v>1304954</v>
      </c>
      <c r="AA196" s="118">
        <f>Z196/E196</f>
        <v>163119.25</v>
      </c>
      <c r="AB196" s="149">
        <f>ROUND(AA196,0)</f>
        <v>163119</v>
      </c>
      <c r="AC196" s="249">
        <f>AB196*E196</f>
        <v>1304952</v>
      </c>
    </row>
    <row r="197" spans="2:29" ht="75.75" customHeight="1" thickBot="1" x14ac:dyDescent="0.3">
      <c r="B197" s="387">
        <v>75</v>
      </c>
      <c r="C197" s="94" t="s">
        <v>365</v>
      </c>
      <c r="D197" s="72" t="s">
        <v>366</v>
      </c>
      <c r="E197" s="27">
        <v>3</v>
      </c>
      <c r="F197" s="104" t="s">
        <v>367</v>
      </c>
      <c r="G197" s="33"/>
      <c r="H197" s="58">
        <f>879000*E197</f>
        <v>2637000</v>
      </c>
      <c r="I197" s="33"/>
      <c r="J197" s="33">
        <f>238000*E197</f>
        <v>714000</v>
      </c>
      <c r="K197" s="33"/>
      <c r="L197" s="58">
        <f>772500*E197</f>
        <v>2317500</v>
      </c>
      <c r="M197" s="33"/>
      <c r="N197" s="33"/>
      <c r="O197" s="33"/>
      <c r="P197" s="33"/>
      <c r="Q197" s="33"/>
      <c r="R197" s="33"/>
      <c r="S197" s="33"/>
      <c r="T197" s="33"/>
      <c r="U197" s="33"/>
      <c r="V197" s="33">
        <f>405714.33*E197</f>
        <v>1217142.99</v>
      </c>
      <c r="W197" s="33"/>
      <c r="X197" s="367">
        <f>AVERAGE(J197,V197)</f>
        <v>965571.495</v>
      </c>
      <c r="Y197" s="418">
        <f>SUM(X197:X198)/1</f>
        <v>3726572.395</v>
      </c>
      <c r="Z197" s="421">
        <f>ROUND(Y197,0)</f>
        <v>3726572</v>
      </c>
      <c r="AA197" s="481">
        <f>Z197/1</f>
        <v>3726572</v>
      </c>
      <c r="AB197" s="482">
        <f>ROUND(AA197,0)</f>
        <v>3726572</v>
      </c>
      <c r="AC197" s="485">
        <f>AB197*1</f>
        <v>3726572</v>
      </c>
    </row>
    <row r="198" spans="2:29" ht="75.75" customHeight="1" thickBot="1" x14ac:dyDescent="0.3">
      <c r="B198" s="389"/>
      <c r="C198" s="99" t="s">
        <v>368</v>
      </c>
      <c r="D198" s="98" t="s">
        <v>80</v>
      </c>
      <c r="E198" s="98">
        <v>3500</v>
      </c>
      <c r="F198" s="99" t="s">
        <v>369</v>
      </c>
      <c r="G198" s="55"/>
      <c r="H198" s="180"/>
      <c r="I198" s="180"/>
      <c r="J198" s="55">
        <f>800.572*E198</f>
        <v>2802002</v>
      </c>
      <c r="K198" s="55"/>
      <c r="L198" s="55"/>
      <c r="M198" s="55"/>
      <c r="N198" s="55"/>
      <c r="O198" s="55"/>
      <c r="P198" s="55"/>
      <c r="Q198" s="55"/>
      <c r="R198" s="55"/>
      <c r="S198" s="55"/>
      <c r="T198" s="55"/>
      <c r="U198" s="55"/>
      <c r="V198" s="55">
        <f>777.1428*E198</f>
        <v>2719999.8</v>
      </c>
      <c r="W198" s="55"/>
      <c r="X198" s="373">
        <f>AVERAGE(J198,V198)</f>
        <v>2761000.9</v>
      </c>
      <c r="Y198" s="420"/>
      <c r="Z198" s="423"/>
      <c r="AA198" s="480"/>
      <c r="AB198" s="484"/>
      <c r="AC198" s="486"/>
    </row>
    <row r="199" spans="2:29" ht="75.75" customHeight="1" x14ac:dyDescent="0.25">
      <c r="B199" s="387">
        <v>76</v>
      </c>
      <c r="C199" s="94" t="s">
        <v>370</v>
      </c>
      <c r="D199" s="27" t="s">
        <v>80</v>
      </c>
      <c r="E199" s="72">
        <v>40</v>
      </c>
      <c r="F199" s="94" t="s">
        <v>383</v>
      </c>
      <c r="G199" s="33"/>
      <c r="H199" s="154"/>
      <c r="I199" s="154"/>
      <c r="J199" s="33"/>
      <c r="K199" s="33">
        <f>4403*E199</f>
        <v>176120</v>
      </c>
      <c r="L199" s="33"/>
      <c r="M199" s="33"/>
      <c r="N199" s="33"/>
      <c r="O199" s="33"/>
      <c r="P199" s="33"/>
      <c r="Q199" s="33"/>
      <c r="R199" s="33"/>
      <c r="S199" s="33"/>
      <c r="T199" s="33"/>
      <c r="U199" s="33"/>
      <c r="V199" s="33">
        <f>5714.27*E199</f>
        <v>228570.80000000002</v>
      </c>
      <c r="W199" s="33"/>
      <c r="X199" s="370">
        <f>AVERAGE(K199:V199)</f>
        <v>202345.40000000002</v>
      </c>
      <c r="Y199" s="493">
        <f>SUM(X199:X204)/1</f>
        <v>11964667.145000001</v>
      </c>
      <c r="Z199" s="454">
        <f>ROUND(Y199,0)</f>
        <v>11964667</v>
      </c>
      <c r="AA199" s="454">
        <f>Z199/1</f>
        <v>11964667</v>
      </c>
      <c r="AB199" s="496">
        <f>ROUND(AA199,0)</f>
        <v>11964667</v>
      </c>
      <c r="AC199" s="485">
        <f>AB199*1</f>
        <v>11964667</v>
      </c>
    </row>
    <row r="200" spans="2:29" ht="75.75" customHeight="1" x14ac:dyDescent="0.25">
      <c r="B200" s="388"/>
      <c r="C200" s="105" t="s">
        <v>371</v>
      </c>
      <c r="D200" s="36" t="s">
        <v>80</v>
      </c>
      <c r="E200" s="60">
        <v>20</v>
      </c>
      <c r="F200" s="105" t="s">
        <v>339</v>
      </c>
      <c r="G200" s="43"/>
      <c r="H200" s="230"/>
      <c r="I200" s="230"/>
      <c r="J200" s="43"/>
      <c r="K200" s="43">
        <f>4403*E200</f>
        <v>88060</v>
      </c>
      <c r="L200" s="43"/>
      <c r="M200" s="43"/>
      <c r="N200" s="43"/>
      <c r="O200" s="43"/>
      <c r="P200" s="43"/>
      <c r="Q200" s="43"/>
      <c r="R200" s="43"/>
      <c r="S200" s="43"/>
      <c r="T200" s="43"/>
      <c r="U200" s="43"/>
      <c r="V200" s="43">
        <f>5714.275*E200</f>
        <v>114285.5</v>
      </c>
      <c r="W200" s="43"/>
      <c r="X200" s="368">
        <f>AVERAGE(K200:V200)</f>
        <v>101172.75</v>
      </c>
      <c r="Y200" s="494"/>
      <c r="Z200" s="450"/>
      <c r="AA200" s="450"/>
      <c r="AB200" s="497"/>
      <c r="AC200" s="471"/>
    </row>
    <row r="201" spans="2:29" ht="75.75" customHeight="1" x14ac:dyDescent="0.25">
      <c r="B201" s="388"/>
      <c r="C201" s="251" t="s">
        <v>372</v>
      </c>
      <c r="D201" s="231" t="s">
        <v>80</v>
      </c>
      <c r="E201" s="60">
        <v>3</v>
      </c>
      <c r="F201" s="233" t="s">
        <v>373</v>
      </c>
      <c r="G201" s="43"/>
      <c r="H201" s="230"/>
      <c r="I201" s="230"/>
      <c r="J201" s="43"/>
      <c r="K201" s="43">
        <f>2627714.33*E201</f>
        <v>7883142.9900000002</v>
      </c>
      <c r="L201" s="44">
        <f>3863930*E201</f>
        <v>11591790</v>
      </c>
      <c r="M201" s="43"/>
      <c r="N201" s="43"/>
      <c r="O201" s="43"/>
      <c r="P201" s="43"/>
      <c r="Q201" s="43"/>
      <c r="R201" s="43"/>
      <c r="S201" s="43"/>
      <c r="T201" s="43"/>
      <c r="U201" s="43"/>
      <c r="V201" s="43">
        <f>3557143*E201</f>
        <v>10671429</v>
      </c>
      <c r="W201" s="43"/>
      <c r="X201" s="368">
        <f>AVERAGE(K201,V201)</f>
        <v>9277285.995000001</v>
      </c>
      <c r="Y201" s="494"/>
      <c r="Z201" s="450"/>
      <c r="AA201" s="450"/>
      <c r="AB201" s="497"/>
      <c r="AC201" s="471"/>
    </row>
    <row r="202" spans="2:29" ht="75.75" customHeight="1" x14ac:dyDescent="0.25">
      <c r="B202" s="388"/>
      <c r="C202" s="251" t="s">
        <v>374</v>
      </c>
      <c r="D202" s="231" t="s">
        <v>80</v>
      </c>
      <c r="E202" s="60">
        <v>6</v>
      </c>
      <c r="F202" s="233" t="s">
        <v>375</v>
      </c>
      <c r="G202" s="43"/>
      <c r="H202" s="230"/>
      <c r="I202" s="230"/>
      <c r="J202" s="43"/>
      <c r="K202" s="43">
        <f>188436.5*E202</f>
        <v>1130619</v>
      </c>
      <c r="L202" s="43"/>
      <c r="M202" s="43"/>
      <c r="N202" s="43"/>
      <c r="O202" s="43"/>
      <c r="P202" s="43"/>
      <c r="Q202" s="43"/>
      <c r="R202" s="43"/>
      <c r="S202" s="43"/>
      <c r="T202" s="43"/>
      <c r="U202" s="43"/>
      <c r="V202" s="43">
        <f>187200*E202</f>
        <v>1123200</v>
      </c>
      <c r="W202" s="43"/>
      <c r="X202" s="368">
        <f>AVERAGE(K202:V202)</f>
        <v>1126909.5</v>
      </c>
      <c r="Y202" s="494"/>
      <c r="Z202" s="450"/>
      <c r="AA202" s="450"/>
      <c r="AB202" s="497"/>
      <c r="AC202" s="471"/>
    </row>
    <row r="203" spans="2:29" ht="75.75" customHeight="1" x14ac:dyDescent="0.25">
      <c r="B203" s="388"/>
      <c r="C203" s="251" t="s">
        <v>376</v>
      </c>
      <c r="D203" s="231" t="s">
        <v>80</v>
      </c>
      <c r="E203" s="36">
        <v>10</v>
      </c>
      <c r="F203" s="233" t="s">
        <v>384</v>
      </c>
      <c r="G203" s="43"/>
      <c r="H203" s="230"/>
      <c r="I203" s="230"/>
      <c r="J203" s="43"/>
      <c r="K203" s="43">
        <f>62177.5*E203</f>
        <v>621775</v>
      </c>
      <c r="L203" s="43"/>
      <c r="M203" s="43"/>
      <c r="N203" s="43"/>
      <c r="O203" s="43"/>
      <c r="P203" s="43"/>
      <c r="Q203" s="43"/>
      <c r="R203" s="43"/>
      <c r="S203" s="43"/>
      <c r="T203" s="43"/>
      <c r="U203" s="43"/>
      <c r="V203" s="43">
        <f>36571.4*E203</f>
        <v>365714</v>
      </c>
      <c r="W203" s="43"/>
      <c r="X203" s="368">
        <f>AVERAGE(K203:V203)</f>
        <v>493744.5</v>
      </c>
      <c r="Y203" s="494"/>
      <c r="Z203" s="450"/>
      <c r="AA203" s="450"/>
      <c r="AB203" s="497"/>
      <c r="AC203" s="471"/>
    </row>
    <row r="204" spans="2:29" ht="75.75" customHeight="1" thickBot="1" x14ac:dyDescent="0.3">
      <c r="B204" s="389"/>
      <c r="C204" s="266" t="s">
        <v>377</v>
      </c>
      <c r="D204" s="234" t="s">
        <v>80</v>
      </c>
      <c r="E204" s="98">
        <v>1</v>
      </c>
      <c r="F204" s="235" t="s">
        <v>221</v>
      </c>
      <c r="G204" s="55"/>
      <c r="H204" s="180"/>
      <c r="I204" s="180"/>
      <c r="J204" s="56">
        <f>1132981*E204</f>
        <v>1132981</v>
      </c>
      <c r="K204" s="250">
        <f>919275*E204</f>
        <v>919275</v>
      </c>
      <c r="L204" s="250"/>
      <c r="M204" s="250"/>
      <c r="N204" s="55"/>
      <c r="O204" s="250"/>
      <c r="P204" s="55"/>
      <c r="Q204" s="55"/>
      <c r="R204" s="55"/>
      <c r="S204" s="55"/>
      <c r="T204" s="250"/>
      <c r="U204" s="250"/>
      <c r="V204" s="250">
        <f>607143*E204</f>
        <v>607143</v>
      </c>
      <c r="W204" s="55"/>
      <c r="X204" s="371">
        <f>AVERAGE(K204:V204)</f>
        <v>763209</v>
      </c>
      <c r="Y204" s="495"/>
      <c r="Z204" s="466"/>
      <c r="AA204" s="466"/>
      <c r="AB204" s="498"/>
      <c r="AC204" s="486"/>
    </row>
    <row r="205" spans="2:29" ht="15" customHeight="1" thickBot="1" x14ac:dyDescent="0.3"/>
    <row r="206" spans="2:29" ht="15" customHeight="1" thickBot="1" x14ac:dyDescent="0.3">
      <c r="Y206" s="6">
        <f>SUM( Y9:Y204)</f>
        <v>338595898.92359519</v>
      </c>
      <c r="AB206" s="274" t="s">
        <v>296</v>
      </c>
      <c r="AC206" s="276">
        <f>SUM(AC9:AC204)</f>
        <v>338595892</v>
      </c>
    </row>
    <row r="207" spans="2:29" ht="15" customHeight="1" thickBot="1" x14ac:dyDescent="0.3"/>
    <row r="208" spans="2:29" ht="15" customHeight="1" thickBot="1" x14ac:dyDescent="0.3">
      <c r="AB208" s="275" t="s">
        <v>378</v>
      </c>
      <c r="AC208" s="275">
        <v>76</v>
      </c>
    </row>
  </sheetData>
  <autoFilter ref="C8:M158" xr:uid="{B319951C-9796-4EA7-B899-411F037D45B2}"/>
  <mergeCells count="287">
    <mergeCell ref="V33:V41"/>
    <mergeCell ref="V42:V44"/>
    <mergeCell ref="B199:B204"/>
    <mergeCell ref="Y199:Y204"/>
    <mergeCell ref="Z199:Z204"/>
    <mergeCell ref="AA199:AA204"/>
    <mergeCell ref="AB199:AB204"/>
    <mergeCell ref="AC199:AC204"/>
    <mergeCell ref="B197:B198"/>
    <mergeCell ref="Y197:Y198"/>
    <mergeCell ref="Z197:Z198"/>
    <mergeCell ref="AA197:AA198"/>
    <mergeCell ref="AB197:AB198"/>
    <mergeCell ref="AC197:AC198"/>
    <mergeCell ref="B192:B194"/>
    <mergeCell ref="Y192:Y194"/>
    <mergeCell ref="Z192:Z194"/>
    <mergeCell ref="AA192:AA194"/>
    <mergeCell ref="AB192:AB194"/>
    <mergeCell ref="AC192:AC194"/>
    <mergeCell ref="B187:B190"/>
    <mergeCell ref="Y187:Y190"/>
    <mergeCell ref="Z187:Z190"/>
    <mergeCell ref="AA187:AA190"/>
    <mergeCell ref="AB187:AB190"/>
    <mergeCell ref="AC187:AC190"/>
    <mergeCell ref="B185:B186"/>
    <mergeCell ref="Y185:Y186"/>
    <mergeCell ref="Z185:Z186"/>
    <mergeCell ref="AA185:AA186"/>
    <mergeCell ref="AB185:AB186"/>
    <mergeCell ref="AC185:AC186"/>
    <mergeCell ref="B181:B184"/>
    <mergeCell ref="Y181:Y184"/>
    <mergeCell ref="Z181:Z184"/>
    <mergeCell ref="AA181:AA184"/>
    <mergeCell ref="AB181:AB184"/>
    <mergeCell ref="AC181:AC184"/>
    <mergeCell ref="B175:B180"/>
    <mergeCell ref="Y175:Y180"/>
    <mergeCell ref="Z175:Z180"/>
    <mergeCell ref="AA175:AA180"/>
    <mergeCell ref="AB175:AB180"/>
    <mergeCell ref="AC175:AC180"/>
    <mergeCell ref="AC160:AC167"/>
    <mergeCell ref="B168:B174"/>
    <mergeCell ref="Y168:Y174"/>
    <mergeCell ref="Z168:Z174"/>
    <mergeCell ref="AA168:AA174"/>
    <mergeCell ref="AB168:AB174"/>
    <mergeCell ref="AC168:AC174"/>
    <mergeCell ref="B160:B167"/>
    <mergeCell ref="Y160:Y167"/>
    <mergeCell ref="Z160:Z167"/>
    <mergeCell ref="AA160:AA167"/>
    <mergeCell ref="AB160:AB167"/>
    <mergeCell ref="B157:B158"/>
    <mergeCell ref="Y157:Y158"/>
    <mergeCell ref="Z157:Z158"/>
    <mergeCell ref="AA157:AA158"/>
    <mergeCell ref="AB157:AB158"/>
    <mergeCell ref="AC157:AC158"/>
    <mergeCell ref="B151:B154"/>
    <mergeCell ref="Y151:Y154"/>
    <mergeCell ref="Z151:Z154"/>
    <mergeCell ref="AA151:AA154"/>
    <mergeCell ref="AB151:AB154"/>
    <mergeCell ref="AC151:AC154"/>
    <mergeCell ref="B148:B150"/>
    <mergeCell ref="Y148:Y150"/>
    <mergeCell ref="Z148:Z150"/>
    <mergeCell ref="AA148:AA150"/>
    <mergeCell ref="AB148:AB150"/>
    <mergeCell ref="AC148:AC150"/>
    <mergeCell ref="AC138:AC140"/>
    <mergeCell ref="B143:B146"/>
    <mergeCell ref="Y143:Y146"/>
    <mergeCell ref="Z143:Z146"/>
    <mergeCell ref="AA143:AA146"/>
    <mergeCell ref="AB143:AB146"/>
    <mergeCell ref="AC143:AC146"/>
    <mergeCell ref="Y134:Y137"/>
    <mergeCell ref="Z134:Z137"/>
    <mergeCell ref="AA134:AA137"/>
    <mergeCell ref="AB134:AB137"/>
    <mergeCell ref="AC134:AC137"/>
    <mergeCell ref="B138:B140"/>
    <mergeCell ref="Y138:Y140"/>
    <mergeCell ref="Z138:Z140"/>
    <mergeCell ref="AA138:AA140"/>
    <mergeCell ref="AB138:AB140"/>
    <mergeCell ref="B131:B132"/>
    <mergeCell ref="Y131:Y132"/>
    <mergeCell ref="Z131:Z132"/>
    <mergeCell ref="AA131:AA132"/>
    <mergeCell ref="AB131:AB132"/>
    <mergeCell ref="AC131:AC132"/>
    <mergeCell ref="B128:B129"/>
    <mergeCell ref="Y128:Y129"/>
    <mergeCell ref="Z128:Z129"/>
    <mergeCell ref="AA128:AA129"/>
    <mergeCell ref="AB128:AB129"/>
    <mergeCell ref="AC128:AC129"/>
    <mergeCell ref="AC120:AC123"/>
    <mergeCell ref="B124:B127"/>
    <mergeCell ref="Y124:Y127"/>
    <mergeCell ref="Z124:Z127"/>
    <mergeCell ref="AA124:AA127"/>
    <mergeCell ref="AB124:AB127"/>
    <mergeCell ref="AC124:AC127"/>
    <mergeCell ref="Y113:Y114"/>
    <mergeCell ref="Z113:Z114"/>
    <mergeCell ref="AA113:AA114"/>
    <mergeCell ref="AB113:AB114"/>
    <mergeCell ref="AC113:AC114"/>
    <mergeCell ref="B120:B123"/>
    <mergeCell ref="Y120:Y123"/>
    <mergeCell ref="Z120:Z123"/>
    <mergeCell ref="AA120:AA123"/>
    <mergeCell ref="AB120:AB123"/>
    <mergeCell ref="B109:B112"/>
    <mergeCell ref="Y109:Y112"/>
    <mergeCell ref="Z109:Z112"/>
    <mergeCell ref="AA109:AA112"/>
    <mergeCell ref="AB109:AB112"/>
    <mergeCell ref="AC109:AC112"/>
    <mergeCell ref="B106:B108"/>
    <mergeCell ref="Y106:Y108"/>
    <mergeCell ref="Z106:Z108"/>
    <mergeCell ref="AA106:AA108"/>
    <mergeCell ref="AB106:AB108"/>
    <mergeCell ref="AC106:AC108"/>
    <mergeCell ref="B98:B105"/>
    <mergeCell ref="Y98:Y105"/>
    <mergeCell ref="Z98:Z105"/>
    <mergeCell ref="AA98:AA105"/>
    <mergeCell ref="AB98:AB105"/>
    <mergeCell ref="AC98:AC105"/>
    <mergeCell ref="B96:B97"/>
    <mergeCell ref="Y96:Y97"/>
    <mergeCell ref="Z96:Z97"/>
    <mergeCell ref="AA96:AA97"/>
    <mergeCell ref="AB96:AB97"/>
    <mergeCell ref="AC96:AC97"/>
    <mergeCell ref="Y90:Y91"/>
    <mergeCell ref="Z90:Z91"/>
    <mergeCell ref="AA90:AA91"/>
    <mergeCell ref="AB90:AB91"/>
    <mergeCell ref="AC90:AC91"/>
    <mergeCell ref="B80:B86"/>
    <mergeCell ref="Y80:Y86"/>
    <mergeCell ref="Z80:Z86"/>
    <mergeCell ref="AA80:AA86"/>
    <mergeCell ref="AB80:AB86"/>
    <mergeCell ref="AC80:AC86"/>
    <mergeCell ref="Y73:Y74"/>
    <mergeCell ref="Z73:Z74"/>
    <mergeCell ref="AA73:AA74"/>
    <mergeCell ref="AB73:AB74"/>
    <mergeCell ref="AC73:AC74"/>
    <mergeCell ref="B70:B72"/>
    <mergeCell ref="Y70:Y72"/>
    <mergeCell ref="Z70:Z72"/>
    <mergeCell ref="AA70:AA72"/>
    <mergeCell ref="AB70:AB72"/>
    <mergeCell ref="AC70:AC72"/>
    <mergeCell ref="Y65:Y68"/>
    <mergeCell ref="Z65:Z68"/>
    <mergeCell ref="AA65:AA68"/>
    <mergeCell ref="AB65:AB68"/>
    <mergeCell ref="AC65:AC68"/>
    <mergeCell ref="B57:B64"/>
    <mergeCell ref="Y57:Y64"/>
    <mergeCell ref="Z57:Z64"/>
    <mergeCell ref="AA57:AA64"/>
    <mergeCell ref="AB57:AB64"/>
    <mergeCell ref="AC57:AC64"/>
    <mergeCell ref="Y55:Y56"/>
    <mergeCell ref="Z55:Z56"/>
    <mergeCell ref="AA55:AA56"/>
    <mergeCell ref="AB55:AB56"/>
    <mergeCell ref="AC55:AC56"/>
    <mergeCell ref="B51:B53"/>
    <mergeCell ref="Y51:Y53"/>
    <mergeCell ref="Z51:Z53"/>
    <mergeCell ref="AA51:AA53"/>
    <mergeCell ref="AB51:AB53"/>
    <mergeCell ref="AC51:AC53"/>
    <mergeCell ref="AA42:AA44"/>
    <mergeCell ref="AB42:AB44"/>
    <mergeCell ref="AC42:AC44"/>
    <mergeCell ref="B45:B50"/>
    <mergeCell ref="Y45:Y50"/>
    <mergeCell ref="Z45:Z50"/>
    <mergeCell ref="AA45:AA50"/>
    <mergeCell ref="AB45:AB50"/>
    <mergeCell ref="AC45:AC50"/>
    <mergeCell ref="Q42:Q44"/>
    <mergeCell ref="R42:R44"/>
    <mergeCell ref="S42:S44"/>
    <mergeCell ref="W42:W44"/>
    <mergeCell ref="X42:X44"/>
    <mergeCell ref="Y42:Y44"/>
    <mergeCell ref="K42:K44"/>
    <mergeCell ref="L42:L44"/>
    <mergeCell ref="M42:M44"/>
    <mergeCell ref="N42:N44"/>
    <mergeCell ref="O42:O44"/>
    <mergeCell ref="P42:P44"/>
    <mergeCell ref="T42:T44"/>
    <mergeCell ref="U42:U44"/>
    <mergeCell ref="AC33:AC41"/>
    <mergeCell ref="B42:B44"/>
    <mergeCell ref="D42:D44"/>
    <mergeCell ref="E42:E44"/>
    <mergeCell ref="F42:F44"/>
    <mergeCell ref="G42:G44"/>
    <mergeCell ref="H42:H44"/>
    <mergeCell ref="I42:I44"/>
    <mergeCell ref="J42:J44"/>
    <mergeCell ref="W33:W41"/>
    <mergeCell ref="X33:X41"/>
    <mergeCell ref="Y33:Y41"/>
    <mergeCell ref="Z33:Z41"/>
    <mergeCell ref="AA33:AA41"/>
    <mergeCell ref="AB33:AB41"/>
    <mergeCell ref="N33:N41"/>
    <mergeCell ref="O33:O41"/>
    <mergeCell ref="P33:P41"/>
    <mergeCell ref="Q33:Q41"/>
    <mergeCell ref="R33:R41"/>
    <mergeCell ref="S33:S41"/>
    <mergeCell ref="H33:H41"/>
    <mergeCell ref="I33:I41"/>
    <mergeCell ref="Z42:Z44"/>
    <mergeCell ref="Y28:Y30"/>
    <mergeCell ref="Z28:Z30"/>
    <mergeCell ref="AA28:AA30"/>
    <mergeCell ref="AB28:AB30"/>
    <mergeCell ref="AC28:AC30"/>
    <mergeCell ref="B25:B26"/>
    <mergeCell ref="Y25:Y26"/>
    <mergeCell ref="Z25:Z26"/>
    <mergeCell ref="AA25:AA26"/>
    <mergeCell ref="AB25:AB26"/>
    <mergeCell ref="AC25:AC26"/>
    <mergeCell ref="AC13:AC18"/>
    <mergeCell ref="B19:B21"/>
    <mergeCell ref="Y19:Y21"/>
    <mergeCell ref="Z19:Z21"/>
    <mergeCell ref="AA19:AA21"/>
    <mergeCell ref="AB19:AB21"/>
    <mergeCell ref="AC19:AC21"/>
    <mergeCell ref="Y9:Y12"/>
    <mergeCell ref="Z9:Z12"/>
    <mergeCell ref="AA9:AA12"/>
    <mergeCell ref="AB9:AB12"/>
    <mergeCell ref="AC9:AC12"/>
    <mergeCell ref="B13:B18"/>
    <mergeCell ref="Y13:Y18"/>
    <mergeCell ref="Z13:Z18"/>
    <mergeCell ref="AA13:AA18"/>
    <mergeCell ref="AB13:AB18"/>
    <mergeCell ref="T37:T41"/>
    <mergeCell ref="U37:U41"/>
    <mergeCell ref="B113:B114"/>
    <mergeCell ref="B134:B137"/>
    <mergeCell ref="C2:I2"/>
    <mergeCell ref="C3:I3"/>
    <mergeCell ref="C4:I4"/>
    <mergeCell ref="D6:F6"/>
    <mergeCell ref="G7:I7"/>
    <mergeCell ref="B9:B12"/>
    <mergeCell ref="B28:B30"/>
    <mergeCell ref="J33:J41"/>
    <mergeCell ref="K33:K41"/>
    <mergeCell ref="L33:L41"/>
    <mergeCell ref="M33:M41"/>
    <mergeCell ref="B33:B41"/>
    <mergeCell ref="D33:D41"/>
    <mergeCell ref="E33:E41"/>
    <mergeCell ref="F33:F41"/>
    <mergeCell ref="G33:G41"/>
    <mergeCell ref="B55:B56"/>
    <mergeCell ref="B65:B68"/>
    <mergeCell ref="B73:B74"/>
    <mergeCell ref="B90:B91"/>
  </mergeCells>
  <conditionalFormatting sqref="C9:C49">
    <cfRule type="expression" dxfId="126" priority="660">
      <formula>#REF!=1</formula>
    </cfRule>
  </conditionalFormatting>
  <conditionalFormatting sqref="C51:C68 C113 G122:I123 E129:I129 E140:F146 G140:I147 F147">
    <cfRule type="expression" dxfId="125" priority="662">
      <formula>#REF!=1</formula>
    </cfRule>
  </conditionalFormatting>
  <conditionalFormatting sqref="C65 C123 C127 C130">
    <cfRule type="expression" dxfId="124" priority="664">
      <formula>D65=1</formula>
    </cfRule>
  </conditionalFormatting>
  <conditionalFormatting sqref="C70:C109">
    <cfRule type="expression" dxfId="123" priority="657">
      <formula>#REF!=1</formula>
    </cfRule>
  </conditionalFormatting>
  <conditionalFormatting sqref="C119:C156">
    <cfRule type="expression" dxfId="122" priority="658">
      <formula>#REF!=1</formula>
    </cfRule>
  </conditionalFormatting>
  <conditionalFormatting sqref="C159 F171:F191">
    <cfRule type="expression" dxfId="121" priority="665">
      <formula>#REF!=1</formula>
    </cfRule>
  </conditionalFormatting>
  <conditionalFormatting sqref="C161:C167">
    <cfRule type="expression" dxfId="120" priority="550">
      <formula>#REF!=1</formula>
    </cfRule>
  </conditionalFormatting>
  <conditionalFormatting sqref="C162:C164">
    <cfRule type="expression" dxfId="119" priority="574">
      <formula>D178=1</formula>
    </cfRule>
  </conditionalFormatting>
  <conditionalFormatting sqref="C163 C189">
    <cfRule type="expression" dxfId="118" priority="642">
      <formula>D170=1</formula>
    </cfRule>
  </conditionalFormatting>
  <conditionalFormatting sqref="C164">
    <cfRule type="expression" dxfId="117" priority="1139">
      <formula>D202=1</formula>
    </cfRule>
    <cfRule type="expression" dxfId="116" priority="1446">
      <formula>D175=1</formula>
    </cfRule>
  </conditionalFormatting>
  <conditionalFormatting sqref="C164:C165">
    <cfRule type="expression" dxfId="115" priority="393">
      <formula>D190=1</formula>
    </cfRule>
  </conditionalFormatting>
  <conditionalFormatting sqref="C164:C167">
    <cfRule type="expression" dxfId="114" priority="595">
      <formula>D187=1</formula>
    </cfRule>
  </conditionalFormatting>
  <conditionalFormatting sqref="C165">
    <cfRule type="expression" dxfId="113" priority="1449">
      <formula>D175=1</formula>
    </cfRule>
    <cfRule type="expression" dxfId="112" priority="1008">
      <formula>D204=1</formula>
    </cfRule>
    <cfRule type="expression" dxfId="111" priority="1448">
      <formula>D189=1</formula>
    </cfRule>
  </conditionalFormatting>
  <conditionalFormatting sqref="C165:C166">
    <cfRule type="expression" dxfId="110" priority="677">
      <formula>D185=1</formula>
    </cfRule>
  </conditionalFormatting>
  <conditionalFormatting sqref="C165:C167">
    <cfRule type="expression" dxfId="109" priority="1014">
      <formula>D200=1</formula>
    </cfRule>
    <cfRule type="expression" dxfId="108" priority="618">
      <formula>D172=1</formula>
    </cfRule>
  </conditionalFormatting>
  <conditionalFormatting sqref="C166:C167">
    <cfRule type="expression" dxfId="107" priority="1158">
      <formula>D195=1</formula>
    </cfRule>
    <cfRule type="expression" dxfId="106" priority="619">
      <formula>D171=1</formula>
    </cfRule>
  </conditionalFormatting>
  <conditionalFormatting sqref="C167">
    <cfRule type="expression" dxfId="105" priority="1161">
      <formula>D192=1</formula>
    </cfRule>
  </conditionalFormatting>
  <conditionalFormatting sqref="C171:C191">
    <cfRule type="expression" dxfId="104" priority="326">
      <formula>#REF!=1</formula>
    </cfRule>
  </conditionalFormatting>
  <conditionalFormatting sqref="C178 C180">
    <cfRule type="expression" dxfId="103" priority="430">
      <formula>D197=1</formula>
    </cfRule>
  </conditionalFormatting>
  <conditionalFormatting sqref="C178">
    <cfRule type="expression" dxfId="102" priority="690">
      <formula>D162=1</formula>
    </cfRule>
  </conditionalFormatting>
  <conditionalFormatting sqref="C178:C180 C194:C195">
    <cfRule type="expression" dxfId="101" priority="366">
      <formula>D187=1</formula>
    </cfRule>
  </conditionalFormatting>
  <conditionalFormatting sqref="C178:C180">
    <cfRule type="expression" dxfId="100" priority="412">
      <formula>D172=1</formula>
    </cfRule>
    <cfRule type="expression" dxfId="99" priority="367">
      <formula>D200=1</formula>
    </cfRule>
  </conditionalFormatting>
  <conditionalFormatting sqref="C179:C180">
    <cfRule type="expression" dxfId="98" priority="698">
      <formula>D176=1</formula>
    </cfRule>
  </conditionalFormatting>
  <conditionalFormatting sqref="C180 C182">
    <cfRule type="expression" dxfId="97" priority="383">
      <formula>D184=1</formula>
    </cfRule>
  </conditionalFormatting>
  <conditionalFormatting sqref="C180 C182:C184">
    <cfRule type="expression" dxfId="96" priority="409">
      <formula>D194=1</formula>
    </cfRule>
  </conditionalFormatting>
  <conditionalFormatting sqref="C181">
    <cfRule type="expression" dxfId="95" priority="304">
      <formula>D202=1</formula>
    </cfRule>
  </conditionalFormatting>
  <conditionalFormatting sqref="C182:C184">
    <cfRule type="expression" dxfId="94" priority="1039">
      <formula>D192=1</formula>
    </cfRule>
  </conditionalFormatting>
  <conditionalFormatting sqref="C184">
    <cfRule type="expression" dxfId="93" priority="417">
      <formula>D165=1</formula>
    </cfRule>
    <cfRule type="expression" dxfId="92" priority="327">
      <formula>D164=1</formula>
    </cfRule>
  </conditionalFormatting>
  <conditionalFormatting sqref="C187">
    <cfRule type="expression" dxfId="91" priority="441">
      <formula>D166=1</formula>
    </cfRule>
  </conditionalFormatting>
  <conditionalFormatting sqref="C188">
    <cfRule type="expression" dxfId="90" priority="708">
      <formula>D194=1</formula>
    </cfRule>
  </conditionalFormatting>
  <conditionalFormatting sqref="C188:C189">
    <cfRule type="expression" dxfId="89" priority="359">
      <formula>D183=1</formula>
    </cfRule>
  </conditionalFormatting>
  <conditionalFormatting sqref="C190">
    <cfRule type="expression" dxfId="88" priority="403">
      <formula>D163=1</formula>
    </cfRule>
  </conditionalFormatting>
  <conditionalFormatting sqref="C194">
    <cfRule type="expression" dxfId="87" priority="1056">
      <formula>D193=1</formula>
    </cfRule>
  </conditionalFormatting>
  <conditionalFormatting sqref="C194:C196">
    <cfRule type="expression" dxfId="86" priority="446">
      <formula>D162=1</formula>
    </cfRule>
  </conditionalFormatting>
  <conditionalFormatting sqref="C194:C198">
    <cfRule type="expression" dxfId="85" priority="328">
      <formula>#REF!=1</formula>
    </cfRule>
  </conditionalFormatting>
  <conditionalFormatting sqref="C197">
    <cfRule type="expression" dxfId="84" priority="308">
      <formula>D191=1</formula>
    </cfRule>
  </conditionalFormatting>
  <conditionalFormatting sqref="C201">
    <cfRule type="expression" dxfId="83" priority="713">
      <formula>#REF!=1</formula>
    </cfRule>
  </conditionalFormatting>
  <conditionalFormatting sqref="C202">
    <cfRule type="expression" dxfId="82" priority="1456">
      <formula>D175=1</formula>
    </cfRule>
  </conditionalFormatting>
  <conditionalFormatting sqref="C202:C203">
    <cfRule type="expression" dxfId="81" priority="444">
      <formula>D173=1</formula>
    </cfRule>
  </conditionalFormatting>
  <conditionalFormatting sqref="C203:C204">
    <cfRule type="expression" dxfId="80" priority="423">
      <formula>D171=1</formula>
    </cfRule>
    <cfRule type="expression" dxfId="79" priority="330">
      <formula>#REF!=1</formula>
    </cfRule>
  </conditionalFormatting>
  <conditionalFormatting sqref="C204">
    <cfRule type="expression" dxfId="78" priority="714">
      <formula>D161=1</formula>
    </cfRule>
  </conditionalFormatting>
  <conditionalFormatting sqref="F14 F63:F64">
    <cfRule type="expression" dxfId="77" priority="663">
      <formula>#REF!=1</formula>
    </cfRule>
  </conditionalFormatting>
  <conditionalFormatting sqref="F29:F30 F45:F49 F56 F68 F73:F79">
    <cfRule type="expression" dxfId="76" priority="667">
      <formula>#REF!=1</formula>
    </cfRule>
  </conditionalFormatting>
  <conditionalFormatting sqref="F161:F167">
    <cfRule type="expression" dxfId="75" priority="500">
      <formula>#REF!=1</formula>
    </cfRule>
  </conditionalFormatting>
  <conditionalFormatting sqref="F194:F198">
    <cfRule type="expression" dxfId="74" priority="40">
      <formula>#REF!=1</formula>
    </cfRule>
  </conditionalFormatting>
  <conditionalFormatting sqref="F201:F204">
    <cfRule type="expression" dxfId="73" priority="151">
      <formula>#REF!=1</formula>
    </cfRule>
  </conditionalFormatting>
  <pageMargins left="0.7" right="0.7" top="0.75" bottom="0.75" header="0" footer="0"/>
  <pageSetup paperSize="9" orientation="portrait" r:id="rId1"/>
  <drawing r:id="rId2"/>
  <legacyDrawing r:id="rId3"/>
  <extLst>
    <ext xmlns:x14="http://schemas.microsoft.com/office/spreadsheetml/2009/9/main" uri="{78C0D931-6437-407d-A8EE-F0AAD7539E65}">
      <x14:conditionalFormattings>
        <x14:conditionalFormatting xmlns:xm="http://schemas.microsoft.com/office/excel/2006/main">
          <x14:cfRule type="expression" priority="593" id="{6EEAD63A-735D-459A-A324-7C6B509540CD}">
            <xm:f>'https://d.docs.live.net/5fa13a08e14fab72/Desktop/LABORATORIO SALUD PUBLICA/LSP2025/PROCESOS CONTRATACION/REACTIVOS/1 PROCESO/[MATERIALES-EM.xlsx]PENDEINTES '!#REF!=1</xm:f>
            <x14:dxf>
              <fill>
                <patternFill patternType="solid">
                  <fgColor rgb="FFB4C6E7"/>
                  <bgColor rgb="FFB4C6E7"/>
                </patternFill>
              </fill>
            </x14:dxf>
          </x14:cfRule>
          <xm:sqref>C164</xm:sqref>
        </x14:conditionalFormatting>
        <x14:conditionalFormatting xmlns:xm="http://schemas.microsoft.com/office/excel/2006/main">
          <x14:cfRule type="expression" priority="594" id="{A933028D-1AA5-43B1-A114-4A4B599F5DA8}">
            <xm:f>'https://d.docs.live.net/5fa13a08e14fab72/Desktop/LABORATORIO SALUD PUBLICA/LSP2025/PROCESOS CONTRATACION/REACTIVOS/1 PROCESO/[MATERIALES-EM.xlsx]PENDEINTES '!#REF!=1</xm:f>
            <x14:dxf>
              <fill>
                <patternFill patternType="solid">
                  <fgColor rgb="FFB4C6E7"/>
                  <bgColor rgb="FFB4C6E7"/>
                </patternFill>
              </fill>
            </x14:dxf>
          </x14:cfRule>
          <xm:sqref>C167</xm:sqref>
        </x14:conditionalFormatting>
        <x14:conditionalFormatting xmlns:xm="http://schemas.microsoft.com/office/excel/2006/main">
          <x14:cfRule type="expression" priority="466" id="{64C887CB-67B3-459D-8BB8-41AF12294EF6}">
            <xm:f>'https://d.docs.live.net/5fa13a08e14fab72/Desktop/LABORATORIO SALUD PUBLICA/LSP2025/PROCESOS CONTRATACION/REACTIVOS/1 PROCESO/[MATERIALES-EM.xlsx]PENDEINTES '!#REF!=1</xm:f>
            <x14:dxf>
              <fill>
                <patternFill patternType="solid">
                  <fgColor rgb="FFB4C6E7"/>
                  <bgColor rgb="FFB4C6E7"/>
                </patternFill>
              </fill>
            </x14:dxf>
          </x14:cfRule>
          <xm:sqref>C179</xm:sqref>
        </x14:conditionalFormatting>
        <x14:conditionalFormatting xmlns:xm="http://schemas.microsoft.com/office/excel/2006/main">
          <x14:cfRule type="expression" priority="468" id="{A38C06EC-7BA5-41F3-855D-ABDE5DCF8ACC}">
            <xm:f>'https://d.docs.live.net/5fa13a08e14fab72/Desktop/LABORATORIO SALUD PUBLICA/LSP2025/PROCESOS CONTRATACION/REACTIVOS/1 PROCESO/[MATERIALES-EM.xlsx]PENDEINTES '!#REF!=1</xm:f>
            <x14:dxf>
              <fill>
                <patternFill patternType="solid">
                  <fgColor rgb="FFB4C6E7"/>
                  <bgColor rgb="FFB4C6E7"/>
                </patternFill>
              </fill>
            </x14:dxf>
          </x14:cfRule>
          <xm:sqref>C184</xm:sqref>
        </x14:conditionalFormatting>
        <x14:conditionalFormatting xmlns:xm="http://schemas.microsoft.com/office/excel/2006/main">
          <x14:cfRule type="expression" priority="477" id="{F8CC5DA2-FE43-453E-8E91-B527FA1115E2}">
            <xm:f>'https://d.docs.live.net/5fa13a08e14fab72/Desktop/LABORATORIO SALUD PUBLICA/LSP2025/PROCESOS CONTRATACION/REACTIVOS/1 PROCESO/[MATERIALES-EM.xlsx]PENDEINTES '!#REF!=1</xm:f>
            <x14:dxf>
              <fill>
                <patternFill patternType="solid">
                  <fgColor rgb="FFB4C6E7"/>
                  <bgColor rgb="FFB4C6E7"/>
                </patternFill>
              </fill>
            </x14:dxf>
          </x14:cfRule>
          <xm:sqref>C190</xm:sqref>
        </x14:conditionalFormatting>
        <x14:conditionalFormatting xmlns:xm="http://schemas.microsoft.com/office/excel/2006/main">
          <x14:cfRule type="expression" priority="543" id="{7EC84577-3E39-4FC4-B81F-4E64304B5DF5}">
            <xm:f>'https://d.docs.live.net/5fa13a08e14fab72/Desktop/LABORATORIO SALUD PUBLICA/LSP2025/PROCESOS CONTRATACION/REACTIVOS/1 PROCESO/[MATERIALES-EM.xlsx]PENDEINTES '!#REF!=1</xm:f>
            <x14:dxf>
              <fill>
                <patternFill patternType="solid">
                  <fgColor rgb="FFB4C6E7"/>
                  <bgColor rgb="FFB4C6E7"/>
                </patternFill>
              </fill>
            </x14:dxf>
          </x14:cfRule>
          <xm:sqref>F164</xm:sqref>
        </x14:conditionalFormatting>
        <x14:conditionalFormatting xmlns:xm="http://schemas.microsoft.com/office/excel/2006/main">
          <x14:cfRule type="expression" priority="544" id="{11618B94-4909-4B55-A1D6-368C456F9D9B}">
            <xm:f>'https://d.docs.live.net/5fa13a08e14fab72/Desktop/LABORATORIO SALUD PUBLICA/LSP2025/PROCESOS CONTRATACION/REACTIVOS/1 PROCESO/[MATERIALES-EM.xlsx]PENDEINTES '!#REF!=1</xm:f>
            <x14:dxf>
              <fill>
                <patternFill patternType="solid">
                  <fgColor rgb="FFB4C6E7"/>
                  <bgColor rgb="FFB4C6E7"/>
                </patternFill>
              </fill>
            </x14:dxf>
          </x14:cfRule>
          <xm:sqref>F167</xm:sqref>
        </x14:conditionalFormatting>
        <x14:conditionalFormatting xmlns:xm="http://schemas.microsoft.com/office/excel/2006/main">
          <x14:cfRule type="expression" priority="114" id="{22AF03D1-720C-4534-BA4B-BD0C6AEAF1CE}">
            <xm:f>'https://d.docs.live.net/5fa13a08e14fab72/Desktop/LABORATORIO SALUD PUBLICA/LSP2025/PROCESOS CONTRATACION/REACTIVOS/1 PROCESO/[MATERIALES-EM.xlsx]PENDEINTES '!#REF!=1</xm:f>
            <x14:dxf>
              <fill>
                <patternFill patternType="solid">
                  <fgColor rgb="FFB4C6E7"/>
                  <bgColor rgb="FFB4C6E7"/>
                </patternFill>
              </fill>
            </x14:dxf>
          </x14:cfRule>
          <xm:sqref>F179</xm:sqref>
        </x14:conditionalFormatting>
        <x14:conditionalFormatting xmlns:xm="http://schemas.microsoft.com/office/excel/2006/main">
          <x14:cfRule type="expression" priority="275" id="{0DCE13D3-6C67-48A5-8AD5-1505E5D7A982}">
            <xm:f>'https://d.docs.live.net/5fa13a08e14fab72/Desktop/LABORATORIO SALUD PUBLICA/LSP2025/PROCESOS CONTRATACION/REACTIVOS/1 PROCESO/[MATERIALES-EM.xlsx]PENDEINTES '!#REF!=1</xm:f>
            <x14:dxf>
              <fill>
                <patternFill patternType="solid">
                  <fgColor rgb="FFB4C6E7"/>
                  <bgColor rgb="FFB4C6E7"/>
                </patternFill>
              </fill>
            </x14:dxf>
          </x14:cfRule>
          <xm:sqref>F184</xm:sqref>
        </x14:conditionalFormatting>
        <x14:conditionalFormatting xmlns:xm="http://schemas.microsoft.com/office/excel/2006/main">
          <x14:cfRule type="expression" priority="117" id="{F4D25548-9126-4C12-9D56-047E2EB393F6}">
            <xm:f>'https://d.docs.live.net/5fa13a08e14fab72/Desktop/LABORATORIO SALUD PUBLICA/LSP2025/PROCESOS CONTRATACION/REACTIVOS/1 PROCESO/[MATERIALES-EM.xlsx]PENDEINTES '!#REF!=1</xm:f>
            <x14:dxf>
              <fill>
                <patternFill patternType="solid">
                  <fgColor rgb="FFB4C6E7"/>
                  <bgColor rgb="FFB4C6E7"/>
                </patternFill>
              </fill>
            </x14:dxf>
          </x14:cfRule>
          <xm:sqref>F190</xm:sqref>
        </x14:conditionalFormatting>
      </x14:conditionalFormatting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B0A3D2-B962-4E17-9A36-D4CAA97E3613}">
  <dimension ref="B2:J206"/>
  <sheetViews>
    <sheetView tabSelected="1" topLeftCell="A211" zoomScale="70" zoomScaleNormal="70" workbookViewId="0">
      <selection activeCell="C140" sqref="C140"/>
    </sheetView>
  </sheetViews>
  <sheetFormatPr baseColWidth="10" defaultColWidth="14.42578125" defaultRowHeight="15" customHeight="1" x14ac:dyDescent="0.25"/>
  <cols>
    <col min="1" max="1" width="4.85546875" style="254" customWidth="1"/>
    <col min="2" max="2" width="15.28515625" style="1" customWidth="1"/>
    <col min="3" max="3" width="37.5703125" style="254" customWidth="1"/>
    <col min="4" max="4" width="21.85546875" style="7" customWidth="1"/>
    <col min="5" max="5" width="13" style="261" customWidth="1"/>
    <col min="6" max="6" width="18.140625" style="225" customWidth="1"/>
    <col min="7" max="7" width="20.7109375" style="317" customWidth="1"/>
    <col min="8" max="8" width="22.5703125" style="317" customWidth="1"/>
    <col min="9" max="9" width="22.42578125" style="317" customWidth="1"/>
    <col min="10" max="10" width="14.42578125" style="317"/>
    <col min="11" max="16384" width="14.42578125" style="254"/>
  </cols>
  <sheetData>
    <row r="2" spans="2:10" x14ac:dyDescent="0.25">
      <c r="C2" s="390" t="s">
        <v>0</v>
      </c>
      <c r="D2" s="391"/>
      <c r="E2" s="391"/>
      <c r="F2" s="391"/>
    </row>
    <row r="3" spans="2:10" x14ac:dyDescent="0.25">
      <c r="C3" s="390" t="s">
        <v>2</v>
      </c>
      <c r="D3" s="391"/>
      <c r="E3" s="391"/>
      <c r="F3" s="391"/>
    </row>
    <row r="4" spans="2:10" x14ac:dyDescent="0.25">
      <c r="C4" s="390" t="s">
        <v>3</v>
      </c>
      <c r="D4" s="391"/>
      <c r="E4" s="391"/>
      <c r="F4" s="391"/>
    </row>
    <row r="5" spans="2:10" x14ac:dyDescent="0.25">
      <c r="C5" s="8"/>
      <c r="D5" s="254"/>
      <c r="E5" s="254"/>
      <c r="F5" s="254"/>
    </row>
    <row r="6" spans="2:10" ht="15.75" thickBot="1" x14ac:dyDescent="0.3">
      <c r="C6" s="9"/>
      <c r="D6" s="508" t="s">
        <v>405</v>
      </c>
      <c r="E6" s="508"/>
      <c r="F6" s="508"/>
    </row>
    <row r="7" spans="2:10" ht="15.75" thickBot="1" x14ac:dyDescent="0.3">
      <c r="C7" s="13"/>
      <c r="D7" s="14"/>
      <c r="E7" s="14"/>
      <c r="F7" s="3"/>
      <c r="G7" s="517" t="s">
        <v>380</v>
      </c>
      <c r="H7" s="518"/>
      <c r="I7" s="519" t="s">
        <v>381</v>
      </c>
      <c r="J7" s="520"/>
    </row>
    <row r="8" spans="2:10" s="255" customFormat="1" ht="39" thickBot="1" x14ac:dyDescent="0.3">
      <c r="B8" s="15" t="s">
        <v>6</v>
      </c>
      <c r="C8" s="16" t="s">
        <v>7</v>
      </c>
      <c r="D8" s="16" t="s">
        <v>8</v>
      </c>
      <c r="E8" s="16" t="s">
        <v>9</v>
      </c>
      <c r="F8" s="16" t="s">
        <v>10</v>
      </c>
      <c r="G8" s="16" t="s">
        <v>382</v>
      </c>
      <c r="H8" s="16" t="s">
        <v>32</v>
      </c>
      <c r="I8" s="16" t="s">
        <v>382</v>
      </c>
      <c r="J8" s="380" t="s">
        <v>32</v>
      </c>
    </row>
    <row r="9" spans="2:10" ht="102" x14ac:dyDescent="0.25">
      <c r="B9" s="465">
        <v>1</v>
      </c>
      <c r="C9" s="187" t="s">
        <v>406</v>
      </c>
      <c r="D9" s="199" t="s">
        <v>34</v>
      </c>
      <c r="E9" s="199">
        <v>1</v>
      </c>
      <c r="F9" s="200" t="s">
        <v>35</v>
      </c>
      <c r="G9" s="509">
        <f>4209131</f>
        <v>4209131</v>
      </c>
      <c r="H9" s="509">
        <f>G9*1</f>
        <v>4209131</v>
      </c>
      <c r="I9" s="509"/>
      <c r="J9" s="512">
        <f>I9*1</f>
        <v>0</v>
      </c>
    </row>
    <row r="10" spans="2:10" ht="89.25" x14ac:dyDescent="0.25">
      <c r="B10" s="399"/>
      <c r="C10" s="35" t="s">
        <v>407</v>
      </c>
      <c r="D10" s="36" t="s">
        <v>34</v>
      </c>
      <c r="E10" s="36">
        <v>2</v>
      </c>
      <c r="F10" s="128" t="s">
        <v>37</v>
      </c>
      <c r="G10" s="510"/>
      <c r="H10" s="510"/>
      <c r="I10" s="510"/>
      <c r="J10" s="513"/>
    </row>
    <row r="11" spans="2:10" ht="114.75" x14ac:dyDescent="0.25">
      <c r="B11" s="399"/>
      <c r="C11" s="35" t="s">
        <v>408</v>
      </c>
      <c r="D11" s="36" t="s">
        <v>34</v>
      </c>
      <c r="E11" s="36">
        <v>2</v>
      </c>
      <c r="F11" s="128" t="s">
        <v>37</v>
      </c>
      <c r="G11" s="510"/>
      <c r="H11" s="510"/>
      <c r="I11" s="510"/>
      <c r="J11" s="513"/>
    </row>
    <row r="12" spans="2:10" s="257" customFormat="1" ht="102.75" thickBot="1" x14ac:dyDescent="0.3">
      <c r="B12" s="415"/>
      <c r="C12" s="62" t="s">
        <v>409</v>
      </c>
      <c r="D12" s="195" t="s">
        <v>34</v>
      </c>
      <c r="E12" s="195">
        <v>2</v>
      </c>
      <c r="F12" s="221" t="s">
        <v>37</v>
      </c>
      <c r="G12" s="511"/>
      <c r="H12" s="511"/>
      <c r="I12" s="511"/>
      <c r="J12" s="514"/>
    </row>
    <row r="13" spans="2:10" s="256" customFormat="1" ht="114.75" x14ac:dyDescent="0.25">
      <c r="B13" s="398">
        <v>2</v>
      </c>
      <c r="C13" s="26" t="s">
        <v>410</v>
      </c>
      <c r="D13" s="27" t="s">
        <v>41</v>
      </c>
      <c r="E13" s="27">
        <v>2</v>
      </c>
      <c r="F13" s="104" t="s">
        <v>37</v>
      </c>
      <c r="G13" s="515">
        <f>13926176</f>
        <v>13926176</v>
      </c>
      <c r="H13" s="515">
        <f>G13*1</f>
        <v>13926176</v>
      </c>
      <c r="I13" s="515"/>
      <c r="J13" s="522">
        <f>I13*1</f>
        <v>0</v>
      </c>
    </row>
    <row r="14" spans="2:10" ht="76.5" x14ac:dyDescent="0.25">
      <c r="B14" s="399"/>
      <c r="C14" s="35" t="s">
        <v>411</v>
      </c>
      <c r="D14" s="36" t="s">
        <v>34</v>
      </c>
      <c r="E14" s="36">
        <v>1</v>
      </c>
      <c r="F14" s="105" t="s">
        <v>35</v>
      </c>
      <c r="G14" s="510"/>
      <c r="H14" s="510"/>
      <c r="I14" s="510"/>
      <c r="J14" s="513"/>
    </row>
    <row r="15" spans="2:10" ht="89.25" x14ac:dyDescent="0.25">
      <c r="B15" s="399"/>
      <c r="C15" s="35" t="s">
        <v>412</v>
      </c>
      <c r="D15" s="36" t="s">
        <v>44</v>
      </c>
      <c r="E15" s="36">
        <v>14</v>
      </c>
      <c r="F15" s="128" t="s">
        <v>45</v>
      </c>
      <c r="G15" s="510"/>
      <c r="H15" s="510"/>
      <c r="I15" s="510"/>
      <c r="J15" s="513"/>
    </row>
    <row r="16" spans="2:10" ht="102" x14ac:dyDescent="0.25">
      <c r="B16" s="399"/>
      <c r="C16" s="35" t="s">
        <v>413</v>
      </c>
      <c r="D16" s="60" t="s">
        <v>44</v>
      </c>
      <c r="E16" s="36">
        <v>2</v>
      </c>
      <c r="F16" s="105" t="s">
        <v>37</v>
      </c>
      <c r="G16" s="510"/>
      <c r="H16" s="510"/>
      <c r="I16" s="510"/>
      <c r="J16" s="513"/>
    </row>
    <row r="17" spans="2:10" ht="89.25" x14ac:dyDescent="0.25">
      <c r="B17" s="399"/>
      <c r="C17" s="35" t="s">
        <v>414</v>
      </c>
      <c r="D17" s="36" t="s">
        <v>34</v>
      </c>
      <c r="E17" s="36">
        <v>4</v>
      </c>
      <c r="F17" s="128" t="s">
        <v>48</v>
      </c>
      <c r="G17" s="510"/>
      <c r="H17" s="510"/>
      <c r="I17" s="510"/>
      <c r="J17" s="513"/>
    </row>
    <row r="18" spans="2:10" s="257" customFormat="1" ht="115.5" thickBot="1" x14ac:dyDescent="0.3">
      <c r="B18" s="400"/>
      <c r="C18" s="47" t="s">
        <v>415</v>
      </c>
      <c r="D18" s="98" t="s">
        <v>34</v>
      </c>
      <c r="E18" s="48">
        <v>5</v>
      </c>
      <c r="F18" s="99" t="s">
        <v>50</v>
      </c>
      <c r="G18" s="516"/>
      <c r="H18" s="516"/>
      <c r="I18" s="516"/>
      <c r="J18" s="521"/>
    </row>
    <row r="19" spans="2:10" s="256" customFormat="1" ht="89.25" x14ac:dyDescent="0.25">
      <c r="B19" s="465">
        <v>3</v>
      </c>
      <c r="C19" s="187" t="s">
        <v>416</v>
      </c>
      <c r="D19" s="157" t="s">
        <v>52</v>
      </c>
      <c r="E19" s="199">
        <v>1</v>
      </c>
      <c r="F19" s="213" t="s">
        <v>35</v>
      </c>
      <c r="G19" s="509">
        <v>1136137</v>
      </c>
      <c r="H19" s="509">
        <f>G19*1</f>
        <v>1136137</v>
      </c>
      <c r="I19" s="509"/>
      <c r="J19" s="512">
        <f>I19</f>
        <v>0</v>
      </c>
    </row>
    <row r="20" spans="2:10" ht="89.25" x14ac:dyDescent="0.25">
      <c r="B20" s="399"/>
      <c r="C20" s="35" t="s">
        <v>417</v>
      </c>
      <c r="D20" s="36" t="s">
        <v>54</v>
      </c>
      <c r="E20" s="36">
        <v>1</v>
      </c>
      <c r="F20" s="128" t="s">
        <v>35</v>
      </c>
      <c r="G20" s="510"/>
      <c r="H20" s="510"/>
      <c r="I20" s="510"/>
      <c r="J20" s="513"/>
    </row>
    <row r="21" spans="2:10" s="257" customFormat="1" ht="77.25" thickBot="1" x14ac:dyDescent="0.3">
      <c r="B21" s="415"/>
      <c r="C21" s="62" t="s">
        <v>418</v>
      </c>
      <c r="D21" s="195" t="s">
        <v>56</v>
      </c>
      <c r="E21" s="195">
        <v>1</v>
      </c>
      <c r="F21" s="221" t="s">
        <v>35</v>
      </c>
      <c r="G21" s="511"/>
      <c r="H21" s="511"/>
      <c r="I21" s="511"/>
      <c r="J21" s="514"/>
    </row>
    <row r="22" spans="2:10" ht="64.5" thickBot="1" x14ac:dyDescent="0.3">
      <c r="B22" s="113">
        <v>4</v>
      </c>
      <c r="C22" s="83" t="s">
        <v>419</v>
      </c>
      <c r="D22" s="84" t="s">
        <v>58</v>
      </c>
      <c r="E22" s="84">
        <v>40</v>
      </c>
      <c r="F22" s="211" t="s">
        <v>59</v>
      </c>
      <c r="G22" s="319">
        <v>123611</v>
      </c>
      <c r="H22" s="319">
        <f>G22*E22</f>
        <v>4944440</v>
      </c>
      <c r="I22" s="319"/>
      <c r="J22" s="320">
        <f>I22*E22</f>
        <v>0</v>
      </c>
    </row>
    <row r="23" spans="2:10" ht="102.75" thickBot="1" x14ac:dyDescent="0.3">
      <c r="B23" s="113">
        <v>5</v>
      </c>
      <c r="C23" s="83" t="s">
        <v>420</v>
      </c>
      <c r="D23" s="84" t="s">
        <v>34</v>
      </c>
      <c r="E23" s="84">
        <v>2</v>
      </c>
      <c r="F23" s="211" t="s">
        <v>37</v>
      </c>
      <c r="G23" s="319">
        <v>943938</v>
      </c>
      <c r="H23" s="319">
        <f>G23*E23</f>
        <v>1887876</v>
      </c>
      <c r="I23" s="319"/>
      <c r="J23" s="320">
        <f>I23*E23</f>
        <v>0</v>
      </c>
    </row>
    <row r="24" spans="2:10" ht="179.25" thickBot="1" x14ac:dyDescent="0.3">
      <c r="B24" s="113">
        <v>6</v>
      </c>
      <c r="C24" s="83" t="s">
        <v>421</v>
      </c>
      <c r="D24" s="84" t="s">
        <v>34</v>
      </c>
      <c r="E24" s="84">
        <v>16</v>
      </c>
      <c r="F24" s="211" t="s">
        <v>62</v>
      </c>
      <c r="G24" s="319">
        <v>970981</v>
      </c>
      <c r="H24" s="319">
        <f>G24*E24</f>
        <v>15535696</v>
      </c>
      <c r="I24" s="319"/>
      <c r="J24" s="320">
        <f>I24*E24</f>
        <v>0</v>
      </c>
    </row>
    <row r="25" spans="2:10" ht="102" x14ac:dyDescent="0.25">
      <c r="B25" s="388">
        <v>7</v>
      </c>
      <c r="C25" s="187" t="s">
        <v>422</v>
      </c>
      <c r="D25" s="199" t="s">
        <v>34</v>
      </c>
      <c r="E25" s="199">
        <v>1</v>
      </c>
      <c r="F25" s="213" t="s">
        <v>35</v>
      </c>
      <c r="G25" s="509">
        <v>1191416</v>
      </c>
      <c r="H25" s="509">
        <f>G25*1</f>
        <v>1191416</v>
      </c>
      <c r="I25" s="509"/>
      <c r="J25" s="512">
        <f>I25*1</f>
        <v>0</v>
      </c>
    </row>
    <row r="26" spans="2:10" ht="77.25" thickBot="1" x14ac:dyDescent="0.3">
      <c r="B26" s="389"/>
      <c r="C26" s="47" t="s">
        <v>423</v>
      </c>
      <c r="D26" s="48" t="s">
        <v>41</v>
      </c>
      <c r="E26" s="98">
        <v>1</v>
      </c>
      <c r="F26" s="99" t="s">
        <v>35</v>
      </c>
      <c r="G26" s="516"/>
      <c r="H26" s="516"/>
      <c r="I26" s="516"/>
      <c r="J26" s="521"/>
    </row>
    <row r="27" spans="2:10" ht="77.25" thickBot="1" x14ac:dyDescent="0.3">
      <c r="B27" s="113">
        <v>8</v>
      </c>
      <c r="C27" s="83" t="s">
        <v>424</v>
      </c>
      <c r="D27" s="84" t="s">
        <v>58</v>
      </c>
      <c r="E27" s="84">
        <v>6</v>
      </c>
      <c r="F27" s="211" t="s">
        <v>66</v>
      </c>
      <c r="G27" s="319">
        <v>199325</v>
      </c>
      <c r="H27" s="319">
        <f>G27*E27</f>
        <v>1195950</v>
      </c>
      <c r="I27" s="319"/>
      <c r="J27" s="320">
        <f>I27*E27</f>
        <v>0</v>
      </c>
    </row>
    <row r="28" spans="2:10" ht="127.5" x14ac:dyDescent="0.25">
      <c r="B28" s="465">
        <v>9</v>
      </c>
      <c r="C28" s="213" t="s">
        <v>425</v>
      </c>
      <c r="D28" s="157" t="s">
        <v>68</v>
      </c>
      <c r="E28" s="199">
        <v>4</v>
      </c>
      <c r="F28" s="200" t="s">
        <v>48</v>
      </c>
      <c r="G28" s="509">
        <v>3506558</v>
      </c>
      <c r="H28" s="509">
        <f>G28*1</f>
        <v>3506558</v>
      </c>
      <c r="I28" s="509"/>
      <c r="J28" s="512">
        <f>I28*1</f>
        <v>0</v>
      </c>
    </row>
    <row r="29" spans="2:10" ht="102" x14ac:dyDescent="0.25">
      <c r="B29" s="399"/>
      <c r="C29" s="35" t="s">
        <v>426</v>
      </c>
      <c r="D29" s="36" t="s">
        <v>70</v>
      </c>
      <c r="E29" s="36">
        <v>2</v>
      </c>
      <c r="F29" s="105" t="s">
        <v>71</v>
      </c>
      <c r="G29" s="510"/>
      <c r="H29" s="510"/>
      <c r="I29" s="510"/>
      <c r="J29" s="513"/>
    </row>
    <row r="30" spans="2:10" ht="51.75" thickBot="1" x14ac:dyDescent="0.3">
      <c r="B30" s="400"/>
      <c r="C30" s="47" t="s">
        <v>427</v>
      </c>
      <c r="D30" s="98" t="s">
        <v>73</v>
      </c>
      <c r="E30" s="48">
        <v>6</v>
      </c>
      <c r="F30" s="99" t="s">
        <v>428</v>
      </c>
      <c r="G30" s="516"/>
      <c r="H30" s="516"/>
      <c r="I30" s="516"/>
      <c r="J30" s="521"/>
    </row>
    <row r="31" spans="2:10" ht="90" thickBot="1" x14ac:dyDescent="0.3">
      <c r="B31" s="113">
        <v>10</v>
      </c>
      <c r="C31" s="83" t="s">
        <v>429</v>
      </c>
      <c r="D31" s="84" t="s">
        <v>400</v>
      </c>
      <c r="E31" s="87">
        <v>5</v>
      </c>
      <c r="F31" s="114" t="s">
        <v>50</v>
      </c>
      <c r="G31" s="319">
        <v>824670</v>
      </c>
      <c r="H31" s="319">
        <f>G31*E31</f>
        <v>4123350</v>
      </c>
      <c r="I31" s="319"/>
      <c r="J31" s="320">
        <f>I31*E31</f>
        <v>0</v>
      </c>
    </row>
    <row r="32" spans="2:10" ht="102.75" thickBot="1" x14ac:dyDescent="0.3">
      <c r="B32" s="113">
        <v>11</v>
      </c>
      <c r="C32" s="83" t="s">
        <v>430</v>
      </c>
      <c r="D32" s="84" t="s">
        <v>78</v>
      </c>
      <c r="E32" s="87">
        <v>1</v>
      </c>
      <c r="F32" s="114" t="s">
        <v>35</v>
      </c>
      <c r="G32" s="319">
        <v>1996027</v>
      </c>
      <c r="H32" s="319">
        <f>G32*E32</f>
        <v>1996027</v>
      </c>
      <c r="I32" s="319"/>
      <c r="J32" s="320">
        <f>I32*E32</f>
        <v>0</v>
      </c>
    </row>
    <row r="33" spans="2:10" ht="153" x14ac:dyDescent="0.25">
      <c r="B33" s="398">
        <v>12</v>
      </c>
      <c r="C33" s="26" t="s">
        <v>431</v>
      </c>
      <c r="D33" s="431" t="s">
        <v>80</v>
      </c>
      <c r="E33" s="499">
        <v>1</v>
      </c>
      <c r="F33" s="499" t="s">
        <v>35</v>
      </c>
      <c r="G33" s="515">
        <v>6385500</v>
      </c>
      <c r="H33" s="515">
        <f>G33*1</f>
        <v>6385500</v>
      </c>
      <c r="I33" s="515"/>
      <c r="J33" s="522">
        <f>I33*1</f>
        <v>0</v>
      </c>
    </row>
    <row r="34" spans="2:10" ht="153" x14ac:dyDescent="0.25">
      <c r="B34" s="399"/>
      <c r="C34" s="35" t="s">
        <v>432</v>
      </c>
      <c r="D34" s="407"/>
      <c r="E34" s="500"/>
      <c r="F34" s="500"/>
      <c r="G34" s="510"/>
      <c r="H34" s="510"/>
      <c r="I34" s="510"/>
      <c r="J34" s="513"/>
    </row>
    <row r="35" spans="2:10" ht="153" x14ac:dyDescent="0.25">
      <c r="B35" s="399"/>
      <c r="C35" s="35" t="s">
        <v>433</v>
      </c>
      <c r="D35" s="407"/>
      <c r="E35" s="500"/>
      <c r="F35" s="500"/>
      <c r="G35" s="510"/>
      <c r="H35" s="510"/>
      <c r="I35" s="510"/>
      <c r="J35" s="513"/>
    </row>
    <row r="36" spans="2:10" ht="153" x14ac:dyDescent="0.25">
      <c r="B36" s="399"/>
      <c r="C36" s="35" t="s">
        <v>434</v>
      </c>
      <c r="D36" s="407"/>
      <c r="E36" s="500"/>
      <c r="F36" s="500"/>
      <c r="G36" s="510"/>
      <c r="H36" s="510"/>
      <c r="I36" s="510"/>
      <c r="J36" s="513"/>
    </row>
    <row r="37" spans="2:10" ht="153" x14ac:dyDescent="0.25">
      <c r="B37" s="399"/>
      <c r="C37" s="35" t="s">
        <v>435</v>
      </c>
      <c r="D37" s="407"/>
      <c r="E37" s="500"/>
      <c r="F37" s="500"/>
      <c r="G37" s="510"/>
      <c r="H37" s="510"/>
      <c r="I37" s="510"/>
      <c r="J37" s="513"/>
    </row>
    <row r="38" spans="2:10" ht="153" x14ac:dyDescent="0.25">
      <c r="B38" s="399"/>
      <c r="C38" s="35" t="s">
        <v>436</v>
      </c>
      <c r="D38" s="407"/>
      <c r="E38" s="500"/>
      <c r="F38" s="500"/>
      <c r="G38" s="510"/>
      <c r="H38" s="510"/>
      <c r="I38" s="510"/>
      <c r="J38" s="513"/>
    </row>
    <row r="39" spans="2:10" ht="153" x14ac:dyDescent="0.25">
      <c r="B39" s="399"/>
      <c r="C39" s="35" t="s">
        <v>437</v>
      </c>
      <c r="D39" s="407"/>
      <c r="E39" s="500"/>
      <c r="F39" s="500"/>
      <c r="G39" s="510"/>
      <c r="H39" s="510"/>
      <c r="I39" s="510"/>
      <c r="J39" s="513"/>
    </row>
    <row r="40" spans="2:10" ht="153" x14ac:dyDescent="0.25">
      <c r="B40" s="399"/>
      <c r="C40" s="35" t="s">
        <v>438</v>
      </c>
      <c r="D40" s="407"/>
      <c r="E40" s="500"/>
      <c r="F40" s="500"/>
      <c r="G40" s="510"/>
      <c r="H40" s="510"/>
      <c r="I40" s="510"/>
      <c r="J40" s="513"/>
    </row>
    <row r="41" spans="2:10" ht="141" thickBot="1" x14ac:dyDescent="0.3">
      <c r="B41" s="400"/>
      <c r="C41" s="47" t="s">
        <v>439</v>
      </c>
      <c r="D41" s="408"/>
      <c r="E41" s="501"/>
      <c r="F41" s="501"/>
      <c r="G41" s="516"/>
      <c r="H41" s="516"/>
      <c r="I41" s="516"/>
      <c r="J41" s="521"/>
    </row>
    <row r="42" spans="2:10" ht="153" x14ac:dyDescent="0.25">
      <c r="B42" s="465">
        <v>13</v>
      </c>
      <c r="C42" s="187" t="s">
        <v>440</v>
      </c>
      <c r="D42" s="406" t="s">
        <v>80</v>
      </c>
      <c r="E42" s="409">
        <v>1</v>
      </c>
      <c r="F42" s="411" t="s">
        <v>35</v>
      </c>
      <c r="G42" s="523">
        <v>2161670</v>
      </c>
      <c r="H42" s="523">
        <f>G42*1</f>
        <v>2161670</v>
      </c>
      <c r="I42" s="523"/>
      <c r="J42" s="528">
        <f>I42*1</f>
        <v>0</v>
      </c>
    </row>
    <row r="43" spans="2:10" ht="153" x14ac:dyDescent="0.25">
      <c r="B43" s="399"/>
      <c r="C43" s="35" t="s">
        <v>441</v>
      </c>
      <c r="D43" s="407"/>
      <c r="E43" s="409"/>
      <c r="F43" s="411"/>
      <c r="G43" s="523"/>
      <c r="H43" s="523"/>
      <c r="I43" s="523"/>
      <c r="J43" s="528"/>
    </row>
    <row r="44" spans="2:10" ht="153.75" thickBot="1" x14ac:dyDescent="0.3">
      <c r="B44" s="400"/>
      <c r="C44" s="47" t="s">
        <v>442</v>
      </c>
      <c r="D44" s="408"/>
      <c r="E44" s="410"/>
      <c r="F44" s="412"/>
      <c r="G44" s="524"/>
      <c r="H44" s="524"/>
      <c r="I44" s="524"/>
      <c r="J44" s="527"/>
    </row>
    <row r="45" spans="2:10" ht="76.5" x14ac:dyDescent="0.25">
      <c r="B45" s="398">
        <v>14</v>
      </c>
      <c r="C45" s="26" t="s">
        <v>443</v>
      </c>
      <c r="D45" s="72" t="s">
        <v>93</v>
      </c>
      <c r="E45" s="27">
        <v>1</v>
      </c>
      <c r="F45" s="104" t="s">
        <v>94</v>
      </c>
      <c r="G45" s="515">
        <v>4174000</v>
      </c>
      <c r="H45" s="515">
        <f>G45*1</f>
        <v>4174000</v>
      </c>
      <c r="I45" s="515"/>
      <c r="J45" s="522">
        <f>I45*1</f>
        <v>0</v>
      </c>
    </row>
    <row r="46" spans="2:10" ht="76.5" x14ac:dyDescent="0.25">
      <c r="B46" s="399"/>
      <c r="C46" s="35" t="s">
        <v>444</v>
      </c>
      <c r="D46" s="60" t="s">
        <v>93</v>
      </c>
      <c r="E46" s="36">
        <v>1</v>
      </c>
      <c r="F46" s="128" t="s">
        <v>94</v>
      </c>
      <c r="G46" s="510"/>
      <c r="H46" s="510"/>
      <c r="I46" s="510"/>
      <c r="J46" s="513"/>
    </row>
    <row r="47" spans="2:10" ht="76.5" x14ac:dyDescent="0.25">
      <c r="B47" s="399"/>
      <c r="C47" s="35" t="s">
        <v>445</v>
      </c>
      <c r="D47" s="60" t="s">
        <v>93</v>
      </c>
      <c r="E47" s="36">
        <v>1</v>
      </c>
      <c r="F47" s="128" t="s">
        <v>94</v>
      </c>
      <c r="G47" s="510"/>
      <c r="H47" s="510"/>
      <c r="I47" s="510"/>
      <c r="J47" s="513"/>
    </row>
    <row r="48" spans="2:10" ht="76.5" x14ac:dyDescent="0.25">
      <c r="B48" s="399"/>
      <c r="C48" s="35" t="s">
        <v>446</v>
      </c>
      <c r="D48" s="60" t="s">
        <v>93</v>
      </c>
      <c r="E48" s="36">
        <v>1</v>
      </c>
      <c r="F48" s="128" t="s">
        <v>94</v>
      </c>
      <c r="G48" s="510"/>
      <c r="H48" s="510"/>
      <c r="I48" s="510"/>
      <c r="J48" s="513"/>
    </row>
    <row r="49" spans="2:10" ht="76.5" x14ac:dyDescent="0.25">
      <c r="B49" s="399"/>
      <c r="C49" s="35" t="s">
        <v>447</v>
      </c>
      <c r="D49" s="228" t="s">
        <v>93</v>
      </c>
      <c r="E49" s="290">
        <v>1</v>
      </c>
      <c r="F49" s="128" t="s">
        <v>99</v>
      </c>
      <c r="G49" s="510"/>
      <c r="H49" s="510"/>
      <c r="I49" s="510"/>
      <c r="J49" s="513"/>
    </row>
    <row r="50" spans="2:10" ht="77.25" thickBot="1" x14ac:dyDescent="0.3">
      <c r="B50" s="400"/>
      <c r="C50" s="47" t="s">
        <v>100</v>
      </c>
      <c r="D50" s="239" t="s">
        <v>93</v>
      </c>
      <c r="E50" s="98">
        <v>1</v>
      </c>
      <c r="F50" s="99" t="s">
        <v>94</v>
      </c>
      <c r="G50" s="516"/>
      <c r="H50" s="516"/>
      <c r="I50" s="516"/>
      <c r="J50" s="521"/>
    </row>
    <row r="51" spans="2:10" ht="89.25" x14ac:dyDescent="0.25">
      <c r="B51" s="388">
        <v>15</v>
      </c>
      <c r="C51" s="187" t="s">
        <v>101</v>
      </c>
      <c r="D51" s="199" t="s">
        <v>102</v>
      </c>
      <c r="E51" s="157">
        <v>1</v>
      </c>
      <c r="F51" s="213" t="s">
        <v>35</v>
      </c>
      <c r="G51" s="509">
        <v>3062227</v>
      </c>
      <c r="H51" s="509">
        <f>G51*1</f>
        <v>3062227</v>
      </c>
      <c r="I51" s="509"/>
      <c r="J51" s="512">
        <f>I51*1</f>
        <v>0</v>
      </c>
    </row>
    <row r="52" spans="2:10" ht="38.25" x14ac:dyDescent="0.25">
      <c r="B52" s="388"/>
      <c r="C52" s="35" t="s">
        <v>448</v>
      </c>
      <c r="D52" s="36" t="s">
        <v>104</v>
      </c>
      <c r="E52" s="60">
        <v>1</v>
      </c>
      <c r="F52" s="105" t="s">
        <v>35</v>
      </c>
      <c r="G52" s="510"/>
      <c r="H52" s="510"/>
      <c r="I52" s="510"/>
      <c r="J52" s="513"/>
    </row>
    <row r="53" spans="2:10" ht="51.75" thickBot="1" x14ac:dyDescent="0.3">
      <c r="B53" s="389"/>
      <c r="C53" s="47" t="s">
        <v>401</v>
      </c>
      <c r="D53" s="136" t="s">
        <v>106</v>
      </c>
      <c r="E53" s="136">
        <v>1</v>
      </c>
      <c r="F53" s="137" t="s">
        <v>107</v>
      </c>
      <c r="G53" s="516"/>
      <c r="H53" s="516"/>
      <c r="I53" s="516"/>
      <c r="J53" s="521"/>
    </row>
    <row r="54" spans="2:10" ht="102.75" thickBot="1" x14ac:dyDescent="0.3">
      <c r="B54" s="382">
        <v>16</v>
      </c>
      <c r="C54" s="83" t="s">
        <v>576</v>
      </c>
      <c r="D54" s="139" t="s">
        <v>109</v>
      </c>
      <c r="E54" s="84">
        <v>1</v>
      </c>
      <c r="F54" s="140" t="s">
        <v>35</v>
      </c>
      <c r="G54" s="319">
        <v>656896</v>
      </c>
      <c r="H54" s="319">
        <f>G54*E54</f>
        <v>656896</v>
      </c>
      <c r="I54" s="319"/>
      <c r="J54" s="320">
        <f>I54*E54</f>
        <v>0</v>
      </c>
    </row>
    <row r="55" spans="2:10" ht="114.75" x14ac:dyDescent="0.25">
      <c r="B55" s="465">
        <v>17</v>
      </c>
      <c r="C55" s="187" t="s">
        <v>449</v>
      </c>
      <c r="D55" s="199" t="s">
        <v>111</v>
      </c>
      <c r="E55" s="199">
        <v>6</v>
      </c>
      <c r="F55" s="200" t="s">
        <v>112</v>
      </c>
      <c r="G55" s="509">
        <v>973681</v>
      </c>
      <c r="H55" s="509">
        <f>G55*1</f>
        <v>973681</v>
      </c>
      <c r="I55" s="509"/>
      <c r="J55" s="512">
        <f>I55*1</f>
        <v>0</v>
      </c>
    </row>
    <row r="56" spans="2:10" ht="102.75" thickBot="1" x14ac:dyDescent="0.3">
      <c r="B56" s="400"/>
      <c r="C56" s="47" t="s">
        <v>450</v>
      </c>
      <c r="D56" s="98" t="s">
        <v>114</v>
      </c>
      <c r="E56" s="48">
        <v>4</v>
      </c>
      <c r="F56" s="99" t="s">
        <v>115</v>
      </c>
      <c r="G56" s="516"/>
      <c r="H56" s="516"/>
      <c r="I56" s="516"/>
      <c r="J56" s="521"/>
    </row>
    <row r="57" spans="2:10" ht="38.25" x14ac:dyDescent="0.25">
      <c r="B57" s="462">
        <v>18</v>
      </c>
      <c r="C57" s="187" t="s">
        <v>451</v>
      </c>
      <c r="D57" s="157" t="s">
        <v>116</v>
      </c>
      <c r="E57" s="158">
        <v>1</v>
      </c>
      <c r="F57" s="304" t="s">
        <v>94</v>
      </c>
      <c r="G57" s="509">
        <v>1711608</v>
      </c>
      <c r="H57" s="509">
        <f>G57*1</f>
        <v>1711608</v>
      </c>
      <c r="I57" s="509"/>
      <c r="J57" s="512">
        <f>I57*1</f>
        <v>0</v>
      </c>
    </row>
    <row r="58" spans="2:10" ht="51" x14ac:dyDescent="0.25">
      <c r="B58" s="462"/>
      <c r="C58" s="35" t="s">
        <v>452</v>
      </c>
      <c r="D58" s="60" t="s">
        <v>116</v>
      </c>
      <c r="E58" s="37">
        <v>1</v>
      </c>
      <c r="F58" s="59" t="s">
        <v>94</v>
      </c>
      <c r="G58" s="510"/>
      <c r="H58" s="510"/>
      <c r="I58" s="510"/>
      <c r="J58" s="513"/>
    </row>
    <row r="59" spans="2:10" ht="38.25" x14ac:dyDescent="0.25">
      <c r="B59" s="462"/>
      <c r="C59" s="35" t="s">
        <v>453</v>
      </c>
      <c r="D59" s="60" t="s">
        <v>119</v>
      </c>
      <c r="E59" s="37">
        <v>1</v>
      </c>
      <c r="F59" s="59" t="s">
        <v>94</v>
      </c>
      <c r="G59" s="510"/>
      <c r="H59" s="510"/>
      <c r="I59" s="510"/>
      <c r="J59" s="513"/>
    </row>
    <row r="60" spans="2:10" ht="38.25" x14ac:dyDescent="0.25">
      <c r="B60" s="462"/>
      <c r="C60" s="35" t="s">
        <v>454</v>
      </c>
      <c r="D60" s="60" t="s">
        <v>116</v>
      </c>
      <c r="E60" s="37">
        <v>1</v>
      </c>
      <c r="F60" s="59" t="s">
        <v>94</v>
      </c>
      <c r="G60" s="510"/>
      <c r="H60" s="510"/>
      <c r="I60" s="510"/>
      <c r="J60" s="513"/>
    </row>
    <row r="61" spans="2:10" ht="51" x14ac:dyDescent="0.25">
      <c r="B61" s="462"/>
      <c r="C61" s="35" t="s">
        <v>455</v>
      </c>
      <c r="D61" s="60" t="s">
        <v>119</v>
      </c>
      <c r="E61" s="37">
        <v>1</v>
      </c>
      <c r="F61" s="59" t="s">
        <v>94</v>
      </c>
      <c r="G61" s="510"/>
      <c r="H61" s="510"/>
      <c r="I61" s="510"/>
      <c r="J61" s="513"/>
    </row>
    <row r="62" spans="2:10" ht="38.25" x14ac:dyDescent="0.25">
      <c r="B62" s="462"/>
      <c r="C62" s="35" t="s">
        <v>456</v>
      </c>
      <c r="D62" s="60" t="s">
        <v>119</v>
      </c>
      <c r="E62" s="37">
        <v>1</v>
      </c>
      <c r="F62" s="59" t="s">
        <v>94</v>
      </c>
      <c r="G62" s="510"/>
      <c r="H62" s="510"/>
      <c r="I62" s="510"/>
      <c r="J62" s="513"/>
    </row>
    <row r="63" spans="2:10" ht="38.25" x14ac:dyDescent="0.25">
      <c r="B63" s="462"/>
      <c r="C63" s="35" t="s">
        <v>457</v>
      </c>
      <c r="D63" s="60" t="s">
        <v>402</v>
      </c>
      <c r="E63" s="37">
        <v>1</v>
      </c>
      <c r="F63" s="38" t="s">
        <v>94</v>
      </c>
      <c r="G63" s="510"/>
      <c r="H63" s="510"/>
      <c r="I63" s="510"/>
      <c r="J63" s="513"/>
    </row>
    <row r="64" spans="2:10" ht="39" thickBot="1" x14ac:dyDescent="0.3">
      <c r="B64" s="463"/>
      <c r="C64" s="47" t="s">
        <v>403</v>
      </c>
      <c r="D64" s="98" t="s">
        <v>402</v>
      </c>
      <c r="E64" s="49">
        <v>1</v>
      </c>
      <c r="F64" s="50" t="s">
        <v>94</v>
      </c>
      <c r="G64" s="516"/>
      <c r="H64" s="516"/>
      <c r="I64" s="516"/>
      <c r="J64" s="521"/>
    </row>
    <row r="65" spans="2:10" ht="89.25" x14ac:dyDescent="0.25">
      <c r="B65" s="387">
        <v>19</v>
      </c>
      <c r="C65" s="26" t="s">
        <v>458</v>
      </c>
      <c r="D65" s="72" t="s">
        <v>44</v>
      </c>
      <c r="E65" s="27">
        <v>2</v>
      </c>
      <c r="F65" s="94" t="s">
        <v>125</v>
      </c>
      <c r="G65" s="515">
        <v>8099614</v>
      </c>
      <c r="H65" s="515">
        <f>G65*1</f>
        <v>8099614</v>
      </c>
      <c r="I65" s="515"/>
      <c r="J65" s="522">
        <f>I65*1</f>
        <v>0</v>
      </c>
    </row>
    <row r="66" spans="2:10" ht="114.75" x14ac:dyDescent="0.25">
      <c r="B66" s="388"/>
      <c r="C66" s="35" t="s">
        <v>459</v>
      </c>
      <c r="D66" s="60" t="s">
        <v>104</v>
      </c>
      <c r="E66" s="36">
        <v>5</v>
      </c>
      <c r="F66" s="128" t="s">
        <v>127</v>
      </c>
      <c r="G66" s="510"/>
      <c r="H66" s="510"/>
      <c r="I66" s="510"/>
      <c r="J66" s="513"/>
    </row>
    <row r="67" spans="2:10" ht="76.5" x14ac:dyDescent="0.25">
      <c r="B67" s="388"/>
      <c r="C67" s="35" t="s">
        <v>460</v>
      </c>
      <c r="D67" s="36" t="s">
        <v>404</v>
      </c>
      <c r="E67" s="60">
        <v>1</v>
      </c>
      <c r="F67" s="105" t="s">
        <v>35</v>
      </c>
      <c r="G67" s="510"/>
      <c r="H67" s="510"/>
      <c r="I67" s="510"/>
      <c r="J67" s="513"/>
    </row>
    <row r="68" spans="2:10" ht="51.75" thickBot="1" x14ac:dyDescent="0.3">
      <c r="B68" s="389"/>
      <c r="C68" s="47" t="s">
        <v>461</v>
      </c>
      <c r="D68" s="98" t="s">
        <v>402</v>
      </c>
      <c r="E68" s="48">
        <v>1</v>
      </c>
      <c r="F68" s="137" t="s">
        <v>94</v>
      </c>
      <c r="G68" s="516"/>
      <c r="H68" s="516"/>
      <c r="I68" s="516"/>
      <c r="J68" s="521"/>
    </row>
    <row r="69" spans="2:10" ht="77.25" thickBot="1" x14ac:dyDescent="0.3">
      <c r="B69" s="113">
        <v>20</v>
      </c>
      <c r="C69" s="83" t="s">
        <v>462</v>
      </c>
      <c r="D69" s="84" t="s">
        <v>131</v>
      </c>
      <c r="E69" s="85">
        <v>6</v>
      </c>
      <c r="F69" s="114" t="s">
        <v>112</v>
      </c>
      <c r="G69" s="319">
        <v>384489</v>
      </c>
      <c r="H69" s="319">
        <f>G69*E69</f>
        <v>2306934</v>
      </c>
      <c r="I69" s="319"/>
      <c r="J69" s="320">
        <f>I69*E69</f>
        <v>0</v>
      </c>
    </row>
    <row r="70" spans="2:10" ht="89.25" x14ac:dyDescent="0.25">
      <c r="B70" s="398">
        <v>21</v>
      </c>
      <c r="C70" s="26" t="s">
        <v>463</v>
      </c>
      <c r="D70" s="72" t="s">
        <v>133</v>
      </c>
      <c r="E70" s="27">
        <v>3</v>
      </c>
      <c r="F70" s="94" t="s">
        <v>134</v>
      </c>
      <c r="G70" s="515">
        <v>1649304</v>
      </c>
      <c r="H70" s="515">
        <f>G70*1</f>
        <v>1649304</v>
      </c>
      <c r="I70" s="515"/>
      <c r="J70" s="522">
        <f>I70*1</f>
        <v>0</v>
      </c>
    </row>
    <row r="71" spans="2:10" ht="63.75" x14ac:dyDescent="0.25">
      <c r="B71" s="399"/>
      <c r="C71" s="35" t="s">
        <v>464</v>
      </c>
      <c r="D71" s="60" t="s">
        <v>136</v>
      </c>
      <c r="E71" s="36">
        <v>3</v>
      </c>
      <c r="F71" s="105" t="s">
        <v>134</v>
      </c>
      <c r="G71" s="510"/>
      <c r="H71" s="510"/>
      <c r="I71" s="510"/>
      <c r="J71" s="513"/>
    </row>
    <row r="72" spans="2:10" ht="77.25" thickBot="1" x14ac:dyDescent="0.3">
      <c r="B72" s="400"/>
      <c r="C72" s="47" t="s">
        <v>465</v>
      </c>
      <c r="D72" s="98" t="s">
        <v>136</v>
      </c>
      <c r="E72" s="48">
        <v>2</v>
      </c>
      <c r="F72" s="99" t="s">
        <v>125</v>
      </c>
      <c r="G72" s="516"/>
      <c r="H72" s="516"/>
      <c r="I72" s="516"/>
      <c r="J72" s="521"/>
    </row>
    <row r="73" spans="2:10" ht="76.5" x14ac:dyDescent="0.25">
      <c r="B73" s="465">
        <v>22</v>
      </c>
      <c r="C73" s="187" t="s">
        <v>138</v>
      </c>
      <c r="D73" s="157" t="s">
        <v>139</v>
      </c>
      <c r="E73" s="199">
        <v>1</v>
      </c>
      <c r="F73" s="213" t="s">
        <v>94</v>
      </c>
      <c r="G73" s="509">
        <v>1999081</v>
      </c>
      <c r="H73" s="509">
        <f>G73*1</f>
        <v>1999081</v>
      </c>
      <c r="I73" s="509"/>
      <c r="J73" s="512">
        <f>I73*1</f>
        <v>0</v>
      </c>
    </row>
    <row r="74" spans="2:10" ht="90" thickBot="1" x14ac:dyDescent="0.3">
      <c r="B74" s="400"/>
      <c r="C74" s="47" t="s">
        <v>466</v>
      </c>
      <c r="D74" s="48" t="s">
        <v>141</v>
      </c>
      <c r="E74" s="48">
        <v>1</v>
      </c>
      <c r="F74" s="137" t="s">
        <v>94</v>
      </c>
      <c r="G74" s="516"/>
      <c r="H74" s="516"/>
      <c r="I74" s="516"/>
      <c r="J74" s="521"/>
    </row>
    <row r="75" spans="2:10" ht="77.25" thickBot="1" x14ac:dyDescent="0.3">
      <c r="B75" s="113">
        <v>23</v>
      </c>
      <c r="C75" s="259" t="s">
        <v>467</v>
      </c>
      <c r="D75" s="312" t="s">
        <v>143</v>
      </c>
      <c r="E75" s="313">
        <v>4</v>
      </c>
      <c r="F75" s="139" t="s">
        <v>144</v>
      </c>
      <c r="G75" s="319">
        <v>2301341</v>
      </c>
      <c r="H75" s="319">
        <f>G75*E75</f>
        <v>9205364</v>
      </c>
      <c r="I75" s="319"/>
      <c r="J75" s="320">
        <f>I75*E75</f>
        <v>0</v>
      </c>
    </row>
    <row r="76" spans="2:10" ht="90" thickBot="1" x14ac:dyDescent="0.3">
      <c r="B76" s="113">
        <v>24</v>
      </c>
      <c r="C76" s="83" t="s">
        <v>468</v>
      </c>
      <c r="D76" s="84" t="s">
        <v>44</v>
      </c>
      <c r="E76" s="84">
        <v>8</v>
      </c>
      <c r="F76" s="140" t="s">
        <v>146</v>
      </c>
      <c r="G76" s="319">
        <v>836570</v>
      </c>
      <c r="H76" s="319">
        <f>G76*E76</f>
        <v>6692560</v>
      </c>
      <c r="I76" s="319"/>
      <c r="J76" s="320">
        <f>I76*E76</f>
        <v>0</v>
      </c>
    </row>
    <row r="77" spans="2:10" ht="90" thickBot="1" x14ac:dyDescent="0.3">
      <c r="B77" s="296">
        <v>25</v>
      </c>
      <c r="C77" s="75" t="s">
        <v>469</v>
      </c>
      <c r="D77" s="76" t="s">
        <v>148</v>
      </c>
      <c r="E77" s="77">
        <v>1</v>
      </c>
      <c r="F77" s="78" t="s">
        <v>94</v>
      </c>
      <c r="G77" s="321">
        <v>837998</v>
      </c>
      <c r="H77" s="321">
        <f>G77*E77</f>
        <v>837998</v>
      </c>
      <c r="I77" s="321"/>
      <c r="J77" s="320">
        <f>I77*E77</f>
        <v>0</v>
      </c>
    </row>
    <row r="78" spans="2:10" ht="102.75" thickBot="1" x14ac:dyDescent="0.3">
      <c r="B78" s="177">
        <v>26</v>
      </c>
      <c r="C78" s="83" t="s">
        <v>470</v>
      </c>
      <c r="D78" s="84" t="s">
        <v>136</v>
      </c>
      <c r="E78" s="85">
        <v>7</v>
      </c>
      <c r="F78" s="114" t="s">
        <v>150</v>
      </c>
      <c r="G78" s="319">
        <v>169965</v>
      </c>
      <c r="H78" s="319">
        <f>G78*E78</f>
        <v>1189755</v>
      </c>
      <c r="I78" s="319"/>
      <c r="J78" s="320">
        <f t="shared" ref="J78" si="0">I78*E78</f>
        <v>0</v>
      </c>
    </row>
    <row r="79" spans="2:10" ht="90" thickBot="1" x14ac:dyDescent="0.3">
      <c r="B79" s="177">
        <v>27</v>
      </c>
      <c r="C79" s="83" t="s">
        <v>471</v>
      </c>
      <c r="D79" s="139" t="s">
        <v>152</v>
      </c>
      <c r="E79" s="85">
        <v>6</v>
      </c>
      <c r="F79" s="114" t="s">
        <v>153</v>
      </c>
      <c r="G79" s="319">
        <v>232407</v>
      </c>
      <c r="H79" s="319">
        <f>G79*E79</f>
        <v>1394442</v>
      </c>
      <c r="I79" s="319"/>
      <c r="J79" s="320">
        <f>I79*E79</f>
        <v>0</v>
      </c>
    </row>
    <row r="80" spans="2:10" ht="63.75" x14ac:dyDescent="0.25">
      <c r="B80" s="398">
        <v>28</v>
      </c>
      <c r="C80" s="26" t="s">
        <v>567</v>
      </c>
      <c r="D80" s="27" t="s">
        <v>155</v>
      </c>
      <c r="E80" s="27">
        <v>1</v>
      </c>
      <c r="F80" s="104" t="s">
        <v>472</v>
      </c>
      <c r="G80" s="515">
        <v>55436759</v>
      </c>
      <c r="H80" s="515">
        <f>G80*1</f>
        <v>55436759</v>
      </c>
      <c r="I80" s="515"/>
      <c r="J80" s="522">
        <f>I80*1</f>
        <v>0</v>
      </c>
    </row>
    <row r="81" spans="2:10" ht="76.5" x14ac:dyDescent="0.25">
      <c r="B81" s="399"/>
      <c r="C81" s="35" t="s">
        <v>473</v>
      </c>
      <c r="D81" s="36" t="s">
        <v>158</v>
      </c>
      <c r="E81" s="36">
        <v>1</v>
      </c>
      <c r="F81" s="128" t="s">
        <v>472</v>
      </c>
      <c r="G81" s="510"/>
      <c r="H81" s="510"/>
      <c r="I81" s="510"/>
      <c r="J81" s="513"/>
    </row>
    <row r="82" spans="2:10" ht="76.5" x14ac:dyDescent="0.25">
      <c r="B82" s="399"/>
      <c r="C82" s="35" t="s">
        <v>568</v>
      </c>
      <c r="D82" s="60" t="s">
        <v>160</v>
      </c>
      <c r="E82" s="36">
        <v>20</v>
      </c>
      <c r="F82" s="128" t="s">
        <v>474</v>
      </c>
      <c r="G82" s="510"/>
      <c r="H82" s="510"/>
      <c r="I82" s="510"/>
      <c r="J82" s="513"/>
    </row>
    <row r="83" spans="2:10" ht="102" x14ac:dyDescent="0.25">
      <c r="B83" s="399"/>
      <c r="C83" s="35" t="s">
        <v>569</v>
      </c>
      <c r="D83" s="60" t="s">
        <v>163</v>
      </c>
      <c r="E83" s="36">
        <v>10</v>
      </c>
      <c r="F83" s="105" t="s">
        <v>475</v>
      </c>
      <c r="G83" s="510"/>
      <c r="H83" s="510"/>
      <c r="I83" s="510"/>
      <c r="J83" s="513"/>
    </row>
    <row r="84" spans="2:10" ht="114.75" x14ac:dyDescent="0.25">
      <c r="B84" s="399"/>
      <c r="C84" s="35" t="s">
        <v>570</v>
      </c>
      <c r="D84" s="60" t="s">
        <v>166</v>
      </c>
      <c r="E84" s="36">
        <v>10</v>
      </c>
      <c r="F84" s="105" t="s">
        <v>475</v>
      </c>
      <c r="G84" s="510"/>
      <c r="H84" s="510"/>
      <c r="I84" s="510"/>
      <c r="J84" s="513"/>
    </row>
    <row r="85" spans="2:10" ht="140.25" x14ac:dyDescent="0.25">
      <c r="B85" s="399"/>
      <c r="C85" s="35" t="s">
        <v>571</v>
      </c>
      <c r="D85" s="60" t="s">
        <v>168</v>
      </c>
      <c r="E85" s="36">
        <v>30</v>
      </c>
      <c r="F85" s="105" t="s">
        <v>476</v>
      </c>
      <c r="G85" s="510"/>
      <c r="H85" s="510"/>
      <c r="I85" s="510"/>
      <c r="J85" s="513"/>
    </row>
    <row r="86" spans="2:10" ht="128.25" thickBot="1" x14ac:dyDescent="0.3">
      <c r="B86" s="400"/>
      <c r="C86" s="47" t="s">
        <v>477</v>
      </c>
      <c r="D86" s="98" t="s">
        <v>171</v>
      </c>
      <c r="E86" s="48">
        <v>50</v>
      </c>
      <c r="F86" s="99" t="s">
        <v>478</v>
      </c>
      <c r="G86" s="516"/>
      <c r="H86" s="516"/>
      <c r="I86" s="516"/>
      <c r="J86" s="521"/>
    </row>
    <row r="87" spans="2:10" ht="39" thickBot="1" x14ac:dyDescent="0.3">
      <c r="B87" s="296">
        <v>29</v>
      </c>
      <c r="C87" s="75" t="s">
        <v>479</v>
      </c>
      <c r="D87" s="76" t="s">
        <v>56</v>
      </c>
      <c r="E87" s="77">
        <v>1</v>
      </c>
      <c r="F87" s="78" t="s">
        <v>472</v>
      </c>
      <c r="G87" s="321">
        <v>2446822</v>
      </c>
      <c r="H87" s="321">
        <f>G87*E87</f>
        <v>2446822</v>
      </c>
      <c r="I87" s="321"/>
      <c r="J87" s="322">
        <f>I87*E87</f>
        <v>0</v>
      </c>
    </row>
    <row r="88" spans="2:10" ht="39" thickBot="1" x14ac:dyDescent="0.3">
      <c r="B88" s="294">
        <v>30</v>
      </c>
      <c r="C88" s="309" t="s">
        <v>480</v>
      </c>
      <c r="D88" s="102" t="s">
        <v>175</v>
      </c>
      <c r="E88" s="182">
        <v>1</v>
      </c>
      <c r="F88" s="183" t="s">
        <v>472</v>
      </c>
      <c r="G88" s="378">
        <v>610600</v>
      </c>
      <c r="H88" s="378">
        <f>G88*E88</f>
        <v>610600</v>
      </c>
      <c r="I88" s="378"/>
      <c r="J88" s="379">
        <f>I88*E88</f>
        <v>0</v>
      </c>
    </row>
    <row r="89" spans="2:10" ht="39" thickBot="1" x14ac:dyDescent="0.3">
      <c r="B89" s="113">
        <v>31</v>
      </c>
      <c r="C89" s="83" t="s">
        <v>481</v>
      </c>
      <c r="D89" s="84" t="s">
        <v>177</v>
      </c>
      <c r="E89" s="84">
        <v>1</v>
      </c>
      <c r="F89" s="211" t="s">
        <v>472</v>
      </c>
      <c r="G89" s="319">
        <v>155960</v>
      </c>
      <c r="H89" s="319">
        <f>G89*E89</f>
        <v>155960</v>
      </c>
      <c r="I89" s="319"/>
      <c r="J89" s="320">
        <f>I89*E89</f>
        <v>0</v>
      </c>
    </row>
    <row r="90" spans="2:10" ht="25.5" x14ac:dyDescent="0.25">
      <c r="B90" s="465">
        <v>32</v>
      </c>
      <c r="C90" s="213" t="s">
        <v>482</v>
      </c>
      <c r="D90" s="199" t="s">
        <v>178</v>
      </c>
      <c r="E90" s="199">
        <v>7</v>
      </c>
      <c r="F90" s="200" t="s">
        <v>483</v>
      </c>
      <c r="G90" s="509">
        <v>7650200</v>
      </c>
      <c r="H90" s="509">
        <f>G90*1</f>
        <v>7650200</v>
      </c>
      <c r="I90" s="523"/>
      <c r="J90" s="528">
        <f>I90*1</f>
        <v>0</v>
      </c>
    </row>
    <row r="91" spans="2:10" ht="90" thickBot="1" x14ac:dyDescent="0.3">
      <c r="B91" s="400"/>
      <c r="C91" s="47" t="s">
        <v>484</v>
      </c>
      <c r="D91" s="98" t="s">
        <v>181</v>
      </c>
      <c r="E91" s="136">
        <v>3</v>
      </c>
      <c r="F91" s="137" t="s">
        <v>134</v>
      </c>
      <c r="G91" s="516"/>
      <c r="H91" s="516"/>
      <c r="I91" s="524"/>
      <c r="J91" s="527"/>
    </row>
    <row r="92" spans="2:10" ht="77.25" thickBot="1" x14ac:dyDescent="0.3">
      <c r="B92" s="113">
        <v>33</v>
      </c>
      <c r="C92" s="83" t="s">
        <v>485</v>
      </c>
      <c r="D92" s="84" t="s">
        <v>183</v>
      </c>
      <c r="E92" s="84">
        <v>50</v>
      </c>
      <c r="F92" s="140" t="s">
        <v>486</v>
      </c>
      <c r="G92" s="319">
        <v>547281</v>
      </c>
      <c r="H92" s="319">
        <f>G92*E92</f>
        <v>27364050</v>
      </c>
      <c r="I92" s="319"/>
      <c r="J92" s="320">
        <f>I92*E92</f>
        <v>0</v>
      </c>
    </row>
    <row r="93" spans="2:10" ht="115.5" thickBot="1" x14ac:dyDescent="0.3">
      <c r="B93" s="296">
        <v>34</v>
      </c>
      <c r="C93" s="75" t="s">
        <v>487</v>
      </c>
      <c r="D93" s="76" t="s">
        <v>186</v>
      </c>
      <c r="E93" s="77">
        <v>1</v>
      </c>
      <c r="F93" s="78" t="s">
        <v>187</v>
      </c>
      <c r="G93" s="321">
        <v>2722905</v>
      </c>
      <c r="H93" s="321">
        <f>G93*E93</f>
        <v>2722905</v>
      </c>
      <c r="I93" s="321"/>
      <c r="J93" s="320">
        <f>I93*E93</f>
        <v>0</v>
      </c>
    </row>
    <row r="94" spans="2:10" ht="102.75" thickBot="1" x14ac:dyDescent="0.3">
      <c r="B94" s="177">
        <v>35</v>
      </c>
      <c r="C94" s="83" t="s">
        <v>488</v>
      </c>
      <c r="D94" s="139" t="s">
        <v>189</v>
      </c>
      <c r="E94" s="85">
        <v>5</v>
      </c>
      <c r="F94" s="114" t="s">
        <v>379</v>
      </c>
      <c r="G94" s="319">
        <v>1034110</v>
      </c>
      <c r="H94" s="319">
        <f>G94*E94</f>
        <v>5170550</v>
      </c>
      <c r="I94" s="319"/>
      <c r="J94" s="320">
        <f>I94*E94</f>
        <v>0</v>
      </c>
    </row>
    <row r="95" spans="2:10" ht="64.5" thickBot="1" x14ac:dyDescent="0.3">
      <c r="B95" s="113">
        <v>36</v>
      </c>
      <c r="C95" s="83" t="s">
        <v>489</v>
      </c>
      <c r="D95" s="84" t="s">
        <v>186</v>
      </c>
      <c r="E95" s="84">
        <v>1</v>
      </c>
      <c r="F95" s="211" t="s">
        <v>187</v>
      </c>
      <c r="G95" s="319">
        <v>665805</v>
      </c>
      <c r="H95" s="319">
        <f>G95*E95</f>
        <v>665805</v>
      </c>
      <c r="I95" s="319"/>
      <c r="J95" s="320">
        <f>I95*E95</f>
        <v>0</v>
      </c>
    </row>
    <row r="96" spans="2:10" ht="63.75" x14ac:dyDescent="0.25">
      <c r="B96" s="465">
        <v>37</v>
      </c>
      <c r="C96" s="187" t="s">
        <v>490</v>
      </c>
      <c r="D96" s="199" t="s">
        <v>186</v>
      </c>
      <c r="E96" s="199">
        <v>1</v>
      </c>
      <c r="F96" s="200" t="s">
        <v>187</v>
      </c>
      <c r="G96" s="509">
        <v>1023400</v>
      </c>
      <c r="H96" s="509">
        <f>G96*1</f>
        <v>1023400</v>
      </c>
      <c r="I96" s="523"/>
      <c r="J96" s="528">
        <f>I96*1</f>
        <v>0</v>
      </c>
    </row>
    <row r="97" spans="2:10" ht="102.75" thickBot="1" x14ac:dyDescent="0.3">
      <c r="B97" s="400"/>
      <c r="C97" s="47" t="s">
        <v>491</v>
      </c>
      <c r="D97" s="48" t="s">
        <v>194</v>
      </c>
      <c r="E97" s="98">
        <v>1</v>
      </c>
      <c r="F97" s="99" t="s">
        <v>187</v>
      </c>
      <c r="G97" s="516"/>
      <c r="H97" s="516"/>
      <c r="I97" s="524"/>
      <c r="J97" s="527"/>
    </row>
    <row r="98" spans="2:10" ht="63.75" x14ac:dyDescent="0.25">
      <c r="B98" s="398">
        <v>38</v>
      </c>
      <c r="C98" s="26" t="s">
        <v>492</v>
      </c>
      <c r="D98" s="72" t="s">
        <v>195</v>
      </c>
      <c r="E98" s="28">
        <v>1</v>
      </c>
      <c r="F98" s="73" t="s">
        <v>187</v>
      </c>
      <c r="G98" s="515">
        <v>5105191</v>
      </c>
      <c r="H98" s="515">
        <f>G98*1</f>
        <v>5105191</v>
      </c>
      <c r="I98" s="525"/>
      <c r="J98" s="526">
        <f>I98*1</f>
        <v>0</v>
      </c>
    </row>
    <row r="99" spans="2:10" ht="63.75" x14ac:dyDescent="0.25">
      <c r="B99" s="399"/>
      <c r="C99" s="35" t="s">
        <v>572</v>
      </c>
      <c r="D99" s="36" t="s">
        <v>52</v>
      </c>
      <c r="E99" s="37">
        <v>1</v>
      </c>
      <c r="F99" s="38" t="s">
        <v>187</v>
      </c>
      <c r="G99" s="510"/>
      <c r="H99" s="510"/>
      <c r="I99" s="523"/>
      <c r="J99" s="528"/>
    </row>
    <row r="100" spans="2:10" ht="76.5" x14ac:dyDescent="0.25">
      <c r="B100" s="399"/>
      <c r="C100" s="35" t="s">
        <v>493</v>
      </c>
      <c r="D100" s="36" t="s">
        <v>56</v>
      </c>
      <c r="E100" s="37">
        <v>1</v>
      </c>
      <c r="F100" s="38" t="s">
        <v>187</v>
      </c>
      <c r="G100" s="510"/>
      <c r="H100" s="510"/>
      <c r="I100" s="523"/>
      <c r="J100" s="528"/>
    </row>
    <row r="101" spans="2:10" ht="63.75" x14ac:dyDescent="0.25">
      <c r="B101" s="399"/>
      <c r="C101" s="35" t="s">
        <v>494</v>
      </c>
      <c r="D101" s="36" t="s">
        <v>52</v>
      </c>
      <c r="E101" s="37">
        <v>1</v>
      </c>
      <c r="F101" s="38" t="s">
        <v>187</v>
      </c>
      <c r="G101" s="510"/>
      <c r="H101" s="510"/>
      <c r="I101" s="523"/>
      <c r="J101" s="528"/>
    </row>
    <row r="102" spans="2:10" ht="63.75" x14ac:dyDescent="0.25">
      <c r="B102" s="399"/>
      <c r="C102" s="35" t="s">
        <v>199</v>
      </c>
      <c r="D102" s="36" t="s">
        <v>200</v>
      </c>
      <c r="E102" s="39">
        <v>1</v>
      </c>
      <c r="F102" s="59" t="s">
        <v>187</v>
      </c>
      <c r="G102" s="510"/>
      <c r="H102" s="510"/>
      <c r="I102" s="523"/>
      <c r="J102" s="528"/>
    </row>
    <row r="103" spans="2:10" ht="63.75" x14ac:dyDescent="0.25">
      <c r="B103" s="399"/>
      <c r="C103" s="35" t="s">
        <v>495</v>
      </c>
      <c r="D103" s="36" t="s">
        <v>186</v>
      </c>
      <c r="E103" s="39">
        <v>1</v>
      </c>
      <c r="F103" s="59" t="s">
        <v>187</v>
      </c>
      <c r="G103" s="510"/>
      <c r="H103" s="510"/>
      <c r="I103" s="523"/>
      <c r="J103" s="528"/>
    </row>
    <row r="104" spans="2:10" ht="51" x14ac:dyDescent="0.25">
      <c r="B104" s="399"/>
      <c r="C104" s="35" t="s">
        <v>496</v>
      </c>
      <c r="D104" s="36" t="s">
        <v>186</v>
      </c>
      <c r="E104" s="39">
        <v>1</v>
      </c>
      <c r="F104" s="59" t="s">
        <v>187</v>
      </c>
      <c r="G104" s="510"/>
      <c r="H104" s="510"/>
      <c r="I104" s="523"/>
      <c r="J104" s="528"/>
    </row>
    <row r="105" spans="2:10" ht="64.5" thickBot="1" x14ac:dyDescent="0.3">
      <c r="B105" s="400"/>
      <c r="C105" s="47" t="s">
        <v>497</v>
      </c>
      <c r="D105" s="48" t="s">
        <v>186</v>
      </c>
      <c r="E105" s="51">
        <v>1</v>
      </c>
      <c r="F105" s="146" t="s">
        <v>187</v>
      </c>
      <c r="G105" s="516"/>
      <c r="H105" s="516"/>
      <c r="I105" s="524"/>
      <c r="J105" s="527"/>
    </row>
    <row r="106" spans="2:10" ht="51" x14ac:dyDescent="0.25">
      <c r="B106" s="398">
        <v>39</v>
      </c>
      <c r="C106" s="26" t="s">
        <v>573</v>
      </c>
      <c r="D106" s="27" t="s">
        <v>56</v>
      </c>
      <c r="E106" s="72">
        <v>1</v>
      </c>
      <c r="F106" s="94" t="s">
        <v>187</v>
      </c>
      <c r="G106" s="515">
        <v>1504636</v>
      </c>
      <c r="H106" s="515">
        <f>G106*1</f>
        <v>1504636</v>
      </c>
      <c r="I106" s="525"/>
      <c r="J106" s="526">
        <f>I106*1</f>
        <v>0</v>
      </c>
    </row>
    <row r="107" spans="2:10" ht="63.75" x14ac:dyDescent="0.25">
      <c r="B107" s="399"/>
      <c r="C107" s="35" t="s">
        <v>574</v>
      </c>
      <c r="D107" s="36" t="s">
        <v>194</v>
      </c>
      <c r="E107" s="60">
        <v>1</v>
      </c>
      <c r="F107" s="105" t="s">
        <v>187</v>
      </c>
      <c r="G107" s="510"/>
      <c r="H107" s="510"/>
      <c r="I107" s="523"/>
      <c r="J107" s="528"/>
    </row>
    <row r="108" spans="2:10" ht="51.75" thickBot="1" x14ac:dyDescent="0.3">
      <c r="B108" s="400"/>
      <c r="C108" s="47" t="s">
        <v>498</v>
      </c>
      <c r="D108" s="48" t="s">
        <v>200</v>
      </c>
      <c r="E108" s="98">
        <v>1</v>
      </c>
      <c r="F108" s="99" t="s">
        <v>187</v>
      </c>
      <c r="G108" s="516"/>
      <c r="H108" s="516"/>
      <c r="I108" s="524"/>
      <c r="J108" s="527"/>
    </row>
    <row r="109" spans="2:10" ht="153" x14ac:dyDescent="0.25">
      <c r="B109" s="398">
        <v>40</v>
      </c>
      <c r="C109" s="26" t="s">
        <v>499</v>
      </c>
      <c r="D109" s="72" t="s">
        <v>207</v>
      </c>
      <c r="E109" s="28">
        <v>1</v>
      </c>
      <c r="F109" s="73" t="s">
        <v>187</v>
      </c>
      <c r="G109" s="515">
        <v>4519487</v>
      </c>
      <c r="H109" s="515">
        <f>G109*1</f>
        <v>4519487</v>
      </c>
      <c r="I109" s="525"/>
      <c r="J109" s="526">
        <f>I109*1</f>
        <v>0</v>
      </c>
    </row>
    <row r="110" spans="2:10" ht="178.5" x14ac:dyDescent="0.25">
      <c r="B110" s="399"/>
      <c r="C110" s="35" t="s">
        <v>500</v>
      </c>
      <c r="D110" s="60" t="s">
        <v>209</v>
      </c>
      <c r="E110" s="37">
        <v>3</v>
      </c>
      <c r="F110" s="59" t="s">
        <v>210</v>
      </c>
      <c r="G110" s="510"/>
      <c r="H110" s="510"/>
      <c r="I110" s="523"/>
      <c r="J110" s="528"/>
    </row>
    <row r="111" spans="2:10" ht="165.75" x14ac:dyDescent="0.25">
      <c r="B111" s="399"/>
      <c r="C111" s="35" t="s">
        <v>501</v>
      </c>
      <c r="D111" s="60" t="s">
        <v>209</v>
      </c>
      <c r="E111" s="37">
        <v>5</v>
      </c>
      <c r="F111" s="59" t="s">
        <v>212</v>
      </c>
      <c r="G111" s="510"/>
      <c r="H111" s="510"/>
      <c r="I111" s="523"/>
      <c r="J111" s="528"/>
    </row>
    <row r="112" spans="2:10" ht="166.5" thickBot="1" x14ac:dyDescent="0.3">
      <c r="B112" s="400"/>
      <c r="C112" s="47" t="s">
        <v>502</v>
      </c>
      <c r="D112" s="98" t="s">
        <v>209</v>
      </c>
      <c r="E112" s="49">
        <v>5</v>
      </c>
      <c r="F112" s="146" t="s">
        <v>214</v>
      </c>
      <c r="G112" s="516"/>
      <c r="H112" s="516"/>
      <c r="I112" s="524"/>
      <c r="J112" s="527"/>
    </row>
    <row r="113" spans="2:10" ht="76.5" x14ac:dyDescent="0.25">
      <c r="B113" s="387">
        <v>41</v>
      </c>
      <c r="C113" s="26" t="s">
        <v>503</v>
      </c>
      <c r="D113" s="27" t="s">
        <v>216</v>
      </c>
      <c r="E113" s="27">
        <v>1</v>
      </c>
      <c r="F113" s="104" t="s">
        <v>187</v>
      </c>
      <c r="G113" s="515">
        <v>2363340</v>
      </c>
      <c r="H113" s="515">
        <f>G113*1</f>
        <v>2363340</v>
      </c>
      <c r="I113" s="525"/>
      <c r="J113" s="526">
        <f>I113*1</f>
        <v>0</v>
      </c>
    </row>
    <row r="114" spans="2:10" ht="128.25" thickBot="1" x14ac:dyDescent="0.3">
      <c r="B114" s="389"/>
      <c r="C114" s="47" t="s">
        <v>504</v>
      </c>
      <c r="D114" s="98" t="s">
        <v>209</v>
      </c>
      <c r="E114" s="48">
        <v>3</v>
      </c>
      <c r="F114" s="99" t="s">
        <v>218</v>
      </c>
      <c r="G114" s="516"/>
      <c r="H114" s="516"/>
      <c r="I114" s="524"/>
      <c r="J114" s="527"/>
    </row>
    <row r="115" spans="2:10" ht="102.75" thickBot="1" x14ac:dyDescent="0.3">
      <c r="B115" s="113">
        <v>42</v>
      </c>
      <c r="C115" s="83" t="s">
        <v>505</v>
      </c>
      <c r="D115" s="139" t="s">
        <v>220</v>
      </c>
      <c r="E115" s="85">
        <v>1</v>
      </c>
      <c r="F115" s="114" t="s">
        <v>221</v>
      </c>
      <c r="G115" s="319">
        <v>548822</v>
      </c>
      <c r="H115" s="319">
        <f>G115*E115</f>
        <v>548822</v>
      </c>
      <c r="I115" s="319"/>
      <c r="J115" s="320">
        <f>I115*E115</f>
        <v>0</v>
      </c>
    </row>
    <row r="116" spans="2:10" ht="115.5" thickBot="1" x14ac:dyDescent="0.3">
      <c r="B116" s="113">
        <v>43</v>
      </c>
      <c r="C116" s="83" t="s">
        <v>506</v>
      </c>
      <c r="D116" s="139" t="s">
        <v>223</v>
      </c>
      <c r="E116" s="85">
        <v>1</v>
      </c>
      <c r="F116" s="114" t="s">
        <v>224</v>
      </c>
      <c r="G116" s="319">
        <v>240618</v>
      </c>
      <c r="H116" s="319">
        <f>G116*E116</f>
        <v>240618</v>
      </c>
      <c r="I116" s="319"/>
      <c r="J116" s="320">
        <f>I116*E116</f>
        <v>0</v>
      </c>
    </row>
    <row r="117" spans="2:10" ht="141" thickBot="1" x14ac:dyDescent="0.3">
      <c r="B117" s="113">
        <v>44</v>
      </c>
      <c r="C117" s="83" t="s">
        <v>507</v>
      </c>
      <c r="D117" s="139" t="s">
        <v>226</v>
      </c>
      <c r="E117" s="85">
        <v>1</v>
      </c>
      <c r="F117" s="114" t="s">
        <v>221</v>
      </c>
      <c r="G117" s="319">
        <v>256126</v>
      </c>
      <c r="H117" s="319">
        <f>G117*E117</f>
        <v>256126</v>
      </c>
      <c r="I117" s="319"/>
      <c r="J117" s="320">
        <f>I117*E117</f>
        <v>0</v>
      </c>
    </row>
    <row r="118" spans="2:10" ht="102.75" thickBot="1" x14ac:dyDescent="0.3">
      <c r="B118" s="113">
        <v>45</v>
      </c>
      <c r="C118" s="83" t="s">
        <v>508</v>
      </c>
      <c r="D118" s="139" t="s">
        <v>111</v>
      </c>
      <c r="E118" s="85">
        <v>4</v>
      </c>
      <c r="F118" s="114" t="s">
        <v>228</v>
      </c>
      <c r="G118" s="319">
        <v>116270</v>
      </c>
      <c r="H118" s="319">
        <f>G118*E118</f>
        <v>465080</v>
      </c>
      <c r="I118" s="319"/>
      <c r="J118" s="320">
        <f>I118*E118</f>
        <v>0</v>
      </c>
    </row>
    <row r="119" spans="2:10" ht="128.25" thickBot="1" x14ac:dyDescent="0.3">
      <c r="B119" s="113">
        <v>46</v>
      </c>
      <c r="C119" s="83" t="s">
        <v>509</v>
      </c>
      <c r="D119" s="84" t="s">
        <v>230</v>
      </c>
      <c r="E119" s="85">
        <v>1</v>
      </c>
      <c r="F119" s="86" t="s">
        <v>221</v>
      </c>
      <c r="G119" s="319">
        <v>663320</v>
      </c>
      <c r="H119" s="319">
        <f>G119*E119</f>
        <v>663320</v>
      </c>
      <c r="I119" s="319"/>
      <c r="J119" s="320">
        <f>I119*E119</f>
        <v>0</v>
      </c>
    </row>
    <row r="120" spans="2:10" ht="153" x14ac:dyDescent="0.25">
      <c r="B120" s="387">
        <v>47</v>
      </c>
      <c r="C120" s="26" t="s">
        <v>510</v>
      </c>
      <c r="D120" s="27" t="s">
        <v>209</v>
      </c>
      <c r="E120" s="27">
        <v>1</v>
      </c>
      <c r="F120" s="104" t="s">
        <v>221</v>
      </c>
      <c r="G120" s="515">
        <v>6348266</v>
      </c>
      <c r="H120" s="515">
        <f>G120*1</f>
        <v>6348266</v>
      </c>
      <c r="I120" s="515"/>
      <c r="J120" s="522">
        <f>I120*1</f>
        <v>0</v>
      </c>
    </row>
    <row r="121" spans="2:10" ht="153" x14ac:dyDescent="0.25">
      <c r="B121" s="388"/>
      <c r="C121" s="35" t="s">
        <v>511</v>
      </c>
      <c r="D121" s="36" t="s">
        <v>226</v>
      </c>
      <c r="E121" s="36">
        <v>2</v>
      </c>
      <c r="F121" s="128" t="s">
        <v>233</v>
      </c>
      <c r="G121" s="510"/>
      <c r="H121" s="510"/>
      <c r="I121" s="510"/>
      <c r="J121" s="513"/>
    </row>
    <row r="122" spans="2:10" ht="127.5" x14ac:dyDescent="0.25">
      <c r="B122" s="388"/>
      <c r="C122" s="35" t="s">
        <v>512</v>
      </c>
      <c r="D122" s="60" t="s">
        <v>209</v>
      </c>
      <c r="E122" s="36">
        <v>1</v>
      </c>
      <c r="F122" s="105" t="s">
        <v>221</v>
      </c>
      <c r="G122" s="510"/>
      <c r="H122" s="510"/>
      <c r="I122" s="510"/>
      <c r="J122" s="513"/>
    </row>
    <row r="123" spans="2:10" ht="128.25" thickBot="1" x14ac:dyDescent="0.3">
      <c r="B123" s="389"/>
      <c r="C123" s="99" t="s">
        <v>513</v>
      </c>
      <c r="D123" s="98" t="s">
        <v>236</v>
      </c>
      <c r="E123" s="48">
        <v>2</v>
      </c>
      <c r="F123" s="137" t="s">
        <v>233</v>
      </c>
      <c r="G123" s="516"/>
      <c r="H123" s="516"/>
      <c r="I123" s="516"/>
      <c r="J123" s="521"/>
    </row>
    <row r="124" spans="2:10" ht="76.5" x14ac:dyDescent="0.25">
      <c r="B124" s="505">
        <v>48</v>
      </c>
      <c r="C124" s="26" t="s">
        <v>577</v>
      </c>
      <c r="D124" s="72" t="s">
        <v>102</v>
      </c>
      <c r="E124" s="27">
        <v>2</v>
      </c>
      <c r="F124" s="94" t="s">
        <v>238</v>
      </c>
      <c r="G124" s="515">
        <v>1717116</v>
      </c>
      <c r="H124" s="515">
        <f>G124*1</f>
        <v>1717116</v>
      </c>
      <c r="I124" s="515"/>
      <c r="J124" s="522">
        <f>I124*1</f>
        <v>0</v>
      </c>
    </row>
    <row r="125" spans="2:10" ht="89.25" x14ac:dyDescent="0.25">
      <c r="B125" s="506"/>
      <c r="C125" s="187" t="s">
        <v>514</v>
      </c>
      <c r="D125" s="199" t="s">
        <v>223</v>
      </c>
      <c r="E125" s="199">
        <v>1</v>
      </c>
      <c r="F125" s="200" t="s">
        <v>221</v>
      </c>
      <c r="G125" s="510"/>
      <c r="H125" s="510"/>
      <c r="I125" s="510"/>
      <c r="J125" s="513"/>
    </row>
    <row r="126" spans="2:10" ht="51" x14ac:dyDescent="0.25">
      <c r="B126" s="506"/>
      <c r="C126" s="35" t="s">
        <v>515</v>
      </c>
      <c r="D126" s="36" t="s">
        <v>241</v>
      </c>
      <c r="E126" s="36">
        <v>1</v>
      </c>
      <c r="F126" s="128" t="s">
        <v>221</v>
      </c>
      <c r="G126" s="510"/>
      <c r="H126" s="510"/>
      <c r="I126" s="510"/>
      <c r="J126" s="513"/>
    </row>
    <row r="127" spans="2:10" ht="77.25" thickBot="1" x14ac:dyDescent="0.3">
      <c r="B127" s="507"/>
      <c r="C127" s="99" t="s">
        <v>516</v>
      </c>
      <c r="D127" s="98" t="s">
        <v>56</v>
      </c>
      <c r="E127" s="48">
        <v>1</v>
      </c>
      <c r="F127" s="99" t="s">
        <v>221</v>
      </c>
      <c r="G127" s="516"/>
      <c r="H127" s="516"/>
      <c r="I127" s="516"/>
      <c r="J127" s="521"/>
    </row>
    <row r="128" spans="2:10" ht="102" x14ac:dyDescent="0.25">
      <c r="B128" s="398">
        <v>49</v>
      </c>
      <c r="C128" s="26" t="s">
        <v>517</v>
      </c>
      <c r="D128" s="27" t="s">
        <v>54</v>
      </c>
      <c r="E128" s="27">
        <v>1</v>
      </c>
      <c r="F128" s="104" t="s">
        <v>221</v>
      </c>
      <c r="G128" s="515">
        <v>1173499</v>
      </c>
      <c r="H128" s="515">
        <f>G128*1</f>
        <v>1173499</v>
      </c>
      <c r="I128" s="515"/>
      <c r="J128" s="522">
        <f>I128*1</f>
        <v>0</v>
      </c>
    </row>
    <row r="129" spans="2:10" ht="64.5" thickBot="1" x14ac:dyDescent="0.3">
      <c r="B129" s="400"/>
      <c r="C129" s="47" t="s">
        <v>518</v>
      </c>
      <c r="D129" s="98" t="s">
        <v>245</v>
      </c>
      <c r="E129" s="98">
        <v>1</v>
      </c>
      <c r="F129" s="99" t="s">
        <v>221</v>
      </c>
      <c r="G129" s="516"/>
      <c r="H129" s="516"/>
      <c r="I129" s="516"/>
      <c r="J129" s="521"/>
    </row>
    <row r="130" spans="2:10" ht="128.25" thickBot="1" x14ac:dyDescent="0.3">
      <c r="B130" s="113">
        <v>50</v>
      </c>
      <c r="C130" s="140" t="s">
        <v>519</v>
      </c>
      <c r="D130" s="139" t="s">
        <v>247</v>
      </c>
      <c r="E130" s="84">
        <v>1</v>
      </c>
      <c r="F130" s="140" t="s">
        <v>221</v>
      </c>
      <c r="G130" s="319">
        <v>1034060</v>
      </c>
      <c r="H130" s="319">
        <f>G130*E130</f>
        <v>1034060</v>
      </c>
      <c r="I130" s="319"/>
      <c r="J130" s="320">
        <f>I130*E130</f>
        <v>0</v>
      </c>
    </row>
    <row r="131" spans="2:10" ht="89.25" x14ac:dyDescent="0.25">
      <c r="B131" s="387">
        <v>51</v>
      </c>
      <c r="C131" s="26" t="s">
        <v>520</v>
      </c>
      <c r="D131" s="27" t="s">
        <v>209</v>
      </c>
      <c r="E131" s="28">
        <v>4</v>
      </c>
      <c r="F131" s="29" t="s">
        <v>228</v>
      </c>
      <c r="G131" s="515">
        <v>2183967</v>
      </c>
      <c r="H131" s="515">
        <f>G131*1</f>
        <v>2183967</v>
      </c>
      <c r="I131" s="515"/>
      <c r="J131" s="522">
        <f>I131*1</f>
        <v>0</v>
      </c>
    </row>
    <row r="132" spans="2:10" ht="90" thickBot="1" x14ac:dyDescent="0.3">
      <c r="B132" s="389"/>
      <c r="C132" s="47" t="s">
        <v>521</v>
      </c>
      <c r="D132" s="48" t="s">
        <v>209</v>
      </c>
      <c r="E132" s="49">
        <v>3</v>
      </c>
      <c r="F132" s="50" t="s">
        <v>218</v>
      </c>
      <c r="G132" s="516"/>
      <c r="H132" s="516"/>
      <c r="I132" s="516"/>
      <c r="J132" s="521"/>
    </row>
    <row r="133" spans="2:10" ht="77.25" thickBot="1" x14ac:dyDescent="0.3">
      <c r="B133" s="529">
        <v>52</v>
      </c>
      <c r="C133" s="83" t="s">
        <v>522</v>
      </c>
      <c r="D133" s="139" t="s">
        <v>56</v>
      </c>
      <c r="E133" s="84">
        <v>1</v>
      </c>
      <c r="F133" s="211" t="s">
        <v>221</v>
      </c>
      <c r="G133" s="319">
        <v>578935</v>
      </c>
      <c r="H133" s="319">
        <f>G133*E133</f>
        <v>578935</v>
      </c>
      <c r="I133" s="319"/>
      <c r="J133" s="320">
        <f>I133*E133</f>
        <v>0</v>
      </c>
    </row>
    <row r="134" spans="2:10" ht="76.5" x14ac:dyDescent="0.25">
      <c r="B134" s="530">
        <v>53</v>
      </c>
      <c r="C134" s="26" t="s">
        <v>523</v>
      </c>
      <c r="D134" s="532" t="s">
        <v>102</v>
      </c>
      <c r="E134" s="27">
        <v>1</v>
      </c>
      <c r="F134" s="94" t="s">
        <v>252</v>
      </c>
      <c r="G134" s="515">
        <v>1565388</v>
      </c>
      <c r="H134" s="515">
        <f>G134*1</f>
        <v>1565388</v>
      </c>
      <c r="I134" s="515"/>
      <c r="J134" s="522">
        <f>I134*1</f>
        <v>0</v>
      </c>
    </row>
    <row r="135" spans="2:10" ht="89.25" x14ac:dyDescent="0.25">
      <c r="B135" s="531"/>
      <c r="C135" s="35" t="s">
        <v>524</v>
      </c>
      <c r="D135" s="36" t="s">
        <v>52</v>
      </c>
      <c r="E135" s="36">
        <v>1</v>
      </c>
      <c r="F135" s="128" t="s">
        <v>221</v>
      </c>
      <c r="G135" s="510"/>
      <c r="H135" s="510"/>
      <c r="I135" s="510"/>
      <c r="J135" s="513"/>
    </row>
    <row r="136" spans="2:10" ht="76.5" x14ac:dyDescent="0.25">
      <c r="B136" s="531"/>
      <c r="C136" s="35" t="s">
        <v>525</v>
      </c>
      <c r="D136" s="533" t="s">
        <v>56</v>
      </c>
      <c r="E136" s="36">
        <v>1</v>
      </c>
      <c r="F136" s="128" t="s">
        <v>221</v>
      </c>
      <c r="G136" s="510"/>
      <c r="H136" s="510"/>
      <c r="I136" s="510"/>
      <c r="J136" s="513"/>
    </row>
    <row r="137" spans="2:10" ht="128.25" thickBot="1" x14ac:dyDescent="0.3">
      <c r="B137" s="534"/>
      <c r="C137" s="99" t="s">
        <v>526</v>
      </c>
      <c r="D137" s="98" t="s">
        <v>209</v>
      </c>
      <c r="E137" s="48">
        <v>1</v>
      </c>
      <c r="F137" s="137" t="s">
        <v>221</v>
      </c>
      <c r="G137" s="516"/>
      <c r="H137" s="516"/>
      <c r="I137" s="516"/>
      <c r="J137" s="521"/>
    </row>
    <row r="138" spans="2:10" ht="89.25" x14ac:dyDescent="0.25">
      <c r="B138" s="502">
        <v>54</v>
      </c>
      <c r="C138" s="213" t="s">
        <v>256</v>
      </c>
      <c r="D138" s="157" t="s">
        <v>226</v>
      </c>
      <c r="E138" s="199">
        <v>2</v>
      </c>
      <c r="F138" s="200" t="s">
        <v>233</v>
      </c>
      <c r="G138" s="509">
        <v>2607544</v>
      </c>
      <c r="H138" s="509">
        <f>G138*1</f>
        <v>2607544</v>
      </c>
      <c r="I138" s="509"/>
      <c r="J138" s="512">
        <f>I138*1</f>
        <v>0</v>
      </c>
    </row>
    <row r="139" spans="2:10" ht="114.75" x14ac:dyDescent="0.25">
      <c r="B139" s="503"/>
      <c r="C139" s="214" t="s">
        <v>527</v>
      </c>
      <c r="D139" s="60" t="s">
        <v>258</v>
      </c>
      <c r="E139" s="36">
        <v>1</v>
      </c>
      <c r="F139" s="128" t="s">
        <v>221</v>
      </c>
      <c r="G139" s="510"/>
      <c r="H139" s="510"/>
      <c r="I139" s="510"/>
      <c r="J139" s="513"/>
    </row>
    <row r="140" spans="2:10" ht="90" thickBot="1" x14ac:dyDescent="0.3">
      <c r="B140" s="504"/>
      <c r="C140" s="47" t="s">
        <v>578</v>
      </c>
      <c r="D140" s="98" t="s">
        <v>209</v>
      </c>
      <c r="E140" s="98">
        <v>3</v>
      </c>
      <c r="F140" s="99" t="s">
        <v>218</v>
      </c>
      <c r="G140" s="516"/>
      <c r="H140" s="516"/>
      <c r="I140" s="516"/>
      <c r="J140" s="521"/>
    </row>
    <row r="141" spans="2:10" ht="77.25" thickBot="1" x14ac:dyDescent="0.3">
      <c r="B141" s="113">
        <v>55</v>
      </c>
      <c r="C141" s="83" t="s">
        <v>528</v>
      </c>
      <c r="D141" s="139" t="s">
        <v>41</v>
      </c>
      <c r="E141" s="139">
        <v>1</v>
      </c>
      <c r="F141" s="140" t="s">
        <v>221</v>
      </c>
      <c r="G141" s="319">
        <v>254184</v>
      </c>
      <c r="H141" s="319">
        <f>G141*E141</f>
        <v>254184</v>
      </c>
      <c r="I141" s="319"/>
      <c r="J141" s="320">
        <f>I141*E141</f>
        <v>0</v>
      </c>
    </row>
    <row r="142" spans="2:10" ht="77.25" thickBot="1" x14ac:dyDescent="0.3">
      <c r="B142" s="113">
        <v>56</v>
      </c>
      <c r="C142" s="83" t="s">
        <v>529</v>
      </c>
      <c r="D142" s="139" t="s">
        <v>262</v>
      </c>
      <c r="E142" s="139">
        <v>2</v>
      </c>
      <c r="F142" s="140" t="s">
        <v>233</v>
      </c>
      <c r="G142" s="319">
        <v>749700</v>
      </c>
      <c r="H142" s="319">
        <f>G142*E142</f>
        <v>1499400</v>
      </c>
      <c r="I142" s="319"/>
      <c r="J142" s="320">
        <f>I142*E142</f>
        <v>0</v>
      </c>
    </row>
    <row r="143" spans="2:10" ht="76.5" x14ac:dyDescent="0.25">
      <c r="B143" s="387">
        <v>57</v>
      </c>
      <c r="C143" s="26" t="s">
        <v>530</v>
      </c>
      <c r="D143" s="72" t="s">
        <v>264</v>
      </c>
      <c r="E143" s="72">
        <v>1</v>
      </c>
      <c r="F143" s="94" t="s">
        <v>221</v>
      </c>
      <c r="G143" s="515">
        <v>2533502</v>
      </c>
      <c r="H143" s="515">
        <f>G143*1</f>
        <v>2533502</v>
      </c>
      <c r="I143" s="515"/>
      <c r="J143" s="522">
        <f>I143*1</f>
        <v>0</v>
      </c>
    </row>
    <row r="144" spans="2:10" ht="76.5" x14ac:dyDescent="0.25">
      <c r="B144" s="388"/>
      <c r="C144" s="35" t="s">
        <v>531</v>
      </c>
      <c r="D144" s="60" t="s">
        <v>266</v>
      </c>
      <c r="E144" s="60">
        <v>1</v>
      </c>
      <c r="F144" s="105" t="s">
        <v>221</v>
      </c>
      <c r="G144" s="510"/>
      <c r="H144" s="510"/>
      <c r="I144" s="510"/>
      <c r="J144" s="513"/>
    </row>
    <row r="145" spans="2:10" ht="63.75" x14ac:dyDescent="0.25">
      <c r="B145" s="388"/>
      <c r="C145" s="35" t="s">
        <v>532</v>
      </c>
      <c r="D145" s="60" t="s">
        <v>41</v>
      </c>
      <c r="E145" s="60">
        <v>1</v>
      </c>
      <c r="F145" s="105" t="s">
        <v>221</v>
      </c>
      <c r="G145" s="510"/>
      <c r="H145" s="510"/>
      <c r="I145" s="510"/>
      <c r="J145" s="513"/>
    </row>
    <row r="146" spans="2:10" ht="77.25" thickBot="1" x14ac:dyDescent="0.3">
      <c r="B146" s="389"/>
      <c r="C146" s="47" t="s">
        <v>533</v>
      </c>
      <c r="D146" s="98" t="s">
        <v>264</v>
      </c>
      <c r="E146" s="98">
        <v>1</v>
      </c>
      <c r="F146" s="99" t="s">
        <v>221</v>
      </c>
      <c r="G146" s="516"/>
      <c r="H146" s="516"/>
      <c r="I146" s="516"/>
      <c r="J146" s="521"/>
    </row>
    <row r="147" spans="2:10" ht="90" thickBot="1" x14ac:dyDescent="0.3">
      <c r="B147" s="113">
        <v>58</v>
      </c>
      <c r="C147" s="83" t="s">
        <v>534</v>
      </c>
      <c r="D147" s="139" t="s">
        <v>270</v>
      </c>
      <c r="E147" s="84">
        <v>2</v>
      </c>
      <c r="F147" s="140" t="s">
        <v>233</v>
      </c>
      <c r="G147" s="319">
        <v>13654536</v>
      </c>
      <c r="H147" s="319">
        <f>G147*E147</f>
        <v>27309072</v>
      </c>
      <c r="I147" s="319"/>
      <c r="J147" s="320">
        <f>I147*E147</f>
        <v>0</v>
      </c>
    </row>
    <row r="148" spans="2:10" ht="76.5" x14ac:dyDescent="0.25">
      <c r="B148" s="387">
        <v>59</v>
      </c>
      <c r="C148" s="26" t="s">
        <v>535</v>
      </c>
      <c r="D148" s="27" t="s">
        <v>236</v>
      </c>
      <c r="E148" s="27">
        <v>1</v>
      </c>
      <c r="F148" s="94" t="s">
        <v>272</v>
      </c>
      <c r="G148" s="515">
        <v>479257</v>
      </c>
      <c r="H148" s="515">
        <f>G148*1</f>
        <v>479257</v>
      </c>
      <c r="I148" s="515"/>
      <c r="J148" s="522">
        <f>I148*1</f>
        <v>0</v>
      </c>
    </row>
    <row r="149" spans="2:10" ht="76.5" x14ac:dyDescent="0.25">
      <c r="B149" s="388"/>
      <c r="C149" s="35" t="s">
        <v>536</v>
      </c>
      <c r="D149" s="36" t="s">
        <v>226</v>
      </c>
      <c r="E149" s="36">
        <v>2</v>
      </c>
      <c r="F149" s="105" t="s">
        <v>537</v>
      </c>
      <c r="G149" s="510"/>
      <c r="H149" s="510"/>
      <c r="I149" s="510"/>
      <c r="J149" s="513"/>
    </row>
    <row r="150" spans="2:10" ht="64.5" thickBot="1" x14ac:dyDescent="0.3">
      <c r="B150" s="389"/>
      <c r="C150" s="47" t="s">
        <v>538</v>
      </c>
      <c r="D150" s="48" t="s">
        <v>276</v>
      </c>
      <c r="E150" s="48">
        <v>1</v>
      </c>
      <c r="F150" s="99" t="s">
        <v>272</v>
      </c>
      <c r="G150" s="516"/>
      <c r="H150" s="516"/>
      <c r="I150" s="516"/>
      <c r="J150" s="521"/>
    </row>
    <row r="151" spans="2:10" ht="76.5" x14ac:dyDescent="0.25">
      <c r="B151" s="387">
        <v>60</v>
      </c>
      <c r="C151" s="26" t="s">
        <v>277</v>
      </c>
      <c r="D151" s="27" t="s">
        <v>56</v>
      </c>
      <c r="E151" s="27">
        <v>2</v>
      </c>
      <c r="F151" s="104" t="s">
        <v>278</v>
      </c>
      <c r="G151" s="515">
        <v>3688365</v>
      </c>
      <c r="H151" s="515">
        <f>G151*1</f>
        <v>3688365</v>
      </c>
      <c r="I151" s="515"/>
      <c r="J151" s="522">
        <f>I151*1</f>
        <v>0</v>
      </c>
    </row>
    <row r="152" spans="2:10" ht="63.75" x14ac:dyDescent="0.25">
      <c r="B152" s="388"/>
      <c r="C152" s="35" t="s">
        <v>539</v>
      </c>
      <c r="D152" s="36" t="s">
        <v>280</v>
      </c>
      <c r="E152" s="36">
        <v>1</v>
      </c>
      <c r="F152" s="128" t="s">
        <v>281</v>
      </c>
      <c r="G152" s="510"/>
      <c r="H152" s="510"/>
      <c r="I152" s="510"/>
      <c r="J152" s="513"/>
    </row>
    <row r="153" spans="2:10" ht="63.75" x14ac:dyDescent="0.25">
      <c r="B153" s="388"/>
      <c r="C153" s="35" t="s">
        <v>540</v>
      </c>
      <c r="D153" s="36" t="s">
        <v>283</v>
      </c>
      <c r="E153" s="36">
        <v>1</v>
      </c>
      <c r="F153" s="128" t="s">
        <v>281</v>
      </c>
      <c r="G153" s="510"/>
      <c r="H153" s="510"/>
      <c r="I153" s="510"/>
      <c r="J153" s="513"/>
    </row>
    <row r="154" spans="2:10" ht="64.5" thickBot="1" x14ac:dyDescent="0.3">
      <c r="B154" s="389"/>
      <c r="C154" s="47" t="s">
        <v>541</v>
      </c>
      <c r="D154" s="48" t="s">
        <v>58</v>
      </c>
      <c r="E154" s="48">
        <v>1</v>
      </c>
      <c r="F154" s="137" t="s">
        <v>285</v>
      </c>
      <c r="G154" s="516"/>
      <c r="H154" s="516"/>
      <c r="I154" s="516"/>
      <c r="J154" s="521"/>
    </row>
    <row r="155" spans="2:10" ht="51.75" thickBot="1" x14ac:dyDescent="0.3">
      <c r="B155" s="113">
        <v>61</v>
      </c>
      <c r="C155" s="83" t="s">
        <v>542</v>
      </c>
      <c r="D155" s="84" t="s">
        <v>58</v>
      </c>
      <c r="E155" s="84">
        <v>1</v>
      </c>
      <c r="F155" s="140" t="s">
        <v>272</v>
      </c>
      <c r="G155" s="319">
        <v>1818320</v>
      </c>
      <c r="H155" s="319">
        <f>G155*E155</f>
        <v>1818320</v>
      </c>
      <c r="I155" s="319"/>
      <c r="J155" s="320">
        <f>I155*E155</f>
        <v>0</v>
      </c>
    </row>
    <row r="156" spans="2:10" ht="64.5" thickBot="1" x14ac:dyDescent="0.3">
      <c r="B156" s="113">
        <v>62</v>
      </c>
      <c r="C156" s="83" t="s">
        <v>543</v>
      </c>
      <c r="D156" s="84" t="s">
        <v>58</v>
      </c>
      <c r="E156" s="84">
        <v>1</v>
      </c>
      <c r="F156" s="211" t="s">
        <v>107</v>
      </c>
      <c r="G156" s="319">
        <v>47600</v>
      </c>
      <c r="H156" s="319">
        <f>G156*E156</f>
        <v>47600</v>
      </c>
      <c r="I156" s="319"/>
      <c r="J156" s="320">
        <f>I156*E156</f>
        <v>0</v>
      </c>
    </row>
    <row r="157" spans="2:10" ht="51" x14ac:dyDescent="0.25">
      <c r="B157" s="398">
        <v>63</v>
      </c>
      <c r="C157" s="26" t="s">
        <v>288</v>
      </c>
      <c r="D157" s="316" t="s">
        <v>289</v>
      </c>
      <c r="E157" s="316">
        <v>2</v>
      </c>
      <c r="F157" s="94" t="s">
        <v>290</v>
      </c>
      <c r="G157" s="515">
        <v>1240551</v>
      </c>
      <c r="H157" s="515">
        <f>G157*1</f>
        <v>1240551</v>
      </c>
      <c r="I157" s="515"/>
      <c r="J157" s="522">
        <f>I157*1</f>
        <v>0</v>
      </c>
    </row>
    <row r="158" spans="2:10" ht="51.75" thickBot="1" x14ac:dyDescent="0.3">
      <c r="B158" s="400"/>
      <c r="C158" s="47" t="s">
        <v>399</v>
      </c>
      <c r="D158" s="136" t="s">
        <v>292</v>
      </c>
      <c r="E158" s="136">
        <v>3</v>
      </c>
      <c r="F158" s="99" t="s">
        <v>293</v>
      </c>
      <c r="G158" s="516"/>
      <c r="H158" s="516"/>
      <c r="I158" s="516"/>
      <c r="J158" s="521"/>
    </row>
    <row r="159" spans="2:10" ht="64.5" thickBot="1" x14ac:dyDescent="0.3">
      <c r="B159" s="113">
        <v>64</v>
      </c>
      <c r="C159" s="140" t="s">
        <v>544</v>
      </c>
      <c r="D159" s="84" t="s">
        <v>226</v>
      </c>
      <c r="E159" s="84">
        <v>7</v>
      </c>
      <c r="F159" s="140" t="s">
        <v>545</v>
      </c>
      <c r="G159" s="319">
        <v>468265</v>
      </c>
      <c r="H159" s="319">
        <f>G159*E159</f>
        <v>3277855</v>
      </c>
      <c r="I159" s="319"/>
      <c r="J159" s="320">
        <f>I159*E159</f>
        <v>0</v>
      </c>
    </row>
    <row r="160" spans="2:10" ht="102" x14ac:dyDescent="0.25">
      <c r="B160" s="387">
        <v>65</v>
      </c>
      <c r="C160" s="94" t="s">
        <v>546</v>
      </c>
      <c r="D160" s="27" t="s">
        <v>547</v>
      </c>
      <c r="E160" s="72">
        <v>13</v>
      </c>
      <c r="F160" s="94" t="s">
        <v>299</v>
      </c>
      <c r="G160" s="515">
        <v>7028076</v>
      </c>
      <c r="H160" s="515">
        <f>G160*1</f>
        <v>7028076</v>
      </c>
      <c r="I160" s="515"/>
      <c r="J160" s="522">
        <f>I160*1</f>
        <v>0</v>
      </c>
    </row>
    <row r="161" spans="2:10" ht="38.25" x14ac:dyDescent="0.25">
      <c r="B161" s="388"/>
      <c r="C161" s="105" t="s">
        <v>300</v>
      </c>
      <c r="D161" s="60" t="s">
        <v>80</v>
      </c>
      <c r="E161" s="36">
        <v>100</v>
      </c>
      <c r="F161" s="227" t="s">
        <v>301</v>
      </c>
      <c r="G161" s="510"/>
      <c r="H161" s="510"/>
      <c r="I161" s="510"/>
      <c r="J161" s="513"/>
    </row>
    <row r="162" spans="2:10" ht="25.5" x14ac:dyDescent="0.25">
      <c r="B162" s="388"/>
      <c r="C162" s="251" t="s">
        <v>302</v>
      </c>
      <c r="D162" s="231" t="s">
        <v>80</v>
      </c>
      <c r="E162" s="36">
        <v>10</v>
      </c>
      <c r="F162" s="232" t="s">
        <v>303</v>
      </c>
      <c r="G162" s="510"/>
      <c r="H162" s="510"/>
      <c r="I162" s="510"/>
      <c r="J162" s="513"/>
    </row>
    <row r="163" spans="2:10" ht="89.25" x14ac:dyDescent="0.25">
      <c r="B163" s="388"/>
      <c r="C163" s="251" t="s">
        <v>304</v>
      </c>
      <c r="D163" s="231" t="s">
        <v>80</v>
      </c>
      <c r="E163" s="36">
        <v>50</v>
      </c>
      <c r="F163" s="232" t="s">
        <v>305</v>
      </c>
      <c r="G163" s="510"/>
      <c r="H163" s="510"/>
      <c r="I163" s="510"/>
      <c r="J163" s="513"/>
    </row>
    <row r="164" spans="2:10" ht="76.5" x14ac:dyDescent="0.25">
      <c r="B164" s="388"/>
      <c r="C164" s="251" t="s">
        <v>306</v>
      </c>
      <c r="D164" s="231" t="s">
        <v>307</v>
      </c>
      <c r="E164" s="60">
        <v>10</v>
      </c>
      <c r="F164" s="232" t="s">
        <v>308</v>
      </c>
      <c r="G164" s="510"/>
      <c r="H164" s="510"/>
      <c r="I164" s="510"/>
      <c r="J164" s="513"/>
    </row>
    <row r="165" spans="2:10" ht="25.5" x14ac:dyDescent="0.25">
      <c r="B165" s="388"/>
      <c r="C165" s="251" t="s">
        <v>309</v>
      </c>
      <c r="D165" s="231" t="s">
        <v>80</v>
      </c>
      <c r="E165" s="36">
        <v>1</v>
      </c>
      <c r="F165" s="232" t="s">
        <v>281</v>
      </c>
      <c r="G165" s="510"/>
      <c r="H165" s="510"/>
      <c r="I165" s="510"/>
      <c r="J165" s="513"/>
    </row>
    <row r="166" spans="2:10" ht="38.25" x14ac:dyDescent="0.25">
      <c r="B166" s="388"/>
      <c r="C166" s="251" t="s">
        <v>575</v>
      </c>
      <c r="D166" s="231" t="s">
        <v>80</v>
      </c>
      <c r="E166" s="60">
        <v>20</v>
      </c>
      <c r="F166" s="233" t="s">
        <v>311</v>
      </c>
      <c r="G166" s="510"/>
      <c r="H166" s="510"/>
      <c r="I166" s="510"/>
      <c r="J166" s="513"/>
    </row>
    <row r="167" spans="2:10" ht="39" thickBot="1" x14ac:dyDescent="0.3">
      <c r="B167" s="389"/>
      <c r="C167" s="266" t="s">
        <v>312</v>
      </c>
      <c r="D167" s="234" t="s">
        <v>313</v>
      </c>
      <c r="E167" s="98">
        <v>10</v>
      </c>
      <c r="F167" s="235" t="s">
        <v>308</v>
      </c>
      <c r="G167" s="516"/>
      <c r="H167" s="516"/>
      <c r="I167" s="516"/>
      <c r="J167" s="521"/>
    </row>
    <row r="168" spans="2:10" ht="89.25" x14ac:dyDescent="0.25">
      <c r="B168" s="387">
        <v>66</v>
      </c>
      <c r="C168" s="94" t="s">
        <v>548</v>
      </c>
      <c r="D168" s="27" t="s">
        <v>549</v>
      </c>
      <c r="E168" s="236">
        <v>7</v>
      </c>
      <c r="F168" s="237" t="s">
        <v>316</v>
      </c>
      <c r="G168" s="515">
        <v>10044118</v>
      </c>
      <c r="H168" s="515">
        <f>G168*1</f>
        <v>10044118</v>
      </c>
      <c r="I168" s="515"/>
      <c r="J168" s="522">
        <f>I168*1</f>
        <v>0</v>
      </c>
    </row>
    <row r="169" spans="2:10" ht="89.25" x14ac:dyDescent="0.25">
      <c r="B169" s="388"/>
      <c r="C169" s="105" t="s">
        <v>550</v>
      </c>
      <c r="D169" s="36" t="s">
        <v>318</v>
      </c>
      <c r="E169" s="238">
        <v>8</v>
      </c>
      <c r="F169" s="105" t="s">
        <v>551</v>
      </c>
      <c r="G169" s="510"/>
      <c r="H169" s="510"/>
      <c r="I169" s="510"/>
      <c r="J169" s="513"/>
    </row>
    <row r="170" spans="2:10" ht="38.25" x14ac:dyDescent="0.25">
      <c r="B170" s="388"/>
      <c r="C170" s="105" t="s">
        <v>552</v>
      </c>
      <c r="D170" s="36" t="s">
        <v>549</v>
      </c>
      <c r="E170" s="60">
        <v>5</v>
      </c>
      <c r="F170" s="105" t="s">
        <v>321</v>
      </c>
      <c r="G170" s="510"/>
      <c r="H170" s="510"/>
      <c r="I170" s="510"/>
      <c r="J170" s="513"/>
    </row>
    <row r="171" spans="2:10" ht="25.5" x14ac:dyDescent="0.25">
      <c r="B171" s="388"/>
      <c r="C171" s="251" t="s">
        <v>553</v>
      </c>
      <c r="D171" s="231" t="s">
        <v>80</v>
      </c>
      <c r="E171" s="36">
        <v>10</v>
      </c>
      <c r="F171" s="233" t="s">
        <v>303</v>
      </c>
      <c r="G171" s="510"/>
      <c r="H171" s="510"/>
      <c r="I171" s="510"/>
      <c r="J171" s="513"/>
    </row>
    <row r="172" spans="2:10" ht="51" x14ac:dyDescent="0.25">
      <c r="B172" s="388"/>
      <c r="C172" s="105" t="s">
        <v>323</v>
      </c>
      <c r="D172" s="60" t="s">
        <v>80</v>
      </c>
      <c r="E172" s="36">
        <v>40</v>
      </c>
      <c r="F172" s="128" t="s">
        <v>324</v>
      </c>
      <c r="G172" s="510"/>
      <c r="H172" s="510"/>
      <c r="I172" s="510"/>
      <c r="J172" s="513"/>
    </row>
    <row r="173" spans="2:10" ht="51" x14ac:dyDescent="0.25">
      <c r="B173" s="388"/>
      <c r="C173" s="105" t="s">
        <v>325</v>
      </c>
      <c r="D173" s="60" t="s">
        <v>80</v>
      </c>
      <c r="E173" s="36">
        <v>10</v>
      </c>
      <c r="F173" s="128" t="s">
        <v>308</v>
      </c>
      <c r="G173" s="510"/>
      <c r="H173" s="510"/>
      <c r="I173" s="510"/>
      <c r="J173" s="513"/>
    </row>
    <row r="174" spans="2:10" ht="51.75" thickBot="1" x14ac:dyDescent="0.3">
      <c r="B174" s="389"/>
      <c r="C174" s="99" t="s">
        <v>326</v>
      </c>
      <c r="D174" s="98" t="s">
        <v>80</v>
      </c>
      <c r="E174" s="48">
        <v>5</v>
      </c>
      <c r="F174" s="137" t="s">
        <v>327</v>
      </c>
      <c r="G174" s="516"/>
      <c r="H174" s="516"/>
      <c r="I174" s="516"/>
      <c r="J174" s="521"/>
    </row>
    <row r="175" spans="2:10" ht="25.5" x14ac:dyDescent="0.25">
      <c r="B175" s="387">
        <v>67</v>
      </c>
      <c r="C175" s="268" t="s">
        <v>328</v>
      </c>
      <c r="D175" s="241" t="s">
        <v>80</v>
      </c>
      <c r="E175" s="27">
        <v>5</v>
      </c>
      <c r="F175" s="242" t="s">
        <v>329</v>
      </c>
      <c r="G175" s="515">
        <v>5012616</v>
      </c>
      <c r="H175" s="515">
        <f>G175*1</f>
        <v>5012616</v>
      </c>
      <c r="I175" s="515"/>
      <c r="J175" s="522">
        <f>I175*1</f>
        <v>0</v>
      </c>
    </row>
    <row r="176" spans="2:10" ht="51" x14ac:dyDescent="0.25">
      <c r="B176" s="388"/>
      <c r="C176" s="105" t="s">
        <v>330</v>
      </c>
      <c r="D176" s="36" t="s">
        <v>80</v>
      </c>
      <c r="E176" s="36">
        <v>1</v>
      </c>
      <c r="F176" s="128" t="s">
        <v>187</v>
      </c>
      <c r="G176" s="510"/>
      <c r="H176" s="510"/>
      <c r="I176" s="510"/>
      <c r="J176" s="513"/>
    </row>
    <row r="177" spans="2:10" ht="38.25" x14ac:dyDescent="0.25">
      <c r="B177" s="388"/>
      <c r="C177" s="105" t="s">
        <v>331</v>
      </c>
      <c r="D177" s="36" t="s">
        <v>80</v>
      </c>
      <c r="E177" s="36">
        <v>2</v>
      </c>
      <c r="F177" s="128" t="s">
        <v>233</v>
      </c>
      <c r="G177" s="510"/>
      <c r="H177" s="510"/>
      <c r="I177" s="510"/>
      <c r="J177" s="513"/>
    </row>
    <row r="178" spans="2:10" ht="38.25" x14ac:dyDescent="0.25">
      <c r="B178" s="388"/>
      <c r="C178" s="251" t="s">
        <v>332</v>
      </c>
      <c r="D178" s="231" t="s">
        <v>80</v>
      </c>
      <c r="E178" s="60">
        <v>20</v>
      </c>
      <c r="F178" s="233" t="s">
        <v>333</v>
      </c>
      <c r="G178" s="510"/>
      <c r="H178" s="510"/>
      <c r="I178" s="510"/>
      <c r="J178" s="513"/>
    </row>
    <row r="179" spans="2:10" ht="38.25" x14ac:dyDescent="0.25">
      <c r="B179" s="388"/>
      <c r="C179" s="251" t="s">
        <v>334</v>
      </c>
      <c r="D179" s="231" t="s">
        <v>80</v>
      </c>
      <c r="E179" s="36">
        <v>20</v>
      </c>
      <c r="F179" s="233" t="s">
        <v>333</v>
      </c>
      <c r="G179" s="510"/>
      <c r="H179" s="510"/>
      <c r="I179" s="510"/>
      <c r="J179" s="513"/>
    </row>
    <row r="180" spans="2:10" ht="39" thickBot="1" x14ac:dyDescent="0.3">
      <c r="B180" s="389"/>
      <c r="C180" s="266" t="s">
        <v>335</v>
      </c>
      <c r="D180" s="234" t="s">
        <v>80</v>
      </c>
      <c r="E180" s="48">
        <v>40</v>
      </c>
      <c r="F180" s="235" t="s">
        <v>324</v>
      </c>
      <c r="G180" s="516"/>
      <c r="H180" s="516"/>
      <c r="I180" s="516"/>
      <c r="J180" s="521"/>
    </row>
    <row r="181" spans="2:10" ht="38.25" x14ac:dyDescent="0.25">
      <c r="B181" s="387">
        <v>68</v>
      </c>
      <c r="C181" s="268" t="s">
        <v>336</v>
      </c>
      <c r="D181" s="241" t="s">
        <v>80</v>
      </c>
      <c r="E181" s="27">
        <v>2</v>
      </c>
      <c r="F181" s="242" t="s">
        <v>190</v>
      </c>
      <c r="G181" s="515">
        <v>3512373</v>
      </c>
      <c r="H181" s="515">
        <f>G181*1</f>
        <v>3512373</v>
      </c>
      <c r="I181" s="515"/>
      <c r="J181" s="522">
        <f>I181*1</f>
        <v>0</v>
      </c>
    </row>
    <row r="182" spans="2:10" ht="63.75" x14ac:dyDescent="0.25">
      <c r="B182" s="388"/>
      <c r="C182" s="251" t="s">
        <v>337</v>
      </c>
      <c r="D182" s="231" t="s">
        <v>80</v>
      </c>
      <c r="E182" s="60">
        <v>10</v>
      </c>
      <c r="F182" s="233" t="s">
        <v>308</v>
      </c>
      <c r="G182" s="510"/>
      <c r="H182" s="510"/>
      <c r="I182" s="510"/>
      <c r="J182" s="513"/>
    </row>
    <row r="183" spans="2:10" ht="38.25" x14ac:dyDescent="0.25">
      <c r="B183" s="388"/>
      <c r="C183" s="251" t="s">
        <v>338</v>
      </c>
      <c r="D183" s="231" t="s">
        <v>80</v>
      </c>
      <c r="E183" s="36">
        <v>20</v>
      </c>
      <c r="F183" s="233" t="s">
        <v>339</v>
      </c>
      <c r="G183" s="510"/>
      <c r="H183" s="510"/>
      <c r="I183" s="510"/>
      <c r="J183" s="513"/>
    </row>
    <row r="184" spans="2:10" ht="26.25" thickBot="1" x14ac:dyDescent="0.3">
      <c r="B184" s="389"/>
      <c r="C184" s="266" t="s">
        <v>554</v>
      </c>
      <c r="D184" s="234" t="s">
        <v>80</v>
      </c>
      <c r="E184" s="48">
        <v>3</v>
      </c>
      <c r="F184" s="235" t="s">
        <v>341</v>
      </c>
      <c r="G184" s="516"/>
      <c r="H184" s="516"/>
      <c r="I184" s="516"/>
      <c r="J184" s="521"/>
    </row>
    <row r="185" spans="2:10" ht="38.25" x14ac:dyDescent="0.25">
      <c r="B185" s="398">
        <v>69</v>
      </c>
      <c r="C185" s="268" t="s">
        <v>342</v>
      </c>
      <c r="D185" s="241" t="s">
        <v>80</v>
      </c>
      <c r="E185" s="27">
        <v>10</v>
      </c>
      <c r="F185" s="242" t="s">
        <v>303</v>
      </c>
      <c r="G185" s="515">
        <v>867929</v>
      </c>
      <c r="H185" s="515">
        <f>G185*1</f>
        <v>867929</v>
      </c>
      <c r="I185" s="515"/>
      <c r="J185" s="522">
        <f>I185*1</f>
        <v>0</v>
      </c>
    </row>
    <row r="186" spans="2:10" ht="15.75" thickBot="1" x14ac:dyDescent="0.3">
      <c r="B186" s="400"/>
      <c r="C186" s="99" t="s">
        <v>343</v>
      </c>
      <c r="D186" s="98" t="s">
        <v>104</v>
      </c>
      <c r="E186" s="48">
        <v>1</v>
      </c>
      <c r="F186" s="137" t="s">
        <v>281</v>
      </c>
      <c r="G186" s="516"/>
      <c r="H186" s="516"/>
      <c r="I186" s="516"/>
      <c r="J186" s="521"/>
    </row>
    <row r="187" spans="2:10" ht="38.25" x14ac:dyDescent="0.25">
      <c r="B187" s="387">
        <v>70</v>
      </c>
      <c r="C187" s="268" t="s">
        <v>555</v>
      </c>
      <c r="D187" s="241" t="s">
        <v>80</v>
      </c>
      <c r="E187" s="72">
        <v>10</v>
      </c>
      <c r="F187" s="242" t="s">
        <v>345</v>
      </c>
      <c r="G187" s="515">
        <v>2736218</v>
      </c>
      <c r="H187" s="515">
        <f>G187*1</f>
        <v>2736218</v>
      </c>
      <c r="I187" s="515"/>
      <c r="J187" s="522">
        <f>I187*1</f>
        <v>0</v>
      </c>
    </row>
    <row r="188" spans="2:10" ht="38.25" x14ac:dyDescent="0.25">
      <c r="B188" s="388"/>
      <c r="C188" s="251" t="s">
        <v>556</v>
      </c>
      <c r="D188" s="231" t="s">
        <v>347</v>
      </c>
      <c r="E188" s="36">
        <v>1</v>
      </c>
      <c r="F188" s="233" t="s">
        <v>187</v>
      </c>
      <c r="G188" s="510"/>
      <c r="H188" s="510"/>
      <c r="I188" s="510"/>
      <c r="J188" s="513"/>
    </row>
    <row r="189" spans="2:10" ht="25.5" x14ac:dyDescent="0.25">
      <c r="B189" s="388"/>
      <c r="C189" s="251" t="s">
        <v>557</v>
      </c>
      <c r="D189" s="231" t="s">
        <v>349</v>
      </c>
      <c r="E189" s="36">
        <v>3</v>
      </c>
      <c r="F189" s="233" t="s">
        <v>341</v>
      </c>
      <c r="G189" s="510"/>
      <c r="H189" s="510"/>
      <c r="I189" s="510"/>
      <c r="J189" s="513"/>
    </row>
    <row r="190" spans="2:10" ht="39" thickBot="1" x14ac:dyDescent="0.3">
      <c r="B190" s="389"/>
      <c r="C190" s="266" t="s">
        <v>350</v>
      </c>
      <c r="D190" s="234" t="s">
        <v>80</v>
      </c>
      <c r="E190" s="48">
        <v>20</v>
      </c>
      <c r="F190" s="235" t="s">
        <v>351</v>
      </c>
      <c r="G190" s="516"/>
      <c r="H190" s="516"/>
      <c r="I190" s="516"/>
      <c r="J190" s="521"/>
    </row>
    <row r="191" spans="2:10" ht="166.5" thickBot="1" x14ac:dyDescent="0.3">
      <c r="B191" s="177">
        <v>71</v>
      </c>
      <c r="C191" s="252" t="s">
        <v>352</v>
      </c>
      <c r="D191" s="246" t="s">
        <v>80</v>
      </c>
      <c r="E191" s="139">
        <v>60</v>
      </c>
      <c r="F191" s="247" t="s">
        <v>353</v>
      </c>
      <c r="G191" s="319">
        <v>85200</v>
      </c>
      <c r="H191" s="319">
        <f>G191*E191</f>
        <v>5112000</v>
      </c>
      <c r="I191" s="319"/>
      <c r="J191" s="320">
        <f>I191*E191</f>
        <v>0</v>
      </c>
    </row>
    <row r="192" spans="2:10" ht="76.5" x14ac:dyDescent="0.25">
      <c r="B192" s="387">
        <v>72</v>
      </c>
      <c r="C192" s="94" t="s">
        <v>558</v>
      </c>
      <c r="D192" s="72" t="s">
        <v>355</v>
      </c>
      <c r="E192" s="72">
        <v>13</v>
      </c>
      <c r="F192" s="94" t="s">
        <v>559</v>
      </c>
      <c r="G192" s="515">
        <v>2132181</v>
      </c>
      <c r="H192" s="515">
        <f>G192*1</f>
        <v>2132181</v>
      </c>
      <c r="I192" s="515"/>
      <c r="J192" s="522">
        <f>I192*1</f>
        <v>0</v>
      </c>
    </row>
    <row r="193" spans="2:10" ht="63.75" x14ac:dyDescent="0.25">
      <c r="B193" s="388"/>
      <c r="C193" s="105" t="s">
        <v>560</v>
      </c>
      <c r="D193" s="60" t="s">
        <v>355</v>
      </c>
      <c r="E193" s="60">
        <v>12</v>
      </c>
      <c r="F193" s="105" t="s">
        <v>561</v>
      </c>
      <c r="G193" s="510"/>
      <c r="H193" s="510"/>
      <c r="I193" s="510"/>
      <c r="J193" s="513"/>
    </row>
    <row r="194" spans="2:10" ht="26.25" thickBot="1" x14ac:dyDescent="0.3">
      <c r="B194" s="389"/>
      <c r="C194" s="266" t="s">
        <v>359</v>
      </c>
      <c r="D194" s="234" t="s">
        <v>80</v>
      </c>
      <c r="E194" s="48">
        <v>50</v>
      </c>
      <c r="F194" s="235" t="s">
        <v>562</v>
      </c>
      <c r="G194" s="516"/>
      <c r="H194" s="516"/>
      <c r="I194" s="516"/>
      <c r="J194" s="521"/>
    </row>
    <row r="195" spans="2:10" ht="90" thickBot="1" x14ac:dyDescent="0.3">
      <c r="B195" s="113">
        <v>73</v>
      </c>
      <c r="C195" s="140" t="s">
        <v>563</v>
      </c>
      <c r="D195" s="84" t="s">
        <v>549</v>
      </c>
      <c r="E195" s="139">
        <v>7</v>
      </c>
      <c r="F195" s="140" t="s">
        <v>362</v>
      </c>
      <c r="G195" s="319">
        <v>104321</v>
      </c>
      <c r="H195" s="319">
        <f>G195*E195</f>
        <v>730247</v>
      </c>
      <c r="I195" s="319"/>
      <c r="J195" s="320">
        <f>I195*E195</f>
        <v>0</v>
      </c>
    </row>
    <row r="196" spans="2:10" ht="102.75" thickBot="1" x14ac:dyDescent="0.3">
      <c r="B196" s="97">
        <v>74</v>
      </c>
      <c r="C196" s="210" t="s">
        <v>564</v>
      </c>
      <c r="D196" s="76" t="s">
        <v>549</v>
      </c>
      <c r="E196" s="76">
        <v>8</v>
      </c>
      <c r="F196" s="210" t="s">
        <v>364</v>
      </c>
      <c r="G196" s="321">
        <v>163119</v>
      </c>
      <c r="H196" s="321">
        <f>G196*E196</f>
        <v>1304952</v>
      </c>
      <c r="I196" s="321"/>
      <c r="J196" s="320">
        <f>I196*E196</f>
        <v>0</v>
      </c>
    </row>
    <row r="197" spans="2:10" ht="51" x14ac:dyDescent="0.25">
      <c r="B197" s="387">
        <v>75</v>
      </c>
      <c r="C197" s="94" t="s">
        <v>565</v>
      </c>
      <c r="D197" s="72" t="s">
        <v>366</v>
      </c>
      <c r="E197" s="27">
        <v>3</v>
      </c>
      <c r="F197" s="104" t="s">
        <v>367</v>
      </c>
      <c r="G197" s="515">
        <v>3726572</v>
      </c>
      <c r="H197" s="515">
        <f>G197*1</f>
        <v>3726572</v>
      </c>
      <c r="I197" s="515"/>
      <c r="J197" s="522">
        <f>I197*1</f>
        <v>0</v>
      </c>
    </row>
    <row r="198" spans="2:10" ht="39" thickBot="1" x14ac:dyDescent="0.3">
      <c r="B198" s="389"/>
      <c r="C198" s="99" t="s">
        <v>566</v>
      </c>
      <c r="D198" s="98" t="s">
        <v>80</v>
      </c>
      <c r="E198" s="98">
        <v>3500</v>
      </c>
      <c r="F198" s="99" t="s">
        <v>369</v>
      </c>
      <c r="G198" s="516"/>
      <c r="H198" s="516"/>
      <c r="I198" s="516"/>
      <c r="J198" s="521"/>
    </row>
    <row r="199" spans="2:10" ht="38.25" x14ac:dyDescent="0.25">
      <c r="B199" s="387">
        <v>76</v>
      </c>
      <c r="C199" s="94" t="s">
        <v>370</v>
      </c>
      <c r="D199" s="27" t="s">
        <v>80</v>
      </c>
      <c r="E199" s="72">
        <v>40</v>
      </c>
      <c r="F199" s="94" t="s">
        <v>383</v>
      </c>
      <c r="G199" s="515">
        <v>11964667</v>
      </c>
      <c r="H199" s="515">
        <f>G199*1</f>
        <v>11964667</v>
      </c>
      <c r="I199" s="515"/>
      <c r="J199" s="522">
        <f>I199*1</f>
        <v>0</v>
      </c>
    </row>
    <row r="200" spans="2:10" ht="38.25" x14ac:dyDescent="0.25">
      <c r="B200" s="388"/>
      <c r="C200" s="105" t="s">
        <v>371</v>
      </c>
      <c r="D200" s="36" t="s">
        <v>80</v>
      </c>
      <c r="E200" s="60">
        <v>20</v>
      </c>
      <c r="F200" s="105" t="s">
        <v>339</v>
      </c>
      <c r="G200" s="510"/>
      <c r="H200" s="510"/>
      <c r="I200" s="510"/>
      <c r="J200" s="513"/>
    </row>
    <row r="201" spans="2:10" ht="76.5" x14ac:dyDescent="0.25">
      <c r="B201" s="388"/>
      <c r="C201" s="251" t="s">
        <v>372</v>
      </c>
      <c r="D201" s="231" t="s">
        <v>80</v>
      </c>
      <c r="E201" s="60">
        <v>3</v>
      </c>
      <c r="F201" s="233" t="s">
        <v>373</v>
      </c>
      <c r="G201" s="510"/>
      <c r="H201" s="510"/>
      <c r="I201" s="510"/>
      <c r="J201" s="513"/>
    </row>
    <row r="202" spans="2:10" ht="25.5" x14ac:dyDescent="0.25">
      <c r="B202" s="388"/>
      <c r="C202" s="251" t="s">
        <v>374</v>
      </c>
      <c r="D202" s="231" t="s">
        <v>80</v>
      </c>
      <c r="E202" s="60">
        <v>6</v>
      </c>
      <c r="F202" s="233" t="s">
        <v>375</v>
      </c>
      <c r="G202" s="510"/>
      <c r="H202" s="510"/>
      <c r="I202" s="510"/>
      <c r="J202" s="513"/>
    </row>
    <row r="203" spans="2:10" ht="38.25" x14ac:dyDescent="0.25">
      <c r="B203" s="388"/>
      <c r="C203" s="251" t="s">
        <v>376</v>
      </c>
      <c r="D203" s="231" t="s">
        <v>80</v>
      </c>
      <c r="E203" s="36">
        <v>10</v>
      </c>
      <c r="F203" s="233" t="s">
        <v>384</v>
      </c>
      <c r="G203" s="510"/>
      <c r="H203" s="510"/>
      <c r="I203" s="510"/>
      <c r="J203" s="513"/>
    </row>
    <row r="204" spans="2:10" ht="39" thickBot="1" x14ac:dyDescent="0.3">
      <c r="B204" s="389"/>
      <c r="C204" s="266" t="s">
        <v>377</v>
      </c>
      <c r="D204" s="234" t="s">
        <v>80</v>
      </c>
      <c r="E204" s="98">
        <v>1</v>
      </c>
      <c r="F204" s="235" t="s">
        <v>221</v>
      </c>
      <c r="G204" s="516"/>
      <c r="H204" s="516"/>
      <c r="I204" s="516"/>
      <c r="J204" s="521"/>
    </row>
    <row r="205" spans="2:10" ht="15" customHeight="1" thickBot="1" x14ac:dyDescent="0.3"/>
    <row r="206" spans="2:10" ht="15" customHeight="1" thickBot="1" x14ac:dyDescent="0.3">
      <c r="G206" s="323" t="s">
        <v>398</v>
      </c>
      <c r="H206" s="348">
        <f>SUM(H9:H205)</f>
        <v>338595892</v>
      </c>
      <c r="I206" s="348"/>
      <c r="J206" s="381">
        <f>SUM(J9:J204)</f>
        <v>0</v>
      </c>
    </row>
  </sheetData>
  <autoFilter ref="C8:F158" xr:uid="{B319951C-9796-4EA7-B899-411F037D45B2}"/>
  <mergeCells count="212">
    <mergeCell ref="I113:I114"/>
    <mergeCell ref="J113:J114"/>
    <mergeCell ref="I106:I108"/>
    <mergeCell ref="J106:J108"/>
    <mergeCell ref="I98:I105"/>
    <mergeCell ref="J98:J105"/>
    <mergeCell ref="I42:I44"/>
    <mergeCell ref="J42:J44"/>
    <mergeCell ref="I90:I91"/>
    <mergeCell ref="J90:J91"/>
    <mergeCell ref="I109:I112"/>
    <mergeCell ref="J109:J112"/>
    <mergeCell ref="I96:I97"/>
    <mergeCell ref="J96:J97"/>
    <mergeCell ref="G197:G198"/>
    <mergeCell ref="H197:H198"/>
    <mergeCell ref="I197:I198"/>
    <mergeCell ref="J197:J198"/>
    <mergeCell ref="G199:G204"/>
    <mergeCell ref="H199:H204"/>
    <mergeCell ref="I199:I204"/>
    <mergeCell ref="J199:J204"/>
    <mergeCell ref="G187:G190"/>
    <mergeCell ref="H187:H190"/>
    <mergeCell ref="I187:I190"/>
    <mergeCell ref="J187:J190"/>
    <mergeCell ref="G192:G194"/>
    <mergeCell ref="H192:H194"/>
    <mergeCell ref="I192:I194"/>
    <mergeCell ref="J192:J194"/>
    <mergeCell ref="I143:I146"/>
    <mergeCell ref="J143:J146"/>
    <mergeCell ref="I138:I140"/>
    <mergeCell ref="J138:J140"/>
    <mergeCell ref="I134:I137"/>
    <mergeCell ref="J134:J137"/>
    <mergeCell ref="I157:I158"/>
    <mergeCell ref="J157:J158"/>
    <mergeCell ref="I151:I154"/>
    <mergeCell ref="J151:J154"/>
    <mergeCell ref="I148:I150"/>
    <mergeCell ref="J148:J150"/>
    <mergeCell ref="I175:I180"/>
    <mergeCell ref="J175:J180"/>
    <mergeCell ref="I168:I174"/>
    <mergeCell ref="J168:J174"/>
    <mergeCell ref="I160:I167"/>
    <mergeCell ref="J160:J167"/>
    <mergeCell ref="G181:G184"/>
    <mergeCell ref="H181:H184"/>
    <mergeCell ref="G185:G186"/>
    <mergeCell ref="H185:H186"/>
    <mergeCell ref="I185:I186"/>
    <mergeCell ref="J185:J186"/>
    <mergeCell ref="I181:I184"/>
    <mergeCell ref="J181:J184"/>
    <mergeCell ref="G160:G167"/>
    <mergeCell ref="H160:H167"/>
    <mergeCell ref="G168:G174"/>
    <mergeCell ref="H168:H174"/>
    <mergeCell ref="G175:G180"/>
    <mergeCell ref="H175:H180"/>
    <mergeCell ref="G148:G150"/>
    <mergeCell ref="H148:H150"/>
    <mergeCell ref="G151:G154"/>
    <mergeCell ref="H151:H154"/>
    <mergeCell ref="G157:G158"/>
    <mergeCell ref="H157:H158"/>
    <mergeCell ref="G134:G137"/>
    <mergeCell ref="H134:H137"/>
    <mergeCell ref="G138:G140"/>
    <mergeCell ref="H138:H140"/>
    <mergeCell ref="G143:G146"/>
    <mergeCell ref="H143:H146"/>
    <mergeCell ref="G128:G129"/>
    <mergeCell ref="H128:H129"/>
    <mergeCell ref="I128:I129"/>
    <mergeCell ref="J128:J129"/>
    <mergeCell ref="G131:G132"/>
    <mergeCell ref="H131:H132"/>
    <mergeCell ref="I131:I132"/>
    <mergeCell ref="J131:J132"/>
    <mergeCell ref="I120:I123"/>
    <mergeCell ref="J120:J123"/>
    <mergeCell ref="G124:G127"/>
    <mergeCell ref="H124:H127"/>
    <mergeCell ref="I124:I127"/>
    <mergeCell ref="J124:J127"/>
    <mergeCell ref="G109:G112"/>
    <mergeCell ref="H109:H112"/>
    <mergeCell ref="G113:G114"/>
    <mergeCell ref="H113:H114"/>
    <mergeCell ref="G120:G123"/>
    <mergeCell ref="H120:H123"/>
    <mergeCell ref="G96:G97"/>
    <mergeCell ref="H96:H97"/>
    <mergeCell ref="G98:G105"/>
    <mergeCell ref="H98:H105"/>
    <mergeCell ref="G106:G108"/>
    <mergeCell ref="H106:H108"/>
    <mergeCell ref="G80:G86"/>
    <mergeCell ref="H80:H86"/>
    <mergeCell ref="I80:I86"/>
    <mergeCell ref="J80:J86"/>
    <mergeCell ref="G90:G91"/>
    <mergeCell ref="H90:H91"/>
    <mergeCell ref="G70:G72"/>
    <mergeCell ref="H70:H72"/>
    <mergeCell ref="I70:I72"/>
    <mergeCell ref="J70:J72"/>
    <mergeCell ref="G73:G74"/>
    <mergeCell ref="H73:H74"/>
    <mergeCell ref="I73:I74"/>
    <mergeCell ref="J73:J74"/>
    <mergeCell ref="G57:G64"/>
    <mergeCell ref="H57:H64"/>
    <mergeCell ref="I57:I64"/>
    <mergeCell ref="J57:J64"/>
    <mergeCell ref="G65:G68"/>
    <mergeCell ref="H65:H68"/>
    <mergeCell ref="I65:I68"/>
    <mergeCell ref="J65:J68"/>
    <mergeCell ref="G51:G53"/>
    <mergeCell ref="H51:H53"/>
    <mergeCell ref="I51:I53"/>
    <mergeCell ref="J51:J53"/>
    <mergeCell ref="G55:G56"/>
    <mergeCell ref="H55:H56"/>
    <mergeCell ref="I55:I56"/>
    <mergeCell ref="J55:J56"/>
    <mergeCell ref="G33:G41"/>
    <mergeCell ref="H33:H41"/>
    <mergeCell ref="I33:I41"/>
    <mergeCell ref="J33:J41"/>
    <mergeCell ref="G45:G50"/>
    <mergeCell ref="H45:H50"/>
    <mergeCell ref="I45:I50"/>
    <mergeCell ref="J45:J50"/>
    <mergeCell ref="G42:G44"/>
    <mergeCell ref="H42:H44"/>
    <mergeCell ref="G25:G26"/>
    <mergeCell ref="H25:H26"/>
    <mergeCell ref="I25:I26"/>
    <mergeCell ref="J25:J26"/>
    <mergeCell ref="G28:G30"/>
    <mergeCell ref="H28:H30"/>
    <mergeCell ref="I28:I30"/>
    <mergeCell ref="J28:J30"/>
    <mergeCell ref="J13:J18"/>
    <mergeCell ref="D6:F6"/>
    <mergeCell ref="G19:G21"/>
    <mergeCell ref="H19:H21"/>
    <mergeCell ref="I19:I21"/>
    <mergeCell ref="J19:J21"/>
    <mergeCell ref="G13:G18"/>
    <mergeCell ref="H13:H18"/>
    <mergeCell ref="I13:I18"/>
    <mergeCell ref="G9:G12"/>
    <mergeCell ref="H9:H12"/>
    <mergeCell ref="I9:I12"/>
    <mergeCell ref="G7:H7"/>
    <mergeCell ref="I7:J7"/>
    <mergeCell ref="J9:J12"/>
    <mergeCell ref="B199:B204"/>
    <mergeCell ref="B197:B198"/>
    <mergeCell ref="B192:B194"/>
    <mergeCell ref="B187:B190"/>
    <mergeCell ref="B185:B186"/>
    <mergeCell ref="B181:B184"/>
    <mergeCell ref="B175:B180"/>
    <mergeCell ref="B168:B174"/>
    <mergeCell ref="B160:B167"/>
    <mergeCell ref="B96:B97"/>
    <mergeCell ref="B90:B91"/>
    <mergeCell ref="B80:B86"/>
    <mergeCell ref="B73:B74"/>
    <mergeCell ref="B70:B72"/>
    <mergeCell ref="B65:B68"/>
    <mergeCell ref="B157:B158"/>
    <mergeCell ref="B151:B154"/>
    <mergeCell ref="B148:B150"/>
    <mergeCell ref="B143:B146"/>
    <mergeCell ref="B138:B140"/>
    <mergeCell ref="B131:B132"/>
    <mergeCell ref="B128:B129"/>
    <mergeCell ref="B124:B127"/>
    <mergeCell ref="B120:B123"/>
    <mergeCell ref="B134:B137"/>
    <mergeCell ref="B28:B30"/>
    <mergeCell ref="B25:B26"/>
    <mergeCell ref="B19:B21"/>
    <mergeCell ref="B13:B18"/>
    <mergeCell ref="C2:F2"/>
    <mergeCell ref="C3:F3"/>
    <mergeCell ref="C4:F4"/>
    <mergeCell ref="B9:B12"/>
    <mergeCell ref="B113:B114"/>
    <mergeCell ref="B57:B64"/>
    <mergeCell ref="B55:B56"/>
    <mergeCell ref="B51:B53"/>
    <mergeCell ref="B45:B50"/>
    <mergeCell ref="B42:B44"/>
    <mergeCell ref="D42:D44"/>
    <mergeCell ref="E42:E44"/>
    <mergeCell ref="F42:F44"/>
    <mergeCell ref="B33:B41"/>
    <mergeCell ref="D33:D41"/>
    <mergeCell ref="E33:E41"/>
    <mergeCell ref="F33:F41"/>
    <mergeCell ref="B109:B112"/>
    <mergeCell ref="B106:B108"/>
    <mergeCell ref="B98:B105"/>
  </mergeCells>
  <conditionalFormatting sqref="C9:C49">
    <cfRule type="expression" dxfId="62" priority="56">
      <formula>#REF!=1</formula>
    </cfRule>
  </conditionalFormatting>
  <conditionalFormatting sqref="C51:C68 C113 E129:F129 E140:F146 F147">
    <cfRule type="expression" dxfId="61" priority="57">
      <formula>#REF!=1</formula>
    </cfRule>
  </conditionalFormatting>
  <conditionalFormatting sqref="C65 C123 C127 C130">
    <cfRule type="expression" dxfId="60" priority="59">
      <formula>D65=1</formula>
    </cfRule>
  </conditionalFormatting>
  <conditionalFormatting sqref="C70:C109 F171:F191">
    <cfRule type="expression" dxfId="59" priority="54">
      <formula>#REF!=1</formula>
    </cfRule>
  </conditionalFormatting>
  <conditionalFormatting sqref="C119:C156">
    <cfRule type="expression" dxfId="58" priority="55">
      <formula>#REF!=1</formula>
    </cfRule>
  </conditionalFormatting>
  <conditionalFormatting sqref="C159">
    <cfRule type="expression" dxfId="57" priority="60">
      <formula>#REF!=1</formula>
    </cfRule>
  </conditionalFormatting>
  <conditionalFormatting sqref="C161:C167">
    <cfRule type="expression" dxfId="56" priority="42">
      <formula>#REF!=1</formula>
    </cfRule>
  </conditionalFormatting>
  <conditionalFormatting sqref="C162:C164">
    <cfRule type="expression" dxfId="55" priority="43">
      <formula>D178=1</formula>
    </cfRule>
  </conditionalFormatting>
  <conditionalFormatting sqref="C163 C189">
    <cfRule type="expression" dxfId="54" priority="53">
      <formula>D170=1</formula>
    </cfRule>
  </conditionalFormatting>
  <conditionalFormatting sqref="C164">
    <cfRule type="expression" dxfId="53" priority="1510">
      <formula>D175=1</formula>
    </cfRule>
    <cfRule type="expression" dxfId="52" priority="134">
      <formula>D202=1</formula>
    </cfRule>
  </conditionalFormatting>
  <conditionalFormatting sqref="C164:C165">
    <cfRule type="expression" dxfId="51" priority="22">
      <formula>D190=1</formula>
    </cfRule>
  </conditionalFormatting>
  <conditionalFormatting sqref="C164:C167">
    <cfRule type="expression" dxfId="50" priority="46">
      <formula>D187=1</formula>
    </cfRule>
  </conditionalFormatting>
  <conditionalFormatting sqref="C165">
    <cfRule type="expression" dxfId="49" priority="1512">
      <formula>D189=1</formula>
    </cfRule>
    <cfRule type="expression" dxfId="48" priority="97">
      <formula>D204=1</formula>
    </cfRule>
    <cfRule type="expression" dxfId="47" priority="1513">
      <formula>D175=1</formula>
    </cfRule>
  </conditionalFormatting>
  <conditionalFormatting sqref="C165:C166">
    <cfRule type="expression" dxfId="46" priority="64">
      <formula>D185=1</formula>
    </cfRule>
  </conditionalFormatting>
  <conditionalFormatting sqref="C165:C167">
    <cfRule type="expression" dxfId="45" priority="103">
      <formula>D200=1</formula>
    </cfRule>
    <cfRule type="expression" dxfId="44" priority="48">
      <formula>D172=1</formula>
    </cfRule>
  </conditionalFormatting>
  <conditionalFormatting sqref="C166:C167">
    <cfRule type="expression" dxfId="43" priority="142">
      <formula>D195=1</formula>
    </cfRule>
  </conditionalFormatting>
  <conditionalFormatting sqref="C167">
    <cfRule type="expression" dxfId="42" priority="1440">
      <formula>D172=1</formula>
    </cfRule>
    <cfRule type="expression" dxfId="41" priority="145">
      <formula>D192=1</formula>
    </cfRule>
  </conditionalFormatting>
  <conditionalFormatting sqref="C171:C191">
    <cfRule type="expression" dxfId="40" priority="13">
      <formula>#REF!=1</formula>
    </cfRule>
  </conditionalFormatting>
  <conditionalFormatting sqref="C178 C180">
    <cfRule type="expression" dxfId="39" priority="29">
      <formula>D197=1</formula>
    </cfRule>
  </conditionalFormatting>
  <conditionalFormatting sqref="C178">
    <cfRule type="expression" dxfId="38" priority="68">
      <formula>D162=1</formula>
    </cfRule>
  </conditionalFormatting>
  <conditionalFormatting sqref="C178:C180 C194:C195">
    <cfRule type="expression" dxfId="37" priority="19">
      <formula>D187=1</formula>
    </cfRule>
  </conditionalFormatting>
  <conditionalFormatting sqref="C178:C180">
    <cfRule type="expression" dxfId="36" priority="20">
      <formula>D200=1</formula>
    </cfRule>
    <cfRule type="expression" dxfId="35" priority="25">
      <formula>D172=1</formula>
    </cfRule>
  </conditionalFormatting>
  <conditionalFormatting sqref="C179:C180">
    <cfRule type="expression" dxfId="34" priority="74">
      <formula>D176=1</formula>
    </cfRule>
  </conditionalFormatting>
  <conditionalFormatting sqref="C180 C182">
    <cfRule type="expression" dxfId="33" priority="21">
      <formula>D184=1</formula>
    </cfRule>
  </conditionalFormatting>
  <conditionalFormatting sqref="C180 C182:C184">
    <cfRule type="expression" dxfId="32" priority="24">
      <formula>D194=1</formula>
    </cfRule>
  </conditionalFormatting>
  <conditionalFormatting sqref="C181">
    <cfRule type="expression" dxfId="31" priority="11">
      <formula>D202=1</formula>
    </cfRule>
  </conditionalFormatting>
  <conditionalFormatting sqref="C182:C184">
    <cfRule type="expression" dxfId="30" priority="113">
      <formula>D192=1</formula>
    </cfRule>
  </conditionalFormatting>
  <conditionalFormatting sqref="C184">
    <cfRule type="expression" dxfId="29" priority="26">
      <formula>D165=1</formula>
    </cfRule>
    <cfRule type="expression" dxfId="28" priority="14">
      <formula>D164=1</formula>
    </cfRule>
  </conditionalFormatting>
  <conditionalFormatting sqref="C187">
    <cfRule type="expression" dxfId="27" priority="31">
      <formula>D166=1</formula>
    </cfRule>
  </conditionalFormatting>
  <conditionalFormatting sqref="C188">
    <cfRule type="expression" dxfId="26" priority="81">
      <formula>D194=1</formula>
    </cfRule>
  </conditionalFormatting>
  <conditionalFormatting sqref="C188:C189">
    <cfRule type="expression" dxfId="25" priority="18">
      <formula>D183=1</formula>
    </cfRule>
  </conditionalFormatting>
  <conditionalFormatting sqref="C190">
    <cfRule type="expression" dxfId="24" priority="23">
      <formula>D163=1</formula>
    </cfRule>
  </conditionalFormatting>
  <conditionalFormatting sqref="C194">
    <cfRule type="expression" dxfId="23" priority="121">
      <formula>D193=1</formula>
    </cfRule>
  </conditionalFormatting>
  <conditionalFormatting sqref="C194:C196 C204">
    <cfRule type="expression" dxfId="22" priority="33">
      <formula>D162=1</formula>
    </cfRule>
  </conditionalFormatting>
  <conditionalFormatting sqref="C194:C198">
    <cfRule type="expression" dxfId="21" priority="15">
      <formula>#REF!=1</formula>
    </cfRule>
  </conditionalFormatting>
  <conditionalFormatting sqref="C197">
    <cfRule type="expression" dxfId="20" priority="12">
      <formula>D191=1</formula>
    </cfRule>
  </conditionalFormatting>
  <conditionalFormatting sqref="C201">
    <cfRule type="expression" dxfId="19" priority="83">
      <formula>#REF!=1</formula>
    </cfRule>
  </conditionalFormatting>
  <conditionalFormatting sqref="C202">
    <cfRule type="expression" dxfId="18" priority="30">
      <formula>D175=1</formula>
    </cfRule>
  </conditionalFormatting>
  <conditionalFormatting sqref="C202:C203">
    <cfRule type="expression" dxfId="17" priority="32">
      <formula>D173=1</formula>
    </cfRule>
  </conditionalFormatting>
  <conditionalFormatting sqref="C203:C204">
    <cfRule type="expression" dxfId="16" priority="16">
      <formula>#REF!=1</formula>
    </cfRule>
  </conditionalFormatting>
  <conditionalFormatting sqref="C204">
    <cfRule type="expression" dxfId="15" priority="84">
      <formula>D161=1</formula>
    </cfRule>
  </conditionalFormatting>
  <conditionalFormatting sqref="F14 F63:F64">
    <cfRule type="expression" dxfId="14" priority="58">
      <formula>#REF!=1</formula>
    </cfRule>
  </conditionalFormatting>
  <conditionalFormatting sqref="F29:F30 F45:F49 F56 F68 F73:F79">
    <cfRule type="expression" dxfId="13" priority="62">
      <formula>#REF!=1</formula>
    </cfRule>
  </conditionalFormatting>
  <conditionalFormatting sqref="F161:F167">
    <cfRule type="expression" dxfId="12" priority="39">
      <formula>#REF!=1</formula>
    </cfRule>
  </conditionalFormatting>
  <conditionalFormatting sqref="F194:F198">
    <cfRule type="expression" dxfId="11" priority="2">
      <formula>#REF!=1</formula>
    </cfRule>
  </conditionalFormatting>
  <conditionalFormatting sqref="F201:F204">
    <cfRule type="expression" dxfId="10" priority="9">
      <formula>#REF!=1</formula>
    </cfRule>
  </conditionalFormatting>
  <pageMargins left="0.7" right="0.7" top="0.75" bottom="0.75" header="0" footer="0"/>
  <pageSetup paperSize="9" orientation="portrait" r:id="rId1"/>
  <drawing r:id="rId2"/>
  <extLst>
    <ext xmlns:x14="http://schemas.microsoft.com/office/spreadsheetml/2009/9/main" uri="{78C0D931-6437-407d-A8EE-F0AAD7539E65}">
      <x14:conditionalFormattings>
        <x14:conditionalFormatting xmlns:xm="http://schemas.microsoft.com/office/excel/2006/main">
          <x14:cfRule type="expression" priority="44" id="{53B69481-C1A5-4934-A288-C80884234361}">
            <xm:f>'https://d.docs.live.net/5fa13a08e14fab72/Desktop/LABORATORIO SALUD PUBLICA/LSP2025/PROCESOS CONTRATACION/REACTIVOS/1 PROCESO/[MATERIALES-EM.xlsx]PENDEINTES '!#REF!=1</xm:f>
            <x14:dxf>
              <fill>
                <patternFill patternType="solid">
                  <fgColor rgb="FFB4C6E7"/>
                  <bgColor rgb="FFB4C6E7"/>
                </patternFill>
              </fill>
            </x14:dxf>
          </x14:cfRule>
          <xm:sqref>C164</xm:sqref>
        </x14:conditionalFormatting>
        <x14:conditionalFormatting xmlns:xm="http://schemas.microsoft.com/office/excel/2006/main">
          <x14:cfRule type="expression" priority="45" id="{F93D7D71-C58F-4A62-8811-D5586E730AC1}">
            <xm:f>'https://d.docs.live.net/5fa13a08e14fab72/Desktop/LABORATORIO SALUD PUBLICA/LSP2025/PROCESOS CONTRATACION/REACTIVOS/1 PROCESO/[MATERIALES-EM.xlsx]PENDEINTES '!#REF!=1</xm:f>
            <x14:dxf>
              <fill>
                <patternFill patternType="solid">
                  <fgColor rgb="FFB4C6E7"/>
                  <bgColor rgb="FFB4C6E7"/>
                </patternFill>
              </fill>
            </x14:dxf>
          </x14:cfRule>
          <xm:sqref>C167</xm:sqref>
        </x14:conditionalFormatting>
        <x14:conditionalFormatting xmlns:xm="http://schemas.microsoft.com/office/excel/2006/main">
          <x14:cfRule type="expression" priority="35" id="{AC7085ED-7F01-4FE3-839E-2DDD11BACFDB}">
            <xm:f>'https://d.docs.live.net/5fa13a08e14fab72/Desktop/LABORATORIO SALUD PUBLICA/LSP2025/PROCESOS CONTRATACION/REACTIVOS/1 PROCESO/[MATERIALES-EM.xlsx]PENDEINTES '!#REF!=1</xm:f>
            <x14:dxf>
              <fill>
                <patternFill patternType="solid">
                  <fgColor rgb="FFB4C6E7"/>
                  <bgColor rgb="FFB4C6E7"/>
                </patternFill>
              </fill>
            </x14:dxf>
          </x14:cfRule>
          <xm:sqref>C179</xm:sqref>
        </x14:conditionalFormatting>
        <x14:conditionalFormatting xmlns:xm="http://schemas.microsoft.com/office/excel/2006/main">
          <x14:cfRule type="expression" priority="36" id="{2A264405-196A-44D0-92A7-A138882F7F32}">
            <xm:f>'https://d.docs.live.net/5fa13a08e14fab72/Desktop/LABORATORIO SALUD PUBLICA/LSP2025/PROCESOS CONTRATACION/REACTIVOS/1 PROCESO/[MATERIALES-EM.xlsx]PENDEINTES '!#REF!=1</xm:f>
            <x14:dxf>
              <fill>
                <patternFill patternType="solid">
                  <fgColor rgb="FFB4C6E7"/>
                  <bgColor rgb="FFB4C6E7"/>
                </patternFill>
              </fill>
            </x14:dxf>
          </x14:cfRule>
          <xm:sqref>C184</xm:sqref>
        </x14:conditionalFormatting>
        <x14:conditionalFormatting xmlns:xm="http://schemas.microsoft.com/office/excel/2006/main">
          <x14:cfRule type="expression" priority="37" id="{A93A154D-7461-4983-8618-86FE7C4DDE98}">
            <xm:f>'https://d.docs.live.net/5fa13a08e14fab72/Desktop/LABORATORIO SALUD PUBLICA/LSP2025/PROCESOS CONTRATACION/REACTIVOS/1 PROCESO/[MATERIALES-EM.xlsx]PENDEINTES '!#REF!=1</xm:f>
            <x14:dxf>
              <fill>
                <patternFill patternType="solid">
                  <fgColor rgb="FFB4C6E7"/>
                  <bgColor rgb="FFB4C6E7"/>
                </patternFill>
              </fill>
            </x14:dxf>
          </x14:cfRule>
          <xm:sqref>C190</xm:sqref>
        </x14:conditionalFormatting>
        <x14:conditionalFormatting xmlns:xm="http://schemas.microsoft.com/office/excel/2006/main">
          <x14:cfRule type="expression" priority="40" id="{3E2588C8-2FF8-48D4-96D8-79FA7D9AB560}">
            <xm:f>'https://d.docs.live.net/5fa13a08e14fab72/Desktop/LABORATORIO SALUD PUBLICA/LSP2025/PROCESOS CONTRATACION/REACTIVOS/1 PROCESO/[MATERIALES-EM.xlsx]PENDEINTES '!#REF!=1</xm:f>
            <x14:dxf>
              <fill>
                <patternFill patternType="solid">
                  <fgColor rgb="FFB4C6E7"/>
                  <bgColor rgb="FFB4C6E7"/>
                </patternFill>
              </fill>
            </x14:dxf>
          </x14:cfRule>
          <xm:sqref>F164</xm:sqref>
        </x14:conditionalFormatting>
        <x14:conditionalFormatting xmlns:xm="http://schemas.microsoft.com/office/excel/2006/main">
          <x14:cfRule type="expression" priority="41" id="{B4B30618-7CA4-4D88-A1A4-D834A78BCA5D}">
            <xm:f>'https://d.docs.live.net/5fa13a08e14fab72/Desktop/LABORATORIO SALUD PUBLICA/LSP2025/PROCESOS CONTRATACION/REACTIVOS/1 PROCESO/[MATERIALES-EM.xlsx]PENDEINTES '!#REF!=1</xm:f>
            <x14:dxf>
              <fill>
                <patternFill patternType="solid">
                  <fgColor rgb="FFB4C6E7"/>
                  <bgColor rgb="FFB4C6E7"/>
                </patternFill>
              </fill>
            </x14:dxf>
          </x14:cfRule>
          <xm:sqref>F167</xm:sqref>
        </x14:conditionalFormatting>
        <x14:conditionalFormatting xmlns:xm="http://schemas.microsoft.com/office/excel/2006/main">
          <x14:cfRule type="expression" priority="6" id="{AF1604FE-0A17-43D4-85B2-BEBFF7F6B671}">
            <xm:f>'https://d.docs.live.net/5fa13a08e14fab72/Desktop/LABORATORIO SALUD PUBLICA/LSP2025/PROCESOS CONTRATACION/REACTIVOS/1 PROCESO/[MATERIALES-EM.xlsx]PENDEINTES '!#REF!=1</xm:f>
            <x14:dxf>
              <fill>
                <patternFill patternType="solid">
                  <fgColor rgb="FFB4C6E7"/>
                  <bgColor rgb="FFB4C6E7"/>
                </patternFill>
              </fill>
            </x14:dxf>
          </x14:cfRule>
          <xm:sqref>F179</xm:sqref>
        </x14:conditionalFormatting>
        <x14:conditionalFormatting xmlns:xm="http://schemas.microsoft.com/office/excel/2006/main">
          <x14:cfRule type="expression" priority="10" id="{F60DAA49-9AF8-4652-9838-AD9EFDA8D82C}">
            <xm:f>'https://d.docs.live.net/5fa13a08e14fab72/Desktop/LABORATORIO SALUD PUBLICA/LSP2025/PROCESOS CONTRATACION/REACTIVOS/1 PROCESO/[MATERIALES-EM.xlsx]PENDEINTES '!#REF!=1</xm:f>
            <x14:dxf>
              <fill>
                <patternFill patternType="solid">
                  <fgColor rgb="FFB4C6E7"/>
                  <bgColor rgb="FFB4C6E7"/>
                </patternFill>
              </fill>
            </x14:dxf>
          </x14:cfRule>
          <xm:sqref>F184</xm:sqref>
        </x14:conditionalFormatting>
        <x14:conditionalFormatting xmlns:xm="http://schemas.microsoft.com/office/excel/2006/main">
          <x14:cfRule type="expression" priority="7" id="{CEC1D56C-6DB5-4E93-85D1-4094956BF100}">
            <xm:f>'https://d.docs.live.net/5fa13a08e14fab72/Desktop/LABORATORIO SALUD PUBLICA/LSP2025/PROCESOS CONTRATACION/REACTIVOS/1 PROCESO/[MATERIALES-EM.xlsx]PENDEINTES '!#REF!=1</xm:f>
            <x14:dxf>
              <fill>
                <patternFill patternType="solid">
                  <fgColor rgb="FFB4C6E7"/>
                  <bgColor rgb="FFB4C6E7"/>
                </patternFill>
              </fill>
            </x14:dxf>
          </x14:cfRule>
          <xm:sqref>F190</xm:sqref>
        </x14:conditionalFormatting>
      </x14:conditionalFormatting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Estudio de Mercado -Proceso 1</vt:lpstr>
      <vt:lpstr>Anexo Económico </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yeimy zuñiga</dc:creator>
  <cp:lastModifiedBy>yeimy zuñiga</cp:lastModifiedBy>
  <dcterms:created xsi:type="dcterms:W3CDTF">2025-03-21T00:14:24Z</dcterms:created>
  <dcterms:modified xsi:type="dcterms:W3CDTF">2025-05-08T17:19:08Z</dcterms:modified>
</cp:coreProperties>
</file>